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p10553/Library/CloudStorage/GoogleDrive-madina.bekchanova@uhasselt.be/My Drive/META ANALYSIS/Final review submission /Additional files/"/>
    </mc:Choice>
  </mc:AlternateContent>
  <xr:revisionPtr revIDLastSave="0" documentId="13_ncr:1_{63B17EA4-B068-EA40-9AFF-63349A22F9C4}" xr6:coauthVersionLast="36" xr6:coauthVersionMax="36" xr10:uidLastSave="{00000000-0000-0000-0000-000000000000}"/>
  <bookViews>
    <workbookView xWindow="1200" yWindow="500" windowWidth="28800" windowHeight="16180" xr2:uid="{AAEECE12-7ED9-FB4D-93A8-978D6B389759}"/>
  </bookViews>
  <sheets>
    <sheet name="README" sheetId="9" r:id="rId1"/>
    <sheet name="METADATA" sheetId="8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412" i="8" l="1"/>
  <c r="AV1116" i="8"/>
  <c r="AV1060" i="8"/>
  <c r="AV1001" i="8"/>
  <c r="AV796" i="8"/>
  <c r="AV793" i="8"/>
  <c r="AV792" i="8"/>
  <c r="AV790" i="8"/>
  <c r="AV675" i="8"/>
  <c r="AV530" i="8"/>
  <c r="AV441" i="8"/>
  <c r="AV440" i="8"/>
  <c r="AV439" i="8"/>
  <c r="BJ1610" i="8" l="1"/>
  <c r="BB1610" i="8"/>
  <c r="AW1610" i="8"/>
  <c r="AV1610" i="8"/>
  <c r="BJ1609" i="8"/>
  <c r="BB1609" i="8"/>
  <c r="AW1609" i="8"/>
  <c r="AV1609" i="8"/>
  <c r="BJ1608" i="8"/>
  <c r="BB1608" i="8"/>
  <c r="AW1608" i="8"/>
  <c r="AV1608" i="8"/>
  <c r="BJ1607" i="8"/>
  <c r="BB1607" i="8"/>
  <c r="AW1607" i="8"/>
  <c r="AV1607" i="8"/>
  <c r="BF1607" i="8" s="1"/>
  <c r="BG1607" i="8" s="1"/>
  <c r="BJ1606" i="8"/>
  <c r="AW1606" i="8"/>
  <c r="AV1606" i="8"/>
  <c r="AX1606" i="8" s="1"/>
  <c r="AY1606" i="8" s="1"/>
  <c r="BJ1605" i="8"/>
  <c r="AW1605" i="8"/>
  <c r="AV1605" i="8"/>
  <c r="BJ1604" i="8"/>
  <c r="AW1604" i="8"/>
  <c r="AV1604" i="8"/>
  <c r="BJ1603" i="8"/>
  <c r="AW1603" i="8"/>
  <c r="AV1603" i="8"/>
  <c r="BJ1602" i="8"/>
  <c r="AW1602" i="8"/>
  <c r="AV1602" i="8"/>
  <c r="BJ1601" i="8"/>
  <c r="AW1601" i="8"/>
  <c r="AV1601" i="8"/>
  <c r="BJ1600" i="8"/>
  <c r="AW1600" i="8"/>
  <c r="AV1600" i="8"/>
  <c r="BJ1599" i="8"/>
  <c r="AW1599" i="8"/>
  <c r="AV1599" i="8"/>
  <c r="BJ1598" i="8"/>
  <c r="BB1598" i="8"/>
  <c r="AW1598" i="8"/>
  <c r="AV1598" i="8"/>
  <c r="BJ1597" i="8"/>
  <c r="BB1597" i="8"/>
  <c r="AW1597" i="8"/>
  <c r="AV1597" i="8"/>
  <c r="BJ1596" i="8"/>
  <c r="BB1596" i="8"/>
  <c r="AW1596" i="8"/>
  <c r="AV1596" i="8"/>
  <c r="BJ1595" i="8"/>
  <c r="BB1595" i="8"/>
  <c r="AW1595" i="8"/>
  <c r="AV1595" i="8"/>
  <c r="BJ1594" i="8"/>
  <c r="AW1594" i="8"/>
  <c r="AV1594" i="8"/>
  <c r="BJ1593" i="8"/>
  <c r="AW1593" i="8"/>
  <c r="AV1593" i="8"/>
  <c r="BJ1592" i="8"/>
  <c r="AW1592" i="8"/>
  <c r="AV1592" i="8"/>
  <c r="BJ1591" i="8"/>
  <c r="AW1591" i="8"/>
  <c r="AV1591" i="8"/>
  <c r="BJ1590" i="8"/>
  <c r="AW1590" i="8"/>
  <c r="AV1590" i="8"/>
  <c r="BJ1589" i="8"/>
  <c r="AW1589" i="8"/>
  <c r="AV1589" i="8"/>
  <c r="BJ1588" i="8"/>
  <c r="AW1588" i="8"/>
  <c r="AV1588" i="8"/>
  <c r="BJ1587" i="8"/>
  <c r="AW1587" i="8"/>
  <c r="AV1587" i="8"/>
  <c r="BJ1586" i="8"/>
  <c r="BE1586" i="8"/>
  <c r="BC1586" i="8" s="1"/>
  <c r="BD1586" i="8"/>
  <c r="BB1586" i="8" s="1"/>
  <c r="AW1586" i="8"/>
  <c r="AV1586" i="8"/>
  <c r="BJ1585" i="8"/>
  <c r="BE1585" i="8"/>
  <c r="BC1585" i="8" s="1"/>
  <c r="BD1585" i="8"/>
  <c r="BB1585" i="8" s="1"/>
  <c r="AW1585" i="8"/>
  <c r="AV1585" i="8"/>
  <c r="BJ1584" i="8"/>
  <c r="BE1584" i="8"/>
  <c r="BC1584" i="8" s="1"/>
  <c r="BD1584" i="8"/>
  <c r="BB1584" i="8" s="1"/>
  <c r="AW1584" i="8"/>
  <c r="AV1584" i="8"/>
  <c r="BJ1583" i="8"/>
  <c r="BE1583" i="8"/>
  <c r="BC1583" i="8" s="1"/>
  <c r="BD1583" i="8"/>
  <c r="AW1583" i="8"/>
  <c r="AV1583" i="8"/>
  <c r="BJ1582" i="8"/>
  <c r="BE1582" i="8"/>
  <c r="BC1582" i="8" s="1"/>
  <c r="BD1582" i="8"/>
  <c r="BB1582" i="8" s="1"/>
  <c r="AW1582" i="8"/>
  <c r="AV1582" i="8"/>
  <c r="BJ1581" i="8"/>
  <c r="BE1581" i="8"/>
  <c r="BC1581" i="8" s="1"/>
  <c r="BD1581" i="8"/>
  <c r="BB1581" i="8" s="1"/>
  <c r="AW1581" i="8"/>
  <c r="AV1581" i="8"/>
  <c r="BJ1580" i="8"/>
  <c r="BE1580" i="8"/>
  <c r="BC1580" i="8" s="1"/>
  <c r="BD1580" i="8"/>
  <c r="AW1580" i="8"/>
  <c r="AV1580" i="8"/>
  <c r="BJ1579" i="8"/>
  <c r="BE1579" i="8"/>
  <c r="BC1579" i="8" s="1"/>
  <c r="BD1579" i="8"/>
  <c r="BB1579" i="8" s="1"/>
  <c r="AW1579" i="8"/>
  <c r="AV1579" i="8"/>
  <c r="BJ1578" i="8"/>
  <c r="BF1578" i="8"/>
  <c r="BL1578" i="8" s="1"/>
  <c r="BM1578" i="8" s="1"/>
  <c r="BC1578" i="8"/>
  <c r="BB1578" i="8"/>
  <c r="AX1578" i="8"/>
  <c r="AY1578" i="8" s="1"/>
  <c r="BJ1577" i="8"/>
  <c r="BF1577" i="8"/>
  <c r="BG1577" i="8" s="1"/>
  <c r="BC1577" i="8"/>
  <c r="BB1577" i="8"/>
  <c r="AX1577" i="8"/>
  <c r="AY1577" i="8" s="1"/>
  <c r="BJ1576" i="8"/>
  <c r="BF1576" i="8"/>
  <c r="BL1576" i="8" s="1"/>
  <c r="BM1576" i="8" s="1"/>
  <c r="BC1576" i="8"/>
  <c r="BB1576" i="8"/>
  <c r="AX1576" i="8"/>
  <c r="AY1576" i="8" s="1"/>
  <c r="BJ1575" i="8"/>
  <c r="BF1575" i="8"/>
  <c r="BG1575" i="8" s="1"/>
  <c r="BC1575" i="8"/>
  <c r="BB1575" i="8"/>
  <c r="AX1575" i="8"/>
  <c r="AY1575" i="8" s="1"/>
  <c r="BJ1574" i="8"/>
  <c r="BC1574" i="8"/>
  <c r="BE1574" i="8" s="1"/>
  <c r="BB1574" i="8"/>
  <c r="BD1574" i="8" s="1"/>
  <c r="AW1574" i="8"/>
  <c r="AV1574" i="8"/>
  <c r="BJ1573" i="8"/>
  <c r="BC1573" i="8"/>
  <c r="BE1573" i="8" s="1"/>
  <c r="BB1573" i="8"/>
  <c r="BD1573" i="8" s="1"/>
  <c r="AW1573" i="8"/>
  <c r="AV1573" i="8"/>
  <c r="BJ1572" i="8"/>
  <c r="BC1572" i="8"/>
  <c r="BE1572" i="8" s="1"/>
  <c r="BB1572" i="8"/>
  <c r="BD1572" i="8" s="1"/>
  <c r="AW1572" i="8"/>
  <c r="AV1572" i="8"/>
  <c r="BJ1571" i="8"/>
  <c r="BC1571" i="8"/>
  <c r="BE1571" i="8" s="1"/>
  <c r="BB1571" i="8"/>
  <c r="BD1571" i="8" s="1"/>
  <c r="AW1571" i="8"/>
  <c r="AV1571" i="8"/>
  <c r="BJ1570" i="8"/>
  <c r="BC1570" i="8"/>
  <c r="BE1570" i="8" s="1"/>
  <c r="BB1570" i="8"/>
  <c r="BD1570" i="8" s="1"/>
  <c r="AW1570" i="8"/>
  <c r="AV1570" i="8"/>
  <c r="BJ1569" i="8"/>
  <c r="BC1569" i="8"/>
  <c r="BE1569" i="8" s="1"/>
  <c r="BB1569" i="8"/>
  <c r="BD1569" i="8" s="1"/>
  <c r="AW1569" i="8"/>
  <c r="AV1569" i="8"/>
  <c r="BJ1568" i="8"/>
  <c r="BE1568" i="8"/>
  <c r="BD1568" i="8"/>
  <c r="AW1568" i="8"/>
  <c r="AV1568" i="8"/>
  <c r="BJ1567" i="8"/>
  <c r="BE1567" i="8"/>
  <c r="BD1567" i="8"/>
  <c r="AW1567" i="8"/>
  <c r="AV1567" i="8"/>
  <c r="BJ1566" i="8"/>
  <c r="BE1566" i="8"/>
  <c r="BD1566" i="8"/>
  <c r="AW1566" i="8"/>
  <c r="AV1566" i="8"/>
  <c r="BJ1565" i="8"/>
  <c r="BE1565" i="8"/>
  <c r="BD1565" i="8"/>
  <c r="AW1565" i="8"/>
  <c r="AV1565" i="8"/>
  <c r="BJ1564" i="8"/>
  <c r="BE1564" i="8"/>
  <c r="BD1564" i="8"/>
  <c r="AW1564" i="8"/>
  <c r="AV1564" i="8"/>
  <c r="BJ1563" i="8"/>
  <c r="BE1563" i="8"/>
  <c r="BD1563" i="8"/>
  <c r="AW1563" i="8"/>
  <c r="AV1563" i="8"/>
  <c r="BJ1562" i="8"/>
  <c r="BE1562" i="8"/>
  <c r="BD1562" i="8"/>
  <c r="AW1562" i="8"/>
  <c r="AV1562" i="8"/>
  <c r="BJ1561" i="8"/>
  <c r="BE1561" i="8"/>
  <c r="BD1561" i="8"/>
  <c r="AW1561" i="8"/>
  <c r="AV1561" i="8"/>
  <c r="BJ1560" i="8"/>
  <c r="BE1560" i="8"/>
  <c r="BD1560" i="8"/>
  <c r="AW1560" i="8"/>
  <c r="AV1560" i="8"/>
  <c r="BJ1559" i="8"/>
  <c r="BE1559" i="8"/>
  <c r="BD1559" i="8"/>
  <c r="AW1559" i="8"/>
  <c r="AV1559" i="8"/>
  <c r="BJ1558" i="8"/>
  <c r="BE1558" i="8"/>
  <c r="BD1558" i="8"/>
  <c r="AW1558" i="8"/>
  <c r="AV1558" i="8"/>
  <c r="BJ1557" i="8"/>
  <c r="BE1557" i="8"/>
  <c r="BD1557" i="8"/>
  <c r="AW1557" i="8"/>
  <c r="AV1557" i="8"/>
  <c r="BJ1556" i="8"/>
  <c r="BE1556" i="8"/>
  <c r="BD1556" i="8"/>
  <c r="AW1556" i="8"/>
  <c r="AV1556" i="8"/>
  <c r="BJ1555" i="8"/>
  <c r="BE1555" i="8"/>
  <c r="BD1555" i="8"/>
  <c r="AW1555" i="8"/>
  <c r="AV1555" i="8"/>
  <c r="BJ1554" i="8"/>
  <c r="BE1554" i="8"/>
  <c r="BD1554" i="8"/>
  <c r="AW1554" i="8"/>
  <c r="AV1554" i="8"/>
  <c r="BJ1553" i="8"/>
  <c r="BE1553" i="8"/>
  <c r="BD1553" i="8"/>
  <c r="AW1553" i="8"/>
  <c r="AV1553" i="8"/>
  <c r="BJ1552" i="8"/>
  <c r="BE1552" i="8"/>
  <c r="BD1552" i="8"/>
  <c r="AX1552" i="8"/>
  <c r="AY1552" i="8" s="1"/>
  <c r="BJ1551" i="8"/>
  <c r="BE1551" i="8"/>
  <c r="BD1551" i="8"/>
  <c r="AX1551" i="8"/>
  <c r="AY1551" i="8" s="1"/>
  <c r="BJ1550" i="8"/>
  <c r="BE1550" i="8"/>
  <c r="BD1550" i="8"/>
  <c r="AX1550" i="8"/>
  <c r="AY1550" i="8" s="1"/>
  <c r="BJ1549" i="8"/>
  <c r="BE1549" i="8"/>
  <c r="BD1549" i="8"/>
  <c r="AX1549" i="8"/>
  <c r="AY1549" i="8" s="1"/>
  <c r="BJ1548" i="8"/>
  <c r="BE1548" i="8"/>
  <c r="BD1548" i="8"/>
  <c r="AX1548" i="8"/>
  <c r="AY1548" i="8" s="1"/>
  <c r="BJ1547" i="8"/>
  <c r="BE1547" i="8"/>
  <c r="BD1547" i="8"/>
  <c r="AX1547" i="8"/>
  <c r="AY1547" i="8" s="1"/>
  <c r="BJ1546" i="8"/>
  <c r="BE1546" i="8"/>
  <c r="BD1546" i="8"/>
  <c r="AX1546" i="8"/>
  <c r="AY1546" i="8" s="1"/>
  <c r="BJ1545" i="8"/>
  <c r="BE1545" i="8"/>
  <c r="BD1545" i="8"/>
  <c r="AX1545" i="8"/>
  <c r="AY1545" i="8" s="1"/>
  <c r="BJ1544" i="8"/>
  <c r="BE1544" i="8"/>
  <c r="BD1544" i="8"/>
  <c r="AW1544" i="8"/>
  <c r="AV1544" i="8"/>
  <c r="BJ1543" i="8"/>
  <c r="BE1543" i="8"/>
  <c r="BD1543" i="8"/>
  <c r="AW1543" i="8"/>
  <c r="AV1543" i="8"/>
  <c r="BJ1542" i="8"/>
  <c r="BE1542" i="8"/>
  <c r="BD1542" i="8"/>
  <c r="AW1542" i="8"/>
  <c r="AV1542" i="8"/>
  <c r="BJ1541" i="8"/>
  <c r="BE1541" i="8"/>
  <c r="BD1541" i="8"/>
  <c r="AW1541" i="8"/>
  <c r="AV1541" i="8"/>
  <c r="BJ1540" i="8"/>
  <c r="BE1540" i="8"/>
  <c r="BD1540" i="8"/>
  <c r="AX1540" i="8"/>
  <c r="AY1540" i="8" s="1"/>
  <c r="BJ1539" i="8"/>
  <c r="BE1539" i="8"/>
  <c r="BD1539" i="8"/>
  <c r="AX1539" i="8"/>
  <c r="AY1539" i="8" s="1"/>
  <c r="BJ1538" i="8"/>
  <c r="BE1538" i="8"/>
  <c r="BD1538" i="8"/>
  <c r="AX1538" i="8"/>
  <c r="AY1538" i="8" s="1"/>
  <c r="BJ1537" i="8"/>
  <c r="BE1537" i="8"/>
  <c r="BD1537" i="8"/>
  <c r="AX1537" i="8"/>
  <c r="AY1537" i="8" s="1"/>
  <c r="BJ1536" i="8"/>
  <c r="BE1536" i="8"/>
  <c r="BD1536" i="8"/>
  <c r="AW1536" i="8"/>
  <c r="AV1536" i="8"/>
  <c r="BJ1535" i="8"/>
  <c r="BE1535" i="8"/>
  <c r="BD1535" i="8"/>
  <c r="AW1535" i="8"/>
  <c r="AV1535" i="8"/>
  <c r="BJ1534" i="8"/>
  <c r="BE1534" i="8"/>
  <c r="BD1534" i="8"/>
  <c r="AW1534" i="8"/>
  <c r="AV1534" i="8"/>
  <c r="BJ1533" i="8"/>
  <c r="BE1533" i="8"/>
  <c r="BD1533" i="8"/>
  <c r="AW1533" i="8"/>
  <c r="AV1533" i="8"/>
  <c r="BJ1532" i="8"/>
  <c r="BE1532" i="8"/>
  <c r="BD1532" i="8"/>
  <c r="AX1532" i="8"/>
  <c r="AY1532" i="8" s="1"/>
  <c r="BJ1531" i="8"/>
  <c r="BE1531" i="8"/>
  <c r="BD1531" i="8"/>
  <c r="AX1531" i="8"/>
  <c r="AY1531" i="8" s="1"/>
  <c r="BJ1530" i="8"/>
  <c r="BE1530" i="8"/>
  <c r="BD1530" i="8"/>
  <c r="AX1530" i="8"/>
  <c r="AY1530" i="8" s="1"/>
  <c r="BJ1529" i="8"/>
  <c r="BE1529" i="8"/>
  <c r="BD1529" i="8"/>
  <c r="AX1529" i="8"/>
  <c r="AY1529" i="8" s="1"/>
  <c r="BJ1528" i="8"/>
  <c r="BE1528" i="8"/>
  <c r="BD1528" i="8"/>
  <c r="AX1528" i="8"/>
  <c r="AY1528" i="8" s="1"/>
  <c r="BJ1527" i="8"/>
  <c r="BE1527" i="8"/>
  <c r="BD1527" i="8"/>
  <c r="AX1527" i="8"/>
  <c r="AY1527" i="8" s="1"/>
  <c r="BJ1526" i="8"/>
  <c r="BE1526" i="8"/>
  <c r="BD1526" i="8"/>
  <c r="AX1526" i="8"/>
  <c r="AY1526" i="8" s="1"/>
  <c r="BJ1525" i="8"/>
  <c r="BE1525" i="8"/>
  <c r="BD1525" i="8"/>
  <c r="AX1525" i="8"/>
  <c r="AY1525" i="8" s="1"/>
  <c r="BJ1524" i="8"/>
  <c r="BE1524" i="8"/>
  <c r="BD1524" i="8"/>
  <c r="AW1524" i="8"/>
  <c r="AV1524" i="8"/>
  <c r="BJ1523" i="8"/>
  <c r="BE1523" i="8"/>
  <c r="BD1523" i="8"/>
  <c r="AW1523" i="8"/>
  <c r="AV1523" i="8"/>
  <c r="BJ1522" i="8"/>
  <c r="BE1522" i="8"/>
  <c r="BD1522" i="8"/>
  <c r="AW1522" i="8"/>
  <c r="AV1522" i="8"/>
  <c r="BJ1521" i="8"/>
  <c r="BE1521" i="8"/>
  <c r="BD1521" i="8"/>
  <c r="AW1521" i="8"/>
  <c r="AV1521" i="8"/>
  <c r="BJ1520" i="8"/>
  <c r="BE1520" i="8"/>
  <c r="BD1520" i="8"/>
  <c r="AW1520" i="8"/>
  <c r="AV1520" i="8"/>
  <c r="BJ1519" i="8"/>
  <c r="BE1519" i="8"/>
  <c r="BD1519" i="8"/>
  <c r="AW1519" i="8"/>
  <c r="AV1519" i="8"/>
  <c r="BJ1518" i="8"/>
  <c r="BE1518" i="8"/>
  <c r="BD1518" i="8"/>
  <c r="AW1518" i="8"/>
  <c r="AV1518" i="8"/>
  <c r="BJ1517" i="8"/>
  <c r="BE1517" i="8"/>
  <c r="BD1517" i="8"/>
  <c r="AW1517" i="8"/>
  <c r="AV1517" i="8"/>
  <c r="BJ1516" i="8"/>
  <c r="BE1516" i="8"/>
  <c r="BD1516" i="8"/>
  <c r="AW1516" i="8"/>
  <c r="AV1516" i="8"/>
  <c r="BJ1515" i="8"/>
  <c r="BE1515" i="8"/>
  <c r="BD1515" i="8"/>
  <c r="AW1515" i="8"/>
  <c r="AV1515" i="8"/>
  <c r="BJ1514" i="8"/>
  <c r="BE1514" i="8"/>
  <c r="BD1514" i="8"/>
  <c r="AW1514" i="8"/>
  <c r="AV1514" i="8"/>
  <c r="BJ1513" i="8"/>
  <c r="BE1513" i="8"/>
  <c r="BD1513" i="8"/>
  <c r="AW1513" i="8"/>
  <c r="AV1513" i="8"/>
  <c r="BJ1512" i="8"/>
  <c r="BE1512" i="8"/>
  <c r="BD1512" i="8"/>
  <c r="AW1512" i="8"/>
  <c r="AV1512" i="8"/>
  <c r="BJ1511" i="8"/>
  <c r="BE1511" i="8"/>
  <c r="BD1511" i="8"/>
  <c r="AW1511" i="8"/>
  <c r="AV1511" i="8"/>
  <c r="BJ1510" i="8"/>
  <c r="BE1510" i="8"/>
  <c r="BD1510" i="8"/>
  <c r="AW1510" i="8"/>
  <c r="AV1510" i="8"/>
  <c r="BJ1509" i="8"/>
  <c r="BE1509" i="8"/>
  <c r="BD1509" i="8"/>
  <c r="AW1509" i="8"/>
  <c r="AV1509" i="8"/>
  <c r="BJ1508" i="8"/>
  <c r="BE1508" i="8"/>
  <c r="BD1508" i="8"/>
  <c r="AW1508" i="8"/>
  <c r="AV1508" i="8"/>
  <c r="BJ1507" i="8"/>
  <c r="BE1507" i="8"/>
  <c r="BD1507" i="8"/>
  <c r="AW1507" i="8"/>
  <c r="AV1507" i="8"/>
  <c r="BJ1506" i="8"/>
  <c r="BE1506" i="8"/>
  <c r="BD1506" i="8"/>
  <c r="AW1506" i="8"/>
  <c r="AV1506" i="8"/>
  <c r="BJ1505" i="8"/>
  <c r="BE1505" i="8"/>
  <c r="BD1505" i="8"/>
  <c r="AW1505" i="8"/>
  <c r="AV1505" i="8"/>
  <c r="BJ1504" i="8"/>
  <c r="BE1504" i="8"/>
  <c r="BD1504" i="8"/>
  <c r="AW1504" i="8"/>
  <c r="AV1504" i="8"/>
  <c r="BJ1503" i="8"/>
  <c r="BE1503" i="8"/>
  <c r="BD1503" i="8"/>
  <c r="AW1503" i="8"/>
  <c r="AV1503" i="8"/>
  <c r="BJ1502" i="8"/>
  <c r="BE1502" i="8"/>
  <c r="BD1502" i="8"/>
  <c r="AW1502" i="8"/>
  <c r="AV1502" i="8"/>
  <c r="BJ1501" i="8"/>
  <c r="BE1501" i="8"/>
  <c r="BD1501" i="8"/>
  <c r="AW1501" i="8"/>
  <c r="AV1501" i="8"/>
  <c r="BJ1500" i="8"/>
  <c r="BE1500" i="8"/>
  <c r="BD1500" i="8"/>
  <c r="AW1500" i="8"/>
  <c r="AV1500" i="8"/>
  <c r="BJ1499" i="8"/>
  <c r="BE1499" i="8"/>
  <c r="BD1499" i="8"/>
  <c r="AW1499" i="8"/>
  <c r="AV1499" i="8"/>
  <c r="BJ1498" i="8"/>
  <c r="BE1498" i="8"/>
  <c r="BD1498" i="8"/>
  <c r="AW1498" i="8"/>
  <c r="AV1498" i="8"/>
  <c r="BJ1497" i="8"/>
  <c r="BE1497" i="8"/>
  <c r="BD1497" i="8"/>
  <c r="AW1497" i="8"/>
  <c r="AV1497" i="8"/>
  <c r="BJ1496" i="8"/>
  <c r="BE1496" i="8"/>
  <c r="BD1496" i="8"/>
  <c r="AX1496" i="8"/>
  <c r="AY1496" i="8" s="1"/>
  <c r="BJ1495" i="8"/>
  <c r="BE1495" i="8"/>
  <c r="BD1495" i="8"/>
  <c r="AX1495" i="8"/>
  <c r="AY1495" i="8" s="1"/>
  <c r="BJ1494" i="8"/>
  <c r="BE1494" i="8"/>
  <c r="BD1494" i="8"/>
  <c r="AX1494" i="8"/>
  <c r="AY1494" i="8" s="1"/>
  <c r="BJ1493" i="8"/>
  <c r="BE1493" i="8"/>
  <c r="BD1493" i="8"/>
  <c r="AX1493" i="8"/>
  <c r="AY1493" i="8" s="1"/>
  <c r="BJ1492" i="8"/>
  <c r="BE1492" i="8"/>
  <c r="BD1492" i="8"/>
  <c r="AW1492" i="8"/>
  <c r="AV1492" i="8"/>
  <c r="BJ1491" i="8"/>
  <c r="BE1491" i="8"/>
  <c r="BD1491" i="8"/>
  <c r="AW1491" i="8"/>
  <c r="AV1491" i="8"/>
  <c r="BJ1490" i="8"/>
  <c r="BE1490" i="8"/>
  <c r="BD1490" i="8"/>
  <c r="AW1490" i="8"/>
  <c r="AV1490" i="8"/>
  <c r="BJ1489" i="8"/>
  <c r="BE1489" i="8"/>
  <c r="BD1489" i="8"/>
  <c r="AW1489" i="8"/>
  <c r="AV1489" i="8"/>
  <c r="BJ1488" i="8"/>
  <c r="BE1488" i="8"/>
  <c r="BD1488" i="8"/>
  <c r="AW1488" i="8"/>
  <c r="AV1488" i="8"/>
  <c r="BJ1487" i="8"/>
  <c r="BE1487" i="8"/>
  <c r="BD1487" i="8"/>
  <c r="AW1487" i="8"/>
  <c r="AV1487" i="8"/>
  <c r="BJ1486" i="8"/>
  <c r="BE1486" i="8"/>
  <c r="BD1486" i="8"/>
  <c r="AW1486" i="8"/>
  <c r="AV1486" i="8"/>
  <c r="BJ1485" i="8"/>
  <c r="BE1485" i="8"/>
  <c r="BD1485" i="8"/>
  <c r="AW1485" i="8"/>
  <c r="AV1485" i="8"/>
  <c r="BJ1484" i="8"/>
  <c r="BE1484" i="8"/>
  <c r="BD1484" i="8"/>
  <c r="AX1484" i="8"/>
  <c r="AY1484" i="8" s="1"/>
  <c r="BJ1483" i="8"/>
  <c r="BE1483" i="8"/>
  <c r="BD1483" i="8"/>
  <c r="AX1483" i="8"/>
  <c r="AY1483" i="8" s="1"/>
  <c r="BJ1482" i="8"/>
  <c r="BE1482" i="8"/>
  <c r="BD1482" i="8"/>
  <c r="AX1482" i="8"/>
  <c r="AY1482" i="8" s="1"/>
  <c r="BJ1481" i="8"/>
  <c r="BE1481" i="8"/>
  <c r="BD1481" i="8"/>
  <c r="AX1481" i="8"/>
  <c r="AY1481" i="8" s="1"/>
  <c r="BJ1480" i="8"/>
  <c r="BE1480" i="8"/>
  <c r="BD1480" i="8"/>
  <c r="AX1480" i="8"/>
  <c r="AY1480" i="8" s="1"/>
  <c r="BJ1479" i="8"/>
  <c r="BE1479" i="8"/>
  <c r="BD1479" i="8"/>
  <c r="AX1479" i="8"/>
  <c r="AY1479" i="8" s="1"/>
  <c r="BJ1478" i="8"/>
  <c r="BE1478" i="8"/>
  <c r="BD1478" i="8"/>
  <c r="AX1478" i="8"/>
  <c r="AY1478" i="8" s="1"/>
  <c r="BJ1477" i="8"/>
  <c r="BE1477" i="8"/>
  <c r="BD1477" i="8"/>
  <c r="AX1477" i="8"/>
  <c r="AY1477" i="8" s="1"/>
  <c r="BJ1476" i="8"/>
  <c r="BE1476" i="8"/>
  <c r="BD1476" i="8"/>
  <c r="AX1476" i="8"/>
  <c r="AY1476" i="8" s="1"/>
  <c r="BJ1475" i="8"/>
  <c r="BE1475" i="8"/>
  <c r="BD1475" i="8"/>
  <c r="AX1475" i="8"/>
  <c r="AY1475" i="8" s="1"/>
  <c r="BJ1474" i="8"/>
  <c r="BE1474" i="8"/>
  <c r="BD1474" i="8"/>
  <c r="AX1474" i="8"/>
  <c r="AY1474" i="8" s="1"/>
  <c r="BJ1473" i="8"/>
  <c r="BE1473" i="8"/>
  <c r="BD1473" i="8"/>
  <c r="AX1473" i="8"/>
  <c r="AY1473" i="8" s="1"/>
  <c r="BJ1472" i="8"/>
  <c r="BE1472" i="8"/>
  <c r="BD1472" i="8"/>
  <c r="AX1472" i="8"/>
  <c r="AY1472" i="8" s="1"/>
  <c r="BJ1471" i="8"/>
  <c r="BE1471" i="8"/>
  <c r="BD1471" i="8"/>
  <c r="AX1471" i="8"/>
  <c r="AY1471" i="8" s="1"/>
  <c r="BJ1470" i="8"/>
  <c r="BE1470" i="8"/>
  <c r="BD1470" i="8"/>
  <c r="AX1470" i="8"/>
  <c r="AY1470" i="8" s="1"/>
  <c r="BJ1469" i="8"/>
  <c r="BE1469" i="8"/>
  <c r="BD1469" i="8"/>
  <c r="AX1469" i="8"/>
  <c r="AY1469" i="8" s="1"/>
  <c r="BJ1468" i="8"/>
  <c r="BE1468" i="8"/>
  <c r="BD1468" i="8"/>
  <c r="AW1468" i="8"/>
  <c r="AV1468" i="8"/>
  <c r="BJ1467" i="8"/>
  <c r="BE1467" i="8"/>
  <c r="BC1467" i="8" s="1"/>
  <c r="BD1467" i="8"/>
  <c r="AW1467" i="8"/>
  <c r="AV1467" i="8"/>
  <c r="BJ1466" i="8"/>
  <c r="BE1466" i="8"/>
  <c r="BD1466" i="8"/>
  <c r="AW1466" i="8"/>
  <c r="AV1466" i="8"/>
  <c r="BJ1465" i="8"/>
  <c r="BE1465" i="8"/>
  <c r="BC1465" i="8" s="1"/>
  <c r="BD1465" i="8"/>
  <c r="AW1465" i="8"/>
  <c r="AV1465" i="8"/>
  <c r="BJ1464" i="8"/>
  <c r="BF1464" i="8"/>
  <c r="AX1464" i="8"/>
  <c r="AY1464" i="8" s="1"/>
  <c r="BJ1463" i="8"/>
  <c r="BF1463" i="8"/>
  <c r="BL1463" i="8" s="1"/>
  <c r="BM1463" i="8" s="1"/>
  <c r="BC1463" i="8"/>
  <c r="BB1463" i="8"/>
  <c r="AX1463" i="8"/>
  <c r="AY1463" i="8" s="1"/>
  <c r="BJ1462" i="8"/>
  <c r="BE1462" i="8"/>
  <c r="BD1462" i="8"/>
  <c r="AW1462" i="8"/>
  <c r="AV1462" i="8"/>
  <c r="BJ1461" i="8"/>
  <c r="BE1461" i="8"/>
  <c r="BC1461" i="8" s="1"/>
  <c r="BD1461" i="8"/>
  <c r="BB1461" i="8" s="1"/>
  <c r="AW1461" i="8"/>
  <c r="AV1461" i="8"/>
  <c r="BJ1460" i="8"/>
  <c r="BE1460" i="8"/>
  <c r="BD1460" i="8"/>
  <c r="AW1460" i="8"/>
  <c r="AV1460" i="8"/>
  <c r="BJ1459" i="8"/>
  <c r="BE1459" i="8"/>
  <c r="BC1459" i="8" s="1"/>
  <c r="BD1459" i="8"/>
  <c r="AW1459" i="8"/>
  <c r="AV1459" i="8"/>
  <c r="BJ1458" i="8"/>
  <c r="BE1458" i="8"/>
  <c r="BD1458" i="8"/>
  <c r="AW1458" i="8"/>
  <c r="AV1458" i="8"/>
  <c r="BJ1457" i="8"/>
  <c r="BE1457" i="8"/>
  <c r="BC1457" i="8" s="1"/>
  <c r="BD1457" i="8"/>
  <c r="BB1457" i="8" s="1"/>
  <c r="AW1457" i="8"/>
  <c r="AV1457" i="8"/>
  <c r="BJ1456" i="8"/>
  <c r="BC1456" i="8"/>
  <c r="BE1456" i="8" s="1"/>
  <c r="BB1456" i="8"/>
  <c r="BD1456" i="8" s="1"/>
  <c r="AW1456" i="8"/>
  <c r="AV1456" i="8"/>
  <c r="BJ1455" i="8"/>
  <c r="BC1455" i="8"/>
  <c r="BE1455" i="8" s="1"/>
  <c r="BB1455" i="8"/>
  <c r="BD1455" i="8" s="1"/>
  <c r="AW1455" i="8"/>
  <c r="AV1455" i="8"/>
  <c r="BJ1454" i="8"/>
  <c r="BC1454" i="8"/>
  <c r="BE1454" i="8" s="1"/>
  <c r="BB1454" i="8"/>
  <c r="BD1454" i="8" s="1"/>
  <c r="AW1454" i="8"/>
  <c r="AV1454" i="8"/>
  <c r="BJ1453" i="8"/>
  <c r="BC1453" i="8"/>
  <c r="BE1453" i="8" s="1"/>
  <c r="BB1453" i="8"/>
  <c r="BD1453" i="8" s="1"/>
  <c r="AW1453" i="8"/>
  <c r="AV1453" i="8"/>
  <c r="BJ1452" i="8"/>
  <c r="BC1452" i="8"/>
  <c r="BE1452" i="8" s="1"/>
  <c r="BB1452" i="8"/>
  <c r="BD1452" i="8" s="1"/>
  <c r="AW1452" i="8"/>
  <c r="AV1452" i="8"/>
  <c r="BJ1451" i="8"/>
  <c r="BC1451" i="8"/>
  <c r="BE1451" i="8" s="1"/>
  <c r="BB1451" i="8"/>
  <c r="BD1451" i="8" s="1"/>
  <c r="AW1451" i="8"/>
  <c r="AV1451" i="8"/>
  <c r="BJ1450" i="8"/>
  <c r="BE1450" i="8"/>
  <c r="BC1450" i="8" s="1"/>
  <c r="BD1450" i="8"/>
  <c r="BB1450" i="8" s="1"/>
  <c r="AW1450" i="8"/>
  <c r="AV1450" i="8"/>
  <c r="BJ1449" i="8"/>
  <c r="BE1449" i="8"/>
  <c r="BC1449" i="8" s="1"/>
  <c r="BD1449" i="8"/>
  <c r="BB1449" i="8" s="1"/>
  <c r="AW1449" i="8"/>
  <c r="AV1449" i="8"/>
  <c r="BJ1448" i="8"/>
  <c r="BE1448" i="8"/>
  <c r="BC1448" i="8" s="1"/>
  <c r="BD1448" i="8"/>
  <c r="AW1448" i="8"/>
  <c r="AV1448" i="8"/>
  <c r="BJ1447" i="8"/>
  <c r="BE1447" i="8"/>
  <c r="BC1447" i="8" s="1"/>
  <c r="BD1447" i="8"/>
  <c r="AW1447" i="8"/>
  <c r="AV1447" i="8"/>
  <c r="BJ1446" i="8"/>
  <c r="BE1446" i="8"/>
  <c r="BC1446" i="8" s="1"/>
  <c r="BD1446" i="8"/>
  <c r="AW1446" i="8"/>
  <c r="AV1446" i="8"/>
  <c r="BJ1445" i="8"/>
  <c r="BE1445" i="8"/>
  <c r="BC1445" i="8" s="1"/>
  <c r="BD1445" i="8"/>
  <c r="AW1445" i="8"/>
  <c r="AV1445" i="8"/>
  <c r="BJ1444" i="8"/>
  <c r="BE1444" i="8"/>
  <c r="BC1444" i="8" s="1"/>
  <c r="BD1444" i="8"/>
  <c r="AW1444" i="8"/>
  <c r="AV1444" i="8"/>
  <c r="BJ1443" i="8"/>
  <c r="BE1443" i="8"/>
  <c r="BC1443" i="8" s="1"/>
  <c r="BD1443" i="8"/>
  <c r="BB1443" i="8" s="1"/>
  <c r="AW1443" i="8"/>
  <c r="AV1443" i="8"/>
  <c r="BJ1442" i="8"/>
  <c r="BF1442" i="8"/>
  <c r="BL1442" i="8" s="1"/>
  <c r="BM1442" i="8" s="1"/>
  <c r="BC1442" i="8"/>
  <c r="AX1442" i="8"/>
  <c r="AY1442" i="8" s="1"/>
  <c r="BJ1441" i="8"/>
  <c r="BF1441" i="8"/>
  <c r="BC1441" i="8"/>
  <c r="AX1441" i="8"/>
  <c r="AY1441" i="8" s="1"/>
  <c r="BJ1440" i="8"/>
  <c r="BF1440" i="8"/>
  <c r="BL1440" i="8" s="1"/>
  <c r="BM1440" i="8" s="1"/>
  <c r="BC1440" i="8"/>
  <c r="BB1440" i="8"/>
  <c r="AX1440" i="8"/>
  <c r="AY1440" i="8" s="1"/>
  <c r="BJ1439" i="8"/>
  <c r="BF1439" i="8"/>
  <c r="BC1439" i="8"/>
  <c r="BB1439" i="8"/>
  <c r="AX1439" i="8"/>
  <c r="AY1439" i="8" s="1"/>
  <c r="BJ1438" i="8"/>
  <c r="BE1438" i="8"/>
  <c r="BD1438" i="8"/>
  <c r="AW1438" i="8"/>
  <c r="AV1438" i="8"/>
  <c r="BJ1437" i="8"/>
  <c r="BE1437" i="8"/>
  <c r="BD1437" i="8"/>
  <c r="AW1437" i="8"/>
  <c r="AV1437" i="8"/>
  <c r="BJ1436" i="8"/>
  <c r="BE1436" i="8"/>
  <c r="BD1436" i="8"/>
  <c r="AX1436" i="8"/>
  <c r="AY1436" i="8" s="1"/>
  <c r="BJ1435" i="8"/>
  <c r="BE1435" i="8"/>
  <c r="BD1435" i="8"/>
  <c r="AX1435" i="8"/>
  <c r="AY1435" i="8" s="1"/>
  <c r="BJ1434" i="8"/>
  <c r="BE1434" i="8"/>
  <c r="BD1434" i="8"/>
  <c r="AX1434" i="8"/>
  <c r="AY1434" i="8" s="1"/>
  <c r="BJ1433" i="8"/>
  <c r="BE1433" i="8"/>
  <c r="BD1433" i="8"/>
  <c r="AX1433" i="8"/>
  <c r="AY1433" i="8" s="1"/>
  <c r="BJ1432" i="8"/>
  <c r="BE1432" i="8"/>
  <c r="BD1432" i="8"/>
  <c r="AW1432" i="8"/>
  <c r="AV1432" i="8"/>
  <c r="BJ1431" i="8"/>
  <c r="BE1431" i="8"/>
  <c r="BD1431" i="8"/>
  <c r="AW1431" i="8"/>
  <c r="AV1431" i="8"/>
  <c r="BJ1430" i="8"/>
  <c r="BE1430" i="8"/>
  <c r="BD1430" i="8"/>
  <c r="AW1430" i="8"/>
  <c r="AV1430" i="8"/>
  <c r="BJ1429" i="8"/>
  <c r="BE1429" i="8"/>
  <c r="BD1429" i="8"/>
  <c r="AW1429" i="8"/>
  <c r="AV1429" i="8"/>
  <c r="BJ1428" i="8"/>
  <c r="BE1428" i="8"/>
  <c r="BD1428" i="8"/>
  <c r="AW1428" i="8"/>
  <c r="AV1428" i="8"/>
  <c r="BJ1427" i="8"/>
  <c r="BE1427" i="8"/>
  <c r="BD1427" i="8"/>
  <c r="AW1427" i="8"/>
  <c r="AV1427" i="8"/>
  <c r="BJ1426" i="8"/>
  <c r="BE1426" i="8"/>
  <c r="BD1426" i="8"/>
  <c r="AX1426" i="8"/>
  <c r="AY1426" i="8" s="1"/>
  <c r="BJ1425" i="8"/>
  <c r="BE1425" i="8"/>
  <c r="BD1425" i="8"/>
  <c r="AX1425" i="8"/>
  <c r="AY1425" i="8" s="1"/>
  <c r="BJ1424" i="8"/>
  <c r="BE1424" i="8"/>
  <c r="BD1424" i="8"/>
  <c r="AW1424" i="8"/>
  <c r="AV1424" i="8"/>
  <c r="BJ1423" i="8"/>
  <c r="BE1423" i="8"/>
  <c r="BD1423" i="8"/>
  <c r="AW1423" i="8"/>
  <c r="AV1423" i="8"/>
  <c r="BJ1422" i="8"/>
  <c r="BE1422" i="8"/>
  <c r="BD1422" i="8"/>
  <c r="AW1422" i="8"/>
  <c r="AV1422" i="8"/>
  <c r="BJ1421" i="8"/>
  <c r="BE1421" i="8"/>
  <c r="BD1421" i="8"/>
  <c r="AW1421" i="8"/>
  <c r="AV1421" i="8"/>
  <c r="BJ1420" i="8"/>
  <c r="BE1420" i="8"/>
  <c r="BD1420" i="8"/>
  <c r="AW1420" i="8"/>
  <c r="AV1420" i="8"/>
  <c r="BJ1419" i="8"/>
  <c r="BE1419" i="8"/>
  <c r="BD1419" i="8"/>
  <c r="AW1419" i="8"/>
  <c r="AV1419" i="8"/>
  <c r="BJ1418" i="8"/>
  <c r="BC1418" i="8"/>
  <c r="BE1418" i="8" s="1"/>
  <c r="BB1418" i="8"/>
  <c r="BD1418" i="8" s="1"/>
  <c r="AW1418" i="8"/>
  <c r="AV1418" i="8"/>
  <c r="BJ1417" i="8"/>
  <c r="BC1417" i="8"/>
  <c r="BE1417" i="8" s="1"/>
  <c r="BB1417" i="8"/>
  <c r="BD1417" i="8" s="1"/>
  <c r="AW1417" i="8"/>
  <c r="AV1417" i="8"/>
  <c r="BJ1416" i="8"/>
  <c r="BC1416" i="8"/>
  <c r="BE1416" i="8" s="1"/>
  <c r="BB1416" i="8"/>
  <c r="BD1416" i="8" s="1"/>
  <c r="AW1416" i="8"/>
  <c r="AV1416" i="8"/>
  <c r="BJ1415" i="8"/>
  <c r="BC1415" i="8"/>
  <c r="BE1415" i="8" s="1"/>
  <c r="BB1415" i="8"/>
  <c r="BD1415" i="8" s="1"/>
  <c r="AW1415" i="8"/>
  <c r="AV1415" i="8"/>
  <c r="BJ1414" i="8"/>
  <c r="BE1414" i="8"/>
  <c r="BB1414" i="8"/>
  <c r="BD1414" i="8" s="1"/>
  <c r="AW1414" i="8"/>
  <c r="AV1414" i="8"/>
  <c r="BJ1413" i="8"/>
  <c r="BC1413" i="8"/>
  <c r="BE1413" i="8" s="1"/>
  <c r="BB1413" i="8"/>
  <c r="BD1413" i="8" s="1"/>
  <c r="AW1413" i="8"/>
  <c r="AV1413" i="8"/>
  <c r="BJ1412" i="8"/>
  <c r="BE1412" i="8"/>
  <c r="BD1412" i="8"/>
  <c r="AW1412" i="8"/>
  <c r="BJ1411" i="8"/>
  <c r="BE1411" i="8"/>
  <c r="BD1411" i="8"/>
  <c r="AW1411" i="8"/>
  <c r="AV1411" i="8"/>
  <c r="BJ1410" i="8"/>
  <c r="BC1410" i="8"/>
  <c r="BE1410" i="8" s="1"/>
  <c r="BB1410" i="8"/>
  <c r="BD1410" i="8" s="1"/>
  <c r="AW1410" i="8"/>
  <c r="AV1410" i="8"/>
  <c r="BJ1409" i="8"/>
  <c r="BC1409" i="8"/>
  <c r="BE1409" i="8" s="1"/>
  <c r="BB1409" i="8"/>
  <c r="BD1409" i="8" s="1"/>
  <c r="AW1409" i="8"/>
  <c r="AV1409" i="8"/>
  <c r="BJ1408" i="8"/>
  <c r="BC1408" i="8"/>
  <c r="BE1408" i="8" s="1"/>
  <c r="BB1408" i="8"/>
  <c r="BD1408" i="8" s="1"/>
  <c r="AW1408" i="8"/>
  <c r="AV1408" i="8"/>
  <c r="BJ1407" i="8"/>
  <c r="BC1407" i="8"/>
  <c r="BE1407" i="8" s="1"/>
  <c r="BB1407" i="8"/>
  <c r="BD1407" i="8" s="1"/>
  <c r="AW1407" i="8"/>
  <c r="AV1407" i="8"/>
  <c r="BJ1406" i="8"/>
  <c r="BE1406" i="8"/>
  <c r="BD1406" i="8"/>
  <c r="AX1406" i="8"/>
  <c r="AY1406" i="8" s="1"/>
  <c r="BJ1405" i="8"/>
  <c r="BE1405" i="8"/>
  <c r="BD1405" i="8"/>
  <c r="AX1405" i="8"/>
  <c r="AY1405" i="8" s="1"/>
  <c r="BJ1404" i="8"/>
  <c r="BE1404" i="8"/>
  <c r="BD1404" i="8"/>
  <c r="AX1404" i="8"/>
  <c r="AY1404" i="8" s="1"/>
  <c r="BJ1403" i="8"/>
  <c r="BE1403" i="8"/>
  <c r="BD1403" i="8"/>
  <c r="AX1403" i="8"/>
  <c r="AY1403" i="8" s="1"/>
  <c r="BJ1402" i="8"/>
  <c r="BC1402" i="8"/>
  <c r="BE1402" i="8" s="1"/>
  <c r="BB1402" i="8"/>
  <c r="BD1402" i="8" s="1"/>
  <c r="AX1402" i="8"/>
  <c r="AY1402" i="8" s="1"/>
  <c r="BJ1401" i="8"/>
  <c r="BC1401" i="8"/>
  <c r="BE1401" i="8" s="1"/>
  <c r="BB1401" i="8"/>
  <c r="BD1401" i="8" s="1"/>
  <c r="AX1401" i="8"/>
  <c r="AY1401" i="8" s="1"/>
  <c r="BJ1400" i="8"/>
  <c r="BC1400" i="8"/>
  <c r="BE1400" i="8" s="1"/>
  <c r="BB1400" i="8"/>
  <c r="BD1400" i="8" s="1"/>
  <c r="AX1400" i="8"/>
  <c r="AY1400" i="8" s="1"/>
  <c r="BJ1399" i="8"/>
  <c r="BC1399" i="8"/>
  <c r="BE1399" i="8" s="1"/>
  <c r="BB1399" i="8"/>
  <c r="BD1399" i="8" s="1"/>
  <c r="AX1399" i="8"/>
  <c r="AY1399" i="8" s="1"/>
  <c r="BJ1398" i="8"/>
  <c r="BC1398" i="8"/>
  <c r="BE1398" i="8" s="1"/>
  <c r="BB1398" i="8"/>
  <c r="BD1398" i="8" s="1"/>
  <c r="AW1398" i="8"/>
  <c r="AV1398" i="8"/>
  <c r="BJ1397" i="8"/>
  <c r="BC1397" i="8"/>
  <c r="BE1397" i="8" s="1"/>
  <c r="BB1397" i="8"/>
  <c r="BD1397" i="8" s="1"/>
  <c r="AW1397" i="8"/>
  <c r="AV1397" i="8"/>
  <c r="BJ1396" i="8"/>
  <c r="BC1396" i="8"/>
  <c r="BE1396" i="8" s="1"/>
  <c r="BB1396" i="8"/>
  <c r="BD1396" i="8" s="1"/>
  <c r="AW1396" i="8"/>
  <c r="AV1396" i="8"/>
  <c r="BJ1395" i="8"/>
  <c r="BC1395" i="8"/>
  <c r="BE1395" i="8" s="1"/>
  <c r="BB1395" i="8"/>
  <c r="BD1395" i="8" s="1"/>
  <c r="AW1395" i="8"/>
  <c r="AV1395" i="8"/>
  <c r="BJ1394" i="8"/>
  <c r="BE1394" i="8"/>
  <c r="BD1394" i="8"/>
  <c r="AW1394" i="8"/>
  <c r="AV1394" i="8"/>
  <c r="BJ1393" i="8"/>
  <c r="BE1393" i="8"/>
  <c r="BD1393" i="8"/>
  <c r="AW1393" i="8"/>
  <c r="AV1393" i="8"/>
  <c r="BJ1392" i="8"/>
  <c r="BE1392" i="8"/>
  <c r="BD1392" i="8"/>
  <c r="AW1392" i="8"/>
  <c r="AV1392" i="8"/>
  <c r="BJ1391" i="8"/>
  <c r="BE1391" i="8"/>
  <c r="BD1391" i="8"/>
  <c r="AW1391" i="8"/>
  <c r="AV1391" i="8"/>
  <c r="BJ1390" i="8"/>
  <c r="BE1390" i="8"/>
  <c r="BD1390" i="8"/>
  <c r="AW1390" i="8"/>
  <c r="AV1390" i="8"/>
  <c r="BJ1389" i="8"/>
  <c r="BE1389" i="8"/>
  <c r="BD1389" i="8"/>
  <c r="AW1389" i="8"/>
  <c r="AV1389" i="8"/>
  <c r="BJ1388" i="8"/>
  <c r="BE1388" i="8"/>
  <c r="BD1388" i="8"/>
  <c r="AW1388" i="8"/>
  <c r="AV1388" i="8"/>
  <c r="BJ1387" i="8"/>
  <c r="BE1387" i="8"/>
  <c r="BD1387" i="8"/>
  <c r="AX1387" i="8"/>
  <c r="AY1387" i="8" s="1"/>
  <c r="BJ1386" i="8"/>
  <c r="BE1386" i="8"/>
  <c r="BD1386" i="8"/>
  <c r="AX1386" i="8"/>
  <c r="AY1386" i="8" s="1"/>
  <c r="BJ1385" i="8"/>
  <c r="BE1385" i="8"/>
  <c r="BD1385" i="8"/>
  <c r="AX1385" i="8"/>
  <c r="AY1385" i="8" s="1"/>
  <c r="BJ1384" i="8"/>
  <c r="BE1384" i="8"/>
  <c r="BD1384" i="8"/>
  <c r="AX1384" i="8"/>
  <c r="AY1384" i="8" s="1"/>
  <c r="BJ1383" i="8"/>
  <c r="BE1383" i="8"/>
  <c r="BD1383" i="8"/>
  <c r="AX1383" i="8"/>
  <c r="AY1383" i="8" s="1"/>
  <c r="BJ1382" i="8"/>
  <c r="BE1382" i="8"/>
  <c r="BD1382" i="8"/>
  <c r="AX1382" i="8"/>
  <c r="AY1382" i="8" s="1"/>
  <c r="BJ1381" i="8"/>
  <c r="BE1381" i="8"/>
  <c r="BD1381" i="8"/>
  <c r="AX1381" i="8"/>
  <c r="AY1381" i="8" s="1"/>
  <c r="BJ1380" i="8"/>
  <c r="BE1380" i="8"/>
  <c r="BD1380" i="8"/>
  <c r="AX1380" i="8"/>
  <c r="AY1380" i="8" s="1"/>
  <c r="BJ1379" i="8"/>
  <c r="BE1379" i="8"/>
  <c r="BD1379" i="8"/>
  <c r="AX1379" i="8"/>
  <c r="AY1379" i="8" s="1"/>
  <c r="BJ1378" i="8"/>
  <c r="BE1378" i="8"/>
  <c r="BD1378" i="8"/>
  <c r="AX1378" i="8"/>
  <c r="AY1378" i="8" s="1"/>
  <c r="BJ1377" i="8"/>
  <c r="BE1377" i="8"/>
  <c r="BD1377" i="8"/>
  <c r="AW1377" i="8"/>
  <c r="AV1377" i="8"/>
  <c r="BJ1376" i="8"/>
  <c r="BE1376" i="8"/>
  <c r="BD1376" i="8"/>
  <c r="AW1376" i="8"/>
  <c r="AV1376" i="8"/>
  <c r="BJ1375" i="8"/>
  <c r="BE1375" i="8"/>
  <c r="BD1375" i="8"/>
  <c r="AW1375" i="8"/>
  <c r="AV1375" i="8"/>
  <c r="BJ1374" i="8"/>
  <c r="BE1374" i="8"/>
  <c r="BD1374" i="8"/>
  <c r="AW1374" i="8"/>
  <c r="AV1374" i="8"/>
  <c r="BJ1373" i="8"/>
  <c r="BE1373" i="8"/>
  <c r="BD1373" i="8"/>
  <c r="AW1373" i="8"/>
  <c r="AV1373" i="8"/>
  <c r="BJ1372" i="8"/>
  <c r="BE1372" i="8"/>
  <c r="BD1372" i="8"/>
  <c r="AW1372" i="8"/>
  <c r="AV1372" i="8"/>
  <c r="BJ1371" i="8"/>
  <c r="BE1371" i="8"/>
  <c r="BD1371" i="8"/>
  <c r="AW1371" i="8"/>
  <c r="AV1371" i="8"/>
  <c r="BJ1370" i="8"/>
  <c r="BE1370" i="8"/>
  <c r="BD1370" i="8"/>
  <c r="AW1370" i="8"/>
  <c r="AV1370" i="8"/>
  <c r="BJ1369" i="8"/>
  <c r="BE1369" i="8"/>
  <c r="BD1369" i="8"/>
  <c r="AW1369" i="8"/>
  <c r="AV1369" i="8"/>
  <c r="BJ1368" i="8"/>
  <c r="BE1368" i="8"/>
  <c r="BD1368" i="8"/>
  <c r="AW1368" i="8"/>
  <c r="AV1368" i="8"/>
  <c r="BJ1367" i="8"/>
  <c r="BE1367" i="8"/>
  <c r="BD1367" i="8"/>
  <c r="AW1367" i="8"/>
  <c r="AV1367" i="8"/>
  <c r="BJ1366" i="8"/>
  <c r="BE1366" i="8"/>
  <c r="BD1366" i="8"/>
  <c r="AW1366" i="8"/>
  <c r="AV1366" i="8"/>
  <c r="BJ1365" i="8"/>
  <c r="BE1365" i="8"/>
  <c r="BD1365" i="8"/>
  <c r="AW1365" i="8"/>
  <c r="AV1365" i="8"/>
  <c r="BJ1364" i="8"/>
  <c r="BE1364" i="8"/>
  <c r="BD1364" i="8"/>
  <c r="AW1364" i="8"/>
  <c r="AV1364" i="8"/>
  <c r="BJ1363" i="8"/>
  <c r="BE1363" i="8"/>
  <c r="BD1363" i="8"/>
  <c r="AW1363" i="8"/>
  <c r="AV1363" i="8"/>
  <c r="BJ1362" i="8"/>
  <c r="BE1362" i="8"/>
  <c r="BD1362" i="8"/>
  <c r="AW1362" i="8"/>
  <c r="AV1362" i="8"/>
  <c r="BJ1361" i="8"/>
  <c r="BE1361" i="8"/>
  <c r="BD1361" i="8"/>
  <c r="AW1361" i="8"/>
  <c r="AV1361" i="8"/>
  <c r="BJ1360" i="8"/>
  <c r="BE1360" i="8"/>
  <c r="BD1360" i="8"/>
  <c r="AW1360" i="8"/>
  <c r="AV1360" i="8"/>
  <c r="BJ1359" i="8"/>
  <c r="BE1359" i="8"/>
  <c r="BD1359" i="8"/>
  <c r="AW1359" i="8"/>
  <c r="AV1359" i="8"/>
  <c r="BJ1358" i="8"/>
  <c r="BE1358" i="8"/>
  <c r="BD1358" i="8"/>
  <c r="AW1358" i="8"/>
  <c r="AV1358" i="8"/>
  <c r="BJ1357" i="8"/>
  <c r="BE1357" i="8"/>
  <c r="BD1357" i="8"/>
  <c r="AW1357" i="8"/>
  <c r="AV1357" i="8"/>
  <c r="BJ1356" i="8"/>
  <c r="BE1356" i="8"/>
  <c r="BD1356" i="8"/>
  <c r="AW1356" i="8"/>
  <c r="AV1356" i="8"/>
  <c r="BJ1355" i="8"/>
  <c r="BE1355" i="8"/>
  <c r="BD1355" i="8"/>
  <c r="AW1355" i="8"/>
  <c r="AV1355" i="8"/>
  <c r="BJ1354" i="8"/>
  <c r="BE1354" i="8"/>
  <c r="BD1354" i="8"/>
  <c r="AW1354" i="8"/>
  <c r="AV1354" i="8"/>
  <c r="BJ1353" i="8"/>
  <c r="BE1353" i="8"/>
  <c r="BD1353" i="8"/>
  <c r="AW1353" i="8"/>
  <c r="AV1353" i="8"/>
  <c r="BJ1352" i="8"/>
  <c r="BE1352" i="8"/>
  <c r="BD1352" i="8"/>
  <c r="AW1352" i="8"/>
  <c r="AV1352" i="8"/>
  <c r="BJ1351" i="8"/>
  <c r="BE1351" i="8"/>
  <c r="BD1351" i="8"/>
  <c r="AW1351" i="8"/>
  <c r="AV1351" i="8"/>
  <c r="BJ1350" i="8"/>
  <c r="BE1350" i="8"/>
  <c r="BD1350" i="8"/>
  <c r="AW1350" i="8"/>
  <c r="AV1350" i="8"/>
  <c r="BJ1349" i="8"/>
  <c r="BE1349" i="8"/>
  <c r="BD1349" i="8"/>
  <c r="AW1349" i="8"/>
  <c r="AV1349" i="8"/>
  <c r="BJ1348" i="8"/>
  <c r="BE1348" i="8"/>
  <c r="BD1348" i="8"/>
  <c r="AW1348" i="8"/>
  <c r="AV1348" i="8"/>
  <c r="BJ1347" i="8"/>
  <c r="BE1347" i="8"/>
  <c r="BD1347" i="8"/>
  <c r="AW1347" i="8"/>
  <c r="AV1347" i="8"/>
  <c r="BJ1346" i="8"/>
  <c r="BE1346" i="8"/>
  <c r="BD1346" i="8"/>
  <c r="AW1346" i="8"/>
  <c r="AV1346" i="8"/>
  <c r="BJ1345" i="8"/>
  <c r="BE1345" i="8"/>
  <c r="BD1345" i="8"/>
  <c r="AW1345" i="8"/>
  <c r="AV1345" i="8"/>
  <c r="BJ1344" i="8"/>
  <c r="BE1344" i="8"/>
  <c r="BD1344" i="8"/>
  <c r="AW1344" i="8"/>
  <c r="AV1344" i="8"/>
  <c r="BJ1343" i="8"/>
  <c r="BE1343" i="8"/>
  <c r="BD1343" i="8"/>
  <c r="AW1343" i="8"/>
  <c r="AV1343" i="8"/>
  <c r="BJ1342" i="8"/>
  <c r="BE1342" i="8"/>
  <c r="BD1342" i="8"/>
  <c r="AW1342" i="8"/>
  <c r="AV1342" i="8"/>
  <c r="BJ1341" i="8"/>
  <c r="BE1341" i="8"/>
  <c r="BD1341" i="8"/>
  <c r="AX1341" i="8"/>
  <c r="AY1341" i="8" s="1"/>
  <c r="BJ1340" i="8"/>
  <c r="BE1340" i="8"/>
  <c r="BD1340" i="8"/>
  <c r="AX1340" i="8"/>
  <c r="AY1340" i="8" s="1"/>
  <c r="BJ1339" i="8"/>
  <c r="BE1339" i="8"/>
  <c r="BD1339" i="8"/>
  <c r="AX1339" i="8"/>
  <c r="AY1339" i="8" s="1"/>
  <c r="BJ1338" i="8"/>
  <c r="BE1338" i="8"/>
  <c r="BD1338" i="8"/>
  <c r="AX1338" i="8"/>
  <c r="AY1338" i="8" s="1"/>
  <c r="BJ1337" i="8"/>
  <c r="BE1337" i="8"/>
  <c r="BD1337" i="8"/>
  <c r="AX1337" i="8"/>
  <c r="AY1337" i="8" s="1"/>
  <c r="BJ1336" i="8"/>
  <c r="BE1336" i="8"/>
  <c r="BD1336" i="8"/>
  <c r="AX1336" i="8"/>
  <c r="AY1336" i="8" s="1"/>
  <c r="BJ1335" i="8"/>
  <c r="BE1335" i="8"/>
  <c r="BD1335" i="8"/>
  <c r="AX1335" i="8"/>
  <c r="AY1335" i="8" s="1"/>
  <c r="BJ1334" i="8"/>
  <c r="BE1334" i="8"/>
  <c r="BD1334" i="8"/>
  <c r="AX1334" i="8"/>
  <c r="AY1334" i="8" s="1"/>
  <c r="BJ1333" i="8"/>
  <c r="BE1333" i="8"/>
  <c r="BD1333" i="8"/>
  <c r="AX1333" i="8"/>
  <c r="AY1333" i="8" s="1"/>
  <c r="BJ1332" i="8"/>
  <c r="BE1332" i="8"/>
  <c r="BD1332" i="8"/>
  <c r="AX1332" i="8"/>
  <c r="AY1332" i="8" s="1"/>
  <c r="BJ1331" i="8"/>
  <c r="BE1331" i="8"/>
  <c r="BD1331" i="8"/>
  <c r="AX1331" i="8"/>
  <c r="AY1331" i="8" s="1"/>
  <c r="BJ1330" i="8"/>
  <c r="BE1330" i="8"/>
  <c r="BD1330" i="8"/>
  <c r="AX1330" i="8"/>
  <c r="AY1330" i="8" s="1"/>
  <c r="BJ1329" i="8"/>
  <c r="BE1329" i="8"/>
  <c r="BD1329" i="8"/>
  <c r="AX1329" i="8"/>
  <c r="AY1329" i="8" s="1"/>
  <c r="BJ1328" i="8"/>
  <c r="BE1328" i="8"/>
  <c r="BD1328" i="8"/>
  <c r="AX1328" i="8"/>
  <c r="AY1328" i="8" s="1"/>
  <c r="BJ1327" i="8"/>
  <c r="BE1327" i="8"/>
  <c r="BD1327" i="8"/>
  <c r="AX1327" i="8"/>
  <c r="AY1327" i="8" s="1"/>
  <c r="BJ1326" i="8"/>
  <c r="BE1326" i="8"/>
  <c r="BD1326" i="8"/>
  <c r="AX1326" i="8"/>
  <c r="AY1326" i="8" s="1"/>
  <c r="BJ1325" i="8"/>
  <c r="BE1325" i="8"/>
  <c r="BD1325" i="8"/>
  <c r="AX1325" i="8"/>
  <c r="AY1325" i="8" s="1"/>
  <c r="BJ1324" i="8"/>
  <c r="BE1324" i="8"/>
  <c r="BD1324" i="8"/>
  <c r="AX1324" i="8"/>
  <c r="AY1324" i="8" s="1"/>
  <c r="BJ1323" i="8"/>
  <c r="BE1323" i="8"/>
  <c r="BD1323" i="8"/>
  <c r="AX1323" i="8"/>
  <c r="AY1323" i="8" s="1"/>
  <c r="BJ1322" i="8"/>
  <c r="BE1322" i="8"/>
  <c r="BD1322" i="8"/>
  <c r="AX1322" i="8"/>
  <c r="AY1322" i="8" s="1"/>
  <c r="BJ1321" i="8"/>
  <c r="BE1321" i="8"/>
  <c r="BD1321" i="8"/>
  <c r="AX1321" i="8"/>
  <c r="AY1321" i="8" s="1"/>
  <c r="BJ1320" i="8"/>
  <c r="BE1320" i="8"/>
  <c r="BD1320" i="8"/>
  <c r="AX1320" i="8"/>
  <c r="AY1320" i="8" s="1"/>
  <c r="BJ1319" i="8"/>
  <c r="BE1319" i="8"/>
  <c r="BD1319" i="8"/>
  <c r="AX1319" i="8"/>
  <c r="AY1319" i="8" s="1"/>
  <c r="BJ1318" i="8"/>
  <c r="BE1318" i="8"/>
  <c r="BD1318" i="8"/>
  <c r="AX1318" i="8"/>
  <c r="AY1318" i="8" s="1"/>
  <c r="BJ1317" i="8"/>
  <c r="BE1317" i="8"/>
  <c r="BD1317" i="8"/>
  <c r="AX1317" i="8"/>
  <c r="AY1317" i="8" s="1"/>
  <c r="BJ1316" i="8"/>
  <c r="BE1316" i="8"/>
  <c r="BD1316" i="8"/>
  <c r="AX1316" i="8"/>
  <c r="AY1316" i="8" s="1"/>
  <c r="BJ1315" i="8"/>
  <c r="BE1315" i="8"/>
  <c r="BD1315" i="8"/>
  <c r="AX1315" i="8"/>
  <c r="AY1315" i="8" s="1"/>
  <c r="BJ1314" i="8"/>
  <c r="BE1314" i="8"/>
  <c r="BD1314" i="8"/>
  <c r="AX1314" i="8"/>
  <c r="AY1314" i="8" s="1"/>
  <c r="BJ1313" i="8"/>
  <c r="BE1313" i="8"/>
  <c r="BD1313" i="8"/>
  <c r="AX1313" i="8"/>
  <c r="AY1313" i="8" s="1"/>
  <c r="BJ1312" i="8"/>
  <c r="BE1312" i="8"/>
  <c r="BD1312" i="8"/>
  <c r="AX1312" i="8"/>
  <c r="AY1312" i="8" s="1"/>
  <c r="BJ1311" i="8"/>
  <c r="BE1311" i="8"/>
  <c r="BD1311" i="8"/>
  <c r="AX1311" i="8"/>
  <c r="AY1311" i="8" s="1"/>
  <c r="BJ1310" i="8"/>
  <c r="BE1310" i="8"/>
  <c r="BD1310" i="8"/>
  <c r="AX1310" i="8"/>
  <c r="AY1310" i="8" s="1"/>
  <c r="BJ1309" i="8"/>
  <c r="BE1309" i="8"/>
  <c r="BD1309" i="8"/>
  <c r="AX1309" i="8"/>
  <c r="AY1309" i="8" s="1"/>
  <c r="BJ1308" i="8"/>
  <c r="BE1308" i="8"/>
  <c r="BD1308" i="8"/>
  <c r="AX1308" i="8"/>
  <c r="AY1308" i="8" s="1"/>
  <c r="BJ1307" i="8"/>
  <c r="BE1307" i="8"/>
  <c r="BD1307" i="8"/>
  <c r="AX1307" i="8"/>
  <c r="AY1307" i="8" s="1"/>
  <c r="BJ1306" i="8"/>
  <c r="BE1306" i="8"/>
  <c r="BD1306" i="8"/>
  <c r="AX1306" i="8"/>
  <c r="AY1306" i="8" s="1"/>
  <c r="BJ1305" i="8"/>
  <c r="BE1305" i="8"/>
  <c r="BD1305" i="8"/>
  <c r="AX1305" i="8"/>
  <c r="AY1305" i="8" s="1"/>
  <c r="BJ1304" i="8"/>
  <c r="BE1304" i="8"/>
  <c r="BD1304" i="8"/>
  <c r="AX1304" i="8"/>
  <c r="AY1304" i="8" s="1"/>
  <c r="BJ1303" i="8"/>
  <c r="BE1303" i="8"/>
  <c r="BD1303" i="8"/>
  <c r="AX1303" i="8"/>
  <c r="AY1303" i="8" s="1"/>
  <c r="BJ1302" i="8"/>
  <c r="BE1302" i="8"/>
  <c r="BD1302" i="8"/>
  <c r="AX1302" i="8"/>
  <c r="AY1302" i="8" s="1"/>
  <c r="BJ1301" i="8"/>
  <c r="BE1301" i="8"/>
  <c r="BD1301" i="8"/>
  <c r="AX1301" i="8"/>
  <c r="AY1301" i="8" s="1"/>
  <c r="BJ1300" i="8"/>
  <c r="BE1300" i="8"/>
  <c r="BD1300" i="8"/>
  <c r="AX1300" i="8"/>
  <c r="AY1300" i="8" s="1"/>
  <c r="BJ1299" i="8"/>
  <c r="BE1299" i="8"/>
  <c r="BD1299" i="8"/>
  <c r="AX1299" i="8"/>
  <c r="AY1299" i="8" s="1"/>
  <c r="BJ1298" i="8"/>
  <c r="BE1298" i="8"/>
  <c r="BD1298" i="8"/>
  <c r="AX1298" i="8"/>
  <c r="AY1298" i="8" s="1"/>
  <c r="BJ1297" i="8"/>
  <c r="BE1297" i="8"/>
  <c r="BD1297" i="8"/>
  <c r="AX1297" i="8"/>
  <c r="AY1297" i="8" s="1"/>
  <c r="BJ1296" i="8"/>
  <c r="BE1296" i="8"/>
  <c r="BD1296" i="8"/>
  <c r="AX1296" i="8"/>
  <c r="AY1296" i="8" s="1"/>
  <c r="BJ1295" i="8"/>
  <c r="BE1295" i="8"/>
  <c r="BD1295" i="8"/>
  <c r="AX1295" i="8"/>
  <c r="AY1295" i="8" s="1"/>
  <c r="BJ1294" i="8"/>
  <c r="BE1294" i="8"/>
  <c r="BD1294" i="8"/>
  <c r="AX1294" i="8"/>
  <c r="AY1294" i="8" s="1"/>
  <c r="BJ1293" i="8"/>
  <c r="BE1293" i="8"/>
  <c r="BD1293" i="8"/>
  <c r="AX1293" i="8"/>
  <c r="AY1293" i="8" s="1"/>
  <c r="BJ1292" i="8"/>
  <c r="BE1292" i="8"/>
  <c r="BD1292" i="8"/>
  <c r="AX1292" i="8"/>
  <c r="AY1292" i="8" s="1"/>
  <c r="BJ1291" i="8"/>
  <c r="BE1291" i="8"/>
  <c r="BD1291" i="8"/>
  <c r="AX1291" i="8"/>
  <c r="AY1291" i="8" s="1"/>
  <c r="BJ1290" i="8"/>
  <c r="BE1290" i="8"/>
  <c r="BD1290" i="8"/>
  <c r="AX1290" i="8"/>
  <c r="AY1290" i="8" s="1"/>
  <c r="BJ1289" i="8"/>
  <c r="BE1289" i="8"/>
  <c r="BD1289" i="8"/>
  <c r="AX1289" i="8"/>
  <c r="AY1289" i="8" s="1"/>
  <c r="BJ1288" i="8"/>
  <c r="BE1288" i="8"/>
  <c r="BD1288" i="8"/>
  <c r="AX1288" i="8"/>
  <c r="AY1288" i="8" s="1"/>
  <c r="BJ1287" i="8"/>
  <c r="BE1287" i="8"/>
  <c r="BD1287" i="8"/>
  <c r="AX1287" i="8"/>
  <c r="AY1287" i="8" s="1"/>
  <c r="BJ1286" i="8"/>
  <c r="BE1286" i="8"/>
  <c r="BD1286" i="8"/>
  <c r="AX1286" i="8"/>
  <c r="AY1286" i="8" s="1"/>
  <c r="BJ1285" i="8"/>
  <c r="BE1285" i="8"/>
  <c r="BD1285" i="8"/>
  <c r="AX1285" i="8"/>
  <c r="AY1285" i="8" s="1"/>
  <c r="BJ1284" i="8"/>
  <c r="BE1284" i="8"/>
  <c r="BD1284" i="8"/>
  <c r="AX1284" i="8"/>
  <c r="AY1284" i="8" s="1"/>
  <c r="BJ1283" i="8"/>
  <c r="BE1283" i="8"/>
  <c r="BD1283" i="8"/>
  <c r="AX1283" i="8"/>
  <c r="AY1283" i="8" s="1"/>
  <c r="BJ1282" i="8"/>
  <c r="BE1282" i="8"/>
  <c r="BD1282" i="8"/>
  <c r="AX1282" i="8"/>
  <c r="AY1282" i="8" s="1"/>
  <c r="BJ1281" i="8"/>
  <c r="BE1281" i="8"/>
  <c r="BD1281" i="8"/>
  <c r="AW1281" i="8"/>
  <c r="AV1281" i="8"/>
  <c r="BJ1280" i="8"/>
  <c r="BF1280" i="8"/>
  <c r="AX1280" i="8"/>
  <c r="AY1280" i="8" s="1"/>
  <c r="BJ1279" i="8"/>
  <c r="BF1279" i="8"/>
  <c r="BG1279" i="8" s="1"/>
  <c r="BC1279" i="8"/>
  <c r="BB1279" i="8"/>
  <c r="AX1279" i="8"/>
  <c r="AY1279" i="8" s="1"/>
  <c r="BJ1278" i="8"/>
  <c r="BE1278" i="8"/>
  <c r="BC1278" i="8" s="1"/>
  <c r="BD1278" i="8"/>
  <c r="BB1278" i="8" s="1"/>
  <c r="AW1278" i="8"/>
  <c r="AV1278" i="8"/>
  <c r="BJ1277" i="8"/>
  <c r="BF1277" i="8"/>
  <c r="BL1277" i="8" s="1"/>
  <c r="BM1277" i="8" s="1"/>
  <c r="BC1277" i="8"/>
  <c r="BB1277" i="8"/>
  <c r="AX1277" i="8"/>
  <c r="AY1277" i="8" s="1"/>
  <c r="BJ1276" i="8"/>
  <c r="BF1276" i="8"/>
  <c r="BG1276" i="8" s="1"/>
  <c r="BC1276" i="8"/>
  <c r="BB1276" i="8"/>
  <c r="AX1276" i="8"/>
  <c r="AY1276" i="8" s="1"/>
  <c r="BJ1275" i="8"/>
  <c r="BE1275" i="8"/>
  <c r="BD1275" i="8"/>
  <c r="AX1275" i="8"/>
  <c r="AY1275" i="8" s="1"/>
  <c r="BJ1274" i="8"/>
  <c r="BE1274" i="8"/>
  <c r="BD1274" i="8"/>
  <c r="AX1274" i="8"/>
  <c r="AY1274" i="8" s="1"/>
  <c r="BJ1273" i="8"/>
  <c r="BE1273" i="8"/>
  <c r="BD1273" i="8"/>
  <c r="AW1273" i="8"/>
  <c r="AV1273" i="8"/>
  <c r="BJ1272" i="8"/>
  <c r="BE1272" i="8"/>
  <c r="BD1272" i="8"/>
  <c r="AW1272" i="8"/>
  <c r="AV1272" i="8"/>
  <c r="BJ1271" i="8"/>
  <c r="BE1271" i="8"/>
  <c r="BD1271" i="8"/>
  <c r="AX1271" i="8"/>
  <c r="AY1271" i="8" s="1"/>
  <c r="BJ1270" i="8"/>
  <c r="BE1270" i="8"/>
  <c r="BD1270" i="8"/>
  <c r="AX1270" i="8"/>
  <c r="AY1270" i="8" s="1"/>
  <c r="BJ1269" i="8"/>
  <c r="BC1269" i="8"/>
  <c r="BE1269" i="8" s="1"/>
  <c r="BB1269" i="8"/>
  <c r="BD1269" i="8" s="1"/>
  <c r="AW1269" i="8"/>
  <c r="AV1269" i="8"/>
  <c r="BJ1268" i="8"/>
  <c r="BC1268" i="8"/>
  <c r="BE1268" i="8" s="1"/>
  <c r="BB1268" i="8"/>
  <c r="BD1268" i="8" s="1"/>
  <c r="AW1268" i="8"/>
  <c r="AV1268" i="8"/>
  <c r="BJ1267" i="8"/>
  <c r="BE1267" i="8"/>
  <c r="BD1267" i="8"/>
  <c r="AW1267" i="8"/>
  <c r="AV1267" i="8"/>
  <c r="BJ1266" i="8"/>
  <c r="BE1266" i="8"/>
  <c r="BD1266" i="8"/>
  <c r="AW1266" i="8"/>
  <c r="AV1266" i="8"/>
  <c r="BJ1265" i="8"/>
  <c r="BE1265" i="8"/>
  <c r="BB1265" i="8"/>
  <c r="BD1265" i="8" s="1"/>
  <c r="AW1265" i="8"/>
  <c r="AV1265" i="8"/>
  <c r="BJ1264" i="8"/>
  <c r="BE1264" i="8"/>
  <c r="BB1264" i="8"/>
  <c r="BD1264" i="8" s="1"/>
  <c r="AW1264" i="8"/>
  <c r="AV1264" i="8"/>
  <c r="BJ1263" i="8"/>
  <c r="BE1263" i="8"/>
  <c r="BD1263" i="8"/>
  <c r="AX1263" i="8"/>
  <c r="AY1263" i="8" s="1"/>
  <c r="BJ1262" i="8"/>
  <c r="BE1262" i="8"/>
  <c r="BD1262" i="8"/>
  <c r="AX1262" i="8"/>
  <c r="AY1262" i="8" s="1"/>
  <c r="BJ1261" i="8"/>
  <c r="BE1261" i="8"/>
  <c r="BD1261" i="8"/>
  <c r="AX1261" i="8"/>
  <c r="AY1261" i="8" s="1"/>
  <c r="BJ1260" i="8"/>
  <c r="BE1260" i="8"/>
  <c r="BD1260" i="8"/>
  <c r="AX1260" i="8"/>
  <c r="AY1260" i="8" s="1"/>
  <c r="BJ1259" i="8"/>
  <c r="BE1259" i="8"/>
  <c r="BD1259" i="8"/>
  <c r="AX1259" i="8"/>
  <c r="AY1259" i="8" s="1"/>
  <c r="BJ1258" i="8"/>
  <c r="BE1258" i="8"/>
  <c r="BD1258" i="8"/>
  <c r="AX1258" i="8"/>
  <c r="AY1258" i="8" s="1"/>
  <c r="BJ1257" i="8"/>
  <c r="BE1257" i="8"/>
  <c r="BD1257" i="8"/>
  <c r="AW1257" i="8"/>
  <c r="AV1257" i="8"/>
  <c r="BJ1256" i="8"/>
  <c r="BE1256" i="8"/>
  <c r="BD1256" i="8"/>
  <c r="AW1256" i="8"/>
  <c r="AV1256" i="8"/>
  <c r="BJ1255" i="8"/>
  <c r="BE1255" i="8"/>
  <c r="BD1255" i="8"/>
  <c r="AW1255" i="8"/>
  <c r="AV1255" i="8"/>
  <c r="BJ1254" i="8"/>
  <c r="BE1254" i="8"/>
  <c r="BD1254" i="8"/>
  <c r="AW1254" i="8"/>
  <c r="AV1254" i="8"/>
  <c r="BJ1253" i="8"/>
  <c r="BE1253" i="8"/>
  <c r="BD1253" i="8"/>
  <c r="AW1253" i="8"/>
  <c r="AV1253" i="8"/>
  <c r="BJ1252" i="8"/>
  <c r="BE1252" i="8"/>
  <c r="BD1252" i="8"/>
  <c r="AW1252" i="8"/>
  <c r="AV1252" i="8"/>
  <c r="BJ1251" i="8"/>
  <c r="BE1251" i="8"/>
  <c r="BD1251" i="8"/>
  <c r="AW1251" i="8"/>
  <c r="AV1251" i="8"/>
  <c r="BJ1250" i="8"/>
  <c r="BE1250" i="8"/>
  <c r="BD1250" i="8"/>
  <c r="AW1250" i="8"/>
  <c r="AV1250" i="8"/>
  <c r="BJ1249" i="8"/>
  <c r="BE1249" i="8"/>
  <c r="BD1249" i="8"/>
  <c r="AW1249" i="8"/>
  <c r="AV1249" i="8"/>
  <c r="BJ1248" i="8"/>
  <c r="BE1248" i="8"/>
  <c r="BD1248" i="8"/>
  <c r="AW1248" i="8"/>
  <c r="AV1248" i="8"/>
  <c r="BJ1247" i="8"/>
  <c r="BE1247" i="8"/>
  <c r="BD1247" i="8"/>
  <c r="AW1247" i="8"/>
  <c r="AV1247" i="8"/>
  <c r="BJ1246" i="8"/>
  <c r="BE1246" i="8"/>
  <c r="BD1246" i="8"/>
  <c r="AW1246" i="8"/>
  <c r="AV1246" i="8"/>
  <c r="BJ1245" i="8"/>
  <c r="BE1245" i="8"/>
  <c r="BD1245" i="8"/>
  <c r="AW1245" i="8"/>
  <c r="AV1245" i="8"/>
  <c r="BJ1244" i="8"/>
  <c r="BE1244" i="8"/>
  <c r="BD1244" i="8"/>
  <c r="AW1244" i="8"/>
  <c r="AV1244" i="8"/>
  <c r="BJ1243" i="8"/>
  <c r="BE1243" i="8"/>
  <c r="BD1243" i="8"/>
  <c r="AW1243" i="8"/>
  <c r="AV1243" i="8"/>
  <c r="BJ1242" i="8"/>
  <c r="BE1242" i="8"/>
  <c r="BD1242" i="8"/>
  <c r="AW1242" i="8"/>
  <c r="AV1242" i="8"/>
  <c r="BJ1241" i="8"/>
  <c r="BE1241" i="8"/>
  <c r="BD1241" i="8"/>
  <c r="AW1241" i="8"/>
  <c r="AV1241" i="8"/>
  <c r="BJ1240" i="8"/>
  <c r="BE1240" i="8"/>
  <c r="BD1240" i="8"/>
  <c r="AW1240" i="8"/>
  <c r="AV1240" i="8"/>
  <c r="BJ1239" i="8"/>
  <c r="BE1239" i="8"/>
  <c r="BD1239" i="8"/>
  <c r="AW1239" i="8"/>
  <c r="AV1239" i="8"/>
  <c r="BJ1238" i="8"/>
  <c r="BE1238" i="8"/>
  <c r="BD1238" i="8"/>
  <c r="AW1238" i="8"/>
  <c r="AV1238" i="8"/>
  <c r="BJ1237" i="8"/>
  <c r="BE1237" i="8"/>
  <c r="BD1237" i="8"/>
  <c r="AX1237" i="8"/>
  <c r="AY1237" i="8" s="1"/>
  <c r="BJ1236" i="8"/>
  <c r="BE1236" i="8"/>
  <c r="BD1236" i="8"/>
  <c r="AX1236" i="8"/>
  <c r="AY1236" i="8" s="1"/>
  <c r="BJ1235" i="8"/>
  <c r="BE1235" i="8"/>
  <c r="BD1235" i="8"/>
  <c r="AX1235" i="8"/>
  <c r="AY1235" i="8" s="1"/>
  <c r="BJ1234" i="8"/>
  <c r="BE1234" i="8"/>
  <c r="BD1234" i="8"/>
  <c r="AX1234" i="8"/>
  <c r="AY1234" i="8" s="1"/>
  <c r="BJ1233" i="8"/>
  <c r="BE1233" i="8"/>
  <c r="BD1233" i="8"/>
  <c r="AW1233" i="8"/>
  <c r="AV1233" i="8"/>
  <c r="BJ1232" i="8"/>
  <c r="BE1232" i="8"/>
  <c r="BD1232" i="8"/>
  <c r="AW1232" i="8"/>
  <c r="AV1232" i="8"/>
  <c r="BJ1231" i="8"/>
  <c r="BE1231" i="8"/>
  <c r="BD1231" i="8"/>
  <c r="AW1231" i="8"/>
  <c r="AV1231" i="8"/>
  <c r="BJ1230" i="8"/>
  <c r="BE1230" i="8"/>
  <c r="BD1230" i="8"/>
  <c r="AW1230" i="8"/>
  <c r="AV1230" i="8"/>
  <c r="BJ1229" i="8"/>
  <c r="BE1229" i="8"/>
  <c r="BD1229" i="8"/>
  <c r="AW1229" i="8"/>
  <c r="AV1229" i="8"/>
  <c r="BJ1228" i="8"/>
  <c r="BE1228" i="8"/>
  <c r="BD1228" i="8"/>
  <c r="AW1228" i="8"/>
  <c r="AV1228" i="8"/>
  <c r="BJ1227" i="8"/>
  <c r="BE1227" i="8"/>
  <c r="BD1227" i="8"/>
  <c r="AW1227" i="8"/>
  <c r="AV1227" i="8"/>
  <c r="BJ1226" i="8"/>
  <c r="BE1226" i="8"/>
  <c r="BD1226" i="8"/>
  <c r="AW1226" i="8"/>
  <c r="AV1226" i="8"/>
  <c r="BJ1225" i="8"/>
  <c r="BE1225" i="8"/>
  <c r="BD1225" i="8"/>
  <c r="AW1225" i="8"/>
  <c r="AV1225" i="8"/>
  <c r="BJ1224" i="8"/>
  <c r="BE1224" i="8"/>
  <c r="BD1224" i="8"/>
  <c r="AW1224" i="8"/>
  <c r="AV1224" i="8"/>
  <c r="BJ1223" i="8"/>
  <c r="BE1223" i="8"/>
  <c r="BD1223" i="8"/>
  <c r="AW1223" i="8"/>
  <c r="AV1223" i="8"/>
  <c r="BJ1222" i="8"/>
  <c r="BE1222" i="8"/>
  <c r="BD1222" i="8"/>
  <c r="AW1222" i="8"/>
  <c r="AV1222" i="8"/>
  <c r="BJ1221" i="8"/>
  <c r="BC1221" i="8"/>
  <c r="BE1221" i="8" s="1"/>
  <c r="BB1221" i="8"/>
  <c r="BD1221" i="8" s="1"/>
  <c r="AX1221" i="8"/>
  <c r="AY1221" i="8" s="1"/>
  <c r="BJ1220" i="8"/>
  <c r="BC1220" i="8"/>
  <c r="BE1220" i="8" s="1"/>
  <c r="BB1220" i="8"/>
  <c r="BD1220" i="8" s="1"/>
  <c r="AX1220" i="8"/>
  <c r="AY1220" i="8" s="1"/>
  <c r="BJ1219" i="8"/>
  <c r="BF1219" i="8"/>
  <c r="BG1219" i="8" s="1"/>
  <c r="BB1219" i="8"/>
  <c r="AX1219" i="8"/>
  <c r="AY1219" i="8" s="1"/>
  <c r="BJ1218" i="8"/>
  <c r="BF1218" i="8"/>
  <c r="BG1218" i="8" s="1"/>
  <c r="BB1218" i="8"/>
  <c r="AX1218" i="8"/>
  <c r="AY1218" i="8" s="1"/>
  <c r="BJ1217" i="8"/>
  <c r="BF1217" i="8"/>
  <c r="BG1217" i="8" s="1"/>
  <c r="BB1217" i="8"/>
  <c r="AX1217" i="8"/>
  <c r="AY1217" i="8" s="1"/>
  <c r="BJ1216" i="8"/>
  <c r="BF1216" i="8"/>
  <c r="BG1216" i="8" s="1"/>
  <c r="BB1216" i="8"/>
  <c r="AX1216" i="8"/>
  <c r="AY1216" i="8" s="1"/>
  <c r="BJ1215" i="8"/>
  <c r="BF1215" i="8"/>
  <c r="BG1215" i="8" s="1"/>
  <c r="BB1215" i="8"/>
  <c r="AX1215" i="8"/>
  <c r="AY1215" i="8" s="1"/>
  <c r="BJ1214" i="8"/>
  <c r="BF1214" i="8"/>
  <c r="BG1214" i="8" s="1"/>
  <c r="BB1214" i="8"/>
  <c r="AX1214" i="8"/>
  <c r="AY1214" i="8" s="1"/>
  <c r="BJ1213" i="8"/>
  <c r="BF1213" i="8"/>
  <c r="BG1213" i="8" s="1"/>
  <c r="BB1213" i="8"/>
  <c r="AX1213" i="8"/>
  <c r="AY1213" i="8" s="1"/>
  <c r="BJ1212" i="8"/>
  <c r="BF1212" i="8"/>
  <c r="BG1212" i="8" s="1"/>
  <c r="BB1212" i="8"/>
  <c r="AX1212" i="8"/>
  <c r="AY1212" i="8" s="1"/>
  <c r="BJ1211" i="8"/>
  <c r="BF1211" i="8"/>
  <c r="BG1211" i="8" s="1"/>
  <c r="BB1211" i="8"/>
  <c r="AX1211" i="8"/>
  <c r="AY1211" i="8" s="1"/>
  <c r="BJ1210" i="8"/>
  <c r="BF1210" i="8"/>
  <c r="BG1210" i="8" s="1"/>
  <c r="BB1210" i="8"/>
  <c r="AX1210" i="8"/>
  <c r="AY1210" i="8" s="1"/>
  <c r="BJ1209" i="8"/>
  <c r="BF1209" i="8"/>
  <c r="BG1209" i="8" s="1"/>
  <c r="BB1209" i="8"/>
  <c r="AX1209" i="8"/>
  <c r="AY1209" i="8" s="1"/>
  <c r="BJ1208" i="8"/>
  <c r="BF1208" i="8"/>
  <c r="BG1208" i="8" s="1"/>
  <c r="BB1208" i="8"/>
  <c r="AX1208" i="8"/>
  <c r="AY1208" i="8" s="1"/>
  <c r="BJ1207" i="8"/>
  <c r="BF1207" i="8"/>
  <c r="BG1207" i="8" s="1"/>
  <c r="BB1207" i="8"/>
  <c r="AX1207" i="8"/>
  <c r="AY1207" i="8" s="1"/>
  <c r="BJ1206" i="8"/>
  <c r="BF1206" i="8"/>
  <c r="BG1206" i="8" s="1"/>
  <c r="BB1206" i="8"/>
  <c r="AX1206" i="8"/>
  <c r="AY1206" i="8" s="1"/>
  <c r="BJ1205" i="8"/>
  <c r="BF1205" i="8"/>
  <c r="BG1205" i="8" s="1"/>
  <c r="BB1205" i="8"/>
  <c r="AX1205" i="8"/>
  <c r="AY1205" i="8" s="1"/>
  <c r="BJ1204" i="8"/>
  <c r="BF1204" i="8"/>
  <c r="BG1204" i="8" s="1"/>
  <c r="BB1204" i="8"/>
  <c r="AX1204" i="8"/>
  <c r="AY1204" i="8" s="1"/>
  <c r="BJ1203" i="8"/>
  <c r="BE1203" i="8"/>
  <c r="BC1203" i="8" s="1"/>
  <c r="BD1203" i="8"/>
  <c r="BB1203" i="8" s="1"/>
  <c r="AW1203" i="8"/>
  <c r="AV1203" i="8"/>
  <c r="BJ1202" i="8"/>
  <c r="BE1202" i="8"/>
  <c r="BC1202" i="8" s="1"/>
  <c r="BD1202" i="8"/>
  <c r="BB1202" i="8" s="1"/>
  <c r="AW1202" i="8"/>
  <c r="AV1202" i="8"/>
  <c r="BJ1201" i="8"/>
  <c r="BE1201" i="8"/>
  <c r="BC1201" i="8" s="1"/>
  <c r="BD1201" i="8"/>
  <c r="BB1201" i="8" s="1"/>
  <c r="AW1201" i="8"/>
  <c r="AV1201" i="8"/>
  <c r="BJ1200" i="8"/>
  <c r="BE1200" i="8"/>
  <c r="BC1200" i="8" s="1"/>
  <c r="BD1200" i="8"/>
  <c r="BB1200" i="8" s="1"/>
  <c r="AW1200" i="8"/>
  <c r="AV1200" i="8"/>
  <c r="BJ1199" i="8"/>
  <c r="BE1199" i="8"/>
  <c r="BC1199" i="8" s="1"/>
  <c r="BB1199" i="8"/>
  <c r="AW1199" i="8"/>
  <c r="AV1199" i="8"/>
  <c r="BJ1198" i="8"/>
  <c r="BE1198" i="8"/>
  <c r="BC1198" i="8" s="1"/>
  <c r="BB1198" i="8"/>
  <c r="AW1198" i="8"/>
  <c r="AV1198" i="8"/>
  <c r="BJ1197" i="8"/>
  <c r="BE1197" i="8"/>
  <c r="BC1197" i="8" s="1"/>
  <c r="BD1197" i="8"/>
  <c r="BB1197" i="8" s="1"/>
  <c r="AW1197" i="8"/>
  <c r="AV1197" i="8"/>
  <c r="BJ1196" i="8"/>
  <c r="BE1196" i="8"/>
  <c r="BC1196" i="8" s="1"/>
  <c r="BD1196" i="8"/>
  <c r="BB1196" i="8" s="1"/>
  <c r="AW1196" i="8"/>
  <c r="AV1196" i="8"/>
  <c r="BJ1195" i="8"/>
  <c r="BE1195" i="8"/>
  <c r="BC1195" i="8" s="1"/>
  <c r="BD1195" i="8"/>
  <c r="BB1195" i="8" s="1"/>
  <c r="AW1195" i="8"/>
  <c r="AV1195" i="8"/>
  <c r="BJ1194" i="8"/>
  <c r="BE1194" i="8"/>
  <c r="BC1194" i="8" s="1"/>
  <c r="BD1194" i="8"/>
  <c r="BB1194" i="8" s="1"/>
  <c r="AW1194" i="8"/>
  <c r="AV1194" i="8"/>
  <c r="BJ1193" i="8"/>
  <c r="BE1193" i="8"/>
  <c r="BC1193" i="8" s="1"/>
  <c r="BD1193" i="8"/>
  <c r="BB1193" i="8" s="1"/>
  <c r="AW1193" i="8"/>
  <c r="AV1193" i="8"/>
  <c r="BJ1192" i="8"/>
  <c r="BE1192" i="8"/>
  <c r="BC1192" i="8" s="1"/>
  <c r="BD1192" i="8"/>
  <c r="BB1192" i="8" s="1"/>
  <c r="AW1192" i="8"/>
  <c r="AV1192" i="8"/>
  <c r="BJ1191" i="8"/>
  <c r="BE1191" i="8"/>
  <c r="BC1191" i="8" s="1"/>
  <c r="BD1191" i="8"/>
  <c r="BB1191" i="8" s="1"/>
  <c r="AW1191" i="8"/>
  <c r="AV1191" i="8"/>
  <c r="BJ1190" i="8"/>
  <c r="BE1190" i="8"/>
  <c r="BC1190" i="8" s="1"/>
  <c r="BD1190" i="8"/>
  <c r="BB1190" i="8" s="1"/>
  <c r="AW1190" i="8"/>
  <c r="AV1190" i="8"/>
  <c r="BJ1189" i="8"/>
  <c r="BD1189" i="8"/>
  <c r="BB1189" i="8" s="1"/>
  <c r="BC1189" i="8"/>
  <c r="AV1189" i="8"/>
  <c r="BJ1188" i="8"/>
  <c r="BD1188" i="8"/>
  <c r="BB1188" i="8" s="1"/>
  <c r="BC1188" i="8"/>
  <c r="AV1188" i="8"/>
  <c r="AX1188" i="8" s="1"/>
  <c r="AY1188" i="8" s="1"/>
  <c r="BJ1187" i="8"/>
  <c r="BD1187" i="8"/>
  <c r="BC1187" i="8"/>
  <c r="AV1187" i="8"/>
  <c r="AX1187" i="8" s="1"/>
  <c r="AY1187" i="8" s="1"/>
  <c r="BJ1186" i="8"/>
  <c r="BD1186" i="8"/>
  <c r="BB1186" i="8" s="1"/>
  <c r="BC1186" i="8"/>
  <c r="AV1186" i="8"/>
  <c r="AX1186" i="8" s="1"/>
  <c r="AY1186" i="8" s="1"/>
  <c r="BJ1185" i="8"/>
  <c r="BE1185" i="8"/>
  <c r="BC1185" i="8" s="1"/>
  <c r="BD1185" i="8"/>
  <c r="BB1185" i="8" s="1"/>
  <c r="AW1185" i="8"/>
  <c r="AV1185" i="8"/>
  <c r="BJ1184" i="8"/>
  <c r="BE1184" i="8"/>
  <c r="BC1184" i="8" s="1"/>
  <c r="BD1184" i="8"/>
  <c r="BB1184" i="8" s="1"/>
  <c r="AW1184" i="8"/>
  <c r="AV1184" i="8"/>
  <c r="BJ1183" i="8"/>
  <c r="BE1183" i="8"/>
  <c r="BC1183" i="8" s="1"/>
  <c r="BD1183" i="8"/>
  <c r="BB1183" i="8" s="1"/>
  <c r="AW1183" i="8"/>
  <c r="AV1183" i="8"/>
  <c r="BJ1182" i="8"/>
  <c r="BE1182" i="8"/>
  <c r="BC1182" i="8" s="1"/>
  <c r="BD1182" i="8"/>
  <c r="BB1182" i="8" s="1"/>
  <c r="AW1182" i="8"/>
  <c r="AV1182" i="8"/>
  <c r="BJ1181" i="8"/>
  <c r="BE1181" i="8"/>
  <c r="BC1181" i="8" s="1"/>
  <c r="BD1181" i="8"/>
  <c r="BB1181" i="8" s="1"/>
  <c r="AW1181" i="8"/>
  <c r="AV1181" i="8"/>
  <c r="BJ1180" i="8"/>
  <c r="BE1180" i="8"/>
  <c r="BC1180" i="8" s="1"/>
  <c r="BD1180" i="8"/>
  <c r="BB1180" i="8" s="1"/>
  <c r="AW1180" i="8"/>
  <c r="AV1180" i="8"/>
  <c r="BJ1179" i="8"/>
  <c r="BE1179" i="8"/>
  <c r="BC1179" i="8" s="1"/>
  <c r="BD1179" i="8"/>
  <c r="BB1179" i="8" s="1"/>
  <c r="AW1179" i="8"/>
  <c r="AV1179" i="8"/>
  <c r="BJ1178" i="8"/>
  <c r="BE1178" i="8"/>
  <c r="BC1178" i="8" s="1"/>
  <c r="BD1178" i="8"/>
  <c r="BB1178" i="8" s="1"/>
  <c r="AW1178" i="8"/>
  <c r="AV1178" i="8"/>
  <c r="BJ1177" i="8"/>
  <c r="BF1177" i="8"/>
  <c r="AX1177" i="8"/>
  <c r="AY1177" i="8" s="1"/>
  <c r="BJ1176" i="8"/>
  <c r="BF1176" i="8"/>
  <c r="AX1176" i="8"/>
  <c r="AY1176" i="8" s="1"/>
  <c r="BJ1175" i="8"/>
  <c r="BF1175" i="8"/>
  <c r="AX1175" i="8"/>
  <c r="AY1175" i="8" s="1"/>
  <c r="BJ1174" i="8"/>
  <c r="BF1174" i="8"/>
  <c r="AX1174" i="8"/>
  <c r="AY1174" i="8" s="1"/>
  <c r="BJ1173" i="8"/>
  <c r="BF1173" i="8"/>
  <c r="AX1173" i="8"/>
  <c r="AY1173" i="8" s="1"/>
  <c r="BJ1172" i="8"/>
  <c r="BF1172" i="8"/>
  <c r="AX1172" i="8"/>
  <c r="AY1172" i="8" s="1"/>
  <c r="BJ1171" i="8"/>
  <c r="BF1171" i="8"/>
  <c r="AX1171" i="8"/>
  <c r="AY1171" i="8" s="1"/>
  <c r="BJ1170" i="8"/>
  <c r="BF1170" i="8"/>
  <c r="AX1170" i="8"/>
  <c r="AY1170" i="8" s="1"/>
  <c r="BJ1169" i="8"/>
  <c r="BF1169" i="8"/>
  <c r="AX1169" i="8"/>
  <c r="AY1169" i="8" s="1"/>
  <c r="BJ1168" i="8"/>
  <c r="BF1168" i="8"/>
  <c r="AX1168" i="8"/>
  <c r="AY1168" i="8" s="1"/>
  <c r="BJ1167" i="8"/>
  <c r="BF1167" i="8"/>
  <c r="AX1167" i="8"/>
  <c r="AY1167" i="8" s="1"/>
  <c r="BJ1166" i="8"/>
  <c r="BF1166" i="8"/>
  <c r="AX1166" i="8"/>
  <c r="AY1166" i="8" s="1"/>
  <c r="BJ1165" i="8"/>
  <c r="BF1165" i="8"/>
  <c r="AX1165" i="8"/>
  <c r="AY1165" i="8" s="1"/>
  <c r="BJ1164" i="8"/>
  <c r="BF1164" i="8"/>
  <c r="AX1164" i="8"/>
  <c r="AY1164" i="8" s="1"/>
  <c r="BJ1163" i="8"/>
  <c r="BF1163" i="8"/>
  <c r="AX1163" i="8"/>
  <c r="AY1163" i="8" s="1"/>
  <c r="BJ1162" i="8"/>
  <c r="AW1162" i="8"/>
  <c r="AV1162" i="8"/>
  <c r="BJ1161" i="8"/>
  <c r="AW1161" i="8"/>
  <c r="AV1161" i="8"/>
  <c r="BJ1160" i="8"/>
  <c r="AW1160" i="8"/>
  <c r="AV1160" i="8"/>
  <c r="BJ1159" i="8"/>
  <c r="AW1159" i="8"/>
  <c r="AV1159" i="8"/>
  <c r="BJ1158" i="8"/>
  <c r="AW1158" i="8"/>
  <c r="AV1158" i="8"/>
  <c r="BJ1157" i="8"/>
  <c r="BF1157" i="8"/>
  <c r="AX1157" i="8"/>
  <c r="AY1157" i="8" s="1"/>
  <c r="BJ1156" i="8"/>
  <c r="BF1156" i="8"/>
  <c r="AX1156" i="8"/>
  <c r="AY1156" i="8" s="1"/>
  <c r="BJ1155" i="8"/>
  <c r="BF1155" i="8"/>
  <c r="AX1155" i="8"/>
  <c r="AY1155" i="8" s="1"/>
  <c r="BJ1154" i="8"/>
  <c r="BF1154" i="8"/>
  <c r="AX1154" i="8"/>
  <c r="AY1154" i="8" s="1"/>
  <c r="BJ1153" i="8"/>
  <c r="BF1153" i="8"/>
  <c r="AX1153" i="8"/>
  <c r="AY1153" i="8" s="1"/>
  <c r="BJ1152" i="8"/>
  <c r="AW1152" i="8"/>
  <c r="AV1152" i="8"/>
  <c r="BJ1151" i="8"/>
  <c r="AW1151" i="8"/>
  <c r="AV1151" i="8"/>
  <c r="BJ1150" i="8"/>
  <c r="AW1150" i="8"/>
  <c r="AV1150" i="8"/>
  <c r="BJ1149" i="8"/>
  <c r="AW1149" i="8"/>
  <c r="AV1149" i="8"/>
  <c r="BJ1148" i="8"/>
  <c r="AW1148" i="8"/>
  <c r="AV1148" i="8"/>
  <c r="BJ1147" i="8"/>
  <c r="AW1147" i="8"/>
  <c r="AV1147" i="8"/>
  <c r="BJ1146" i="8"/>
  <c r="AW1146" i="8"/>
  <c r="AV1146" i="8"/>
  <c r="BJ1145" i="8"/>
  <c r="AW1145" i="8"/>
  <c r="AV1145" i="8"/>
  <c r="BJ1144" i="8"/>
  <c r="AW1144" i="8"/>
  <c r="AV1144" i="8"/>
  <c r="BJ1143" i="8"/>
  <c r="AW1143" i="8"/>
  <c r="AV1143" i="8"/>
  <c r="BJ1142" i="8"/>
  <c r="BF1142" i="8"/>
  <c r="AX1142" i="8"/>
  <c r="AY1142" i="8" s="1"/>
  <c r="BJ1141" i="8"/>
  <c r="BF1141" i="8"/>
  <c r="AX1141" i="8"/>
  <c r="AY1141" i="8" s="1"/>
  <c r="BJ1140" i="8"/>
  <c r="BF1140" i="8"/>
  <c r="AX1140" i="8"/>
  <c r="AY1140" i="8" s="1"/>
  <c r="BJ1139" i="8"/>
  <c r="BF1139" i="8"/>
  <c r="AX1139" i="8"/>
  <c r="AY1139" i="8" s="1"/>
  <c r="BJ1138" i="8"/>
  <c r="BF1138" i="8"/>
  <c r="AX1138" i="8"/>
  <c r="AY1138" i="8" s="1"/>
  <c r="BJ1137" i="8"/>
  <c r="BF1137" i="8"/>
  <c r="AX1137" i="8"/>
  <c r="AY1137" i="8" s="1"/>
  <c r="BJ1136" i="8"/>
  <c r="BF1136" i="8"/>
  <c r="AX1136" i="8"/>
  <c r="AY1136" i="8" s="1"/>
  <c r="BJ1135" i="8"/>
  <c r="BF1135" i="8"/>
  <c r="AX1135" i="8"/>
  <c r="AY1135" i="8" s="1"/>
  <c r="BJ1134" i="8"/>
  <c r="BF1134" i="8"/>
  <c r="AX1134" i="8"/>
  <c r="AY1134" i="8" s="1"/>
  <c r="BJ1133" i="8"/>
  <c r="BF1133" i="8"/>
  <c r="AX1133" i="8"/>
  <c r="AY1133" i="8" s="1"/>
  <c r="BJ1132" i="8"/>
  <c r="BF1132" i="8"/>
  <c r="AX1132" i="8"/>
  <c r="AY1132" i="8" s="1"/>
  <c r="BJ1131" i="8"/>
  <c r="BF1131" i="8"/>
  <c r="AX1131" i="8"/>
  <c r="AY1131" i="8" s="1"/>
  <c r="BJ1130" i="8"/>
  <c r="BF1130" i="8"/>
  <c r="AX1130" i="8"/>
  <c r="AY1130" i="8" s="1"/>
  <c r="BJ1129" i="8"/>
  <c r="BF1129" i="8"/>
  <c r="AX1129" i="8"/>
  <c r="AY1129" i="8" s="1"/>
  <c r="BJ1128" i="8"/>
  <c r="BF1128" i="8"/>
  <c r="AX1128" i="8"/>
  <c r="AY1128" i="8" s="1"/>
  <c r="BJ1127" i="8"/>
  <c r="BF1127" i="8"/>
  <c r="AX1127" i="8"/>
  <c r="AY1127" i="8" s="1"/>
  <c r="BJ1126" i="8"/>
  <c r="BF1126" i="8"/>
  <c r="AX1126" i="8"/>
  <c r="AY1126" i="8" s="1"/>
  <c r="BJ1125" i="8"/>
  <c r="BF1125" i="8"/>
  <c r="AX1125" i="8"/>
  <c r="AY1125" i="8" s="1"/>
  <c r="BJ1124" i="8"/>
  <c r="AW1124" i="8"/>
  <c r="BJ1123" i="8"/>
  <c r="AW1123" i="8"/>
  <c r="BF1123" i="8" s="1"/>
  <c r="BJ1122" i="8"/>
  <c r="AW1122" i="8"/>
  <c r="BF1122" i="8" s="1"/>
  <c r="BJ1121" i="8"/>
  <c r="AW1121" i="8"/>
  <c r="BF1121" i="8" s="1"/>
  <c r="BJ1120" i="8"/>
  <c r="AW1120" i="8"/>
  <c r="BF1120" i="8" s="1"/>
  <c r="BJ1119" i="8"/>
  <c r="AW1119" i="8"/>
  <c r="BF1119" i="8" s="1"/>
  <c r="BJ1118" i="8"/>
  <c r="AW1118" i="8"/>
  <c r="AV1118" i="8"/>
  <c r="BJ1117" i="8"/>
  <c r="AW1117" i="8"/>
  <c r="AV1117" i="8"/>
  <c r="BJ1116" i="8"/>
  <c r="AW1116" i="8"/>
  <c r="BJ1115" i="8"/>
  <c r="AW1115" i="8"/>
  <c r="AV1115" i="8"/>
  <c r="BJ1114" i="8"/>
  <c r="AW1114" i="8"/>
  <c r="AV1114" i="8"/>
  <c r="BJ1113" i="8"/>
  <c r="AW1113" i="8"/>
  <c r="AV1113" i="8"/>
  <c r="BJ1112" i="8"/>
  <c r="AW1112" i="8"/>
  <c r="AV1112" i="8"/>
  <c r="BJ1111" i="8"/>
  <c r="AW1111" i="8"/>
  <c r="AV1111" i="8"/>
  <c r="BJ1110" i="8"/>
  <c r="AW1110" i="8"/>
  <c r="AV1110" i="8"/>
  <c r="BJ1109" i="8"/>
  <c r="AW1109" i="8"/>
  <c r="AV1109" i="8"/>
  <c r="BJ1108" i="8"/>
  <c r="AW1108" i="8"/>
  <c r="AV1108" i="8"/>
  <c r="BJ1107" i="8"/>
  <c r="AW1107" i="8"/>
  <c r="AV1107" i="8"/>
  <c r="BJ1106" i="8"/>
  <c r="BC1106" i="8"/>
  <c r="BE1106" i="8" s="1"/>
  <c r="BB1106" i="8"/>
  <c r="BD1106" i="8" s="1"/>
  <c r="AW1106" i="8"/>
  <c r="AV1106" i="8"/>
  <c r="BJ1105" i="8"/>
  <c r="BE1105" i="8"/>
  <c r="BD1105" i="8"/>
  <c r="AX1105" i="8"/>
  <c r="AY1105" i="8" s="1"/>
  <c r="BJ1104" i="8"/>
  <c r="BC1104" i="8"/>
  <c r="BE1104" i="8" s="1"/>
  <c r="BB1104" i="8"/>
  <c r="BD1104" i="8" s="1"/>
  <c r="AW1104" i="8"/>
  <c r="AV1104" i="8"/>
  <c r="BJ1103" i="8"/>
  <c r="BC1103" i="8"/>
  <c r="BE1103" i="8" s="1"/>
  <c r="BB1103" i="8"/>
  <c r="BD1103" i="8" s="1"/>
  <c r="AW1103" i="8"/>
  <c r="AV1103" i="8"/>
  <c r="BJ1102" i="8"/>
  <c r="BF1102" i="8"/>
  <c r="AX1102" i="8"/>
  <c r="AY1102" i="8" s="1"/>
  <c r="BJ1101" i="8"/>
  <c r="BF1101" i="8"/>
  <c r="AX1101" i="8"/>
  <c r="AY1101" i="8" s="1"/>
  <c r="BJ1100" i="8"/>
  <c r="BF1100" i="8"/>
  <c r="AX1100" i="8"/>
  <c r="AY1100" i="8" s="1"/>
  <c r="BJ1099" i="8"/>
  <c r="BF1099" i="8"/>
  <c r="AX1099" i="8"/>
  <c r="AY1099" i="8" s="1"/>
  <c r="BJ1098" i="8"/>
  <c r="BF1098" i="8"/>
  <c r="AX1098" i="8"/>
  <c r="AY1098" i="8" s="1"/>
  <c r="BJ1097" i="8"/>
  <c r="BF1097" i="8"/>
  <c r="AX1097" i="8"/>
  <c r="AY1097" i="8" s="1"/>
  <c r="BJ1096" i="8"/>
  <c r="BF1096" i="8"/>
  <c r="AX1096" i="8"/>
  <c r="AY1096" i="8" s="1"/>
  <c r="BJ1095" i="8"/>
  <c r="BF1095" i="8"/>
  <c r="AX1095" i="8"/>
  <c r="AY1095" i="8" s="1"/>
  <c r="BJ1094" i="8"/>
  <c r="BF1094" i="8"/>
  <c r="AX1094" i="8"/>
  <c r="AY1094" i="8" s="1"/>
  <c r="BJ1093" i="8"/>
  <c r="BF1093" i="8"/>
  <c r="AX1093" i="8"/>
  <c r="AY1093" i="8" s="1"/>
  <c r="BJ1092" i="8"/>
  <c r="BF1092" i="8"/>
  <c r="AX1092" i="8"/>
  <c r="AY1092" i="8" s="1"/>
  <c r="BJ1091" i="8"/>
  <c r="BF1091" i="8"/>
  <c r="AX1091" i="8"/>
  <c r="AY1091" i="8" s="1"/>
  <c r="BJ1090" i="8"/>
  <c r="BF1090" i="8"/>
  <c r="AX1090" i="8"/>
  <c r="AY1090" i="8" s="1"/>
  <c r="BJ1089" i="8"/>
  <c r="BF1089" i="8"/>
  <c r="AX1089" i="8"/>
  <c r="AY1089" i="8" s="1"/>
  <c r="BJ1088" i="8"/>
  <c r="BF1088" i="8"/>
  <c r="AX1088" i="8"/>
  <c r="AY1088" i="8" s="1"/>
  <c r="BJ1087" i="8"/>
  <c r="BF1087" i="8"/>
  <c r="AX1087" i="8"/>
  <c r="AY1087" i="8" s="1"/>
  <c r="BJ1086" i="8"/>
  <c r="BF1086" i="8"/>
  <c r="AX1086" i="8"/>
  <c r="AY1086" i="8" s="1"/>
  <c r="BJ1085" i="8"/>
  <c r="BF1085" i="8"/>
  <c r="AX1085" i="8"/>
  <c r="AY1085" i="8" s="1"/>
  <c r="BJ1084" i="8"/>
  <c r="BF1084" i="8"/>
  <c r="AX1084" i="8"/>
  <c r="AY1084" i="8" s="1"/>
  <c r="BJ1083" i="8"/>
  <c r="BF1083" i="8"/>
  <c r="AX1083" i="8"/>
  <c r="AY1083" i="8" s="1"/>
  <c r="BJ1082" i="8"/>
  <c r="AW1082" i="8"/>
  <c r="AV1082" i="8"/>
  <c r="BJ1081" i="8"/>
  <c r="AW1081" i="8"/>
  <c r="AV1081" i="8"/>
  <c r="BJ1080" i="8"/>
  <c r="AW1080" i="8"/>
  <c r="AV1080" i="8"/>
  <c r="BJ1079" i="8"/>
  <c r="AW1079" i="8"/>
  <c r="AV1079" i="8"/>
  <c r="BJ1078" i="8"/>
  <c r="AW1078" i="8"/>
  <c r="AV1078" i="8"/>
  <c r="BJ1077" i="8"/>
  <c r="AW1077" i="8"/>
  <c r="AV1077" i="8"/>
  <c r="BJ1076" i="8"/>
  <c r="AW1076" i="8"/>
  <c r="AV1076" i="8"/>
  <c r="BJ1075" i="8"/>
  <c r="AW1075" i="8"/>
  <c r="AV1075" i="8"/>
  <c r="BJ1074" i="8"/>
  <c r="AW1074" i="8"/>
  <c r="AV1074" i="8"/>
  <c r="BJ1073" i="8"/>
  <c r="AW1073" i="8"/>
  <c r="AV1073" i="8"/>
  <c r="BJ1072" i="8"/>
  <c r="AW1072" i="8"/>
  <c r="AV1072" i="8"/>
  <c r="BJ1071" i="8"/>
  <c r="AW1071" i="8"/>
  <c r="AV1071" i="8"/>
  <c r="BJ1070" i="8"/>
  <c r="BF1070" i="8"/>
  <c r="AX1070" i="8"/>
  <c r="AY1070" i="8" s="1"/>
  <c r="BJ1069" i="8"/>
  <c r="BF1069" i="8"/>
  <c r="AX1069" i="8"/>
  <c r="AY1069" i="8" s="1"/>
  <c r="BJ1068" i="8"/>
  <c r="BF1068" i="8"/>
  <c r="AX1068" i="8"/>
  <c r="AY1068" i="8" s="1"/>
  <c r="BJ1067" i="8"/>
  <c r="BF1067" i="8"/>
  <c r="AX1067" i="8"/>
  <c r="AY1067" i="8" s="1"/>
  <c r="BJ1066" i="8"/>
  <c r="BF1066" i="8"/>
  <c r="AX1066" i="8"/>
  <c r="AY1066" i="8" s="1"/>
  <c r="BJ1065" i="8"/>
  <c r="BF1065" i="8"/>
  <c r="AX1065" i="8"/>
  <c r="AY1065" i="8" s="1"/>
  <c r="BJ1064" i="8"/>
  <c r="BF1064" i="8"/>
  <c r="AX1064" i="8"/>
  <c r="AY1064" i="8" s="1"/>
  <c r="BJ1063" i="8"/>
  <c r="BF1063" i="8"/>
  <c r="AX1063" i="8"/>
  <c r="AY1063" i="8" s="1"/>
  <c r="BJ1062" i="8"/>
  <c r="AW1062" i="8"/>
  <c r="AV1062" i="8"/>
  <c r="BJ1061" i="8"/>
  <c r="AW1061" i="8"/>
  <c r="AV1061" i="8"/>
  <c r="BJ1060" i="8"/>
  <c r="AW1060" i="8"/>
  <c r="BF1060" i="8" s="1"/>
  <c r="BJ1059" i="8"/>
  <c r="AW1059" i="8"/>
  <c r="AV1059" i="8"/>
  <c r="BJ1058" i="8"/>
  <c r="AW1058" i="8"/>
  <c r="AV1058" i="8"/>
  <c r="BJ1057" i="8"/>
  <c r="AW1057" i="8"/>
  <c r="AV1057" i="8"/>
  <c r="BJ1056" i="8"/>
  <c r="AW1056" i="8"/>
  <c r="AV1056" i="8"/>
  <c r="BJ1055" i="8"/>
  <c r="AW1055" i="8"/>
  <c r="AV1055" i="8"/>
  <c r="BJ1054" i="8"/>
  <c r="BF1054" i="8"/>
  <c r="AX1054" i="8"/>
  <c r="AY1054" i="8" s="1"/>
  <c r="BJ1053" i="8"/>
  <c r="BF1053" i="8"/>
  <c r="AX1053" i="8"/>
  <c r="AY1053" i="8" s="1"/>
  <c r="BJ1052" i="8"/>
  <c r="BF1052" i="8"/>
  <c r="AX1052" i="8"/>
  <c r="AY1052" i="8" s="1"/>
  <c r="BJ1051" i="8"/>
  <c r="BF1051" i="8"/>
  <c r="AX1051" i="8"/>
  <c r="AY1051" i="8" s="1"/>
  <c r="BJ1050" i="8"/>
  <c r="BF1050" i="8"/>
  <c r="AX1050" i="8"/>
  <c r="AY1050" i="8" s="1"/>
  <c r="BJ1049" i="8"/>
  <c r="BF1049" i="8"/>
  <c r="AX1049" i="8"/>
  <c r="AY1049" i="8" s="1"/>
  <c r="BJ1048" i="8"/>
  <c r="BF1048" i="8"/>
  <c r="AX1048" i="8"/>
  <c r="AY1048" i="8" s="1"/>
  <c r="BJ1047" i="8"/>
  <c r="BF1047" i="8"/>
  <c r="AX1047" i="8"/>
  <c r="AY1047" i="8" s="1"/>
  <c r="BJ1046" i="8"/>
  <c r="BC1046" i="8"/>
  <c r="BE1046" i="8" s="1"/>
  <c r="BB1046" i="8"/>
  <c r="BD1046" i="8" s="1"/>
  <c r="AW1046" i="8"/>
  <c r="AV1046" i="8"/>
  <c r="BJ1045" i="8"/>
  <c r="BC1045" i="8"/>
  <c r="BE1045" i="8" s="1"/>
  <c r="BB1045" i="8"/>
  <c r="BD1045" i="8" s="1"/>
  <c r="AW1045" i="8"/>
  <c r="AV1045" i="8"/>
  <c r="BJ1044" i="8"/>
  <c r="BC1044" i="8"/>
  <c r="BE1044" i="8" s="1"/>
  <c r="BB1044" i="8"/>
  <c r="BD1044" i="8" s="1"/>
  <c r="AW1044" i="8"/>
  <c r="AV1044" i="8"/>
  <c r="BJ1043" i="8"/>
  <c r="BC1043" i="8"/>
  <c r="BE1043" i="8" s="1"/>
  <c r="BB1043" i="8"/>
  <c r="BD1043" i="8" s="1"/>
  <c r="AW1043" i="8"/>
  <c r="AV1043" i="8"/>
  <c r="BJ1042" i="8"/>
  <c r="BC1042" i="8"/>
  <c r="BE1042" i="8" s="1"/>
  <c r="BB1042" i="8"/>
  <c r="BD1042" i="8" s="1"/>
  <c r="AW1042" i="8"/>
  <c r="AV1042" i="8"/>
  <c r="BJ1041" i="8"/>
  <c r="BC1041" i="8"/>
  <c r="BE1041" i="8" s="1"/>
  <c r="BB1041" i="8"/>
  <c r="BD1041" i="8" s="1"/>
  <c r="AW1041" i="8"/>
  <c r="AV1041" i="8"/>
  <c r="BJ1040" i="8"/>
  <c r="BC1040" i="8"/>
  <c r="BE1040" i="8" s="1"/>
  <c r="BB1040" i="8"/>
  <c r="BD1040" i="8" s="1"/>
  <c r="AW1040" i="8"/>
  <c r="AV1040" i="8"/>
  <c r="BJ1039" i="8"/>
  <c r="BC1039" i="8"/>
  <c r="BE1039" i="8" s="1"/>
  <c r="BB1039" i="8"/>
  <c r="BD1039" i="8" s="1"/>
  <c r="AW1039" i="8"/>
  <c r="AV1039" i="8"/>
  <c r="BJ1038" i="8"/>
  <c r="AW1038" i="8"/>
  <c r="AV1038" i="8"/>
  <c r="BJ1037" i="8"/>
  <c r="AW1037" i="8"/>
  <c r="AV1037" i="8"/>
  <c r="BJ1036" i="8"/>
  <c r="AW1036" i="8"/>
  <c r="AV1036" i="8"/>
  <c r="BJ1035" i="8"/>
  <c r="AW1035" i="8"/>
  <c r="AV1035" i="8"/>
  <c r="BJ1034" i="8"/>
  <c r="AW1034" i="8"/>
  <c r="AV1034" i="8"/>
  <c r="BJ1033" i="8"/>
  <c r="AW1033" i="8"/>
  <c r="AV1033" i="8"/>
  <c r="BJ1032" i="8"/>
  <c r="AW1032" i="8"/>
  <c r="AV1032" i="8"/>
  <c r="BJ1031" i="8"/>
  <c r="AW1031" i="8"/>
  <c r="AV1031" i="8"/>
  <c r="BJ1030" i="8"/>
  <c r="BF1030" i="8"/>
  <c r="AX1030" i="8"/>
  <c r="AY1030" i="8" s="1"/>
  <c r="BJ1029" i="8"/>
  <c r="BF1029" i="8"/>
  <c r="AX1029" i="8"/>
  <c r="AY1029" i="8" s="1"/>
  <c r="BJ1028" i="8"/>
  <c r="BF1028" i="8"/>
  <c r="AX1028" i="8"/>
  <c r="AY1028" i="8" s="1"/>
  <c r="BJ1027" i="8"/>
  <c r="BF1027" i="8"/>
  <c r="AX1027" i="8"/>
  <c r="AY1027" i="8" s="1"/>
  <c r="BJ1026" i="8"/>
  <c r="BF1026" i="8"/>
  <c r="AX1026" i="8"/>
  <c r="AY1026" i="8" s="1"/>
  <c r="BJ1025" i="8"/>
  <c r="BF1025" i="8"/>
  <c r="AX1025" i="8"/>
  <c r="AY1025" i="8" s="1"/>
  <c r="BJ1024" i="8"/>
  <c r="BF1024" i="8"/>
  <c r="AX1024" i="8"/>
  <c r="AY1024" i="8" s="1"/>
  <c r="BJ1023" i="8"/>
  <c r="BF1023" i="8"/>
  <c r="AX1023" i="8"/>
  <c r="AY1023" i="8" s="1"/>
  <c r="BJ1022" i="8"/>
  <c r="BF1022" i="8"/>
  <c r="AX1022" i="8"/>
  <c r="AY1022" i="8" s="1"/>
  <c r="BJ1021" i="8"/>
  <c r="BF1021" i="8"/>
  <c r="AX1021" i="8"/>
  <c r="AY1021" i="8" s="1"/>
  <c r="BJ1020" i="8"/>
  <c r="BF1020" i="8"/>
  <c r="AX1020" i="8"/>
  <c r="AY1020" i="8" s="1"/>
  <c r="BJ1019" i="8"/>
  <c r="BF1019" i="8"/>
  <c r="AX1019" i="8"/>
  <c r="AY1019" i="8" s="1"/>
  <c r="BJ1018" i="8"/>
  <c r="BF1018" i="8"/>
  <c r="AX1018" i="8"/>
  <c r="AY1018" i="8" s="1"/>
  <c r="BJ1017" i="8"/>
  <c r="BF1017" i="8"/>
  <c r="AX1017" i="8"/>
  <c r="AY1017" i="8" s="1"/>
  <c r="BJ1016" i="8"/>
  <c r="BF1016" i="8"/>
  <c r="AX1016" i="8"/>
  <c r="AY1016" i="8" s="1"/>
  <c r="BJ1015" i="8"/>
  <c r="BF1015" i="8"/>
  <c r="AX1015" i="8"/>
  <c r="AY1015" i="8" s="1"/>
  <c r="BJ1014" i="8"/>
  <c r="BF1014" i="8"/>
  <c r="AX1014" i="8"/>
  <c r="AY1014" i="8" s="1"/>
  <c r="BJ1013" i="8"/>
  <c r="BF1013" i="8"/>
  <c r="AX1013" i="8"/>
  <c r="AY1013" i="8" s="1"/>
  <c r="BJ1012" i="8"/>
  <c r="BF1012" i="8"/>
  <c r="AX1012" i="8"/>
  <c r="AY1012" i="8" s="1"/>
  <c r="BJ1011" i="8"/>
  <c r="BF1011" i="8"/>
  <c r="AX1011" i="8"/>
  <c r="AY1011" i="8" s="1"/>
  <c r="BJ1010" i="8"/>
  <c r="AW1010" i="8"/>
  <c r="AV1010" i="8"/>
  <c r="BJ1009" i="8"/>
  <c r="AW1009" i="8"/>
  <c r="AV1009" i="8"/>
  <c r="BJ1008" i="8"/>
  <c r="AW1008" i="8"/>
  <c r="AV1008" i="8"/>
  <c r="BJ1007" i="8"/>
  <c r="AW1007" i="8"/>
  <c r="AV1007" i="8"/>
  <c r="BJ1006" i="8"/>
  <c r="AW1006" i="8"/>
  <c r="AV1006" i="8"/>
  <c r="BJ1005" i="8"/>
  <c r="AW1005" i="8"/>
  <c r="AV1005" i="8"/>
  <c r="BJ1004" i="8"/>
  <c r="AW1004" i="8"/>
  <c r="AV1004" i="8"/>
  <c r="BJ1003" i="8"/>
  <c r="AW1003" i="8"/>
  <c r="AV1003" i="8"/>
  <c r="BJ1002" i="8"/>
  <c r="AW1002" i="8"/>
  <c r="AV1002" i="8"/>
  <c r="BJ1001" i="8"/>
  <c r="AW1001" i="8"/>
  <c r="BJ1000" i="8"/>
  <c r="AW1000" i="8"/>
  <c r="AV1000" i="8"/>
  <c r="BJ999" i="8"/>
  <c r="AW999" i="8"/>
  <c r="AV999" i="8"/>
  <c r="BJ998" i="8"/>
  <c r="BE998" i="8"/>
  <c r="BD998" i="8"/>
  <c r="AX998" i="8"/>
  <c r="AY998" i="8" s="1"/>
  <c r="BJ997" i="8"/>
  <c r="BE997" i="8"/>
  <c r="BD997" i="8"/>
  <c r="AX997" i="8"/>
  <c r="AY997" i="8" s="1"/>
  <c r="BJ996" i="8"/>
  <c r="BE996" i="8"/>
  <c r="BD996" i="8"/>
  <c r="AX996" i="8"/>
  <c r="AY996" i="8" s="1"/>
  <c r="BJ995" i="8"/>
  <c r="BE995" i="8"/>
  <c r="BD995" i="8"/>
  <c r="AX995" i="8"/>
  <c r="AY995" i="8" s="1"/>
  <c r="BJ994" i="8"/>
  <c r="BE994" i="8"/>
  <c r="BD994" i="8"/>
  <c r="AX994" i="8"/>
  <c r="AY994" i="8" s="1"/>
  <c r="BJ993" i="8"/>
  <c r="BC993" i="8"/>
  <c r="BE993" i="8" s="1"/>
  <c r="BB993" i="8"/>
  <c r="BD993" i="8" s="1"/>
  <c r="AW993" i="8"/>
  <c r="AV993" i="8"/>
  <c r="BJ992" i="8"/>
  <c r="BC992" i="8"/>
  <c r="BE992" i="8" s="1"/>
  <c r="BB992" i="8"/>
  <c r="BD992" i="8" s="1"/>
  <c r="AW992" i="8"/>
  <c r="AV992" i="8"/>
  <c r="BJ991" i="8"/>
  <c r="BC991" i="8"/>
  <c r="BE991" i="8" s="1"/>
  <c r="BB991" i="8"/>
  <c r="BD991" i="8" s="1"/>
  <c r="AW991" i="8"/>
  <c r="AV991" i="8"/>
  <c r="BJ990" i="8"/>
  <c r="BC990" i="8"/>
  <c r="BE990" i="8" s="1"/>
  <c r="BB990" i="8"/>
  <c r="BD990" i="8" s="1"/>
  <c r="AW990" i="8"/>
  <c r="AV990" i="8"/>
  <c r="BJ989" i="8"/>
  <c r="BC989" i="8"/>
  <c r="BE989" i="8" s="1"/>
  <c r="BB989" i="8"/>
  <c r="BD989" i="8" s="1"/>
  <c r="AW989" i="8"/>
  <c r="AV989" i="8"/>
  <c r="BJ988" i="8"/>
  <c r="BC988" i="8"/>
  <c r="BE988" i="8" s="1"/>
  <c r="BB988" i="8"/>
  <c r="BD988" i="8" s="1"/>
  <c r="AW988" i="8"/>
  <c r="AV988" i="8"/>
  <c r="BJ987" i="8"/>
  <c r="BC987" i="8"/>
  <c r="BE987" i="8" s="1"/>
  <c r="BB987" i="8"/>
  <c r="BD987" i="8" s="1"/>
  <c r="AW987" i="8"/>
  <c r="AV987" i="8"/>
  <c r="BJ986" i="8"/>
  <c r="BC986" i="8"/>
  <c r="BE986" i="8" s="1"/>
  <c r="BB986" i="8"/>
  <c r="BD986" i="8" s="1"/>
  <c r="AW986" i="8"/>
  <c r="AV986" i="8"/>
  <c r="BJ985" i="8"/>
  <c r="BC985" i="8"/>
  <c r="BE985" i="8" s="1"/>
  <c r="BB985" i="8"/>
  <c r="BD985" i="8" s="1"/>
  <c r="AW985" i="8"/>
  <c r="AV985" i="8"/>
  <c r="BJ984" i="8"/>
  <c r="BC984" i="8"/>
  <c r="BE984" i="8" s="1"/>
  <c r="BB984" i="8"/>
  <c r="BD984" i="8" s="1"/>
  <c r="AW984" i="8"/>
  <c r="AV984" i="8"/>
  <c r="BJ983" i="8"/>
  <c r="BC983" i="8"/>
  <c r="BE983" i="8" s="1"/>
  <c r="BB983" i="8"/>
  <c r="BD983" i="8" s="1"/>
  <c r="AW983" i="8"/>
  <c r="AV983" i="8"/>
  <c r="BJ982" i="8"/>
  <c r="BC982" i="8"/>
  <c r="BE982" i="8" s="1"/>
  <c r="BB982" i="8"/>
  <c r="BD982" i="8" s="1"/>
  <c r="AW982" i="8"/>
  <c r="AV982" i="8"/>
  <c r="BJ981" i="8"/>
  <c r="BC981" i="8"/>
  <c r="BE981" i="8" s="1"/>
  <c r="BB981" i="8"/>
  <c r="BD981" i="8" s="1"/>
  <c r="AW981" i="8"/>
  <c r="AV981" i="8"/>
  <c r="BJ980" i="8"/>
  <c r="BC980" i="8"/>
  <c r="BE980" i="8" s="1"/>
  <c r="BB980" i="8"/>
  <c r="BD980" i="8" s="1"/>
  <c r="AW980" i="8"/>
  <c r="AV980" i="8"/>
  <c r="BJ979" i="8"/>
  <c r="BC979" i="8"/>
  <c r="BE979" i="8" s="1"/>
  <c r="BB979" i="8"/>
  <c r="BD979" i="8" s="1"/>
  <c r="AW979" i="8"/>
  <c r="AV979" i="8"/>
  <c r="BJ978" i="8"/>
  <c r="BE978" i="8"/>
  <c r="BD978" i="8"/>
  <c r="AX978" i="8"/>
  <c r="AY978" i="8" s="1"/>
  <c r="BJ977" i="8"/>
  <c r="BE977" i="8"/>
  <c r="BD977" i="8"/>
  <c r="AX977" i="8"/>
  <c r="AY977" i="8" s="1"/>
  <c r="BJ976" i="8"/>
  <c r="BE976" i="8"/>
  <c r="BD976" i="8"/>
  <c r="AX976" i="8"/>
  <c r="AY976" i="8" s="1"/>
  <c r="BJ975" i="8"/>
  <c r="BC975" i="8"/>
  <c r="BE975" i="8" s="1"/>
  <c r="BB975" i="8"/>
  <c r="BD975" i="8" s="1"/>
  <c r="AW975" i="8"/>
  <c r="AV975" i="8"/>
  <c r="BJ974" i="8"/>
  <c r="BC974" i="8"/>
  <c r="BE974" i="8" s="1"/>
  <c r="BB974" i="8"/>
  <c r="BD974" i="8" s="1"/>
  <c r="AW974" i="8"/>
  <c r="AV974" i="8"/>
  <c r="BJ973" i="8"/>
  <c r="BC973" i="8"/>
  <c r="BE973" i="8" s="1"/>
  <c r="BB973" i="8"/>
  <c r="BD973" i="8" s="1"/>
  <c r="AW973" i="8"/>
  <c r="AV973" i="8"/>
  <c r="BJ972" i="8"/>
  <c r="BE972" i="8"/>
  <c r="BD972" i="8"/>
  <c r="AX972" i="8"/>
  <c r="AY972" i="8" s="1"/>
  <c r="BJ971" i="8"/>
  <c r="BE971" i="8"/>
  <c r="BD971" i="8"/>
  <c r="AX971" i="8"/>
  <c r="AY971" i="8" s="1"/>
  <c r="BJ970" i="8"/>
  <c r="BE970" i="8"/>
  <c r="BD970" i="8"/>
  <c r="AX970" i="8"/>
  <c r="AY970" i="8" s="1"/>
  <c r="BJ969" i="8"/>
  <c r="BC969" i="8"/>
  <c r="BE969" i="8" s="1"/>
  <c r="BB969" i="8"/>
  <c r="BD969" i="8" s="1"/>
  <c r="AW969" i="8"/>
  <c r="AV969" i="8"/>
  <c r="BJ968" i="8"/>
  <c r="BC968" i="8"/>
  <c r="BE968" i="8" s="1"/>
  <c r="BB968" i="8"/>
  <c r="BD968" i="8" s="1"/>
  <c r="AW968" i="8"/>
  <c r="AV968" i="8"/>
  <c r="BJ967" i="8"/>
  <c r="BC967" i="8"/>
  <c r="BE967" i="8" s="1"/>
  <c r="BB967" i="8"/>
  <c r="BD967" i="8" s="1"/>
  <c r="AW967" i="8"/>
  <c r="AV967" i="8"/>
  <c r="BJ966" i="8"/>
  <c r="BC966" i="8"/>
  <c r="BE966" i="8" s="1"/>
  <c r="BB966" i="8"/>
  <c r="BD966" i="8" s="1"/>
  <c r="AW966" i="8"/>
  <c r="AV966" i="8"/>
  <c r="BJ965" i="8"/>
  <c r="BE965" i="8"/>
  <c r="BC965" i="8" s="1"/>
  <c r="BD965" i="8"/>
  <c r="BB965" i="8" s="1"/>
  <c r="AW965" i="8"/>
  <c r="AV965" i="8"/>
  <c r="BJ964" i="8"/>
  <c r="BE964" i="8"/>
  <c r="BC964" i="8" s="1"/>
  <c r="BD964" i="8"/>
  <c r="AW964" i="8"/>
  <c r="AV964" i="8"/>
  <c r="BJ963" i="8"/>
  <c r="BE963" i="8"/>
  <c r="BC963" i="8" s="1"/>
  <c r="BD963" i="8"/>
  <c r="BB963" i="8" s="1"/>
  <c r="AW963" i="8"/>
  <c r="AV963" i="8"/>
  <c r="BJ962" i="8"/>
  <c r="BE962" i="8"/>
  <c r="BC962" i="8" s="1"/>
  <c r="BD962" i="8"/>
  <c r="AW962" i="8"/>
  <c r="AV962" i="8"/>
  <c r="BJ961" i="8"/>
  <c r="BE961" i="8"/>
  <c r="BC961" i="8" s="1"/>
  <c r="BD961" i="8"/>
  <c r="BB961" i="8" s="1"/>
  <c r="AW961" i="8"/>
  <c r="AV961" i="8"/>
  <c r="BJ960" i="8"/>
  <c r="BE960" i="8"/>
  <c r="BC960" i="8" s="1"/>
  <c r="BD960" i="8"/>
  <c r="BB960" i="8" s="1"/>
  <c r="AW960" i="8"/>
  <c r="AV960" i="8"/>
  <c r="BJ959" i="8"/>
  <c r="AW959" i="8"/>
  <c r="AV959" i="8"/>
  <c r="BJ958" i="8"/>
  <c r="AW958" i="8"/>
  <c r="AV958" i="8"/>
  <c r="BJ957" i="8"/>
  <c r="AW957" i="8"/>
  <c r="AV957" i="8"/>
  <c r="BJ956" i="8"/>
  <c r="AW956" i="8"/>
  <c r="AV956" i="8"/>
  <c r="BJ955" i="8"/>
  <c r="AW955" i="8"/>
  <c r="AV955" i="8"/>
  <c r="BJ954" i="8"/>
  <c r="AW954" i="8"/>
  <c r="AV954" i="8"/>
  <c r="BJ953" i="8"/>
  <c r="AW953" i="8"/>
  <c r="AV953" i="8"/>
  <c r="BJ952" i="8"/>
  <c r="AW952" i="8"/>
  <c r="AV952" i="8"/>
  <c r="BJ951" i="8"/>
  <c r="AW951" i="8"/>
  <c r="AV951" i="8"/>
  <c r="BJ950" i="8"/>
  <c r="AW950" i="8"/>
  <c r="AV950" i="8"/>
  <c r="BJ949" i="8"/>
  <c r="AW949" i="8"/>
  <c r="AV949" i="8"/>
  <c r="BJ948" i="8"/>
  <c r="AW948" i="8"/>
  <c r="AV948" i="8"/>
  <c r="BJ947" i="8"/>
  <c r="AW947" i="8"/>
  <c r="AV947" i="8"/>
  <c r="BJ946" i="8"/>
  <c r="AW946" i="8"/>
  <c r="AV946" i="8"/>
  <c r="BJ945" i="8"/>
  <c r="AW945" i="8"/>
  <c r="AV945" i="8"/>
  <c r="BJ944" i="8"/>
  <c r="AW944" i="8"/>
  <c r="AV944" i="8"/>
  <c r="BJ943" i="8"/>
  <c r="AW943" i="8"/>
  <c r="AV943" i="8"/>
  <c r="BJ942" i="8"/>
  <c r="AW942" i="8"/>
  <c r="AV942" i="8"/>
  <c r="BJ941" i="8"/>
  <c r="AW941" i="8"/>
  <c r="AV941" i="8"/>
  <c r="BJ940" i="8"/>
  <c r="AW940" i="8"/>
  <c r="AV940" i="8"/>
  <c r="BJ939" i="8"/>
  <c r="AW939" i="8"/>
  <c r="AV939" i="8"/>
  <c r="BJ938" i="8"/>
  <c r="AW938" i="8"/>
  <c r="AV938" i="8"/>
  <c r="BJ937" i="8"/>
  <c r="AW937" i="8"/>
  <c r="AV937" i="8"/>
  <c r="BJ936" i="8"/>
  <c r="AW936" i="8"/>
  <c r="AV936" i="8"/>
  <c r="BJ935" i="8"/>
  <c r="AW935" i="8"/>
  <c r="AV935" i="8"/>
  <c r="BJ934" i="8"/>
  <c r="AW934" i="8"/>
  <c r="AV934" i="8"/>
  <c r="BJ933" i="8"/>
  <c r="AW933" i="8"/>
  <c r="AV933" i="8"/>
  <c r="BJ932" i="8"/>
  <c r="AW932" i="8"/>
  <c r="AV932" i="8"/>
  <c r="BJ931" i="8"/>
  <c r="AW931" i="8"/>
  <c r="AV931" i="8"/>
  <c r="BJ930" i="8"/>
  <c r="AW930" i="8"/>
  <c r="AV930" i="8"/>
  <c r="BJ929" i="8"/>
  <c r="AW929" i="8"/>
  <c r="AV929" i="8"/>
  <c r="BJ928" i="8"/>
  <c r="AW928" i="8"/>
  <c r="AV928" i="8"/>
  <c r="BJ927" i="8"/>
  <c r="AW927" i="8"/>
  <c r="AV927" i="8"/>
  <c r="BJ926" i="8"/>
  <c r="AW926" i="8"/>
  <c r="AV926" i="8"/>
  <c r="BJ925" i="8"/>
  <c r="AW925" i="8"/>
  <c r="AV925" i="8"/>
  <c r="BJ924" i="8"/>
  <c r="AW924" i="8"/>
  <c r="AV924" i="8"/>
  <c r="BJ923" i="8"/>
  <c r="AW923" i="8"/>
  <c r="AV923" i="8"/>
  <c r="BJ922" i="8"/>
  <c r="AW922" i="8"/>
  <c r="AV922" i="8"/>
  <c r="BJ921" i="8"/>
  <c r="AW921" i="8"/>
  <c r="AV921" i="8"/>
  <c r="BJ920" i="8"/>
  <c r="AW920" i="8"/>
  <c r="AV920" i="8"/>
  <c r="BJ919" i="8"/>
  <c r="AW919" i="8"/>
  <c r="AV919" i="8"/>
  <c r="BJ918" i="8"/>
  <c r="AW918" i="8"/>
  <c r="AV918" i="8"/>
  <c r="BJ917" i="8"/>
  <c r="AW917" i="8"/>
  <c r="AV917" i="8"/>
  <c r="BJ916" i="8"/>
  <c r="AW916" i="8"/>
  <c r="AV916" i="8"/>
  <c r="BJ915" i="8"/>
  <c r="AW915" i="8"/>
  <c r="AX915" i="8" s="1"/>
  <c r="AY915" i="8" s="1"/>
  <c r="AV915" i="8"/>
  <c r="BJ914" i="8"/>
  <c r="AW914" i="8"/>
  <c r="AV914" i="8"/>
  <c r="BJ913" i="8"/>
  <c r="AW913" i="8"/>
  <c r="AV913" i="8"/>
  <c r="BJ912" i="8"/>
  <c r="AW912" i="8"/>
  <c r="AV912" i="8"/>
  <c r="BJ911" i="8"/>
  <c r="AW911" i="8"/>
  <c r="AV911" i="8"/>
  <c r="BJ910" i="8"/>
  <c r="AW910" i="8"/>
  <c r="AV910" i="8"/>
  <c r="BJ909" i="8"/>
  <c r="AW909" i="8"/>
  <c r="AV909" i="8"/>
  <c r="BJ908" i="8"/>
  <c r="AW908" i="8"/>
  <c r="AV908" i="8"/>
  <c r="BJ907" i="8"/>
  <c r="AW907" i="8"/>
  <c r="AV907" i="8"/>
  <c r="BJ906" i="8"/>
  <c r="AW906" i="8"/>
  <c r="AV906" i="8"/>
  <c r="BJ905" i="8"/>
  <c r="AW905" i="8"/>
  <c r="AV905" i="8"/>
  <c r="BJ904" i="8"/>
  <c r="AW904" i="8"/>
  <c r="AV904" i="8"/>
  <c r="BJ903" i="8"/>
  <c r="AW903" i="8"/>
  <c r="AV903" i="8"/>
  <c r="BJ902" i="8"/>
  <c r="AW902" i="8"/>
  <c r="AV902" i="8"/>
  <c r="BJ901" i="8"/>
  <c r="AW901" i="8"/>
  <c r="AV901" i="8"/>
  <c r="BJ900" i="8"/>
  <c r="AW900" i="8"/>
  <c r="AV900" i="8"/>
  <c r="BJ899" i="8"/>
  <c r="AW899" i="8"/>
  <c r="AV899" i="8"/>
  <c r="BJ898" i="8"/>
  <c r="AW898" i="8"/>
  <c r="AV898" i="8"/>
  <c r="BJ897" i="8"/>
  <c r="AW897" i="8"/>
  <c r="AV897" i="8"/>
  <c r="BJ896" i="8"/>
  <c r="AW896" i="8"/>
  <c r="AV896" i="8"/>
  <c r="BJ895" i="8"/>
  <c r="AW895" i="8"/>
  <c r="AV895" i="8"/>
  <c r="BJ894" i="8"/>
  <c r="AW894" i="8"/>
  <c r="AV894" i="8"/>
  <c r="BJ893" i="8"/>
  <c r="AW893" i="8"/>
  <c r="AV893" i="8"/>
  <c r="BJ892" i="8"/>
  <c r="AW892" i="8"/>
  <c r="AV892" i="8"/>
  <c r="BJ891" i="8"/>
  <c r="AW891" i="8"/>
  <c r="AV891" i="8"/>
  <c r="BJ890" i="8"/>
  <c r="AW890" i="8"/>
  <c r="AV890" i="8"/>
  <c r="BJ889" i="8"/>
  <c r="AW889" i="8"/>
  <c r="AV889" i="8"/>
  <c r="BJ888" i="8"/>
  <c r="AW888" i="8"/>
  <c r="AV888" i="8"/>
  <c r="BJ887" i="8"/>
  <c r="AW887" i="8"/>
  <c r="AV887" i="8"/>
  <c r="BJ886" i="8"/>
  <c r="AW886" i="8"/>
  <c r="AV886" i="8"/>
  <c r="BJ885" i="8"/>
  <c r="AW885" i="8"/>
  <c r="AV885" i="8"/>
  <c r="BJ884" i="8"/>
  <c r="AW884" i="8"/>
  <c r="AV884" i="8"/>
  <c r="BJ883" i="8"/>
  <c r="AW883" i="8"/>
  <c r="AV883" i="8"/>
  <c r="BJ882" i="8"/>
  <c r="AW882" i="8"/>
  <c r="AV882" i="8"/>
  <c r="BJ881" i="8"/>
  <c r="AW881" i="8"/>
  <c r="AV881" i="8"/>
  <c r="BJ880" i="8"/>
  <c r="AW880" i="8"/>
  <c r="AV880" i="8"/>
  <c r="BJ879" i="8"/>
  <c r="AW879" i="8"/>
  <c r="AV879" i="8"/>
  <c r="BJ878" i="8"/>
  <c r="AW878" i="8"/>
  <c r="AV878" i="8"/>
  <c r="BJ877" i="8"/>
  <c r="AW877" i="8"/>
  <c r="AV877" i="8"/>
  <c r="BJ876" i="8"/>
  <c r="AW876" i="8"/>
  <c r="AV876" i="8"/>
  <c r="BJ875" i="8"/>
  <c r="AW875" i="8"/>
  <c r="AV875" i="8"/>
  <c r="BJ874" i="8"/>
  <c r="AW874" i="8"/>
  <c r="AV874" i="8"/>
  <c r="BJ873" i="8"/>
  <c r="AW873" i="8"/>
  <c r="AV873" i="8"/>
  <c r="BJ872" i="8"/>
  <c r="AW872" i="8"/>
  <c r="AV872" i="8"/>
  <c r="BJ871" i="8"/>
  <c r="AW871" i="8"/>
  <c r="AV871" i="8"/>
  <c r="BJ870" i="8"/>
  <c r="AW870" i="8"/>
  <c r="AV870" i="8"/>
  <c r="BJ869" i="8"/>
  <c r="BC869" i="8"/>
  <c r="BE869" i="8" s="1"/>
  <c r="BB869" i="8"/>
  <c r="BD869" i="8" s="1"/>
  <c r="AW869" i="8"/>
  <c r="AV869" i="8"/>
  <c r="BJ868" i="8"/>
  <c r="BC868" i="8"/>
  <c r="BE868" i="8" s="1"/>
  <c r="BB868" i="8"/>
  <c r="BD868" i="8" s="1"/>
  <c r="AW868" i="8"/>
  <c r="AV868" i="8"/>
  <c r="BJ867" i="8"/>
  <c r="BC867" i="8"/>
  <c r="BE867" i="8" s="1"/>
  <c r="BB867" i="8"/>
  <c r="BD867" i="8" s="1"/>
  <c r="AW867" i="8"/>
  <c r="AV867" i="8"/>
  <c r="BJ866" i="8"/>
  <c r="BC866" i="8"/>
  <c r="BE866" i="8" s="1"/>
  <c r="BB866" i="8"/>
  <c r="BD866" i="8" s="1"/>
  <c r="AW866" i="8"/>
  <c r="AV866" i="8"/>
  <c r="BJ865" i="8"/>
  <c r="BC865" i="8"/>
  <c r="BE865" i="8" s="1"/>
  <c r="BB865" i="8"/>
  <c r="BD865" i="8" s="1"/>
  <c r="AW865" i="8"/>
  <c r="AV865" i="8"/>
  <c r="BJ864" i="8"/>
  <c r="BC864" i="8"/>
  <c r="BE864" i="8" s="1"/>
  <c r="BB864" i="8"/>
  <c r="BD864" i="8" s="1"/>
  <c r="AW864" i="8"/>
  <c r="AV864" i="8"/>
  <c r="BJ863" i="8"/>
  <c r="BC863" i="8"/>
  <c r="BE863" i="8" s="1"/>
  <c r="BB863" i="8"/>
  <c r="BD863" i="8" s="1"/>
  <c r="AW863" i="8"/>
  <c r="AV863" i="8"/>
  <c r="BJ862" i="8"/>
  <c r="BC862" i="8"/>
  <c r="BE862" i="8" s="1"/>
  <c r="BB862" i="8"/>
  <c r="BD862" i="8" s="1"/>
  <c r="AW862" i="8"/>
  <c r="AV862" i="8"/>
  <c r="BJ861" i="8"/>
  <c r="BE861" i="8"/>
  <c r="BD861" i="8"/>
  <c r="AX861" i="8"/>
  <c r="AY861" i="8" s="1"/>
  <c r="BJ860" i="8"/>
  <c r="BE860" i="8"/>
  <c r="BD860" i="8"/>
  <c r="AX860" i="8"/>
  <c r="AY860" i="8" s="1"/>
  <c r="BJ859" i="8"/>
  <c r="BF859" i="8"/>
  <c r="AX859" i="8"/>
  <c r="AY859" i="8" s="1"/>
  <c r="BJ858" i="8"/>
  <c r="BF858" i="8"/>
  <c r="AX858" i="8"/>
  <c r="AY858" i="8" s="1"/>
  <c r="BJ857" i="8"/>
  <c r="BF857" i="8"/>
  <c r="AX857" i="8"/>
  <c r="AY857" i="8" s="1"/>
  <c r="BJ856" i="8"/>
  <c r="BF856" i="8"/>
  <c r="AX856" i="8"/>
  <c r="AY856" i="8" s="1"/>
  <c r="BJ855" i="8"/>
  <c r="BF855" i="8"/>
  <c r="AX855" i="8"/>
  <c r="AY855" i="8" s="1"/>
  <c r="BJ854" i="8"/>
  <c r="BF854" i="8"/>
  <c r="AX854" i="8"/>
  <c r="AY854" i="8" s="1"/>
  <c r="BJ853" i="8"/>
  <c r="AW853" i="8"/>
  <c r="AV853" i="8"/>
  <c r="BJ852" i="8"/>
  <c r="AW852" i="8"/>
  <c r="AV852" i="8"/>
  <c r="BJ851" i="8"/>
  <c r="AW851" i="8"/>
  <c r="AV851" i="8"/>
  <c r="BJ850" i="8"/>
  <c r="AW850" i="8"/>
  <c r="AV850" i="8"/>
  <c r="BJ849" i="8"/>
  <c r="AW849" i="8"/>
  <c r="AV849" i="8"/>
  <c r="BJ848" i="8"/>
  <c r="AW848" i="8"/>
  <c r="AV848" i="8"/>
  <c r="BJ847" i="8"/>
  <c r="BF847" i="8"/>
  <c r="AX847" i="8"/>
  <c r="AY847" i="8" s="1"/>
  <c r="BJ846" i="8"/>
  <c r="BF846" i="8"/>
  <c r="AX846" i="8"/>
  <c r="AY846" i="8" s="1"/>
  <c r="BJ845" i="8"/>
  <c r="BF845" i="8"/>
  <c r="AX845" i="8"/>
  <c r="AY845" i="8" s="1"/>
  <c r="BJ844" i="8"/>
  <c r="BE844" i="8"/>
  <c r="BD844" i="8"/>
  <c r="AX844" i="8"/>
  <c r="AY844" i="8" s="1"/>
  <c r="BJ843" i="8"/>
  <c r="BE843" i="8"/>
  <c r="BD843" i="8"/>
  <c r="AX843" i="8"/>
  <c r="AY843" i="8" s="1"/>
  <c r="BJ842" i="8"/>
  <c r="BE842" i="8"/>
  <c r="BD842" i="8"/>
  <c r="AX842" i="8"/>
  <c r="AY842" i="8" s="1"/>
  <c r="Y842" i="8"/>
  <c r="BJ841" i="8"/>
  <c r="BE841" i="8"/>
  <c r="BD841" i="8"/>
  <c r="AX841" i="8"/>
  <c r="AY841" i="8" s="1"/>
  <c r="BJ840" i="8"/>
  <c r="BE840" i="8"/>
  <c r="BD840" i="8"/>
  <c r="AX840" i="8"/>
  <c r="AY840" i="8" s="1"/>
  <c r="BJ839" i="8"/>
  <c r="BE839" i="8"/>
  <c r="BD839" i="8"/>
  <c r="AX839" i="8"/>
  <c r="AY839" i="8" s="1"/>
  <c r="Y839" i="8"/>
  <c r="BJ838" i="8"/>
  <c r="BC838" i="8"/>
  <c r="BE838" i="8" s="1"/>
  <c r="BB838" i="8"/>
  <c r="BD838" i="8" s="1"/>
  <c r="AW838" i="8"/>
  <c r="AV838" i="8"/>
  <c r="BJ837" i="8"/>
  <c r="BC837" i="8"/>
  <c r="BE837" i="8" s="1"/>
  <c r="BB837" i="8"/>
  <c r="BD837" i="8" s="1"/>
  <c r="AW837" i="8"/>
  <c r="AV837" i="8"/>
  <c r="BJ836" i="8"/>
  <c r="BC836" i="8"/>
  <c r="BE836" i="8" s="1"/>
  <c r="BB836" i="8"/>
  <c r="BD836" i="8" s="1"/>
  <c r="AW836" i="8"/>
  <c r="AV836" i="8"/>
  <c r="Y836" i="8"/>
  <c r="BJ835" i="8"/>
  <c r="BC835" i="8"/>
  <c r="BE835" i="8" s="1"/>
  <c r="BB835" i="8"/>
  <c r="BD835" i="8" s="1"/>
  <c r="AW835" i="8"/>
  <c r="AV835" i="8"/>
  <c r="BJ834" i="8"/>
  <c r="BC834" i="8"/>
  <c r="BE834" i="8" s="1"/>
  <c r="BB834" i="8"/>
  <c r="BD834" i="8" s="1"/>
  <c r="AW834" i="8"/>
  <c r="AV834" i="8"/>
  <c r="BJ833" i="8"/>
  <c r="BC833" i="8"/>
  <c r="BE833" i="8" s="1"/>
  <c r="BB833" i="8"/>
  <c r="BD833" i="8" s="1"/>
  <c r="AW833" i="8"/>
  <c r="AV833" i="8"/>
  <c r="Y833" i="8"/>
  <c r="BJ832" i="8"/>
  <c r="BC832" i="8"/>
  <c r="BE832" i="8" s="1"/>
  <c r="BB832" i="8"/>
  <c r="BD832" i="8" s="1"/>
  <c r="AW832" i="8"/>
  <c r="AV832" i="8"/>
  <c r="BJ831" i="8"/>
  <c r="BC831" i="8"/>
  <c r="BE831" i="8" s="1"/>
  <c r="BB831" i="8"/>
  <c r="BD831" i="8" s="1"/>
  <c r="AW831" i="8"/>
  <c r="AV831" i="8"/>
  <c r="BJ830" i="8"/>
  <c r="BC830" i="8"/>
  <c r="BE830" i="8" s="1"/>
  <c r="BB830" i="8"/>
  <c r="BD830" i="8" s="1"/>
  <c r="AW830" i="8"/>
  <c r="AV830" i="8"/>
  <c r="Y830" i="8"/>
  <c r="BJ829" i="8"/>
  <c r="BE829" i="8"/>
  <c r="BD829" i="8"/>
  <c r="AX829" i="8"/>
  <c r="AY829" i="8" s="1"/>
  <c r="BJ828" i="8"/>
  <c r="BE828" i="8"/>
  <c r="BD828" i="8"/>
  <c r="AX828" i="8"/>
  <c r="AY828" i="8" s="1"/>
  <c r="BJ827" i="8"/>
  <c r="BE827" i="8"/>
  <c r="BD827" i="8"/>
  <c r="AX827" i="8"/>
  <c r="AY827" i="8" s="1"/>
  <c r="Y827" i="8"/>
  <c r="BJ826" i="8"/>
  <c r="AW826" i="8"/>
  <c r="AV826" i="8"/>
  <c r="BJ825" i="8"/>
  <c r="AW825" i="8"/>
  <c r="AV825" i="8"/>
  <c r="BJ824" i="8"/>
  <c r="AW824" i="8"/>
  <c r="AV824" i="8"/>
  <c r="BJ823" i="8"/>
  <c r="AW823" i="8"/>
  <c r="AV823" i="8"/>
  <c r="BJ822" i="8"/>
  <c r="AW822" i="8"/>
  <c r="AV822" i="8"/>
  <c r="BJ821" i="8"/>
  <c r="AW821" i="8"/>
  <c r="AV821" i="8"/>
  <c r="BJ820" i="8"/>
  <c r="AW820" i="8"/>
  <c r="AV820" i="8"/>
  <c r="BJ819" i="8"/>
  <c r="AW819" i="8"/>
  <c r="AV819" i="8"/>
  <c r="BJ818" i="8"/>
  <c r="AW818" i="8"/>
  <c r="AV818" i="8"/>
  <c r="BJ817" i="8"/>
  <c r="AW817" i="8"/>
  <c r="AV817" i="8"/>
  <c r="BJ816" i="8"/>
  <c r="AW816" i="8"/>
  <c r="AV816" i="8"/>
  <c r="BJ815" i="8"/>
  <c r="AW815" i="8"/>
  <c r="AV815" i="8"/>
  <c r="BJ814" i="8"/>
  <c r="AW814" i="8"/>
  <c r="AV814" i="8"/>
  <c r="BJ813" i="8"/>
  <c r="AW813" i="8"/>
  <c r="AV813" i="8"/>
  <c r="BJ812" i="8"/>
  <c r="AW812" i="8"/>
  <c r="AV812" i="8"/>
  <c r="BJ811" i="8"/>
  <c r="AW811" i="8"/>
  <c r="AV811" i="8"/>
  <c r="BJ810" i="8"/>
  <c r="AW810" i="8"/>
  <c r="AV810" i="8"/>
  <c r="BJ809" i="8"/>
  <c r="AW809" i="8"/>
  <c r="AV809" i="8"/>
  <c r="BJ808" i="8"/>
  <c r="BF808" i="8"/>
  <c r="AX808" i="8"/>
  <c r="AY808" i="8" s="1"/>
  <c r="BJ807" i="8"/>
  <c r="BF807" i="8"/>
  <c r="AX807" i="8"/>
  <c r="AY807" i="8" s="1"/>
  <c r="BJ806" i="8"/>
  <c r="BF806" i="8"/>
  <c r="AX806" i="8"/>
  <c r="AY806" i="8" s="1"/>
  <c r="BJ805" i="8"/>
  <c r="BF805" i="8"/>
  <c r="AX805" i="8"/>
  <c r="AY805" i="8" s="1"/>
  <c r="BJ804" i="8"/>
  <c r="BF804" i="8"/>
  <c r="AX804" i="8"/>
  <c r="AY804" i="8" s="1"/>
  <c r="BJ803" i="8"/>
  <c r="BF803" i="8"/>
  <c r="AX803" i="8"/>
  <c r="AY803" i="8" s="1"/>
  <c r="BJ802" i="8"/>
  <c r="BF802" i="8"/>
  <c r="AX802" i="8"/>
  <c r="AY802" i="8" s="1"/>
  <c r="BJ801" i="8"/>
  <c r="BF801" i="8"/>
  <c r="AX801" i="8"/>
  <c r="AY801" i="8" s="1"/>
  <c r="BJ800" i="8"/>
  <c r="BF800" i="8"/>
  <c r="AX800" i="8"/>
  <c r="AY800" i="8" s="1"/>
  <c r="BJ799" i="8"/>
  <c r="BC799" i="8"/>
  <c r="BE799" i="8" s="1"/>
  <c r="BB799" i="8"/>
  <c r="BD799" i="8" s="1"/>
  <c r="AX799" i="8"/>
  <c r="AY799" i="8" s="1"/>
  <c r="BJ798" i="8"/>
  <c r="BC798" i="8"/>
  <c r="BE798" i="8" s="1"/>
  <c r="BB798" i="8"/>
  <c r="BD798" i="8" s="1"/>
  <c r="AW798" i="8"/>
  <c r="AV798" i="8"/>
  <c r="BJ797" i="8"/>
  <c r="BC797" i="8"/>
  <c r="BE797" i="8" s="1"/>
  <c r="BB797" i="8"/>
  <c r="BD797" i="8" s="1"/>
  <c r="AW797" i="8"/>
  <c r="AV797" i="8"/>
  <c r="BJ796" i="8"/>
  <c r="BE796" i="8"/>
  <c r="BD796" i="8"/>
  <c r="AW796" i="8"/>
  <c r="BJ795" i="8"/>
  <c r="BC795" i="8"/>
  <c r="BE795" i="8" s="1"/>
  <c r="BB795" i="8"/>
  <c r="BD795" i="8" s="1"/>
  <c r="AW795" i="8"/>
  <c r="AV795" i="8"/>
  <c r="BJ794" i="8"/>
  <c r="BC794" i="8"/>
  <c r="BE794" i="8" s="1"/>
  <c r="BB794" i="8"/>
  <c r="BD794" i="8" s="1"/>
  <c r="AW794" i="8"/>
  <c r="AV794" i="8"/>
  <c r="BJ793" i="8"/>
  <c r="AW793" i="8"/>
  <c r="AX793" i="8" s="1"/>
  <c r="AY793" i="8" s="1"/>
  <c r="Z793" i="8"/>
  <c r="Y793" i="8"/>
  <c r="BJ792" i="8"/>
  <c r="AW792" i="8"/>
  <c r="Z792" i="8"/>
  <c r="Y792" i="8"/>
  <c r="BJ791" i="8"/>
  <c r="AW791" i="8"/>
  <c r="AV791" i="8"/>
  <c r="Z791" i="8"/>
  <c r="Y791" i="8"/>
  <c r="BJ790" i="8"/>
  <c r="AW790" i="8"/>
  <c r="AX790" i="8" s="1"/>
  <c r="AY790" i="8" s="1"/>
  <c r="Z790" i="8"/>
  <c r="Y790" i="8"/>
  <c r="BJ789" i="8"/>
  <c r="AW789" i="8"/>
  <c r="AV789" i="8"/>
  <c r="Z789" i="8"/>
  <c r="Y789" i="8"/>
  <c r="BJ788" i="8"/>
  <c r="AW788" i="8"/>
  <c r="AV788" i="8"/>
  <c r="Z788" i="8"/>
  <c r="Y788" i="8"/>
  <c r="BJ787" i="8"/>
  <c r="BE787" i="8"/>
  <c r="BC787" i="8" s="1"/>
  <c r="BD787" i="8"/>
  <c r="AW787" i="8"/>
  <c r="AV787" i="8"/>
  <c r="BJ786" i="8"/>
  <c r="BE786" i="8"/>
  <c r="BC786" i="8" s="1"/>
  <c r="BD786" i="8"/>
  <c r="AW786" i="8"/>
  <c r="AV786" i="8"/>
  <c r="BJ785" i="8"/>
  <c r="BE785" i="8"/>
  <c r="BC785" i="8" s="1"/>
  <c r="BD785" i="8"/>
  <c r="AW785" i="8"/>
  <c r="AV785" i="8"/>
  <c r="BJ784" i="8"/>
  <c r="BE784" i="8"/>
  <c r="BC784" i="8" s="1"/>
  <c r="BD784" i="8"/>
  <c r="AW784" i="8"/>
  <c r="AV784" i="8"/>
  <c r="BJ783" i="8"/>
  <c r="BF783" i="8"/>
  <c r="BL783" i="8" s="1"/>
  <c r="BM783" i="8" s="1"/>
  <c r="BC783" i="8"/>
  <c r="BB783" i="8"/>
  <c r="AX783" i="8"/>
  <c r="AY783" i="8" s="1"/>
  <c r="BJ782" i="8"/>
  <c r="BF782" i="8"/>
  <c r="BG782" i="8" s="1"/>
  <c r="BC782" i="8"/>
  <c r="BB782" i="8"/>
  <c r="AX782" i="8"/>
  <c r="AY782" i="8" s="1"/>
  <c r="BJ781" i="8"/>
  <c r="BE781" i="8"/>
  <c r="BC781" i="8" s="1"/>
  <c r="BD781" i="8"/>
  <c r="AW781" i="8"/>
  <c r="AV781" i="8"/>
  <c r="BJ780" i="8"/>
  <c r="BE780" i="8"/>
  <c r="BC780" i="8" s="1"/>
  <c r="BD780" i="8"/>
  <c r="AW780" i="8"/>
  <c r="AV780" i="8"/>
  <c r="BJ779" i="8"/>
  <c r="BE779" i="8"/>
  <c r="BC779" i="8" s="1"/>
  <c r="BD779" i="8"/>
  <c r="AW779" i="8"/>
  <c r="AV779" i="8"/>
  <c r="BJ778" i="8"/>
  <c r="BE778" i="8"/>
  <c r="BC778" i="8" s="1"/>
  <c r="BD778" i="8"/>
  <c r="AW778" i="8"/>
  <c r="AV778" i="8"/>
  <c r="BJ777" i="8"/>
  <c r="BE777" i="8"/>
  <c r="BC777" i="8" s="1"/>
  <c r="BD777" i="8"/>
  <c r="AW777" i="8"/>
  <c r="AV777" i="8"/>
  <c r="BJ776" i="8"/>
  <c r="BE776" i="8"/>
  <c r="BC776" i="8" s="1"/>
  <c r="BD776" i="8"/>
  <c r="AW776" i="8"/>
  <c r="AV776" i="8"/>
  <c r="BJ775" i="8"/>
  <c r="BE775" i="8"/>
  <c r="BC775" i="8" s="1"/>
  <c r="BD775" i="8"/>
  <c r="AW775" i="8"/>
  <c r="AV775" i="8"/>
  <c r="BJ774" i="8"/>
  <c r="BE774" i="8"/>
  <c r="BC774" i="8" s="1"/>
  <c r="BD774" i="8"/>
  <c r="AW774" i="8"/>
  <c r="AV774" i="8"/>
  <c r="BJ773" i="8"/>
  <c r="AW773" i="8"/>
  <c r="AV773" i="8"/>
  <c r="BJ772" i="8"/>
  <c r="AW772" i="8"/>
  <c r="AV772" i="8"/>
  <c r="BJ771" i="8"/>
  <c r="AW771" i="8"/>
  <c r="AV771" i="8"/>
  <c r="BJ770" i="8"/>
  <c r="AW770" i="8"/>
  <c r="AV770" i="8"/>
  <c r="BJ769" i="8"/>
  <c r="AW769" i="8"/>
  <c r="AV769" i="8"/>
  <c r="BJ768" i="8"/>
  <c r="AW768" i="8"/>
  <c r="AV768" i="8"/>
  <c r="BJ767" i="8"/>
  <c r="AW767" i="8"/>
  <c r="AV767" i="8"/>
  <c r="BJ766" i="8"/>
  <c r="AW766" i="8"/>
  <c r="AV766" i="8"/>
  <c r="BJ765" i="8"/>
  <c r="AW765" i="8"/>
  <c r="AV765" i="8"/>
  <c r="BJ764" i="8"/>
  <c r="AW764" i="8"/>
  <c r="AV764" i="8"/>
  <c r="BJ763" i="8"/>
  <c r="AW763" i="8"/>
  <c r="AV763" i="8"/>
  <c r="BJ762" i="8"/>
  <c r="AW762" i="8"/>
  <c r="AV762" i="8"/>
  <c r="BJ761" i="8"/>
  <c r="AW761" i="8"/>
  <c r="AV761" i="8"/>
  <c r="BJ760" i="8"/>
  <c r="AW760" i="8"/>
  <c r="AV760" i="8"/>
  <c r="BJ759" i="8"/>
  <c r="AW759" i="8"/>
  <c r="AV759" i="8"/>
  <c r="BJ758" i="8"/>
  <c r="AW758" i="8"/>
  <c r="AV758" i="8"/>
  <c r="BJ757" i="8"/>
  <c r="AW757" i="8"/>
  <c r="AV757" i="8"/>
  <c r="BJ756" i="8"/>
  <c r="AW756" i="8"/>
  <c r="AV756" i="8"/>
  <c r="BJ755" i="8"/>
  <c r="AW755" i="8"/>
  <c r="AV755" i="8"/>
  <c r="BJ754" i="8"/>
  <c r="AW754" i="8"/>
  <c r="AV754" i="8"/>
  <c r="BJ753" i="8"/>
  <c r="AW753" i="8"/>
  <c r="AV753" i="8"/>
  <c r="BJ752" i="8"/>
  <c r="AW752" i="8"/>
  <c r="AV752" i="8"/>
  <c r="BJ751" i="8"/>
  <c r="AW751" i="8"/>
  <c r="AV751" i="8"/>
  <c r="BJ750" i="8"/>
  <c r="AW750" i="8"/>
  <c r="AV750" i="8"/>
  <c r="BJ749" i="8"/>
  <c r="BF749" i="8"/>
  <c r="AX749" i="8"/>
  <c r="AY749" i="8" s="1"/>
  <c r="BJ748" i="8"/>
  <c r="BF748" i="8"/>
  <c r="AX748" i="8"/>
  <c r="AY748" i="8" s="1"/>
  <c r="BJ747" i="8"/>
  <c r="BF747" i="8"/>
  <c r="AX747" i="8"/>
  <c r="AY747" i="8" s="1"/>
  <c r="BJ746" i="8"/>
  <c r="AW746" i="8"/>
  <c r="AV746" i="8"/>
  <c r="BJ745" i="8"/>
  <c r="AW745" i="8"/>
  <c r="AV745" i="8"/>
  <c r="BJ744" i="8"/>
  <c r="AW744" i="8"/>
  <c r="AV744" i="8"/>
  <c r="BJ743" i="8"/>
  <c r="AW743" i="8"/>
  <c r="AV743" i="8"/>
  <c r="BJ742" i="8"/>
  <c r="AW742" i="8"/>
  <c r="AV742" i="8"/>
  <c r="BJ741" i="8"/>
  <c r="AW741" i="8"/>
  <c r="AV741" i="8"/>
  <c r="BJ740" i="8"/>
  <c r="AW740" i="8"/>
  <c r="AV740" i="8"/>
  <c r="BJ739" i="8"/>
  <c r="AW739" i="8"/>
  <c r="AV739" i="8"/>
  <c r="BJ738" i="8"/>
  <c r="AW738" i="8"/>
  <c r="AV738" i="8"/>
  <c r="BJ737" i="8"/>
  <c r="AW737" i="8"/>
  <c r="AV737" i="8"/>
  <c r="BJ736" i="8"/>
  <c r="AW736" i="8"/>
  <c r="AV736" i="8"/>
  <c r="BJ735" i="8"/>
  <c r="AW735" i="8"/>
  <c r="AV735" i="8"/>
  <c r="BJ734" i="8"/>
  <c r="AW734" i="8"/>
  <c r="AV734" i="8"/>
  <c r="BJ733" i="8"/>
  <c r="AW733" i="8"/>
  <c r="AV733" i="8"/>
  <c r="BJ732" i="8"/>
  <c r="AW732" i="8"/>
  <c r="AV732" i="8"/>
  <c r="BJ731" i="8"/>
  <c r="AW731" i="8"/>
  <c r="AV731" i="8"/>
  <c r="BJ730" i="8"/>
  <c r="AW730" i="8"/>
  <c r="AV730" i="8"/>
  <c r="BJ729" i="8"/>
  <c r="AW729" i="8"/>
  <c r="AV729" i="8"/>
  <c r="BJ728" i="8"/>
  <c r="BE728" i="8"/>
  <c r="BC728" i="8" s="1"/>
  <c r="BD728" i="8"/>
  <c r="BB728" i="8" s="1"/>
  <c r="AW728" i="8"/>
  <c r="AV728" i="8"/>
  <c r="BJ727" i="8"/>
  <c r="BE727" i="8"/>
  <c r="BC727" i="8" s="1"/>
  <c r="BD727" i="8"/>
  <c r="BB727" i="8" s="1"/>
  <c r="AW727" i="8"/>
  <c r="AV727" i="8"/>
  <c r="BJ726" i="8"/>
  <c r="BE726" i="8"/>
  <c r="BC726" i="8" s="1"/>
  <c r="BD726" i="8"/>
  <c r="BB726" i="8" s="1"/>
  <c r="AW726" i="8"/>
  <c r="AV726" i="8"/>
  <c r="BJ725" i="8"/>
  <c r="BE725" i="8"/>
  <c r="BC725" i="8" s="1"/>
  <c r="BD725" i="8"/>
  <c r="BB725" i="8" s="1"/>
  <c r="AW725" i="8"/>
  <c r="AV725" i="8"/>
  <c r="BJ724" i="8"/>
  <c r="BE724" i="8"/>
  <c r="BC724" i="8" s="1"/>
  <c r="BD724" i="8"/>
  <c r="BB724" i="8" s="1"/>
  <c r="AW724" i="8"/>
  <c r="AV724" i="8"/>
  <c r="BJ723" i="8"/>
  <c r="BF723" i="8"/>
  <c r="BL723" i="8" s="1"/>
  <c r="BM723" i="8" s="1"/>
  <c r="BC723" i="8"/>
  <c r="BB723" i="8"/>
  <c r="AX723" i="8"/>
  <c r="AY723" i="8" s="1"/>
  <c r="BJ722" i="8"/>
  <c r="BE722" i="8"/>
  <c r="BD722" i="8"/>
  <c r="AX722" i="8"/>
  <c r="AY722" i="8" s="1"/>
  <c r="BJ721" i="8"/>
  <c r="BE721" i="8"/>
  <c r="BD721" i="8"/>
  <c r="AX721" i="8"/>
  <c r="AY721" i="8" s="1"/>
  <c r="BJ720" i="8"/>
  <c r="BE720" i="8"/>
  <c r="BD720" i="8"/>
  <c r="AX720" i="8"/>
  <c r="AY720" i="8" s="1"/>
  <c r="BJ719" i="8"/>
  <c r="BE719" i="8"/>
  <c r="BD719" i="8"/>
  <c r="AX719" i="8"/>
  <c r="AY719" i="8" s="1"/>
  <c r="BJ718" i="8"/>
  <c r="BE718" i="8"/>
  <c r="BD718" i="8"/>
  <c r="AX718" i="8"/>
  <c r="AY718" i="8" s="1"/>
  <c r="BJ717" i="8"/>
  <c r="BE717" i="8"/>
  <c r="BD717" i="8"/>
  <c r="AX717" i="8"/>
  <c r="AY717" i="8" s="1"/>
  <c r="BJ716" i="8"/>
  <c r="BE716" i="8"/>
  <c r="BD716" i="8"/>
  <c r="AX716" i="8"/>
  <c r="AY716" i="8" s="1"/>
  <c r="BJ715" i="8"/>
  <c r="BE715" i="8"/>
  <c r="BD715" i="8"/>
  <c r="AX715" i="8"/>
  <c r="AY715" i="8" s="1"/>
  <c r="BJ714" i="8"/>
  <c r="BE714" i="8"/>
  <c r="BD714" i="8"/>
  <c r="AX714" i="8"/>
  <c r="AY714" i="8" s="1"/>
  <c r="BJ713" i="8"/>
  <c r="BE713" i="8"/>
  <c r="BD713" i="8"/>
  <c r="AX713" i="8"/>
  <c r="AY713" i="8" s="1"/>
  <c r="BJ712" i="8"/>
  <c r="BE712" i="8"/>
  <c r="BD712" i="8"/>
  <c r="AX712" i="8"/>
  <c r="AY712" i="8" s="1"/>
  <c r="BJ711" i="8"/>
  <c r="BE711" i="8"/>
  <c r="BD711" i="8"/>
  <c r="AX711" i="8"/>
  <c r="AY711" i="8" s="1"/>
  <c r="BJ710" i="8"/>
  <c r="BE710" i="8"/>
  <c r="BD710" i="8"/>
  <c r="AX710" i="8"/>
  <c r="AY710" i="8" s="1"/>
  <c r="BJ709" i="8"/>
  <c r="BE709" i="8"/>
  <c r="BD709" i="8"/>
  <c r="AX709" i="8"/>
  <c r="AY709" i="8" s="1"/>
  <c r="BJ708" i="8"/>
  <c r="BE708" i="8"/>
  <c r="BD708" i="8"/>
  <c r="AX708" i="8"/>
  <c r="AY708" i="8" s="1"/>
  <c r="BJ707" i="8"/>
  <c r="BE707" i="8"/>
  <c r="BD707" i="8"/>
  <c r="AX707" i="8"/>
  <c r="AY707" i="8" s="1"/>
  <c r="BJ706" i="8"/>
  <c r="BE706" i="8"/>
  <c r="BD706" i="8"/>
  <c r="AX706" i="8"/>
  <c r="AY706" i="8" s="1"/>
  <c r="BJ705" i="8"/>
  <c r="BE705" i="8"/>
  <c r="BD705" i="8"/>
  <c r="AX705" i="8"/>
  <c r="AY705" i="8" s="1"/>
  <c r="BJ704" i="8"/>
  <c r="BE704" i="8"/>
  <c r="BD704" i="8"/>
  <c r="AX704" i="8"/>
  <c r="AY704" i="8" s="1"/>
  <c r="BJ703" i="8"/>
  <c r="BE703" i="8"/>
  <c r="BD703" i="8"/>
  <c r="AX703" i="8"/>
  <c r="AY703" i="8" s="1"/>
  <c r="BJ702" i="8"/>
  <c r="BE702" i="8"/>
  <c r="BD702" i="8"/>
  <c r="AX702" i="8"/>
  <c r="AY702" i="8" s="1"/>
  <c r="BJ701" i="8"/>
  <c r="BE701" i="8"/>
  <c r="BD701" i="8"/>
  <c r="AX701" i="8"/>
  <c r="AY701" i="8" s="1"/>
  <c r="BJ700" i="8"/>
  <c r="BE700" i="8"/>
  <c r="BD700" i="8"/>
  <c r="AX700" i="8"/>
  <c r="AY700" i="8" s="1"/>
  <c r="BJ699" i="8"/>
  <c r="BE699" i="8"/>
  <c r="BD699" i="8"/>
  <c r="AX699" i="8"/>
  <c r="AY699" i="8" s="1"/>
  <c r="BJ698" i="8"/>
  <c r="BE698" i="8"/>
  <c r="BD698" i="8"/>
  <c r="AX698" i="8"/>
  <c r="AY698" i="8" s="1"/>
  <c r="BJ697" i="8"/>
  <c r="BE697" i="8"/>
  <c r="BD697" i="8"/>
  <c r="AX697" i="8"/>
  <c r="AY697" i="8" s="1"/>
  <c r="BJ696" i="8"/>
  <c r="BE696" i="8"/>
  <c r="BD696" i="8"/>
  <c r="AX696" i="8"/>
  <c r="AY696" i="8" s="1"/>
  <c r="BJ695" i="8"/>
  <c r="BE695" i="8"/>
  <c r="BD695" i="8"/>
  <c r="AX695" i="8"/>
  <c r="AY695" i="8" s="1"/>
  <c r="BJ694" i="8"/>
  <c r="BE694" i="8"/>
  <c r="BD694" i="8"/>
  <c r="AX694" i="8"/>
  <c r="AY694" i="8" s="1"/>
  <c r="BJ693" i="8"/>
  <c r="BE693" i="8"/>
  <c r="BD693" i="8"/>
  <c r="AX693" i="8"/>
  <c r="AY693" i="8" s="1"/>
  <c r="BJ692" i="8"/>
  <c r="BE692" i="8"/>
  <c r="BD692" i="8"/>
  <c r="AX692" i="8"/>
  <c r="AY692" i="8" s="1"/>
  <c r="BJ691" i="8"/>
  <c r="BE691" i="8"/>
  <c r="BD691" i="8"/>
  <c r="AX691" i="8"/>
  <c r="AY691" i="8" s="1"/>
  <c r="BJ690" i="8"/>
  <c r="BE690" i="8"/>
  <c r="BD690" i="8"/>
  <c r="AX690" i="8"/>
  <c r="AY690" i="8" s="1"/>
  <c r="BJ689" i="8"/>
  <c r="BE689" i="8"/>
  <c r="BD689" i="8"/>
  <c r="AX689" i="8"/>
  <c r="AY689" i="8" s="1"/>
  <c r="BJ688" i="8"/>
  <c r="BE688" i="8"/>
  <c r="BD688" i="8"/>
  <c r="AX688" i="8"/>
  <c r="AY688" i="8" s="1"/>
  <c r="BJ687" i="8"/>
  <c r="BE687" i="8"/>
  <c r="BD687" i="8"/>
  <c r="AX687" i="8"/>
  <c r="AY687" i="8" s="1"/>
  <c r="BJ686" i="8"/>
  <c r="AW686" i="8"/>
  <c r="AV686" i="8"/>
  <c r="BJ685" i="8"/>
  <c r="AW685" i="8"/>
  <c r="AV685" i="8"/>
  <c r="BJ684" i="8"/>
  <c r="AW684" i="8"/>
  <c r="AV684" i="8"/>
  <c r="BJ683" i="8"/>
  <c r="AW683" i="8"/>
  <c r="AV683" i="8"/>
  <c r="BJ682" i="8"/>
  <c r="AW682" i="8"/>
  <c r="AV682" i="8"/>
  <c r="BJ681" i="8"/>
  <c r="AW681" i="8"/>
  <c r="AV681" i="8"/>
  <c r="BJ680" i="8"/>
  <c r="AW680" i="8"/>
  <c r="AV680" i="8"/>
  <c r="BJ679" i="8"/>
  <c r="AW679" i="8"/>
  <c r="AV679" i="8"/>
  <c r="BJ678" i="8"/>
  <c r="AW678" i="8"/>
  <c r="AV678" i="8"/>
  <c r="BJ677" i="8"/>
  <c r="AW677" i="8"/>
  <c r="AV677" i="8"/>
  <c r="BJ676" i="8"/>
  <c r="AW676" i="8"/>
  <c r="AV676" i="8"/>
  <c r="BJ675" i="8"/>
  <c r="AW675" i="8"/>
  <c r="BJ674" i="8"/>
  <c r="AW674" i="8"/>
  <c r="AV674" i="8"/>
  <c r="BJ673" i="8"/>
  <c r="AW673" i="8"/>
  <c r="AV673" i="8"/>
  <c r="BJ672" i="8"/>
  <c r="AW672" i="8"/>
  <c r="AV672" i="8"/>
  <c r="BJ671" i="8"/>
  <c r="AW671" i="8"/>
  <c r="AV671" i="8"/>
  <c r="BJ670" i="8"/>
  <c r="AW670" i="8"/>
  <c r="AV670" i="8"/>
  <c r="BJ669" i="8"/>
  <c r="AW669" i="8"/>
  <c r="AV669" i="8"/>
  <c r="BJ668" i="8"/>
  <c r="AW668" i="8"/>
  <c r="AV668" i="8"/>
  <c r="BJ667" i="8"/>
  <c r="AW667" i="8"/>
  <c r="AV667" i="8"/>
  <c r="BJ666" i="8"/>
  <c r="AW666" i="8"/>
  <c r="AV666" i="8"/>
  <c r="BJ665" i="8"/>
  <c r="AW665" i="8"/>
  <c r="AV665" i="8"/>
  <c r="BJ664" i="8"/>
  <c r="AW664" i="8"/>
  <c r="AV664" i="8"/>
  <c r="BJ663" i="8"/>
  <c r="AW663" i="8"/>
  <c r="AV663" i="8"/>
  <c r="BJ662" i="8"/>
  <c r="AW662" i="8"/>
  <c r="AV662" i="8"/>
  <c r="BJ661" i="8"/>
  <c r="AW661" i="8"/>
  <c r="AV661" i="8"/>
  <c r="BJ660" i="8"/>
  <c r="AW660" i="8"/>
  <c r="AV660" i="8"/>
  <c r="BJ659" i="8"/>
  <c r="AW659" i="8"/>
  <c r="AV659" i="8"/>
  <c r="BJ658" i="8"/>
  <c r="AW658" i="8"/>
  <c r="AV658" i="8"/>
  <c r="BJ657" i="8"/>
  <c r="AW657" i="8"/>
  <c r="AV657" i="8"/>
  <c r="BJ656" i="8"/>
  <c r="AW656" i="8"/>
  <c r="AV656" i="8"/>
  <c r="BJ655" i="8"/>
  <c r="AW655" i="8"/>
  <c r="AV655" i="8"/>
  <c r="BJ654" i="8"/>
  <c r="AW654" i="8"/>
  <c r="AV654" i="8"/>
  <c r="BJ653" i="8"/>
  <c r="AW653" i="8"/>
  <c r="AV653" i="8"/>
  <c r="BJ652" i="8"/>
  <c r="AW652" i="8"/>
  <c r="AV652" i="8"/>
  <c r="BJ651" i="8"/>
  <c r="AW651" i="8"/>
  <c r="AV651" i="8"/>
  <c r="BJ650" i="8"/>
  <c r="BE650" i="8"/>
  <c r="BC650" i="8" s="1"/>
  <c r="BD650" i="8"/>
  <c r="BB650" i="8" s="1"/>
  <c r="AW650" i="8"/>
  <c r="AV650" i="8"/>
  <c r="BJ649" i="8"/>
  <c r="BE649" i="8"/>
  <c r="BC649" i="8" s="1"/>
  <c r="BD649" i="8"/>
  <c r="BB649" i="8" s="1"/>
  <c r="AW649" i="8"/>
  <c r="AV649" i="8"/>
  <c r="BJ648" i="8"/>
  <c r="BE648" i="8"/>
  <c r="BC648" i="8" s="1"/>
  <c r="BD648" i="8"/>
  <c r="BB648" i="8" s="1"/>
  <c r="AW648" i="8"/>
  <c r="AV648" i="8"/>
  <c r="BJ647" i="8"/>
  <c r="BE647" i="8"/>
  <c r="BC647" i="8" s="1"/>
  <c r="BD647" i="8"/>
  <c r="BB647" i="8" s="1"/>
  <c r="AW647" i="8"/>
  <c r="AV647" i="8"/>
  <c r="BJ646" i="8"/>
  <c r="BE646" i="8"/>
  <c r="BD646" i="8"/>
  <c r="BB646" i="8" s="1"/>
  <c r="AX646" i="8"/>
  <c r="AY646" i="8" s="1"/>
  <c r="BJ645" i="8"/>
  <c r="BE645" i="8"/>
  <c r="BC645" i="8" s="1"/>
  <c r="BD645" i="8"/>
  <c r="AW645" i="8"/>
  <c r="AV645" i="8"/>
  <c r="BJ644" i="8"/>
  <c r="BE644" i="8"/>
  <c r="BC644" i="8" s="1"/>
  <c r="BD644" i="8"/>
  <c r="AW644" i="8"/>
  <c r="AV644" i="8"/>
  <c r="BJ643" i="8"/>
  <c r="BE643" i="8"/>
  <c r="BC643" i="8" s="1"/>
  <c r="BD643" i="8"/>
  <c r="AW643" i="8"/>
  <c r="AV643" i="8"/>
  <c r="BJ642" i="8"/>
  <c r="BE642" i="8"/>
  <c r="BC642" i="8" s="1"/>
  <c r="BD642" i="8"/>
  <c r="AW642" i="8"/>
  <c r="AV642" i="8"/>
  <c r="BJ641" i="8"/>
  <c r="BE641" i="8"/>
  <c r="BB641" i="8"/>
  <c r="AX641" i="8"/>
  <c r="AY641" i="8" s="1"/>
  <c r="BJ640" i="8"/>
  <c r="BC640" i="8"/>
  <c r="BE640" i="8" s="1"/>
  <c r="BB640" i="8"/>
  <c r="BD640" i="8" s="1"/>
  <c r="AW640" i="8"/>
  <c r="AV640" i="8"/>
  <c r="BJ639" i="8"/>
  <c r="BC639" i="8"/>
  <c r="BE639" i="8" s="1"/>
  <c r="BB639" i="8"/>
  <c r="BD639" i="8" s="1"/>
  <c r="AW639" i="8"/>
  <c r="AV639" i="8"/>
  <c r="BJ638" i="8"/>
  <c r="BC638" i="8"/>
  <c r="BE638" i="8" s="1"/>
  <c r="BB638" i="8"/>
  <c r="BD638" i="8" s="1"/>
  <c r="AW638" i="8"/>
  <c r="AV638" i="8"/>
  <c r="BJ637" i="8"/>
  <c r="BC637" i="8"/>
  <c r="BE637" i="8" s="1"/>
  <c r="BB637" i="8"/>
  <c r="BD637" i="8" s="1"/>
  <c r="AW637" i="8"/>
  <c r="AV637" i="8"/>
  <c r="BJ636" i="8"/>
  <c r="BE636" i="8"/>
  <c r="BC636" i="8" s="1"/>
  <c r="BD636" i="8"/>
  <c r="BB636" i="8" s="1"/>
  <c r="AW636" i="8"/>
  <c r="AV636" i="8"/>
  <c r="BJ635" i="8"/>
  <c r="BE635" i="8"/>
  <c r="BC635" i="8" s="1"/>
  <c r="BD635" i="8"/>
  <c r="BB635" i="8" s="1"/>
  <c r="AW635" i="8"/>
  <c r="AV635" i="8"/>
  <c r="BJ634" i="8"/>
  <c r="BE634" i="8"/>
  <c r="BC634" i="8" s="1"/>
  <c r="BD634" i="8"/>
  <c r="BB634" i="8" s="1"/>
  <c r="AW634" i="8"/>
  <c r="AV634" i="8"/>
  <c r="BJ633" i="8"/>
  <c r="BE633" i="8"/>
  <c r="BC633" i="8" s="1"/>
  <c r="BD633" i="8"/>
  <c r="BB633" i="8" s="1"/>
  <c r="AW633" i="8"/>
  <c r="AV633" i="8"/>
  <c r="BJ632" i="8"/>
  <c r="BE632" i="8"/>
  <c r="BC632" i="8" s="1"/>
  <c r="BD632" i="8"/>
  <c r="BB632" i="8" s="1"/>
  <c r="AW632" i="8"/>
  <c r="AV632" i="8"/>
  <c r="BJ631" i="8"/>
  <c r="BE631" i="8"/>
  <c r="BC631" i="8" s="1"/>
  <c r="BD631" i="8"/>
  <c r="BB631" i="8" s="1"/>
  <c r="AW631" i="8"/>
  <c r="AV631" i="8"/>
  <c r="BJ630" i="8"/>
  <c r="BE630" i="8"/>
  <c r="BC630" i="8" s="1"/>
  <c r="BD630" i="8"/>
  <c r="BB630" i="8" s="1"/>
  <c r="AW630" i="8"/>
  <c r="AV630" i="8"/>
  <c r="BJ629" i="8"/>
  <c r="BE629" i="8"/>
  <c r="BC629" i="8" s="1"/>
  <c r="BD629" i="8"/>
  <c r="BB629" i="8" s="1"/>
  <c r="AW629" i="8"/>
  <c r="AV629" i="8"/>
  <c r="BJ628" i="8"/>
  <c r="BE628" i="8"/>
  <c r="BC628" i="8" s="1"/>
  <c r="BD628" i="8"/>
  <c r="BB628" i="8" s="1"/>
  <c r="AW628" i="8"/>
  <c r="AV628" i="8"/>
  <c r="BJ627" i="8"/>
  <c r="BE627" i="8"/>
  <c r="BC627" i="8" s="1"/>
  <c r="BD627" i="8"/>
  <c r="BB627" i="8" s="1"/>
  <c r="AW627" i="8"/>
  <c r="AV627" i="8"/>
  <c r="BJ626" i="8"/>
  <c r="BE626" i="8"/>
  <c r="BC626" i="8" s="1"/>
  <c r="BD626" i="8"/>
  <c r="BB626" i="8" s="1"/>
  <c r="AW626" i="8"/>
  <c r="AV626" i="8"/>
  <c r="BJ625" i="8"/>
  <c r="BE625" i="8"/>
  <c r="BC625" i="8" s="1"/>
  <c r="BD625" i="8"/>
  <c r="BB625" i="8" s="1"/>
  <c r="AW625" i="8"/>
  <c r="AV625" i="8"/>
  <c r="BJ624" i="8"/>
  <c r="BF624" i="8"/>
  <c r="AX624" i="8"/>
  <c r="AY624" i="8" s="1"/>
  <c r="BJ623" i="8"/>
  <c r="BF623" i="8"/>
  <c r="AX623" i="8"/>
  <c r="AY623" i="8" s="1"/>
  <c r="BJ622" i="8"/>
  <c r="BF622" i="8"/>
  <c r="AX622" i="8"/>
  <c r="AY622" i="8" s="1"/>
  <c r="BJ621" i="8"/>
  <c r="BF621" i="8"/>
  <c r="AX621" i="8"/>
  <c r="AY621" i="8" s="1"/>
  <c r="BJ620" i="8"/>
  <c r="BF620" i="8"/>
  <c r="AX620" i="8"/>
  <c r="AY620" i="8" s="1"/>
  <c r="BJ619" i="8"/>
  <c r="BF619" i="8"/>
  <c r="AX619" i="8"/>
  <c r="AY619" i="8" s="1"/>
  <c r="BJ618" i="8"/>
  <c r="AW618" i="8"/>
  <c r="AV618" i="8"/>
  <c r="BJ617" i="8"/>
  <c r="AW617" i="8"/>
  <c r="AV617" i="8"/>
  <c r="BJ616" i="8"/>
  <c r="AW616" i="8"/>
  <c r="AV616" i="8"/>
  <c r="BJ615" i="8"/>
  <c r="AW615" i="8"/>
  <c r="AV615" i="8"/>
  <c r="BJ614" i="8"/>
  <c r="AW614" i="8"/>
  <c r="AV614" i="8"/>
  <c r="BJ613" i="8"/>
  <c r="AW613" i="8"/>
  <c r="AV613" i="8"/>
  <c r="BJ612" i="8"/>
  <c r="BE612" i="8"/>
  <c r="BD612" i="8"/>
  <c r="AX612" i="8"/>
  <c r="AY612" i="8" s="1"/>
  <c r="BJ611" i="8"/>
  <c r="BE611" i="8"/>
  <c r="BD611" i="8"/>
  <c r="AX611" i="8"/>
  <c r="AY611" i="8" s="1"/>
  <c r="BJ610" i="8"/>
  <c r="BE610" i="8"/>
  <c r="BD610" i="8"/>
  <c r="AX610" i="8"/>
  <c r="AY610" i="8" s="1"/>
  <c r="BJ609" i="8"/>
  <c r="BC609" i="8"/>
  <c r="BE609" i="8" s="1"/>
  <c r="BB609" i="8"/>
  <c r="BD609" i="8" s="1"/>
  <c r="AW609" i="8"/>
  <c r="AV609" i="8"/>
  <c r="BJ608" i="8"/>
  <c r="BC608" i="8"/>
  <c r="BE608" i="8" s="1"/>
  <c r="BB608" i="8"/>
  <c r="BD608" i="8" s="1"/>
  <c r="AW608" i="8"/>
  <c r="AV608" i="8"/>
  <c r="BJ607" i="8"/>
  <c r="BC607" i="8"/>
  <c r="BE607" i="8" s="1"/>
  <c r="BB607" i="8"/>
  <c r="BD607" i="8" s="1"/>
  <c r="AW607" i="8"/>
  <c r="AV607" i="8"/>
  <c r="BJ606" i="8"/>
  <c r="BC606" i="8"/>
  <c r="BE606" i="8" s="1"/>
  <c r="BB606" i="8"/>
  <c r="BD606" i="8" s="1"/>
  <c r="AW606" i="8"/>
  <c r="AV606" i="8"/>
  <c r="BJ605" i="8"/>
  <c r="BC605" i="8"/>
  <c r="BE605" i="8" s="1"/>
  <c r="BB605" i="8"/>
  <c r="BD605" i="8" s="1"/>
  <c r="AW605" i="8"/>
  <c r="AV605" i="8"/>
  <c r="BJ604" i="8"/>
  <c r="BC604" i="8"/>
  <c r="BE604" i="8" s="1"/>
  <c r="BB604" i="8"/>
  <c r="BD604" i="8" s="1"/>
  <c r="AW604" i="8"/>
  <c r="AV604" i="8"/>
  <c r="BJ603" i="8"/>
  <c r="BC603" i="8"/>
  <c r="BE603" i="8" s="1"/>
  <c r="BB603" i="8"/>
  <c r="BD603" i="8" s="1"/>
  <c r="AW603" i="8"/>
  <c r="AV603" i="8"/>
  <c r="BJ602" i="8"/>
  <c r="BC602" i="8"/>
  <c r="BE602" i="8" s="1"/>
  <c r="BB602" i="8"/>
  <c r="BD602" i="8" s="1"/>
  <c r="AW602" i="8"/>
  <c r="AV602" i="8"/>
  <c r="BJ601" i="8"/>
  <c r="BC601" i="8"/>
  <c r="BE601" i="8" s="1"/>
  <c r="BB601" i="8"/>
  <c r="BD601" i="8" s="1"/>
  <c r="AW601" i="8"/>
  <c r="AV601" i="8"/>
  <c r="BJ600" i="8"/>
  <c r="BE600" i="8"/>
  <c r="BD600" i="8"/>
  <c r="AX600" i="8"/>
  <c r="AY600" i="8" s="1"/>
  <c r="BJ599" i="8"/>
  <c r="BE599" i="8"/>
  <c r="BD599" i="8"/>
  <c r="AX599" i="8"/>
  <c r="AY599" i="8" s="1"/>
  <c r="BJ598" i="8"/>
  <c r="BE598" i="8"/>
  <c r="BD598" i="8"/>
  <c r="AX598" i="8"/>
  <c r="AY598" i="8" s="1"/>
  <c r="BJ597" i="8"/>
  <c r="BC597" i="8"/>
  <c r="BE597" i="8" s="1"/>
  <c r="BB597" i="8"/>
  <c r="BD597" i="8" s="1"/>
  <c r="AW597" i="8"/>
  <c r="AV597" i="8"/>
  <c r="BJ596" i="8"/>
  <c r="BC596" i="8"/>
  <c r="BE596" i="8" s="1"/>
  <c r="BB596" i="8"/>
  <c r="BD596" i="8" s="1"/>
  <c r="AW596" i="8"/>
  <c r="AV596" i="8"/>
  <c r="BJ595" i="8"/>
  <c r="BC595" i="8"/>
  <c r="BE595" i="8" s="1"/>
  <c r="BB595" i="8"/>
  <c r="BD595" i="8" s="1"/>
  <c r="AW595" i="8"/>
  <c r="AV595" i="8"/>
  <c r="BJ594" i="8"/>
  <c r="BC594" i="8"/>
  <c r="BE594" i="8" s="1"/>
  <c r="BB594" i="8"/>
  <c r="BD594" i="8" s="1"/>
  <c r="AW594" i="8"/>
  <c r="AV594" i="8"/>
  <c r="BJ593" i="8"/>
  <c r="BC593" i="8"/>
  <c r="BE593" i="8" s="1"/>
  <c r="BB593" i="8"/>
  <c r="BD593" i="8" s="1"/>
  <c r="AW593" i="8"/>
  <c r="AV593" i="8"/>
  <c r="BJ592" i="8"/>
  <c r="BC592" i="8"/>
  <c r="BE592" i="8" s="1"/>
  <c r="BB592" i="8"/>
  <c r="BD592" i="8" s="1"/>
  <c r="AW592" i="8"/>
  <c r="AV592" i="8"/>
  <c r="BJ591" i="8"/>
  <c r="BC591" i="8"/>
  <c r="BE591" i="8" s="1"/>
  <c r="BB591" i="8"/>
  <c r="BD591" i="8" s="1"/>
  <c r="AW591" i="8"/>
  <c r="AV591" i="8"/>
  <c r="BJ590" i="8"/>
  <c r="BC590" i="8"/>
  <c r="BE590" i="8" s="1"/>
  <c r="BB590" i="8"/>
  <c r="BD590" i="8" s="1"/>
  <c r="AW590" i="8"/>
  <c r="AV590" i="8"/>
  <c r="BJ589" i="8"/>
  <c r="BC589" i="8"/>
  <c r="BE589" i="8" s="1"/>
  <c r="BB589" i="8"/>
  <c r="BD589" i="8" s="1"/>
  <c r="AW589" i="8"/>
  <c r="AV589" i="8"/>
  <c r="BJ588" i="8"/>
  <c r="BE588" i="8"/>
  <c r="BD588" i="8"/>
  <c r="AX588" i="8"/>
  <c r="AY588" i="8" s="1"/>
  <c r="BJ587" i="8"/>
  <c r="BE587" i="8"/>
  <c r="BD587" i="8"/>
  <c r="AX587" i="8"/>
  <c r="AY587" i="8" s="1"/>
  <c r="BJ586" i="8"/>
  <c r="BE586" i="8"/>
  <c r="BD586" i="8"/>
  <c r="AX586" i="8"/>
  <c r="AY586" i="8" s="1"/>
  <c r="BJ585" i="8"/>
  <c r="BC585" i="8"/>
  <c r="BE585" i="8" s="1"/>
  <c r="BB585" i="8"/>
  <c r="BD585" i="8" s="1"/>
  <c r="AW585" i="8"/>
  <c r="AV585" i="8"/>
  <c r="BJ584" i="8"/>
  <c r="BC584" i="8"/>
  <c r="BE584" i="8" s="1"/>
  <c r="BB584" i="8"/>
  <c r="BD584" i="8" s="1"/>
  <c r="AW584" i="8"/>
  <c r="AV584" i="8"/>
  <c r="BJ583" i="8"/>
  <c r="BC583" i="8"/>
  <c r="BE583" i="8" s="1"/>
  <c r="BB583" i="8"/>
  <c r="BD583" i="8" s="1"/>
  <c r="AW583" i="8"/>
  <c r="AV583" i="8"/>
  <c r="BJ582" i="8"/>
  <c r="BC582" i="8"/>
  <c r="BE582" i="8" s="1"/>
  <c r="BB582" i="8"/>
  <c r="BD582" i="8" s="1"/>
  <c r="AW582" i="8"/>
  <c r="AV582" i="8"/>
  <c r="BJ581" i="8"/>
  <c r="BC581" i="8"/>
  <c r="BE581" i="8" s="1"/>
  <c r="BB581" i="8"/>
  <c r="BD581" i="8" s="1"/>
  <c r="AW581" i="8"/>
  <c r="AV581" i="8"/>
  <c r="BJ580" i="8"/>
  <c r="BC580" i="8"/>
  <c r="BE580" i="8" s="1"/>
  <c r="BB580" i="8"/>
  <c r="BD580" i="8" s="1"/>
  <c r="AW580" i="8"/>
  <c r="AV580" i="8"/>
  <c r="BJ579" i="8"/>
  <c r="AW579" i="8"/>
  <c r="AV579" i="8"/>
  <c r="BJ578" i="8"/>
  <c r="AW578" i="8"/>
  <c r="AV578" i="8"/>
  <c r="BJ577" i="8"/>
  <c r="AW577" i="8"/>
  <c r="AV577" i="8"/>
  <c r="BJ576" i="8"/>
  <c r="AW576" i="8"/>
  <c r="AV576" i="8"/>
  <c r="BJ575" i="8"/>
  <c r="AW575" i="8"/>
  <c r="AV575" i="8"/>
  <c r="BJ574" i="8"/>
  <c r="AW574" i="8"/>
  <c r="AV574" i="8"/>
  <c r="BJ573" i="8"/>
  <c r="AW573" i="8"/>
  <c r="AV573" i="8"/>
  <c r="BJ572" i="8"/>
  <c r="AW572" i="8"/>
  <c r="AV572" i="8"/>
  <c r="BJ571" i="8"/>
  <c r="AW571" i="8"/>
  <c r="AV571" i="8"/>
  <c r="BJ570" i="8"/>
  <c r="AW570" i="8"/>
  <c r="AV570" i="8"/>
  <c r="BJ569" i="8"/>
  <c r="AW569" i="8"/>
  <c r="AV569" i="8"/>
  <c r="BJ568" i="8"/>
  <c r="AW568" i="8"/>
  <c r="AV568" i="8"/>
  <c r="BJ567" i="8"/>
  <c r="AW567" i="8"/>
  <c r="AV567" i="8"/>
  <c r="BJ566" i="8"/>
  <c r="AW566" i="8"/>
  <c r="AV566" i="8"/>
  <c r="BJ565" i="8"/>
  <c r="AW565" i="8"/>
  <c r="AV565" i="8"/>
  <c r="BJ564" i="8"/>
  <c r="AW564" i="8"/>
  <c r="AV564" i="8"/>
  <c r="BJ563" i="8"/>
  <c r="AW563" i="8"/>
  <c r="AV563" i="8"/>
  <c r="BJ562" i="8"/>
  <c r="AW562" i="8"/>
  <c r="AV562" i="8"/>
  <c r="BJ561" i="8"/>
  <c r="BE561" i="8"/>
  <c r="BC561" i="8" s="1"/>
  <c r="BD561" i="8"/>
  <c r="BB561" i="8" s="1"/>
  <c r="AW561" i="8"/>
  <c r="AV561" i="8"/>
  <c r="BJ560" i="8"/>
  <c r="BE560" i="8"/>
  <c r="BC560" i="8" s="1"/>
  <c r="BD560" i="8"/>
  <c r="BB560" i="8" s="1"/>
  <c r="AW560" i="8"/>
  <c r="AV560" i="8"/>
  <c r="BJ559" i="8"/>
  <c r="BE559" i="8"/>
  <c r="BC559" i="8" s="1"/>
  <c r="BD559" i="8"/>
  <c r="BB559" i="8" s="1"/>
  <c r="AW559" i="8"/>
  <c r="AV559" i="8"/>
  <c r="BJ558" i="8"/>
  <c r="BE558" i="8"/>
  <c r="BC558" i="8" s="1"/>
  <c r="BD558" i="8"/>
  <c r="BB558" i="8" s="1"/>
  <c r="AW558" i="8"/>
  <c r="AV558" i="8"/>
  <c r="BJ557" i="8"/>
  <c r="BE557" i="8"/>
  <c r="BD557" i="8"/>
  <c r="AW557" i="8"/>
  <c r="AV557" i="8"/>
  <c r="BJ556" i="8"/>
  <c r="BE556" i="8"/>
  <c r="BC556" i="8" s="1"/>
  <c r="BD556" i="8"/>
  <c r="BB556" i="8" s="1"/>
  <c r="AW556" i="8"/>
  <c r="AV556" i="8"/>
  <c r="BJ555" i="8"/>
  <c r="BE555" i="8"/>
  <c r="BC555" i="8" s="1"/>
  <c r="BD555" i="8"/>
  <c r="BB555" i="8" s="1"/>
  <c r="AW555" i="8"/>
  <c r="AV555" i="8"/>
  <c r="BJ554" i="8"/>
  <c r="BE554" i="8"/>
  <c r="BC554" i="8" s="1"/>
  <c r="BD554" i="8"/>
  <c r="BB554" i="8" s="1"/>
  <c r="AW554" i="8"/>
  <c r="AV554" i="8"/>
  <c r="BJ553" i="8"/>
  <c r="BF553" i="8"/>
  <c r="BL553" i="8" s="1"/>
  <c r="BM553" i="8" s="1"/>
  <c r="AX553" i="8"/>
  <c r="AY553" i="8" s="1"/>
  <c r="BJ552" i="8"/>
  <c r="BF552" i="8"/>
  <c r="BL552" i="8" s="1"/>
  <c r="BM552" i="8" s="1"/>
  <c r="BC552" i="8"/>
  <c r="BB552" i="8"/>
  <c r="AX552" i="8"/>
  <c r="AY552" i="8" s="1"/>
  <c r="BJ551" i="8"/>
  <c r="BF551" i="8"/>
  <c r="BC551" i="8"/>
  <c r="BB551" i="8"/>
  <c r="AX551" i="8"/>
  <c r="AY551" i="8" s="1"/>
  <c r="BJ550" i="8"/>
  <c r="BF550" i="8"/>
  <c r="BL550" i="8" s="1"/>
  <c r="BM550" i="8" s="1"/>
  <c r="BC550" i="8"/>
  <c r="BB550" i="8"/>
  <c r="AX550" i="8"/>
  <c r="AY550" i="8" s="1"/>
  <c r="BJ549" i="8"/>
  <c r="BE549" i="8"/>
  <c r="BD549" i="8"/>
  <c r="AW549" i="8"/>
  <c r="AV549" i="8"/>
  <c r="BJ548" i="8"/>
  <c r="BE548" i="8"/>
  <c r="BC548" i="8" s="1"/>
  <c r="BD548" i="8"/>
  <c r="BB548" i="8" s="1"/>
  <c r="AW548" i="8"/>
  <c r="AV548" i="8"/>
  <c r="BJ547" i="8"/>
  <c r="BE547" i="8"/>
  <c r="BC547" i="8" s="1"/>
  <c r="BD547" i="8"/>
  <c r="BB547" i="8" s="1"/>
  <c r="AW547" i="8"/>
  <c r="AV547" i="8"/>
  <c r="BJ546" i="8"/>
  <c r="BE546" i="8"/>
  <c r="BC546" i="8" s="1"/>
  <c r="BD546" i="8"/>
  <c r="BB546" i="8" s="1"/>
  <c r="AW546" i="8"/>
  <c r="AV546" i="8"/>
  <c r="BJ545" i="8"/>
  <c r="BE545" i="8"/>
  <c r="BD545" i="8"/>
  <c r="AW545" i="8"/>
  <c r="AV545" i="8"/>
  <c r="BJ544" i="8"/>
  <c r="BE544" i="8"/>
  <c r="BC544" i="8" s="1"/>
  <c r="BD544" i="8"/>
  <c r="BB544" i="8" s="1"/>
  <c r="AW544" i="8"/>
  <c r="AV544" i="8"/>
  <c r="BJ543" i="8"/>
  <c r="BE543" i="8"/>
  <c r="BC543" i="8" s="1"/>
  <c r="BD543" i="8"/>
  <c r="BB543" i="8" s="1"/>
  <c r="AW543" i="8"/>
  <c r="AV543" i="8"/>
  <c r="BJ542" i="8"/>
  <c r="BE542" i="8"/>
  <c r="BC542" i="8" s="1"/>
  <c r="BD542" i="8"/>
  <c r="BB542" i="8" s="1"/>
  <c r="AW542" i="8"/>
  <c r="AV542" i="8"/>
  <c r="BJ541" i="8"/>
  <c r="BE541" i="8"/>
  <c r="BC541" i="8" s="1"/>
  <c r="BD541" i="8"/>
  <c r="BB541" i="8" s="1"/>
  <c r="AW541" i="8"/>
  <c r="AV541" i="8"/>
  <c r="BJ540" i="8"/>
  <c r="BE540" i="8"/>
  <c r="BC540" i="8" s="1"/>
  <c r="BD540" i="8"/>
  <c r="BB540" i="8" s="1"/>
  <c r="AW540" i="8"/>
  <c r="AV540" i="8"/>
  <c r="BJ539" i="8"/>
  <c r="BE539" i="8"/>
  <c r="BC539" i="8" s="1"/>
  <c r="BD539" i="8"/>
  <c r="BB539" i="8" s="1"/>
  <c r="AW539" i="8"/>
  <c r="AV539" i="8"/>
  <c r="BJ538" i="8"/>
  <c r="BE538" i="8"/>
  <c r="BC538" i="8" s="1"/>
  <c r="BD538" i="8"/>
  <c r="BB538" i="8" s="1"/>
  <c r="AW538" i="8"/>
  <c r="AV538" i="8"/>
  <c r="BJ537" i="8"/>
  <c r="AW537" i="8"/>
  <c r="AV537" i="8"/>
  <c r="Y537" i="8"/>
  <c r="BJ536" i="8"/>
  <c r="AW536" i="8"/>
  <c r="AV536" i="8"/>
  <c r="Y536" i="8"/>
  <c r="BJ535" i="8"/>
  <c r="AW535" i="8"/>
  <c r="AV535" i="8"/>
  <c r="Y535" i="8"/>
  <c r="BJ534" i="8"/>
  <c r="AW534" i="8"/>
  <c r="AV534" i="8"/>
  <c r="Y534" i="8"/>
  <c r="BJ533" i="8"/>
  <c r="AW533" i="8"/>
  <c r="AV533" i="8"/>
  <c r="Y533" i="8"/>
  <c r="BJ532" i="8"/>
  <c r="AW532" i="8"/>
  <c r="AV532" i="8"/>
  <c r="Y532" i="8"/>
  <c r="BJ531" i="8"/>
  <c r="AW531" i="8"/>
  <c r="AV531" i="8"/>
  <c r="Y531" i="8"/>
  <c r="BJ530" i="8"/>
  <c r="AW530" i="8"/>
  <c r="Y530" i="8"/>
  <c r="BJ529" i="8"/>
  <c r="AW529" i="8"/>
  <c r="AV529" i="8"/>
  <c r="Y529" i="8"/>
  <c r="BJ528" i="8"/>
  <c r="AW528" i="8"/>
  <c r="AV528" i="8"/>
  <c r="Y528" i="8"/>
  <c r="BJ527" i="8"/>
  <c r="AW527" i="8"/>
  <c r="AV527" i="8"/>
  <c r="Y527" i="8"/>
  <c r="BJ526" i="8"/>
  <c r="AW526" i="8"/>
  <c r="AV526" i="8"/>
  <c r="Y526" i="8"/>
  <c r="BJ525" i="8"/>
  <c r="AW525" i="8"/>
  <c r="AV525" i="8"/>
  <c r="Y525" i="8"/>
  <c r="BJ524" i="8"/>
  <c r="AW524" i="8"/>
  <c r="AV524" i="8"/>
  <c r="Y524" i="8"/>
  <c r="BJ523" i="8"/>
  <c r="AW523" i="8"/>
  <c r="AV523" i="8"/>
  <c r="Y523" i="8"/>
  <c r="BJ522" i="8"/>
  <c r="AW522" i="8"/>
  <c r="AV522" i="8"/>
  <c r="Y522" i="8"/>
  <c r="BJ521" i="8"/>
  <c r="BF521" i="8"/>
  <c r="AX521" i="8"/>
  <c r="AY521" i="8" s="1"/>
  <c r="Y521" i="8"/>
  <c r="BJ520" i="8"/>
  <c r="BF520" i="8"/>
  <c r="AX520" i="8"/>
  <c r="AY520" i="8" s="1"/>
  <c r="Y520" i="8"/>
  <c r="BJ519" i="8"/>
  <c r="BF519" i="8"/>
  <c r="AX519" i="8"/>
  <c r="AY519" i="8" s="1"/>
  <c r="Y519" i="8"/>
  <c r="BJ518" i="8"/>
  <c r="BF518" i="8"/>
  <c r="AX518" i="8"/>
  <c r="AY518" i="8" s="1"/>
  <c r="Y518" i="8"/>
  <c r="BJ517" i="8"/>
  <c r="AW517" i="8"/>
  <c r="AV517" i="8"/>
  <c r="Y517" i="8"/>
  <c r="BJ516" i="8"/>
  <c r="AV516" i="8"/>
  <c r="Y516" i="8"/>
  <c r="BJ515" i="8"/>
  <c r="AW515" i="8"/>
  <c r="AV515" i="8"/>
  <c r="Y515" i="8"/>
  <c r="BJ514" i="8"/>
  <c r="AW514" i="8"/>
  <c r="AV514" i="8"/>
  <c r="Y514" i="8"/>
  <c r="BJ513" i="8"/>
  <c r="BF513" i="8"/>
  <c r="AX513" i="8"/>
  <c r="AY513" i="8" s="1"/>
  <c r="BJ512" i="8"/>
  <c r="BF512" i="8"/>
  <c r="AX512" i="8"/>
  <c r="AY512" i="8" s="1"/>
  <c r="BJ511" i="8"/>
  <c r="BF511" i="8"/>
  <c r="AX511" i="8"/>
  <c r="AY511" i="8" s="1"/>
  <c r="BJ510" i="8"/>
  <c r="BF510" i="8"/>
  <c r="AX510" i="8"/>
  <c r="AY510" i="8" s="1"/>
  <c r="BJ509" i="8"/>
  <c r="BF509" i="8"/>
  <c r="AX509" i="8"/>
  <c r="AY509" i="8" s="1"/>
  <c r="BJ508" i="8"/>
  <c r="BF508" i="8"/>
  <c r="AX508" i="8"/>
  <c r="AY508" i="8" s="1"/>
  <c r="BJ507" i="8"/>
  <c r="AW507" i="8"/>
  <c r="AV507" i="8"/>
  <c r="BJ506" i="8"/>
  <c r="AW506" i="8"/>
  <c r="AV506" i="8"/>
  <c r="BJ505" i="8"/>
  <c r="AW505" i="8"/>
  <c r="AV505" i="8"/>
  <c r="BJ504" i="8"/>
  <c r="AW504" i="8"/>
  <c r="AV504" i="8"/>
  <c r="BJ503" i="8"/>
  <c r="AW503" i="8"/>
  <c r="AV503" i="8"/>
  <c r="BJ502" i="8"/>
  <c r="AW502" i="8"/>
  <c r="AV502" i="8"/>
  <c r="BJ501" i="8"/>
  <c r="AW501" i="8"/>
  <c r="AV501" i="8"/>
  <c r="BJ500" i="8"/>
  <c r="AW500" i="8"/>
  <c r="AV500" i="8"/>
  <c r="BJ499" i="8"/>
  <c r="AW499" i="8"/>
  <c r="AV499" i="8"/>
  <c r="BJ498" i="8"/>
  <c r="BF498" i="8"/>
  <c r="AX498" i="8"/>
  <c r="AY498" i="8" s="1"/>
  <c r="BJ497" i="8"/>
  <c r="BF497" i="8"/>
  <c r="AX497" i="8"/>
  <c r="AY497" i="8" s="1"/>
  <c r="BJ496" i="8"/>
  <c r="BF496" i="8"/>
  <c r="AX496" i="8"/>
  <c r="AY496" i="8" s="1"/>
  <c r="BJ495" i="8"/>
  <c r="BF495" i="8"/>
  <c r="AX495" i="8"/>
  <c r="AY495" i="8" s="1"/>
  <c r="BJ494" i="8"/>
  <c r="BF494" i="8"/>
  <c r="AX494" i="8"/>
  <c r="AY494" i="8" s="1"/>
  <c r="BJ493" i="8"/>
  <c r="BF493" i="8"/>
  <c r="AX493" i="8"/>
  <c r="AY493" i="8" s="1"/>
  <c r="BJ492" i="8"/>
  <c r="AW492" i="8"/>
  <c r="AV492" i="8"/>
  <c r="BJ491" i="8"/>
  <c r="AW491" i="8"/>
  <c r="AV491" i="8"/>
  <c r="BJ490" i="8"/>
  <c r="AW490" i="8"/>
  <c r="AV490" i="8"/>
  <c r="BJ489" i="8"/>
  <c r="AW489" i="8"/>
  <c r="AV489" i="8"/>
  <c r="BJ488" i="8"/>
  <c r="AW488" i="8"/>
  <c r="AV488" i="8"/>
  <c r="BJ487" i="8"/>
  <c r="AW487" i="8"/>
  <c r="AV487" i="8"/>
  <c r="BJ486" i="8"/>
  <c r="AW486" i="8"/>
  <c r="AV486" i="8"/>
  <c r="BJ485" i="8"/>
  <c r="AW485" i="8"/>
  <c r="AV485" i="8"/>
  <c r="BJ484" i="8"/>
  <c r="AW484" i="8"/>
  <c r="AV484" i="8"/>
  <c r="BJ483" i="8"/>
  <c r="AW483" i="8"/>
  <c r="AV483" i="8"/>
  <c r="BJ482" i="8"/>
  <c r="AW482" i="8"/>
  <c r="AV482" i="8"/>
  <c r="BJ481" i="8"/>
  <c r="AW481" i="8"/>
  <c r="AV481" i="8"/>
  <c r="BJ480" i="8"/>
  <c r="AW480" i="8"/>
  <c r="AV480" i="8"/>
  <c r="BJ479" i="8"/>
  <c r="AW479" i="8"/>
  <c r="AV479" i="8"/>
  <c r="BJ478" i="8"/>
  <c r="AW478" i="8"/>
  <c r="AV478" i="8"/>
  <c r="BJ477" i="8"/>
  <c r="AW477" i="8"/>
  <c r="AV477" i="8"/>
  <c r="BJ476" i="8"/>
  <c r="AW476" i="8"/>
  <c r="AV476" i="8"/>
  <c r="BJ475" i="8"/>
  <c r="AW475" i="8"/>
  <c r="AV475" i="8"/>
  <c r="BJ474" i="8"/>
  <c r="AW474" i="8"/>
  <c r="AV474" i="8"/>
  <c r="BJ473" i="8"/>
  <c r="AW473" i="8"/>
  <c r="AV473" i="8"/>
  <c r="BJ472" i="8"/>
  <c r="AW472" i="8"/>
  <c r="AV472" i="8"/>
  <c r="BJ471" i="8"/>
  <c r="AW471" i="8"/>
  <c r="AV471" i="8"/>
  <c r="BJ470" i="8"/>
  <c r="AW470" i="8"/>
  <c r="AV470" i="8"/>
  <c r="BJ469" i="8"/>
  <c r="AW469" i="8"/>
  <c r="AV469" i="8"/>
  <c r="BJ468" i="8"/>
  <c r="AW468" i="8"/>
  <c r="AV468" i="8"/>
  <c r="BJ467" i="8"/>
  <c r="AW467" i="8"/>
  <c r="AV467" i="8"/>
  <c r="BJ466" i="8"/>
  <c r="AW466" i="8"/>
  <c r="AV466" i="8"/>
  <c r="BJ465" i="8"/>
  <c r="AW465" i="8"/>
  <c r="AV465" i="8"/>
  <c r="BJ464" i="8"/>
  <c r="AW464" i="8"/>
  <c r="AV464" i="8"/>
  <c r="BJ463" i="8"/>
  <c r="BE463" i="8"/>
  <c r="BD463" i="8"/>
  <c r="AX463" i="8"/>
  <c r="AY463" i="8" s="1"/>
  <c r="BJ462" i="8"/>
  <c r="BE462" i="8"/>
  <c r="BD462" i="8"/>
  <c r="AX462" i="8"/>
  <c r="AY462" i="8" s="1"/>
  <c r="BJ461" i="8"/>
  <c r="BE461" i="8"/>
  <c r="BD461" i="8"/>
  <c r="AX461" i="8"/>
  <c r="AY461" i="8" s="1"/>
  <c r="BJ460" i="8"/>
  <c r="BE460" i="8"/>
  <c r="BD460" i="8"/>
  <c r="AX460" i="8"/>
  <c r="AY460" i="8" s="1"/>
  <c r="BJ459" i="8"/>
  <c r="BC459" i="8"/>
  <c r="BE459" i="8" s="1"/>
  <c r="BB459" i="8"/>
  <c r="BD459" i="8" s="1"/>
  <c r="AW459" i="8"/>
  <c r="AV459" i="8"/>
  <c r="BJ458" i="8"/>
  <c r="BC458" i="8"/>
  <c r="BE458" i="8" s="1"/>
  <c r="BB458" i="8"/>
  <c r="BD458" i="8" s="1"/>
  <c r="AW458" i="8"/>
  <c r="AV458" i="8"/>
  <c r="BJ457" i="8"/>
  <c r="BC457" i="8"/>
  <c r="BE457" i="8" s="1"/>
  <c r="BB457" i="8"/>
  <c r="BD457" i="8" s="1"/>
  <c r="AW457" i="8"/>
  <c r="AV457" i="8"/>
  <c r="BJ456" i="8"/>
  <c r="BC456" i="8"/>
  <c r="BE456" i="8" s="1"/>
  <c r="BB456" i="8"/>
  <c r="BD456" i="8" s="1"/>
  <c r="AW456" i="8"/>
  <c r="AV456" i="8"/>
  <c r="BJ455" i="8"/>
  <c r="BC455" i="8"/>
  <c r="BE455" i="8" s="1"/>
  <c r="BB455" i="8"/>
  <c r="BD455" i="8" s="1"/>
  <c r="AW455" i="8"/>
  <c r="AV455" i="8"/>
  <c r="BJ454" i="8"/>
  <c r="BC454" i="8"/>
  <c r="BE454" i="8" s="1"/>
  <c r="BB454" i="8"/>
  <c r="BD454" i="8" s="1"/>
  <c r="AW454" i="8"/>
  <c r="AV454" i="8"/>
  <c r="BJ453" i="8"/>
  <c r="BC453" i="8"/>
  <c r="BE453" i="8" s="1"/>
  <c r="BB453" i="8"/>
  <c r="BD453" i="8" s="1"/>
  <c r="AW453" i="8"/>
  <c r="AV453" i="8"/>
  <c r="BJ452" i="8"/>
  <c r="BC452" i="8"/>
  <c r="BE452" i="8" s="1"/>
  <c r="BB452" i="8"/>
  <c r="BD452" i="8" s="1"/>
  <c r="AW452" i="8"/>
  <c r="AV452" i="8"/>
  <c r="BJ451" i="8"/>
  <c r="BC451" i="8"/>
  <c r="BE451" i="8" s="1"/>
  <c r="BB451" i="8"/>
  <c r="BD451" i="8" s="1"/>
  <c r="AW451" i="8"/>
  <c r="AV451" i="8"/>
  <c r="BJ450" i="8"/>
  <c r="BC450" i="8"/>
  <c r="BE450" i="8" s="1"/>
  <c r="BB450" i="8"/>
  <c r="BD450" i="8" s="1"/>
  <c r="AW450" i="8"/>
  <c r="AV450" i="8"/>
  <c r="BJ449" i="8"/>
  <c r="BD449" i="8"/>
  <c r="BC449" i="8"/>
  <c r="BE449" i="8" s="1"/>
  <c r="AX449" i="8"/>
  <c r="AY449" i="8" s="1"/>
  <c r="BJ448" i="8"/>
  <c r="BC448" i="8"/>
  <c r="BE448" i="8" s="1"/>
  <c r="BB448" i="8"/>
  <c r="BD448" i="8" s="1"/>
  <c r="AX448" i="8"/>
  <c r="AY448" i="8" s="1"/>
  <c r="BJ447" i="8"/>
  <c r="BE447" i="8"/>
  <c r="BD447" i="8"/>
  <c r="BC447" i="8"/>
  <c r="BB447" i="8"/>
  <c r="AW447" i="8"/>
  <c r="AV447" i="8"/>
  <c r="BJ446" i="8"/>
  <c r="BE446" i="8"/>
  <c r="BD446" i="8"/>
  <c r="BC446" i="8"/>
  <c r="BB446" i="8"/>
  <c r="AW446" i="8"/>
  <c r="AV446" i="8"/>
  <c r="BJ445" i="8"/>
  <c r="BC445" i="8"/>
  <c r="BE445" i="8" s="1"/>
  <c r="BB445" i="8"/>
  <c r="BD445" i="8" s="1"/>
  <c r="AW445" i="8"/>
  <c r="AV445" i="8"/>
  <c r="BJ444" i="8"/>
  <c r="BC444" i="8"/>
  <c r="BE444" i="8" s="1"/>
  <c r="BB444" i="8"/>
  <c r="BD444" i="8" s="1"/>
  <c r="AW444" i="8"/>
  <c r="AV444" i="8"/>
  <c r="BJ443" i="8"/>
  <c r="AW443" i="8"/>
  <c r="AV443" i="8"/>
  <c r="BJ442" i="8"/>
  <c r="AW442" i="8"/>
  <c r="AV442" i="8"/>
  <c r="BJ441" i="8"/>
  <c r="AW441" i="8"/>
  <c r="AX441" i="8" s="1"/>
  <c r="AY441" i="8" s="1"/>
  <c r="BJ440" i="8"/>
  <c r="AW440" i="8"/>
  <c r="BJ439" i="8"/>
  <c r="AW439" i="8"/>
  <c r="BJ438" i="8"/>
  <c r="AW438" i="8"/>
  <c r="AV438" i="8"/>
  <c r="BJ437" i="8"/>
  <c r="AW437" i="8"/>
  <c r="AV437" i="8"/>
  <c r="BJ436" i="8"/>
  <c r="AW436" i="8"/>
  <c r="AV436" i="8"/>
  <c r="BJ435" i="8"/>
  <c r="AW435" i="8"/>
  <c r="AV435" i="8"/>
  <c r="BJ434" i="8"/>
  <c r="AW434" i="8"/>
  <c r="AV434" i="8"/>
  <c r="BJ433" i="8"/>
  <c r="AW433" i="8"/>
  <c r="AV433" i="8"/>
  <c r="BJ432" i="8"/>
  <c r="AW432" i="8"/>
  <c r="AV432" i="8"/>
  <c r="BJ431" i="8"/>
  <c r="AW431" i="8"/>
  <c r="AV431" i="8"/>
  <c r="BJ430" i="8"/>
  <c r="AW430" i="8"/>
  <c r="AV430" i="8"/>
  <c r="BJ429" i="8"/>
  <c r="AW429" i="8"/>
  <c r="AV429" i="8"/>
  <c r="BJ428" i="8"/>
  <c r="AW428" i="8"/>
  <c r="AV428" i="8"/>
  <c r="BJ427" i="8"/>
  <c r="AW427" i="8"/>
  <c r="AV427" i="8"/>
  <c r="BJ426" i="8"/>
  <c r="AW426" i="8"/>
  <c r="AV426" i="8"/>
  <c r="BJ425" i="8"/>
  <c r="AW425" i="8"/>
  <c r="AV425" i="8"/>
  <c r="BJ424" i="8"/>
  <c r="AW424" i="8"/>
  <c r="AV424" i="8"/>
  <c r="BJ423" i="8"/>
  <c r="AW423" i="8"/>
  <c r="AV423" i="8"/>
  <c r="BJ422" i="8"/>
  <c r="AW422" i="8"/>
  <c r="AV422" i="8"/>
  <c r="BJ421" i="8"/>
  <c r="AW421" i="8"/>
  <c r="AV421" i="8"/>
  <c r="BJ420" i="8"/>
  <c r="AW420" i="8"/>
  <c r="AV420" i="8"/>
  <c r="BJ419" i="8"/>
  <c r="AW419" i="8"/>
  <c r="AV419" i="8"/>
  <c r="BJ418" i="8"/>
  <c r="AW418" i="8"/>
  <c r="AV418" i="8"/>
  <c r="BJ417" i="8"/>
  <c r="AW417" i="8"/>
  <c r="AV417" i="8"/>
  <c r="BJ416" i="8"/>
  <c r="AW416" i="8"/>
  <c r="AV416" i="8"/>
  <c r="BJ415" i="8"/>
  <c r="AW415" i="8"/>
  <c r="AV415" i="8"/>
  <c r="BJ414" i="8"/>
  <c r="AW414" i="8"/>
  <c r="AV414" i="8"/>
  <c r="BJ413" i="8"/>
  <c r="AW413" i="8"/>
  <c r="AV413" i="8"/>
  <c r="BJ412" i="8"/>
  <c r="AW412" i="8"/>
  <c r="AV412" i="8"/>
  <c r="BJ411" i="8"/>
  <c r="AW411" i="8"/>
  <c r="AV411" i="8"/>
  <c r="BJ410" i="8"/>
  <c r="AW410" i="8"/>
  <c r="AV410" i="8"/>
  <c r="BJ409" i="8"/>
  <c r="AW409" i="8"/>
  <c r="AV409" i="8"/>
  <c r="BJ408" i="8"/>
  <c r="AW408" i="8"/>
  <c r="AV408" i="8"/>
  <c r="BJ407" i="8"/>
  <c r="AW407" i="8"/>
  <c r="AV407" i="8"/>
  <c r="BJ406" i="8"/>
  <c r="AW406" i="8"/>
  <c r="AV406" i="8"/>
  <c r="BJ405" i="8"/>
  <c r="AW405" i="8"/>
  <c r="AV405" i="8"/>
  <c r="BJ404" i="8"/>
  <c r="AW404" i="8"/>
  <c r="AV404" i="8"/>
  <c r="BJ403" i="8"/>
  <c r="AW403" i="8"/>
  <c r="AV403" i="8"/>
  <c r="BJ402" i="8"/>
  <c r="AW402" i="8"/>
  <c r="AV402" i="8"/>
  <c r="BJ401" i="8"/>
  <c r="AW401" i="8"/>
  <c r="AV401" i="8"/>
  <c r="BJ400" i="8"/>
  <c r="AW400" i="8"/>
  <c r="AV400" i="8"/>
  <c r="BJ399" i="8"/>
  <c r="AW399" i="8"/>
  <c r="AV399" i="8"/>
  <c r="BJ398" i="8"/>
  <c r="AW398" i="8"/>
  <c r="AV398" i="8"/>
  <c r="BJ397" i="8"/>
  <c r="AW397" i="8"/>
  <c r="AV397" i="8"/>
  <c r="BJ396" i="8"/>
  <c r="AW396" i="8"/>
  <c r="AV396" i="8"/>
  <c r="BJ395" i="8"/>
  <c r="AW395" i="8"/>
  <c r="AV395" i="8"/>
  <c r="BJ394" i="8"/>
  <c r="AW394" i="8"/>
  <c r="AV394" i="8"/>
  <c r="BJ393" i="8"/>
  <c r="AW393" i="8"/>
  <c r="AV393" i="8"/>
  <c r="BJ392" i="8"/>
  <c r="AW392" i="8"/>
  <c r="AV392" i="8"/>
  <c r="BJ391" i="8"/>
  <c r="AW391" i="8"/>
  <c r="AV391" i="8"/>
  <c r="BJ390" i="8"/>
  <c r="AW390" i="8"/>
  <c r="AV390" i="8"/>
  <c r="BJ389" i="8"/>
  <c r="AW389" i="8"/>
  <c r="AV389" i="8"/>
  <c r="BJ388" i="8"/>
  <c r="AW388" i="8"/>
  <c r="AV388" i="8"/>
  <c r="BJ387" i="8"/>
  <c r="AW387" i="8"/>
  <c r="AV387" i="8"/>
  <c r="BJ386" i="8"/>
  <c r="AW386" i="8"/>
  <c r="AV386" i="8"/>
  <c r="BJ385" i="8"/>
  <c r="AW385" i="8"/>
  <c r="AV385" i="8"/>
  <c r="BJ384" i="8"/>
  <c r="AW384" i="8"/>
  <c r="AV384" i="8"/>
  <c r="BJ383" i="8"/>
  <c r="AW383" i="8"/>
  <c r="AV383" i="8"/>
  <c r="BJ382" i="8"/>
  <c r="AW382" i="8"/>
  <c r="AV382" i="8"/>
  <c r="BJ381" i="8"/>
  <c r="AW381" i="8"/>
  <c r="AV381" i="8"/>
  <c r="BJ380" i="8"/>
  <c r="AW380" i="8"/>
  <c r="AV380" i="8"/>
  <c r="BJ379" i="8"/>
  <c r="AW379" i="8"/>
  <c r="AV379" i="8"/>
  <c r="BJ378" i="8"/>
  <c r="AW378" i="8"/>
  <c r="AV378" i="8"/>
  <c r="BJ377" i="8"/>
  <c r="AW377" i="8"/>
  <c r="AV377" i="8"/>
  <c r="BJ376" i="8"/>
  <c r="AW376" i="8"/>
  <c r="AV376" i="8"/>
  <c r="BJ375" i="8"/>
  <c r="AW375" i="8"/>
  <c r="AV375" i="8"/>
  <c r="BJ374" i="8"/>
  <c r="AW374" i="8"/>
  <c r="AV374" i="8"/>
  <c r="BJ373" i="8"/>
  <c r="AW373" i="8"/>
  <c r="AV373" i="8"/>
  <c r="BJ372" i="8"/>
  <c r="AW372" i="8"/>
  <c r="AV372" i="8"/>
  <c r="BJ371" i="8"/>
  <c r="BF371" i="8"/>
  <c r="AX371" i="8"/>
  <c r="AY371" i="8" s="1"/>
  <c r="BJ370" i="8"/>
  <c r="BF370" i="8"/>
  <c r="AX370" i="8"/>
  <c r="AY370" i="8" s="1"/>
  <c r="BJ369" i="8"/>
  <c r="BF369" i="8"/>
  <c r="AX369" i="8"/>
  <c r="AY369" i="8" s="1"/>
  <c r="BJ368" i="8"/>
  <c r="BF368" i="8"/>
  <c r="AX368" i="8"/>
  <c r="AY368" i="8" s="1"/>
  <c r="BJ367" i="8"/>
  <c r="BF367" i="8"/>
  <c r="AX367" i="8"/>
  <c r="AY367" i="8" s="1"/>
  <c r="BJ366" i="8"/>
  <c r="BF366" i="8"/>
  <c r="AX366" i="8"/>
  <c r="AY366" i="8" s="1"/>
  <c r="BJ365" i="8"/>
  <c r="BF365" i="8"/>
  <c r="AX365" i="8"/>
  <c r="AY365" i="8" s="1"/>
  <c r="BJ364" i="8"/>
  <c r="BF364" i="8"/>
  <c r="AX364" i="8"/>
  <c r="AY364" i="8" s="1"/>
  <c r="BJ363" i="8"/>
  <c r="BF363" i="8"/>
  <c r="AX363" i="8"/>
  <c r="AY363" i="8" s="1"/>
  <c r="BJ362" i="8"/>
  <c r="BF362" i="8"/>
  <c r="AX362" i="8"/>
  <c r="AY362" i="8" s="1"/>
  <c r="BJ361" i="8"/>
  <c r="BF361" i="8"/>
  <c r="AX361" i="8"/>
  <c r="AY361" i="8" s="1"/>
  <c r="BJ360" i="8"/>
  <c r="BF360" i="8"/>
  <c r="AX360" i="8"/>
  <c r="AY360" i="8" s="1"/>
  <c r="BJ359" i="8"/>
  <c r="AW359" i="8"/>
  <c r="AV359" i="8"/>
  <c r="BJ358" i="8"/>
  <c r="AW358" i="8"/>
  <c r="AV358" i="8"/>
  <c r="BJ357" i="8"/>
  <c r="AW357" i="8"/>
  <c r="AV357" i="8"/>
  <c r="BJ356" i="8"/>
  <c r="AW356" i="8"/>
  <c r="AV356" i="8"/>
  <c r="BJ355" i="8"/>
  <c r="AW355" i="8"/>
  <c r="AV355" i="8"/>
  <c r="BJ354" i="8"/>
  <c r="AW354" i="8"/>
  <c r="AV354" i="8"/>
  <c r="BJ353" i="8"/>
  <c r="AW353" i="8"/>
  <c r="AV353" i="8"/>
  <c r="BJ352" i="8"/>
  <c r="AW352" i="8"/>
  <c r="AV352" i="8"/>
  <c r="BJ351" i="8"/>
  <c r="AW351" i="8"/>
  <c r="AV351" i="8"/>
  <c r="BJ350" i="8"/>
  <c r="AW350" i="8"/>
  <c r="AV350" i="8"/>
  <c r="BJ349" i="8"/>
  <c r="AW349" i="8"/>
  <c r="AV349" i="8"/>
  <c r="BJ348" i="8"/>
  <c r="AW348" i="8"/>
  <c r="AV348" i="8"/>
  <c r="BJ347" i="8"/>
  <c r="AW347" i="8"/>
  <c r="AV347" i="8"/>
  <c r="BJ346" i="8"/>
  <c r="AW346" i="8"/>
  <c r="AV346" i="8"/>
  <c r="BJ345" i="8"/>
  <c r="AW345" i="8"/>
  <c r="AV345" i="8"/>
  <c r="BJ344" i="8"/>
  <c r="AW344" i="8"/>
  <c r="AV344" i="8"/>
  <c r="BJ343" i="8"/>
  <c r="AW343" i="8"/>
  <c r="AV343" i="8"/>
  <c r="BJ342" i="8"/>
  <c r="AW342" i="8"/>
  <c r="AV342" i="8"/>
  <c r="BJ341" i="8"/>
  <c r="AW341" i="8"/>
  <c r="AV341" i="8"/>
  <c r="BJ340" i="8"/>
  <c r="AW340" i="8"/>
  <c r="AV340" i="8"/>
  <c r="BJ339" i="8"/>
  <c r="AW339" i="8"/>
  <c r="AV339" i="8"/>
  <c r="BJ338" i="8"/>
  <c r="AW338" i="8"/>
  <c r="AV338" i="8"/>
  <c r="BJ337" i="8"/>
  <c r="AW337" i="8"/>
  <c r="AV337" i="8"/>
  <c r="BJ336" i="8"/>
  <c r="AW336" i="8"/>
  <c r="AV336" i="8"/>
  <c r="BJ335" i="8"/>
  <c r="BF335" i="8"/>
  <c r="AX335" i="8"/>
  <c r="AY335" i="8" s="1"/>
  <c r="BJ334" i="8"/>
  <c r="BF334" i="8"/>
  <c r="AX334" i="8"/>
  <c r="AY334" i="8" s="1"/>
  <c r="BJ333" i="8"/>
  <c r="BF333" i="8"/>
  <c r="AX333" i="8"/>
  <c r="AY333" i="8" s="1"/>
  <c r="BJ332" i="8"/>
  <c r="BF332" i="8"/>
  <c r="AX332" i="8"/>
  <c r="AY332" i="8" s="1"/>
  <c r="BJ331" i="8"/>
  <c r="BF331" i="8"/>
  <c r="AX331" i="8"/>
  <c r="AY331" i="8" s="1"/>
  <c r="BJ330" i="8"/>
  <c r="BF330" i="8"/>
  <c r="AX330" i="8"/>
  <c r="AY330" i="8" s="1"/>
  <c r="BJ329" i="8"/>
  <c r="BF329" i="8"/>
  <c r="AX329" i="8"/>
  <c r="AY329" i="8" s="1"/>
  <c r="BJ328" i="8"/>
  <c r="BF328" i="8"/>
  <c r="AX328" i="8"/>
  <c r="AY328" i="8" s="1"/>
  <c r="BJ327" i="8"/>
  <c r="BF327" i="8"/>
  <c r="AX327" i="8"/>
  <c r="AY327" i="8" s="1"/>
  <c r="BJ326" i="8"/>
  <c r="BF326" i="8"/>
  <c r="AX326" i="8"/>
  <c r="AY326" i="8" s="1"/>
  <c r="BJ325" i="8"/>
  <c r="BF325" i="8"/>
  <c r="AX325" i="8"/>
  <c r="AY325" i="8" s="1"/>
  <c r="BJ324" i="8"/>
  <c r="BF324" i="8"/>
  <c r="AX324" i="8"/>
  <c r="AY324" i="8" s="1"/>
  <c r="BJ323" i="8"/>
  <c r="BC323" i="8"/>
  <c r="BE323" i="8" s="1"/>
  <c r="BB323" i="8"/>
  <c r="BD323" i="8" s="1"/>
  <c r="AW323" i="8"/>
  <c r="AV323" i="8"/>
  <c r="BJ322" i="8"/>
  <c r="BC322" i="8"/>
  <c r="BE322" i="8" s="1"/>
  <c r="BB322" i="8"/>
  <c r="BD322" i="8" s="1"/>
  <c r="AW322" i="8"/>
  <c r="AV322" i="8"/>
  <c r="BJ321" i="8"/>
  <c r="BC321" i="8"/>
  <c r="BE321" i="8" s="1"/>
  <c r="BB321" i="8"/>
  <c r="BD321" i="8" s="1"/>
  <c r="AW321" i="8"/>
  <c r="AV321" i="8"/>
  <c r="BJ320" i="8"/>
  <c r="BC320" i="8"/>
  <c r="BE320" i="8" s="1"/>
  <c r="BB320" i="8"/>
  <c r="BD320" i="8" s="1"/>
  <c r="AW320" i="8"/>
  <c r="AV320" i="8"/>
  <c r="BJ319" i="8"/>
  <c r="BC319" i="8"/>
  <c r="BE319" i="8" s="1"/>
  <c r="BB319" i="8"/>
  <c r="BD319" i="8" s="1"/>
  <c r="AW319" i="8"/>
  <c r="AV319" i="8"/>
  <c r="BJ318" i="8"/>
  <c r="BC318" i="8"/>
  <c r="BE318" i="8" s="1"/>
  <c r="BB318" i="8"/>
  <c r="BD318" i="8" s="1"/>
  <c r="AW318" i="8"/>
  <c r="AV318" i="8"/>
  <c r="BJ317" i="8"/>
  <c r="BE317" i="8"/>
  <c r="BD317" i="8"/>
  <c r="AX317" i="8"/>
  <c r="AY317" i="8" s="1"/>
  <c r="BJ316" i="8"/>
  <c r="AW316" i="8"/>
  <c r="AV316" i="8"/>
  <c r="BJ315" i="8"/>
  <c r="AW315" i="8"/>
  <c r="AV315" i="8"/>
  <c r="BJ314" i="8"/>
  <c r="AW314" i="8"/>
  <c r="AV314" i="8"/>
  <c r="BJ313" i="8"/>
  <c r="AW313" i="8"/>
  <c r="AV313" i="8"/>
  <c r="BJ312" i="8"/>
  <c r="AW312" i="8"/>
  <c r="AV312" i="8"/>
  <c r="BJ311" i="8"/>
  <c r="BC311" i="8"/>
  <c r="BE311" i="8" s="1"/>
  <c r="BB311" i="8"/>
  <c r="BD311" i="8" s="1"/>
  <c r="AW311" i="8"/>
  <c r="AV311" i="8"/>
  <c r="BJ310" i="8"/>
  <c r="BC310" i="8"/>
  <c r="BE310" i="8" s="1"/>
  <c r="BB310" i="8"/>
  <c r="BD310" i="8" s="1"/>
  <c r="AW310" i="8"/>
  <c r="AV310" i="8"/>
  <c r="BJ309" i="8"/>
  <c r="BC309" i="8"/>
  <c r="BE309" i="8" s="1"/>
  <c r="BB309" i="8"/>
  <c r="BD309" i="8" s="1"/>
  <c r="AW309" i="8"/>
  <c r="AV309" i="8"/>
  <c r="BJ308" i="8"/>
  <c r="BC308" i="8"/>
  <c r="BE308" i="8" s="1"/>
  <c r="BB308" i="8"/>
  <c r="BD308" i="8" s="1"/>
  <c r="AW308" i="8"/>
  <c r="AV308" i="8"/>
  <c r="BJ307" i="8"/>
  <c r="BC307" i="8"/>
  <c r="BE307" i="8" s="1"/>
  <c r="BB307" i="8"/>
  <c r="BD307" i="8" s="1"/>
  <c r="AW307" i="8"/>
  <c r="AV307" i="8"/>
  <c r="BJ306" i="8"/>
  <c r="BC306" i="8"/>
  <c r="BE306" i="8" s="1"/>
  <c r="BB306" i="8"/>
  <c r="BD306" i="8" s="1"/>
  <c r="AW306" i="8"/>
  <c r="AV306" i="8"/>
  <c r="BJ305" i="8"/>
  <c r="BC305" i="8"/>
  <c r="BE305" i="8" s="1"/>
  <c r="BB305" i="8"/>
  <c r="BD305" i="8" s="1"/>
  <c r="AW305" i="8"/>
  <c r="AV305" i="8"/>
  <c r="BJ304" i="8"/>
  <c r="BC304" i="8"/>
  <c r="BE304" i="8" s="1"/>
  <c r="BB304" i="8"/>
  <c r="BD304" i="8" s="1"/>
  <c r="AW304" i="8"/>
  <c r="AV304" i="8"/>
  <c r="BJ303" i="8"/>
  <c r="BC303" i="8"/>
  <c r="BE303" i="8" s="1"/>
  <c r="BB303" i="8"/>
  <c r="BD303" i="8" s="1"/>
  <c r="AW303" i="8"/>
  <c r="AV303" i="8"/>
  <c r="BJ302" i="8"/>
  <c r="BC302" i="8"/>
  <c r="BE302" i="8" s="1"/>
  <c r="BB302" i="8"/>
  <c r="BD302" i="8" s="1"/>
  <c r="AW302" i="8"/>
  <c r="AV302" i="8"/>
  <c r="BJ301" i="8"/>
  <c r="BC301" i="8"/>
  <c r="BE301" i="8" s="1"/>
  <c r="BB301" i="8"/>
  <c r="BD301" i="8" s="1"/>
  <c r="AW301" i="8"/>
  <c r="AV301" i="8"/>
  <c r="BJ300" i="8"/>
  <c r="BC300" i="8"/>
  <c r="BE300" i="8" s="1"/>
  <c r="BB300" i="8"/>
  <c r="BD300" i="8" s="1"/>
  <c r="AW300" i="8"/>
  <c r="AV300" i="8"/>
  <c r="BJ299" i="8"/>
  <c r="BC299" i="8"/>
  <c r="BE299" i="8" s="1"/>
  <c r="BB299" i="8"/>
  <c r="BD299" i="8" s="1"/>
  <c r="AW299" i="8"/>
  <c r="AV299" i="8"/>
  <c r="BJ298" i="8"/>
  <c r="BC298" i="8"/>
  <c r="BE298" i="8" s="1"/>
  <c r="BB298" i="8"/>
  <c r="BD298" i="8" s="1"/>
  <c r="AW298" i="8"/>
  <c r="AV298" i="8"/>
  <c r="BJ297" i="8"/>
  <c r="BC297" i="8"/>
  <c r="BE297" i="8" s="1"/>
  <c r="BB297" i="8"/>
  <c r="BD297" i="8" s="1"/>
  <c r="AW297" i="8"/>
  <c r="AV297" i="8"/>
  <c r="BJ296" i="8"/>
  <c r="BC296" i="8"/>
  <c r="BE296" i="8" s="1"/>
  <c r="BB296" i="8"/>
  <c r="BD296" i="8" s="1"/>
  <c r="AW296" i="8"/>
  <c r="AV296" i="8"/>
  <c r="BJ295" i="8"/>
  <c r="BC295" i="8"/>
  <c r="BE295" i="8" s="1"/>
  <c r="BB295" i="8"/>
  <c r="BD295" i="8" s="1"/>
  <c r="AW295" i="8"/>
  <c r="AV295" i="8"/>
  <c r="BJ294" i="8"/>
  <c r="BC294" i="8"/>
  <c r="BE294" i="8" s="1"/>
  <c r="BB294" i="8"/>
  <c r="BD294" i="8" s="1"/>
  <c r="AW294" i="8"/>
  <c r="AV294" i="8"/>
  <c r="BJ293" i="8"/>
  <c r="BC293" i="8"/>
  <c r="BE293" i="8" s="1"/>
  <c r="BB293" i="8"/>
  <c r="BD293" i="8" s="1"/>
  <c r="AW293" i="8"/>
  <c r="AV293" i="8"/>
  <c r="BJ292" i="8"/>
  <c r="BC292" i="8"/>
  <c r="BE292" i="8" s="1"/>
  <c r="BB292" i="8"/>
  <c r="BD292" i="8" s="1"/>
  <c r="AW292" i="8"/>
  <c r="AV292" i="8"/>
  <c r="BJ291" i="8"/>
  <c r="BC291" i="8"/>
  <c r="BE291" i="8" s="1"/>
  <c r="BB291" i="8"/>
  <c r="BD291" i="8" s="1"/>
  <c r="AW291" i="8"/>
  <c r="AV291" i="8"/>
  <c r="BJ290" i="8"/>
  <c r="BC290" i="8"/>
  <c r="BE290" i="8" s="1"/>
  <c r="BB290" i="8"/>
  <c r="BD290" i="8" s="1"/>
  <c r="AW290" i="8"/>
  <c r="AV290" i="8"/>
  <c r="BJ289" i="8"/>
  <c r="BC289" i="8"/>
  <c r="BE289" i="8" s="1"/>
  <c r="BB289" i="8"/>
  <c r="BD289" i="8" s="1"/>
  <c r="AW289" i="8"/>
  <c r="AV289" i="8"/>
  <c r="BJ288" i="8"/>
  <c r="BC288" i="8"/>
  <c r="BE288" i="8" s="1"/>
  <c r="BB288" i="8"/>
  <c r="BD288" i="8" s="1"/>
  <c r="AW288" i="8"/>
  <c r="AV288" i="8"/>
  <c r="BJ287" i="8"/>
  <c r="BC287" i="8"/>
  <c r="BE287" i="8" s="1"/>
  <c r="BB287" i="8"/>
  <c r="BD287" i="8" s="1"/>
  <c r="AW287" i="8"/>
  <c r="AV287" i="8"/>
  <c r="BJ286" i="8"/>
  <c r="BC286" i="8"/>
  <c r="BE286" i="8" s="1"/>
  <c r="BB286" i="8"/>
  <c r="BD286" i="8" s="1"/>
  <c r="AW286" i="8"/>
  <c r="AV286" i="8"/>
  <c r="BJ285" i="8"/>
  <c r="BC285" i="8"/>
  <c r="BE285" i="8" s="1"/>
  <c r="BB285" i="8"/>
  <c r="BD285" i="8" s="1"/>
  <c r="AW285" i="8"/>
  <c r="AV285" i="8"/>
  <c r="BJ284" i="8"/>
  <c r="AW284" i="8"/>
  <c r="AV284" i="8"/>
  <c r="BJ283" i="8"/>
  <c r="AW283" i="8"/>
  <c r="AV283" i="8"/>
  <c r="BJ282" i="8"/>
  <c r="AW282" i="8"/>
  <c r="AV282" i="8"/>
  <c r="BJ281" i="8"/>
  <c r="AW281" i="8"/>
  <c r="AV281" i="8"/>
  <c r="BJ280" i="8"/>
  <c r="AW280" i="8"/>
  <c r="AV280" i="8"/>
  <c r="BJ279" i="8"/>
  <c r="AW279" i="8"/>
  <c r="AV279" i="8"/>
  <c r="BJ278" i="8"/>
  <c r="AW278" i="8"/>
  <c r="AV278" i="8"/>
  <c r="BJ277" i="8"/>
  <c r="AW277" i="8"/>
  <c r="AV277" i="8"/>
  <c r="BJ276" i="8"/>
  <c r="AW276" i="8"/>
  <c r="AV276" i="8"/>
  <c r="BJ275" i="8"/>
  <c r="AW275" i="8"/>
  <c r="AV275" i="8"/>
  <c r="BJ274" i="8"/>
  <c r="BC274" i="8"/>
  <c r="BE274" i="8" s="1"/>
  <c r="BB274" i="8"/>
  <c r="BD274" i="8" s="1"/>
  <c r="AX274" i="8"/>
  <c r="AY274" i="8" s="1"/>
  <c r="BJ273" i="8"/>
  <c r="BC273" i="8"/>
  <c r="BE273" i="8" s="1"/>
  <c r="BB273" i="8"/>
  <c r="BD273" i="8" s="1"/>
  <c r="AX273" i="8"/>
  <c r="AY273" i="8" s="1"/>
  <c r="BJ272" i="8"/>
  <c r="BC272" i="8"/>
  <c r="BE272" i="8" s="1"/>
  <c r="BB272" i="8"/>
  <c r="BD272" i="8" s="1"/>
  <c r="AW272" i="8"/>
  <c r="AV272" i="8"/>
  <c r="BJ271" i="8"/>
  <c r="BC271" i="8"/>
  <c r="BE271" i="8" s="1"/>
  <c r="BB271" i="8"/>
  <c r="BD271" i="8" s="1"/>
  <c r="AW271" i="8"/>
  <c r="AV271" i="8"/>
  <c r="BJ270" i="8"/>
  <c r="BC270" i="8"/>
  <c r="BE270" i="8" s="1"/>
  <c r="BB270" i="8"/>
  <c r="BD270" i="8" s="1"/>
  <c r="AW270" i="8"/>
  <c r="AV270" i="8"/>
  <c r="BJ269" i="8"/>
  <c r="BC269" i="8"/>
  <c r="BE269" i="8" s="1"/>
  <c r="BB269" i="8"/>
  <c r="BD269" i="8" s="1"/>
  <c r="AW269" i="8"/>
  <c r="AV269" i="8"/>
  <c r="BJ268" i="8"/>
  <c r="BC268" i="8"/>
  <c r="BE268" i="8" s="1"/>
  <c r="BB268" i="8"/>
  <c r="BD268" i="8" s="1"/>
  <c r="AW268" i="8"/>
  <c r="AV268" i="8"/>
  <c r="BJ267" i="8"/>
  <c r="BC267" i="8"/>
  <c r="BE267" i="8" s="1"/>
  <c r="BB267" i="8"/>
  <c r="BD267" i="8" s="1"/>
  <c r="AW267" i="8"/>
  <c r="AV267" i="8"/>
  <c r="BJ266" i="8"/>
  <c r="BC266" i="8"/>
  <c r="BE266" i="8" s="1"/>
  <c r="BB266" i="8"/>
  <c r="BD266" i="8" s="1"/>
  <c r="AW266" i="8"/>
  <c r="AV266" i="8"/>
  <c r="BJ265" i="8"/>
  <c r="BC265" i="8"/>
  <c r="BE265" i="8" s="1"/>
  <c r="BB265" i="8"/>
  <c r="BD265" i="8" s="1"/>
  <c r="AW265" i="8"/>
  <c r="AV265" i="8"/>
  <c r="BJ264" i="8"/>
  <c r="BC264" i="8"/>
  <c r="BE264" i="8" s="1"/>
  <c r="BB264" i="8"/>
  <c r="BD264" i="8" s="1"/>
  <c r="AW264" i="8"/>
  <c r="AV264" i="8"/>
  <c r="BJ263" i="8"/>
  <c r="BC263" i="8"/>
  <c r="BE263" i="8" s="1"/>
  <c r="BB263" i="8"/>
  <c r="BD263" i="8" s="1"/>
  <c r="AW263" i="8"/>
  <c r="AV263" i="8"/>
  <c r="BJ262" i="8"/>
  <c r="BC262" i="8"/>
  <c r="BE262" i="8" s="1"/>
  <c r="BB262" i="8"/>
  <c r="BD262" i="8" s="1"/>
  <c r="AW262" i="8"/>
  <c r="AV262" i="8"/>
  <c r="BJ261" i="8"/>
  <c r="BC261" i="8"/>
  <c r="BE261" i="8" s="1"/>
  <c r="BB261" i="8"/>
  <c r="BD261" i="8" s="1"/>
  <c r="AW261" i="8"/>
  <c r="AV261" i="8"/>
  <c r="BJ260" i="8"/>
  <c r="BC260" i="8"/>
  <c r="BE260" i="8" s="1"/>
  <c r="BB260" i="8"/>
  <c r="BD260" i="8" s="1"/>
  <c r="AW260" i="8"/>
  <c r="AV260" i="8"/>
  <c r="BJ259" i="8"/>
  <c r="BD259" i="8"/>
  <c r="BC259" i="8"/>
  <c r="BE259" i="8" s="1"/>
  <c r="AW259" i="8"/>
  <c r="AV259" i="8"/>
  <c r="BJ258" i="8"/>
  <c r="BD258" i="8"/>
  <c r="BC258" i="8"/>
  <c r="BE258" i="8" s="1"/>
  <c r="AW258" i="8"/>
  <c r="AV258" i="8"/>
  <c r="BJ257" i="8"/>
  <c r="BD257" i="8"/>
  <c r="BC257" i="8"/>
  <c r="BE257" i="8" s="1"/>
  <c r="AW257" i="8"/>
  <c r="AV257" i="8"/>
  <c r="BJ256" i="8"/>
  <c r="BC256" i="8"/>
  <c r="BE256" i="8" s="1"/>
  <c r="BB256" i="8"/>
  <c r="BD256" i="8" s="1"/>
  <c r="AW256" i="8"/>
  <c r="AV256" i="8"/>
  <c r="BJ255" i="8"/>
  <c r="BC255" i="8"/>
  <c r="BE255" i="8" s="1"/>
  <c r="BB255" i="8"/>
  <c r="BD255" i="8" s="1"/>
  <c r="AW255" i="8"/>
  <c r="AV255" i="8"/>
  <c r="BJ254" i="8"/>
  <c r="BC254" i="8"/>
  <c r="BE254" i="8" s="1"/>
  <c r="BB254" i="8"/>
  <c r="BD254" i="8" s="1"/>
  <c r="AW254" i="8"/>
  <c r="AV254" i="8"/>
  <c r="BJ253" i="8"/>
  <c r="BC253" i="8"/>
  <c r="BE253" i="8" s="1"/>
  <c r="BB253" i="8"/>
  <c r="BD253" i="8" s="1"/>
  <c r="AW253" i="8"/>
  <c r="AV253" i="8"/>
  <c r="BJ252" i="8"/>
  <c r="BC252" i="8"/>
  <c r="BE252" i="8" s="1"/>
  <c r="BB252" i="8"/>
  <c r="BD252" i="8" s="1"/>
  <c r="AW252" i="8"/>
  <c r="AV252" i="8"/>
  <c r="BJ251" i="8"/>
  <c r="BD251" i="8"/>
  <c r="BC251" i="8"/>
  <c r="BE251" i="8" s="1"/>
  <c r="AW251" i="8"/>
  <c r="AV251" i="8"/>
  <c r="BJ250" i="8"/>
  <c r="BC250" i="8"/>
  <c r="BE250" i="8" s="1"/>
  <c r="BB250" i="8"/>
  <c r="BD250" i="8" s="1"/>
  <c r="AW250" i="8"/>
  <c r="AV250" i="8"/>
  <c r="BJ249" i="8"/>
  <c r="BD249" i="8"/>
  <c r="BC249" i="8"/>
  <c r="BE249" i="8" s="1"/>
  <c r="AW249" i="8"/>
  <c r="AV249" i="8"/>
  <c r="BJ248" i="8"/>
  <c r="BD248" i="8"/>
  <c r="BC248" i="8"/>
  <c r="BE248" i="8" s="1"/>
  <c r="AW248" i="8"/>
  <c r="AV248" i="8"/>
  <c r="BJ247" i="8"/>
  <c r="BD247" i="8"/>
  <c r="BC247" i="8"/>
  <c r="BE247" i="8" s="1"/>
  <c r="AW247" i="8"/>
  <c r="AV247" i="8"/>
  <c r="BJ246" i="8"/>
  <c r="BD246" i="8"/>
  <c r="BC246" i="8"/>
  <c r="BE246" i="8" s="1"/>
  <c r="AW246" i="8"/>
  <c r="AV246" i="8"/>
  <c r="BJ245" i="8"/>
  <c r="BD245" i="8"/>
  <c r="BC245" i="8"/>
  <c r="BE245" i="8" s="1"/>
  <c r="AW245" i="8"/>
  <c r="AV245" i="8"/>
  <c r="BJ244" i="8"/>
  <c r="BC244" i="8"/>
  <c r="BE244" i="8" s="1"/>
  <c r="BB244" i="8"/>
  <c r="BD244" i="8" s="1"/>
  <c r="AW244" i="8"/>
  <c r="AV244" i="8"/>
  <c r="BJ243" i="8"/>
  <c r="BC243" i="8"/>
  <c r="BE243" i="8" s="1"/>
  <c r="BB243" i="8"/>
  <c r="BD243" i="8" s="1"/>
  <c r="AW243" i="8"/>
  <c r="AV243" i="8"/>
  <c r="BJ242" i="8"/>
  <c r="BC242" i="8"/>
  <c r="BE242" i="8" s="1"/>
  <c r="BB242" i="8"/>
  <c r="BD242" i="8" s="1"/>
  <c r="AW242" i="8"/>
  <c r="AV242" i="8"/>
  <c r="BJ241" i="8"/>
  <c r="BC241" i="8"/>
  <c r="BE241" i="8" s="1"/>
  <c r="BB241" i="8"/>
  <c r="BD241" i="8" s="1"/>
  <c r="AW241" i="8"/>
  <c r="AV241" i="8"/>
  <c r="BJ240" i="8"/>
  <c r="BC240" i="8"/>
  <c r="BE240" i="8" s="1"/>
  <c r="BB240" i="8"/>
  <c r="BD240" i="8" s="1"/>
  <c r="AW240" i="8"/>
  <c r="AV240" i="8"/>
  <c r="BJ239" i="8"/>
  <c r="BC239" i="8"/>
  <c r="BE239" i="8" s="1"/>
  <c r="BB239" i="8"/>
  <c r="BD239" i="8" s="1"/>
  <c r="AW239" i="8"/>
  <c r="AV239" i="8"/>
  <c r="BJ238" i="8"/>
  <c r="BC238" i="8"/>
  <c r="BE238" i="8" s="1"/>
  <c r="BB238" i="8"/>
  <c r="BD238" i="8" s="1"/>
  <c r="AW238" i="8"/>
  <c r="AV238" i="8"/>
  <c r="BJ237" i="8"/>
  <c r="BC237" i="8"/>
  <c r="BE237" i="8" s="1"/>
  <c r="BB237" i="8"/>
  <c r="BD237" i="8" s="1"/>
  <c r="AW237" i="8"/>
  <c r="AV237" i="8"/>
  <c r="BJ236" i="8"/>
  <c r="BC236" i="8"/>
  <c r="BE236" i="8" s="1"/>
  <c r="BB236" i="8"/>
  <c r="BD236" i="8" s="1"/>
  <c r="AW236" i="8"/>
  <c r="AV236" i="8"/>
  <c r="BJ235" i="8"/>
  <c r="BC235" i="8"/>
  <c r="BE235" i="8" s="1"/>
  <c r="BB235" i="8"/>
  <c r="BD235" i="8" s="1"/>
  <c r="AW235" i="8"/>
  <c r="AV235" i="8"/>
  <c r="BJ234" i="8"/>
  <c r="BC234" i="8"/>
  <c r="BE234" i="8" s="1"/>
  <c r="BB234" i="8"/>
  <c r="BD234" i="8" s="1"/>
  <c r="AW234" i="8"/>
  <c r="AV234" i="8"/>
  <c r="BJ233" i="8"/>
  <c r="BC233" i="8"/>
  <c r="BE233" i="8" s="1"/>
  <c r="BB233" i="8"/>
  <c r="BD233" i="8" s="1"/>
  <c r="AW233" i="8"/>
  <c r="AV233" i="8"/>
  <c r="BJ232" i="8"/>
  <c r="BC232" i="8"/>
  <c r="BE232" i="8" s="1"/>
  <c r="BB232" i="8"/>
  <c r="BD232" i="8" s="1"/>
  <c r="AW232" i="8"/>
  <c r="AV232" i="8"/>
  <c r="BJ231" i="8"/>
  <c r="BC231" i="8"/>
  <c r="BE231" i="8" s="1"/>
  <c r="BB231" i="8"/>
  <c r="BD231" i="8" s="1"/>
  <c r="AW231" i="8"/>
  <c r="AV231" i="8"/>
  <c r="BJ230" i="8"/>
  <c r="BC230" i="8"/>
  <c r="BE230" i="8" s="1"/>
  <c r="BB230" i="8"/>
  <c r="BD230" i="8" s="1"/>
  <c r="AW230" i="8"/>
  <c r="AV230" i="8"/>
  <c r="BJ229" i="8"/>
  <c r="BC229" i="8"/>
  <c r="BE229" i="8" s="1"/>
  <c r="BB229" i="8"/>
  <c r="BD229" i="8" s="1"/>
  <c r="AW229" i="8"/>
  <c r="AV229" i="8"/>
  <c r="BJ228" i="8"/>
  <c r="BC228" i="8"/>
  <c r="BE228" i="8" s="1"/>
  <c r="BB228" i="8"/>
  <c r="BD228" i="8" s="1"/>
  <c r="AW228" i="8"/>
  <c r="AV228" i="8"/>
  <c r="BJ227" i="8"/>
  <c r="BC227" i="8"/>
  <c r="BE227" i="8" s="1"/>
  <c r="BB227" i="8"/>
  <c r="BD227" i="8" s="1"/>
  <c r="AW227" i="8"/>
  <c r="AV227" i="8"/>
  <c r="BJ226" i="8"/>
  <c r="BC226" i="8"/>
  <c r="BE226" i="8" s="1"/>
  <c r="BB226" i="8"/>
  <c r="BD226" i="8" s="1"/>
  <c r="AW226" i="8"/>
  <c r="AV226" i="8"/>
  <c r="BJ225" i="8"/>
  <c r="BC225" i="8"/>
  <c r="BE225" i="8" s="1"/>
  <c r="BB225" i="8"/>
  <c r="BD225" i="8" s="1"/>
  <c r="AW225" i="8"/>
  <c r="AV225" i="8"/>
  <c r="BJ224" i="8"/>
  <c r="BC224" i="8"/>
  <c r="BE224" i="8" s="1"/>
  <c r="BB224" i="8"/>
  <c r="BD224" i="8" s="1"/>
  <c r="AW224" i="8"/>
  <c r="AV224" i="8"/>
  <c r="BJ223" i="8"/>
  <c r="BC223" i="8"/>
  <c r="BE223" i="8" s="1"/>
  <c r="BB223" i="8"/>
  <c r="BD223" i="8" s="1"/>
  <c r="AW223" i="8"/>
  <c r="AV223" i="8"/>
  <c r="BJ222" i="8"/>
  <c r="BC222" i="8"/>
  <c r="BE222" i="8" s="1"/>
  <c r="BB222" i="8"/>
  <c r="BD222" i="8" s="1"/>
  <c r="AW222" i="8"/>
  <c r="AV222" i="8"/>
  <c r="BJ221" i="8"/>
  <c r="BC221" i="8"/>
  <c r="BE221" i="8" s="1"/>
  <c r="BB221" i="8"/>
  <c r="BD221" i="8" s="1"/>
  <c r="AW221" i="8"/>
  <c r="AV221" i="8"/>
  <c r="BJ220" i="8"/>
  <c r="BE220" i="8"/>
  <c r="BD220" i="8"/>
  <c r="AX220" i="8"/>
  <c r="AY220" i="8" s="1"/>
  <c r="BJ219" i="8"/>
  <c r="BE219" i="8"/>
  <c r="BD219" i="8"/>
  <c r="AX219" i="8"/>
  <c r="AY219" i="8" s="1"/>
  <c r="BJ218" i="8"/>
  <c r="BE218" i="8"/>
  <c r="BD218" i="8"/>
  <c r="AX218" i="8"/>
  <c r="AY218" i="8" s="1"/>
  <c r="BJ217" i="8"/>
  <c r="BE217" i="8"/>
  <c r="BD217" i="8"/>
  <c r="AX217" i="8"/>
  <c r="AY217" i="8" s="1"/>
  <c r="BJ216" i="8"/>
  <c r="BE216" i="8"/>
  <c r="BD216" i="8"/>
  <c r="AX216" i="8"/>
  <c r="AY216" i="8" s="1"/>
  <c r="BJ215" i="8"/>
  <c r="BE215" i="8"/>
  <c r="BD215" i="8"/>
  <c r="AX215" i="8"/>
  <c r="AY215" i="8" s="1"/>
  <c r="BJ214" i="8"/>
  <c r="BE214" i="8"/>
  <c r="BD214" i="8"/>
  <c r="AX214" i="8"/>
  <c r="AY214" i="8" s="1"/>
  <c r="BJ213" i="8"/>
  <c r="BE213" i="8"/>
  <c r="BD213" i="8"/>
  <c r="AX213" i="8"/>
  <c r="AY213" i="8" s="1"/>
  <c r="BJ212" i="8"/>
  <c r="BE212" i="8"/>
  <c r="BD212" i="8"/>
  <c r="AX212" i="8"/>
  <c r="AY212" i="8" s="1"/>
  <c r="BJ211" i="8"/>
  <c r="BE211" i="8"/>
  <c r="BD211" i="8"/>
  <c r="AX211" i="8"/>
  <c r="AY211" i="8" s="1"/>
  <c r="BJ210" i="8"/>
  <c r="BE210" i="8"/>
  <c r="BD210" i="8"/>
  <c r="AX210" i="8"/>
  <c r="AY210" i="8" s="1"/>
  <c r="BJ209" i="8"/>
  <c r="BE209" i="8"/>
  <c r="BD209" i="8"/>
  <c r="AX209" i="8"/>
  <c r="AY209" i="8" s="1"/>
  <c r="BJ208" i="8"/>
  <c r="BE208" i="8"/>
  <c r="BD208" i="8"/>
  <c r="AX208" i="8"/>
  <c r="AY208" i="8" s="1"/>
  <c r="BJ207" i="8"/>
  <c r="BE207" i="8"/>
  <c r="BD207" i="8"/>
  <c r="AX207" i="8"/>
  <c r="AY207" i="8" s="1"/>
  <c r="BJ206" i="8"/>
  <c r="BE206" i="8"/>
  <c r="BD206" i="8"/>
  <c r="AX206" i="8"/>
  <c r="AY206" i="8" s="1"/>
  <c r="BJ205" i="8"/>
  <c r="BE205" i="8"/>
  <c r="BD205" i="8"/>
  <c r="AX205" i="8"/>
  <c r="AY205" i="8" s="1"/>
  <c r="BJ204" i="8"/>
  <c r="BC204" i="8"/>
  <c r="BE204" i="8" s="1"/>
  <c r="BB204" i="8"/>
  <c r="BD204" i="8" s="1"/>
  <c r="AW204" i="8"/>
  <c r="AV204" i="8"/>
  <c r="BJ203" i="8"/>
  <c r="BC203" i="8"/>
  <c r="BE203" i="8" s="1"/>
  <c r="BB203" i="8"/>
  <c r="BD203" i="8" s="1"/>
  <c r="AW203" i="8"/>
  <c r="AV203" i="8"/>
  <c r="BJ202" i="8"/>
  <c r="BC202" i="8"/>
  <c r="BE202" i="8" s="1"/>
  <c r="BB202" i="8"/>
  <c r="BD202" i="8" s="1"/>
  <c r="AW202" i="8"/>
  <c r="AV202" i="8"/>
  <c r="BJ201" i="8"/>
  <c r="BC201" i="8"/>
  <c r="BE201" i="8" s="1"/>
  <c r="BB201" i="8"/>
  <c r="BD201" i="8" s="1"/>
  <c r="AW201" i="8"/>
  <c r="AV201" i="8"/>
  <c r="BJ200" i="8"/>
  <c r="BC200" i="8"/>
  <c r="BE200" i="8" s="1"/>
  <c r="BB200" i="8"/>
  <c r="BD200" i="8" s="1"/>
  <c r="AW200" i="8"/>
  <c r="AV200" i="8"/>
  <c r="BJ199" i="8"/>
  <c r="BC199" i="8"/>
  <c r="BE199" i="8" s="1"/>
  <c r="BB199" i="8"/>
  <c r="BD199" i="8" s="1"/>
  <c r="AW199" i="8"/>
  <c r="AV199" i="8"/>
  <c r="BJ198" i="8"/>
  <c r="BC198" i="8"/>
  <c r="BE198" i="8" s="1"/>
  <c r="BB198" i="8"/>
  <c r="BD198" i="8" s="1"/>
  <c r="AW198" i="8"/>
  <c r="AV198" i="8"/>
  <c r="BJ197" i="8"/>
  <c r="BC197" i="8"/>
  <c r="BE197" i="8" s="1"/>
  <c r="BB197" i="8"/>
  <c r="BD197" i="8" s="1"/>
  <c r="AW197" i="8"/>
  <c r="AV197" i="8"/>
  <c r="BJ196" i="8"/>
  <c r="BC196" i="8"/>
  <c r="BE196" i="8" s="1"/>
  <c r="BB196" i="8"/>
  <c r="BD196" i="8" s="1"/>
  <c r="AW196" i="8"/>
  <c r="AV196" i="8"/>
  <c r="BJ195" i="8"/>
  <c r="BC195" i="8"/>
  <c r="BE195" i="8" s="1"/>
  <c r="BB195" i="8"/>
  <c r="BD195" i="8" s="1"/>
  <c r="AW195" i="8"/>
  <c r="AV195" i="8"/>
  <c r="BJ194" i="8"/>
  <c r="BC194" i="8"/>
  <c r="BE194" i="8" s="1"/>
  <c r="BB194" i="8"/>
  <c r="BD194" i="8" s="1"/>
  <c r="AW194" i="8"/>
  <c r="AV194" i="8"/>
  <c r="BJ193" i="8"/>
  <c r="BC193" i="8"/>
  <c r="BE193" i="8" s="1"/>
  <c r="BB193" i="8"/>
  <c r="BD193" i="8" s="1"/>
  <c r="AW193" i="8"/>
  <c r="AV193" i="8"/>
  <c r="BJ192" i="8"/>
  <c r="BC192" i="8"/>
  <c r="BE192" i="8" s="1"/>
  <c r="BB192" i="8"/>
  <c r="BD192" i="8" s="1"/>
  <c r="AW192" i="8"/>
  <c r="AV192" i="8"/>
  <c r="BJ191" i="8"/>
  <c r="BC191" i="8"/>
  <c r="BE191" i="8" s="1"/>
  <c r="BB191" i="8"/>
  <c r="BD191" i="8" s="1"/>
  <c r="AW191" i="8"/>
  <c r="AV191" i="8"/>
  <c r="BJ190" i="8"/>
  <c r="BC190" i="8"/>
  <c r="BE190" i="8" s="1"/>
  <c r="BB190" i="8"/>
  <c r="BD190" i="8" s="1"/>
  <c r="AW190" i="8"/>
  <c r="AV190" i="8"/>
  <c r="BJ189" i="8"/>
  <c r="BC189" i="8"/>
  <c r="BE189" i="8" s="1"/>
  <c r="BB189" i="8"/>
  <c r="BD189" i="8" s="1"/>
  <c r="AW189" i="8"/>
  <c r="AV189" i="8"/>
  <c r="BJ188" i="8"/>
  <c r="BC188" i="8"/>
  <c r="BE188" i="8" s="1"/>
  <c r="BB188" i="8"/>
  <c r="BD188" i="8" s="1"/>
  <c r="AW188" i="8"/>
  <c r="AV188" i="8"/>
  <c r="BJ187" i="8"/>
  <c r="BC187" i="8"/>
  <c r="BE187" i="8" s="1"/>
  <c r="BB187" i="8"/>
  <c r="BD187" i="8" s="1"/>
  <c r="AW187" i="8"/>
  <c r="AV187" i="8"/>
  <c r="BJ186" i="8"/>
  <c r="BC186" i="8"/>
  <c r="BE186" i="8" s="1"/>
  <c r="BB186" i="8"/>
  <c r="BD186" i="8" s="1"/>
  <c r="AW186" i="8"/>
  <c r="AV186" i="8"/>
  <c r="BJ185" i="8"/>
  <c r="BC185" i="8"/>
  <c r="BE185" i="8" s="1"/>
  <c r="BB185" i="8"/>
  <c r="BD185" i="8" s="1"/>
  <c r="AW185" i="8"/>
  <c r="AV185" i="8"/>
  <c r="BJ184" i="8"/>
  <c r="BC184" i="8"/>
  <c r="BE184" i="8" s="1"/>
  <c r="BB184" i="8"/>
  <c r="BD184" i="8" s="1"/>
  <c r="AW184" i="8"/>
  <c r="AV184" i="8"/>
  <c r="BJ183" i="8"/>
  <c r="BC183" i="8"/>
  <c r="BE183" i="8" s="1"/>
  <c r="BB183" i="8"/>
  <c r="BD183" i="8" s="1"/>
  <c r="AW183" i="8"/>
  <c r="AV183" i="8"/>
  <c r="BJ182" i="8"/>
  <c r="BC182" i="8"/>
  <c r="BE182" i="8" s="1"/>
  <c r="BB182" i="8"/>
  <c r="BD182" i="8" s="1"/>
  <c r="AW182" i="8"/>
  <c r="AV182" i="8"/>
  <c r="BJ181" i="8"/>
  <c r="BC181" i="8"/>
  <c r="BE181" i="8" s="1"/>
  <c r="BB181" i="8"/>
  <c r="BD181" i="8" s="1"/>
  <c r="AW181" i="8"/>
  <c r="AV181" i="8"/>
  <c r="BJ180" i="8"/>
  <c r="BC180" i="8"/>
  <c r="BE180" i="8" s="1"/>
  <c r="BB180" i="8"/>
  <c r="BD180" i="8" s="1"/>
  <c r="AW180" i="8"/>
  <c r="AV180" i="8"/>
  <c r="BJ179" i="8"/>
  <c r="BC179" i="8"/>
  <c r="BE179" i="8" s="1"/>
  <c r="BB179" i="8"/>
  <c r="BD179" i="8" s="1"/>
  <c r="AW179" i="8"/>
  <c r="AV179" i="8"/>
  <c r="BJ178" i="8"/>
  <c r="BC178" i="8"/>
  <c r="BE178" i="8" s="1"/>
  <c r="BB178" i="8"/>
  <c r="BD178" i="8" s="1"/>
  <c r="AW178" i="8"/>
  <c r="AV178" i="8"/>
  <c r="BJ177" i="8"/>
  <c r="BC177" i="8"/>
  <c r="BE177" i="8" s="1"/>
  <c r="BB177" i="8"/>
  <c r="BD177" i="8" s="1"/>
  <c r="AW177" i="8"/>
  <c r="AV177" i="8"/>
  <c r="BJ176" i="8"/>
  <c r="BC176" i="8"/>
  <c r="BE176" i="8" s="1"/>
  <c r="BB176" i="8"/>
  <c r="BD176" i="8" s="1"/>
  <c r="AW176" i="8"/>
  <c r="AV176" i="8"/>
  <c r="BJ175" i="8"/>
  <c r="BC175" i="8"/>
  <c r="BE175" i="8" s="1"/>
  <c r="BB175" i="8"/>
  <c r="BD175" i="8" s="1"/>
  <c r="AW175" i="8"/>
  <c r="AV175" i="8"/>
  <c r="BJ174" i="8"/>
  <c r="BC174" i="8"/>
  <c r="BE174" i="8" s="1"/>
  <c r="BB174" i="8"/>
  <c r="BD174" i="8" s="1"/>
  <c r="AW174" i="8"/>
  <c r="AV174" i="8"/>
  <c r="BJ173" i="8"/>
  <c r="BC173" i="8"/>
  <c r="BE173" i="8" s="1"/>
  <c r="BB173" i="8"/>
  <c r="BD173" i="8" s="1"/>
  <c r="AW173" i="8"/>
  <c r="AV173" i="8"/>
  <c r="BJ172" i="8"/>
  <c r="BC172" i="8"/>
  <c r="BE172" i="8" s="1"/>
  <c r="BB172" i="8"/>
  <c r="BD172" i="8" s="1"/>
  <c r="AW172" i="8"/>
  <c r="AV172" i="8"/>
  <c r="BJ171" i="8"/>
  <c r="BC171" i="8"/>
  <c r="BE171" i="8" s="1"/>
  <c r="BB171" i="8"/>
  <c r="BD171" i="8" s="1"/>
  <c r="AW171" i="8"/>
  <c r="AV171" i="8"/>
  <c r="BJ170" i="8"/>
  <c r="BC170" i="8"/>
  <c r="BE170" i="8" s="1"/>
  <c r="BB170" i="8"/>
  <c r="BD170" i="8" s="1"/>
  <c r="AW170" i="8"/>
  <c r="AV170" i="8"/>
  <c r="BJ169" i="8"/>
  <c r="BC169" i="8"/>
  <c r="BE169" i="8" s="1"/>
  <c r="BB169" i="8"/>
  <c r="BD169" i="8" s="1"/>
  <c r="AW169" i="8"/>
  <c r="AV169" i="8"/>
  <c r="BJ168" i="8"/>
  <c r="BC168" i="8"/>
  <c r="BE168" i="8" s="1"/>
  <c r="BB168" i="8"/>
  <c r="BD168" i="8" s="1"/>
  <c r="AW168" i="8"/>
  <c r="AV168" i="8"/>
  <c r="BJ167" i="8"/>
  <c r="BC167" i="8"/>
  <c r="BE167" i="8" s="1"/>
  <c r="BB167" i="8"/>
  <c r="BD167" i="8" s="1"/>
  <c r="AW167" i="8"/>
  <c r="AV167" i="8"/>
  <c r="BJ166" i="8"/>
  <c r="BC166" i="8"/>
  <c r="BE166" i="8" s="1"/>
  <c r="BB166" i="8"/>
  <c r="BD166" i="8" s="1"/>
  <c r="AW166" i="8"/>
  <c r="AV166" i="8"/>
  <c r="BJ165" i="8"/>
  <c r="BC165" i="8"/>
  <c r="BE165" i="8" s="1"/>
  <c r="BB165" i="8"/>
  <c r="BD165" i="8" s="1"/>
  <c r="AW165" i="8"/>
  <c r="AV165" i="8"/>
  <c r="BJ164" i="8"/>
  <c r="BC164" i="8"/>
  <c r="BE164" i="8" s="1"/>
  <c r="BB164" i="8"/>
  <c r="BD164" i="8" s="1"/>
  <c r="AW164" i="8"/>
  <c r="AV164" i="8"/>
  <c r="BJ163" i="8"/>
  <c r="BC163" i="8"/>
  <c r="BE163" i="8" s="1"/>
  <c r="BB163" i="8"/>
  <c r="BD163" i="8" s="1"/>
  <c r="AW163" i="8"/>
  <c r="AV163" i="8"/>
  <c r="BJ162" i="8"/>
  <c r="BC162" i="8"/>
  <c r="BE162" i="8" s="1"/>
  <c r="BB162" i="8"/>
  <c r="BD162" i="8" s="1"/>
  <c r="AW162" i="8"/>
  <c r="AV162" i="8"/>
  <c r="BJ161" i="8"/>
  <c r="BC161" i="8"/>
  <c r="BE161" i="8" s="1"/>
  <c r="BB161" i="8"/>
  <c r="BD161" i="8" s="1"/>
  <c r="AW161" i="8"/>
  <c r="AV161" i="8"/>
  <c r="BJ160" i="8"/>
  <c r="BC160" i="8"/>
  <c r="BE160" i="8" s="1"/>
  <c r="BB160" i="8"/>
  <c r="BD160" i="8" s="1"/>
  <c r="AW160" i="8"/>
  <c r="AV160" i="8"/>
  <c r="BJ159" i="8"/>
  <c r="BC159" i="8"/>
  <c r="BE159" i="8" s="1"/>
  <c r="BB159" i="8"/>
  <c r="BD159" i="8" s="1"/>
  <c r="AW159" i="8"/>
  <c r="AV159" i="8"/>
  <c r="BJ158" i="8"/>
  <c r="BC158" i="8"/>
  <c r="BE158" i="8" s="1"/>
  <c r="BB158" i="8"/>
  <c r="BD158" i="8" s="1"/>
  <c r="AW158" i="8"/>
  <c r="AV158" i="8"/>
  <c r="BJ157" i="8"/>
  <c r="BC157" i="8"/>
  <c r="BE157" i="8" s="1"/>
  <c r="BB157" i="8"/>
  <c r="BD157" i="8" s="1"/>
  <c r="AW157" i="8"/>
  <c r="AV157" i="8"/>
  <c r="BJ156" i="8"/>
  <c r="BC156" i="8"/>
  <c r="BE156" i="8" s="1"/>
  <c r="BB156" i="8"/>
  <c r="BD156" i="8" s="1"/>
  <c r="AW156" i="8"/>
  <c r="AV156" i="8"/>
  <c r="BJ155" i="8"/>
  <c r="BC155" i="8"/>
  <c r="BE155" i="8" s="1"/>
  <c r="BB155" i="8"/>
  <c r="BD155" i="8" s="1"/>
  <c r="AW155" i="8"/>
  <c r="AV155" i="8"/>
  <c r="BJ154" i="8"/>
  <c r="BC154" i="8"/>
  <c r="BE154" i="8" s="1"/>
  <c r="BB154" i="8"/>
  <c r="BD154" i="8" s="1"/>
  <c r="AW154" i="8"/>
  <c r="AV154" i="8"/>
  <c r="BJ153" i="8"/>
  <c r="BC153" i="8"/>
  <c r="BE153" i="8" s="1"/>
  <c r="BB153" i="8"/>
  <c r="BD153" i="8" s="1"/>
  <c r="AW153" i="8"/>
  <c r="AV153" i="8"/>
  <c r="BJ152" i="8"/>
  <c r="AW152" i="8"/>
  <c r="AV152" i="8"/>
  <c r="H152" i="8"/>
  <c r="BJ151" i="8"/>
  <c r="AW151" i="8"/>
  <c r="AV151" i="8"/>
  <c r="H151" i="8"/>
  <c r="BJ150" i="8"/>
  <c r="AW150" i="8"/>
  <c r="AV150" i="8"/>
  <c r="H150" i="8"/>
  <c r="BJ149" i="8"/>
  <c r="AW149" i="8"/>
  <c r="AV149" i="8"/>
  <c r="H149" i="8"/>
  <c r="BJ148" i="8"/>
  <c r="AW148" i="8"/>
  <c r="AV148" i="8"/>
  <c r="H148" i="8"/>
  <c r="BJ147" i="8"/>
  <c r="AW147" i="8"/>
  <c r="AV147" i="8"/>
  <c r="H147" i="8"/>
  <c r="BJ146" i="8"/>
  <c r="BF146" i="8"/>
  <c r="AX146" i="8"/>
  <c r="AY146" i="8" s="1"/>
  <c r="H146" i="8"/>
  <c r="BJ145" i="8"/>
  <c r="BF145" i="8"/>
  <c r="AX145" i="8"/>
  <c r="AY145" i="8" s="1"/>
  <c r="H145" i="8"/>
  <c r="BJ144" i="8"/>
  <c r="BF144" i="8"/>
  <c r="AX144" i="8"/>
  <c r="AY144" i="8" s="1"/>
  <c r="H144" i="8"/>
  <c r="BJ143" i="8"/>
  <c r="AW143" i="8"/>
  <c r="AV143" i="8"/>
  <c r="H143" i="8"/>
  <c r="BJ142" i="8"/>
  <c r="AW142" i="8"/>
  <c r="AV142" i="8"/>
  <c r="H142" i="8"/>
  <c r="BJ141" i="8"/>
  <c r="AW141" i="8"/>
  <c r="AV141" i="8"/>
  <c r="H141" i="8"/>
  <c r="BJ140" i="8"/>
  <c r="AW140" i="8"/>
  <c r="AV140" i="8"/>
  <c r="H140" i="8"/>
  <c r="BJ139" i="8"/>
  <c r="AW139" i="8"/>
  <c r="AV139" i="8"/>
  <c r="H139" i="8"/>
  <c r="BJ138" i="8"/>
  <c r="AW138" i="8"/>
  <c r="AV138" i="8"/>
  <c r="H138" i="8"/>
  <c r="BJ137" i="8"/>
  <c r="AW137" i="8"/>
  <c r="AV137" i="8"/>
  <c r="BJ136" i="8"/>
  <c r="AW136" i="8"/>
  <c r="AV136" i="8"/>
  <c r="BJ135" i="8"/>
  <c r="AW135" i="8"/>
  <c r="AV135" i="8"/>
  <c r="BJ134" i="8"/>
  <c r="AW134" i="8"/>
  <c r="AV134" i="8"/>
  <c r="BJ133" i="8"/>
  <c r="AW133" i="8"/>
  <c r="AV133" i="8"/>
  <c r="BJ132" i="8"/>
  <c r="AW132" i="8"/>
  <c r="AV132" i="8"/>
  <c r="BJ131" i="8"/>
  <c r="BC131" i="8"/>
  <c r="BE131" i="8" s="1"/>
  <c r="BB131" i="8"/>
  <c r="BD131" i="8" s="1"/>
  <c r="AW131" i="8"/>
  <c r="AV131" i="8"/>
  <c r="BJ130" i="8"/>
  <c r="BC130" i="8"/>
  <c r="BE130" i="8" s="1"/>
  <c r="BB130" i="8"/>
  <c r="BD130" i="8" s="1"/>
  <c r="AW130" i="8"/>
  <c r="AV130" i="8"/>
  <c r="BJ129" i="8"/>
  <c r="BC129" i="8"/>
  <c r="BE129" i="8" s="1"/>
  <c r="BB129" i="8"/>
  <c r="BD129" i="8" s="1"/>
  <c r="AW129" i="8"/>
  <c r="AV129" i="8"/>
  <c r="BJ128" i="8"/>
  <c r="BE128" i="8"/>
  <c r="BD128" i="8"/>
  <c r="AX128" i="8"/>
  <c r="AY128" i="8" s="1"/>
  <c r="BJ127" i="8"/>
  <c r="BE127" i="8"/>
  <c r="BD127" i="8"/>
  <c r="AX127" i="8"/>
  <c r="AY127" i="8" s="1"/>
  <c r="BJ126" i="8"/>
  <c r="BE126" i="8"/>
  <c r="BD126" i="8"/>
  <c r="AX126" i="8"/>
  <c r="AY126" i="8" s="1"/>
  <c r="BJ125" i="8"/>
  <c r="BE125" i="8"/>
  <c r="BD125" i="8"/>
  <c r="AX125" i="8"/>
  <c r="AY125" i="8" s="1"/>
  <c r="BJ124" i="8"/>
  <c r="BE124" i="8"/>
  <c r="BD124" i="8"/>
  <c r="AX124" i="8"/>
  <c r="AY124" i="8" s="1"/>
  <c r="BJ123" i="8"/>
  <c r="BE123" i="8"/>
  <c r="BD123" i="8"/>
  <c r="AX123" i="8"/>
  <c r="AY123" i="8" s="1"/>
  <c r="BJ122" i="8"/>
  <c r="BE122" i="8"/>
  <c r="BD122" i="8"/>
  <c r="AX122" i="8"/>
  <c r="AY122" i="8" s="1"/>
  <c r="BJ121" i="8"/>
  <c r="BE121" i="8"/>
  <c r="BD121" i="8"/>
  <c r="AX121" i="8"/>
  <c r="AY121" i="8" s="1"/>
  <c r="BJ120" i="8"/>
  <c r="BE120" i="8"/>
  <c r="BD120" i="8"/>
  <c r="AX120" i="8"/>
  <c r="AY120" i="8" s="1"/>
  <c r="BJ119" i="8"/>
  <c r="BE119" i="8"/>
  <c r="BD119" i="8"/>
  <c r="AX119" i="8"/>
  <c r="AY119" i="8" s="1"/>
  <c r="BJ118" i="8"/>
  <c r="BE118" i="8"/>
  <c r="BD118" i="8"/>
  <c r="AX118" i="8"/>
  <c r="AY118" i="8" s="1"/>
  <c r="BJ117" i="8"/>
  <c r="BE117" i="8"/>
  <c r="BD117" i="8"/>
  <c r="AX117" i="8"/>
  <c r="AY117" i="8" s="1"/>
  <c r="BJ116" i="8"/>
  <c r="BC116" i="8"/>
  <c r="BE116" i="8" s="1"/>
  <c r="BB116" i="8"/>
  <c r="BD116" i="8" s="1"/>
  <c r="AW116" i="8"/>
  <c r="AV116" i="8"/>
  <c r="BJ115" i="8"/>
  <c r="BC115" i="8"/>
  <c r="BE115" i="8" s="1"/>
  <c r="BB115" i="8"/>
  <c r="BD115" i="8" s="1"/>
  <c r="AW115" i="8"/>
  <c r="AV115" i="8"/>
  <c r="BJ114" i="8"/>
  <c r="BC114" i="8"/>
  <c r="BE114" i="8" s="1"/>
  <c r="BB114" i="8"/>
  <c r="BD114" i="8" s="1"/>
  <c r="AW114" i="8"/>
  <c r="AV114" i="8"/>
  <c r="BJ113" i="8"/>
  <c r="BE113" i="8"/>
  <c r="BC113" i="8" s="1"/>
  <c r="BD113" i="8"/>
  <c r="BB113" i="8" s="1"/>
  <c r="AW113" i="8"/>
  <c r="AV113" i="8"/>
  <c r="BJ112" i="8"/>
  <c r="BE112" i="8"/>
  <c r="BC112" i="8" s="1"/>
  <c r="BD112" i="8"/>
  <c r="BB112" i="8" s="1"/>
  <c r="AW112" i="8"/>
  <c r="AV112" i="8"/>
  <c r="BJ111" i="8"/>
  <c r="BE111" i="8"/>
  <c r="BC111" i="8" s="1"/>
  <c r="BD111" i="8"/>
  <c r="BB111" i="8" s="1"/>
  <c r="AW111" i="8"/>
  <c r="AV111" i="8"/>
  <c r="BJ110" i="8"/>
  <c r="BE110" i="8"/>
  <c r="BC110" i="8" s="1"/>
  <c r="BD110" i="8"/>
  <c r="BB110" i="8" s="1"/>
  <c r="AW110" i="8"/>
  <c r="AV110" i="8"/>
  <c r="BJ109" i="8"/>
  <c r="BF109" i="8"/>
  <c r="BL109" i="8" s="1"/>
  <c r="BM109" i="8" s="1"/>
  <c r="BC109" i="8"/>
  <c r="BB109" i="8"/>
  <c r="AX109" i="8"/>
  <c r="AY109" i="8" s="1"/>
  <c r="BJ108" i="8"/>
  <c r="BF108" i="8"/>
  <c r="BG108" i="8" s="1"/>
  <c r="BC108" i="8"/>
  <c r="BB108" i="8"/>
  <c r="AX108" i="8"/>
  <c r="AY108" i="8" s="1"/>
  <c r="BJ107" i="8"/>
  <c r="BF107" i="8"/>
  <c r="BL107" i="8" s="1"/>
  <c r="BM107" i="8" s="1"/>
  <c r="BC107" i="8"/>
  <c r="BB107" i="8"/>
  <c r="AX107" i="8"/>
  <c r="AY107" i="8" s="1"/>
  <c r="BJ106" i="8"/>
  <c r="BF106" i="8"/>
  <c r="BL106" i="8" s="1"/>
  <c r="BM106" i="8" s="1"/>
  <c r="BC106" i="8"/>
  <c r="BB106" i="8"/>
  <c r="AX106" i="8"/>
  <c r="AY106" i="8" s="1"/>
  <c r="BJ105" i="8"/>
  <c r="BC105" i="8"/>
  <c r="BE105" i="8" s="1"/>
  <c r="BB105" i="8"/>
  <c r="BD105" i="8" s="1"/>
  <c r="AW105" i="8"/>
  <c r="AV105" i="8"/>
  <c r="BJ104" i="8"/>
  <c r="BE104" i="8"/>
  <c r="BD104" i="8"/>
  <c r="AX104" i="8"/>
  <c r="AY104" i="8" s="1"/>
  <c r="BJ103" i="8"/>
  <c r="BC103" i="8"/>
  <c r="BE103" i="8" s="1"/>
  <c r="BB103" i="8"/>
  <c r="BD103" i="8" s="1"/>
  <c r="AW103" i="8"/>
  <c r="AV103" i="8"/>
  <c r="BJ102" i="8"/>
  <c r="BE102" i="8"/>
  <c r="BD102" i="8"/>
  <c r="AX102" i="8"/>
  <c r="AY102" i="8" s="1"/>
  <c r="BJ101" i="8"/>
  <c r="BE101" i="8"/>
  <c r="BD101" i="8"/>
  <c r="AX101" i="8"/>
  <c r="AY101" i="8" s="1"/>
  <c r="BJ100" i="8"/>
  <c r="BE100" i="8"/>
  <c r="BD100" i="8"/>
  <c r="AX100" i="8"/>
  <c r="AY100" i="8" s="1"/>
  <c r="BJ99" i="8"/>
  <c r="BE99" i="8"/>
  <c r="BD99" i="8"/>
  <c r="AX99" i="8"/>
  <c r="AY99" i="8" s="1"/>
  <c r="BJ98" i="8"/>
  <c r="BE98" i="8"/>
  <c r="BD98" i="8"/>
  <c r="AX98" i="8"/>
  <c r="AY98" i="8" s="1"/>
  <c r="BJ97" i="8"/>
  <c r="BE97" i="8"/>
  <c r="BD97" i="8"/>
  <c r="AX97" i="8"/>
  <c r="AY97" i="8" s="1"/>
  <c r="BJ96" i="8"/>
  <c r="BE96" i="8"/>
  <c r="BD96" i="8"/>
  <c r="AX96" i="8"/>
  <c r="AY96" i="8" s="1"/>
  <c r="BJ95" i="8"/>
  <c r="BC95" i="8"/>
  <c r="BE95" i="8" s="1"/>
  <c r="BB95" i="8"/>
  <c r="BD95" i="8" s="1"/>
  <c r="AW95" i="8"/>
  <c r="AV95" i="8"/>
  <c r="BJ94" i="8"/>
  <c r="BC94" i="8"/>
  <c r="BE94" i="8" s="1"/>
  <c r="BB94" i="8"/>
  <c r="BD94" i="8" s="1"/>
  <c r="AW94" i="8"/>
  <c r="AV94" i="8"/>
  <c r="BJ93" i="8"/>
  <c r="BC93" i="8"/>
  <c r="BE93" i="8" s="1"/>
  <c r="BB93" i="8"/>
  <c r="BD93" i="8" s="1"/>
  <c r="AW93" i="8"/>
  <c r="AV93" i="8"/>
  <c r="BJ92" i="8"/>
  <c r="BC92" i="8"/>
  <c r="BE92" i="8" s="1"/>
  <c r="BB92" i="8"/>
  <c r="BD92" i="8" s="1"/>
  <c r="AW92" i="8"/>
  <c r="AV92" i="8"/>
  <c r="BJ91" i="8"/>
  <c r="BC91" i="8"/>
  <c r="BE91" i="8" s="1"/>
  <c r="BB91" i="8"/>
  <c r="BD91" i="8" s="1"/>
  <c r="AW91" i="8"/>
  <c r="AV91" i="8"/>
  <c r="BJ90" i="8"/>
  <c r="BC90" i="8"/>
  <c r="BE90" i="8" s="1"/>
  <c r="BB90" i="8"/>
  <c r="BD90" i="8" s="1"/>
  <c r="AW90" i="8"/>
  <c r="AV90" i="8"/>
  <c r="BJ89" i="8"/>
  <c r="BC89" i="8"/>
  <c r="BE89" i="8" s="1"/>
  <c r="BB89" i="8"/>
  <c r="BD89" i="8" s="1"/>
  <c r="AW89" i="8"/>
  <c r="AV89" i="8"/>
  <c r="BJ88" i="8"/>
  <c r="BC88" i="8"/>
  <c r="BE88" i="8" s="1"/>
  <c r="BB88" i="8"/>
  <c r="BD88" i="8" s="1"/>
  <c r="AW88" i="8"/>
  <c r="AV88" i="8"/>
  <c r="BJ87" i="8"/>
  <c r="BC87" i="8"/>
  <c r="BE87" i="8" s="1"/>
  <c r="BB87" i="8"/>
  <c r="BD87" i="8" s="1"/>
  <c r="AW87" i="8"/>
  <c r="AV87" i="8"/>
  <c r="BJ86" i="8"/>
  <c r="BC86" i="8"/>
  <c r="BE86" i="8" s="1"/>
  <c r="BB86" i="8"/>
  <c r="BD86" i="8" s="1"/>
  <c r="AW86" i="8"/>
  <c r="AV86" i="8"/>
  <c r="BJ85" i="8"/>
  <c r="BC85" i="8"/>
  <c r="BE85" i="8" s="1"/>
  <c r="BB85" i="8"/>
  <c r="BD85" i="8" s="1"/>
  <c r="AW85" i="8"/>
  <c r="AV85" i="8"/>
  <c r="BJ84" i="8"/>
  <c r="BC84" i="8"/>
  <c r="BE84" i="8" s="1"/>
  <c r="BB84" i="8"/>
  <c r="BD84" i="8" s="1"/>
  <c r="AW84" i="8"/>
  <c r="AV84" i="8"/>
  <c r="BJ83" i="8"/>
  <c r="BE83" i="8"/>
  <c r="BD83" i="8"/>
  <c r="AX83" i="8"/>
  <c r="AY83" i="8" s="1"/>
  <c r="BJ82" i="8"/>
  <c r="BE82" i="8"/>
  <c r="BD82" i="8"/>
  <c r="AX82" i="8"/>
  <c r="AY82" i="8" s="1"/>
  <c r="BJ81" i="8"/>
  <c r="BE81" i="8"/>
  <c r="BD81" i="8"/>
  <c r="AX81" i="8"/>
  <c r="AY81" i="8" s="1"/>
  <c r="BJ80" i="8"/>
  <c r="BE80" i="8"/>
  <c r="BD80" i="8"/>
  <c r="AX80" i="8"/>
  <c r="AY80" i="8" s="1"/>
  <c r="BJ79" i="8"/>
  <c r="BE79" i="8"/>
  <c r="BD79" i="8"/>
  <c r="AX79" i="8"/>
  <c r="AY79" i="8" s="1"/>
  <c r="BJ78" i="8"/>
  <c r="BE78" i="8"/>
  <c r="BD78" i="8"/>
  <c r="AX78" i="8"/>
  <c r="AY78" i="8" s="1"/>
  <c r="BJ77" i="8"/>
  <c r="BE77" i="8"/>
  <c r="BD77" i="8"/>
  <c r="AX77" i="8"/>
  <c r="AY77" i="8" s="1"/>
  <c r="BJ76" i="8"/>
  <c r="BE76" i="8"/>
  <c r="BD76" i="8"/>
  <c r="AX76" i="8"/>
  <c r="AY76" i="8" s="1"/>
  <c r="BJ75" i="8"/>
  <c r="BE75" i="8"/>
  <c r="BD75" i="8"/>
  <c r="AX75" i="8"/>
  <c r="AY75" i="8" s="1"/>
  <c r="BJ74" i="8"/>
  <c r="BE74" i="8"/>
  <c r="BD74" i="8"/>
  <c r="AX74" i="8"/>
  <c r="AY74" i="8" s="1"/>
  <c r="BJ73" i="8"/>
  <c r="BE73" i="8"/>
  <c r="BD73" i="8"/>
  <c r="AX73" i="8"/>
  <c r="AY73" i="8" s="1"/>
  <c r="BJ72" i="8"/>
  <c r="BE72" i="8"/>
  <c r="BD72" i="8"/>
  <c r="AX72" i="8"/>
  <c r="AY72" i="8" s="1"/>
  <c r="BJ71" i="8"/>
  <c r="BE71" i="8"/>
  <c r="BD71" i="8"/>
  <c r="AX71" i="8"/>
  <c r="AY71" i="8" s="1"/>
  <c r="BJ70" i="8"/>
  <c r="BE70" i="8"/>
  <c r="BD70" i="8"/>
  <c r="AX70" i="8"/>
  <c r="AY70" i="8" s="1"/>
  <c r="BJ69" i="8"/>
  <c r="BE69" i="8"/>
  <c r="BD69" i="8"/>
  <c r="AX69" i="8"/>
  <c r="AY69" i="8" s="1"/>
  <c r="BJ68" i="8"/>
  <c r="BE68" i="8"/>
  <c r="BD68" i="8"/>
  <c r="AX68" i="8"/>
  <c r="AY68" i="8" s="1"/>
  <c r="BJ67" i="8"/>
  <c r="BE67" i="8"/>
  <c r="BD67" i="8"/>
  <c r="AX67" i="8"/>
  <c r="AY67" i="8" s="1"/>
  <c r="BJ66" i="8"/>
  <c r="BE66" i="8"/>
  <c r="BD66" i="8"/>
  <c r="AX66" i="8"/>
  <c r="AY66" i="8" s="1"/>
  <c r="BJ65" i="8"/>
  <c r="BE65" i="8"/>
  <c r="BD65" i="8"/>
  <c r="AX65" i="8"/>
  <c r="AY65" i="8" s="1"/>
  <c r="BJ64" i="8"/>
  <c r="BC64" i="8"/>
  <c r="BE64" i="8" s="1"/>
  <c r="BB64" i="8"/>
  <c r="BD64" i="8" s="1"/>
  <c r="AW64" i="8"/>
  <c r="AV64" i="8"/>
  <c r="BJ63" i="8"/>
  <c r="BC63" i="8"/>
  <c r="BE63" i="8" s="1"/>
  <c r="BB63" i="8"/>
  <c r="BD63" i="8" s="1"/>
  <c r="AW63" i="8"/>
  <c r="AV63" i="8"/>
  <c r="BJ62" i="8"/>
  <c r="BE62" i="8"/>
  <c r="BD62" i="8"/>
  <c r="AX62" i="8"/>
  <c r="AY62" i="8" s="1"/>
  <c r="BJ61" i="8"/>
  <c r="BE61" i="8"/>
  <c r="BD61" i="8"/>
  <c r="AX61" i="8"/>
  <c r="AY61" i="8" s="1"/>
  <c r="BJ60" i="8"/>
  <c r="BC60" i="8"/>
  <c r="BE60" i="8" s="1"/>
  <c r="BB60" i="8"/>
  <c r="BD60" i="8" s="1"/>
  <c r="AW60" i="8"/>
  <c r="AV60" i="8"/>
  <c r="BJ59" i="8"/>
  <c r="BC59" i="8"/>
  <c r="BE59" i="8" s="1"/>
  <c r="BB59" i="8"/>
  <c r="BD59" i="8" s="1"/>
  <c r="AW59" i="8"/>
  <c r="AV59" i="8"/>
  <c r="BJ58" i="8"/>
  <c r="BE58" i="8"/>
  <c r="BD58" i="8"/>
  <c r="AX58" i="8"/>
  <c r="AY58" i="8" s="1"/>
  <c r="BJ57" i="8"/>
  <c r="BE57" i="8"/>
  <c r="BD57" i="8"/>
  <c r="AX57" i="8"/>
  <c r="AY57" i="8" s="1"/>
  <c r="BJ56" i="8"/>
  <c r="BE56" i="8"/>
  <c r="BD56" i="8"/>
  <c r="AX56" i="8"/>
  <c r="AY56" i="8" s="1"/>
  <c r="BJ55" i="8"/>
  <c r="BE55" i="8"/>
  <c r="BD55" i="8"/>
  <c r="AX55" i="8"/>
  <c r="AY55" i="8" s="1"/>
  <c r="BJ54" i="8"/>
  <c r="BE54" i="8"/>
  <c r="BD54" i="8"/>
  <c r="AX54" i="8"/>
  <c r="AY54" i="8" s="1"/>
  <c r="BJ53" i="8"/>
  <c r="BE53" i="8"/>
  <c r="BD53" i="8"/>
  <c r="AX53" i="8"/>
  <c r="AY53" i="8" s="1"/>
  <c r="BJ52" i="8"/>
  <c r="BE52" i="8"/>
  <c r="BD52" i="8"/>
  <c r="AX52" i="8"/>
  <c r="AY52" i="8" s="1"/>
  <c r="BJ51" i="8"/>
  <c r="BE51" i="8"/>
  <c r="BD51" i="8"/>
  <c r="AX51" i="8"/>
  <c r="AY51" i="8" s="1"/>
  <c r="BJ50" i="8"/>
  <c r="BE50" i="8"/>
  <c r="BD50" i="8"/>
  <c r="AX50" i="8"/>
  <c r="AY50" i="8" s="1"/>
  <c r="BJ49" i="8"/>
  <c r="BC49" i="8"/>
  <c r="BE49" i="8" s="1"/>
  <c r="BB49" i="8"/>
  <c r="BD49" i="8" s="1"/>
  <c r="AW49" i="8"/>
  <c r="AV49" i="8"/>
  <c r="BJ48" i="8"/>
  <c r="BC48" i="8"/>
  <c r="BE48" i="8" s="1"/>
  <c r="BB48" i="8"/>
  <c r="BD48" i="8" s="1"/>
  <c r="AW48" i="8"/>
  <c r="AV48" i="8"/>
  <c r="BJ47" i="8"/>
  <c r="BC47" i="8"/>
  <c r="BE47" i="8" s="1"/>
  <c r="BB47" i="8"/>
  <c r="BD47" i="8" s="1"/>
  <c r="AW47" i="8"/>
  <c r="AV47" i="8"/>
  <c r="AX47" i="8" s="1"/>
  <c r="AY47" i="8" s="1"/>
  <c r="BJ46" i="8"/>
  <c r="BC46" i="8"/>
  <c r="BE46" i="8" s="1"/>
  <c r="BB46" i="8"/>
  <c r="BD46" i="8" s="1"/>
  <c r="AW46" i="8"/>
  <c r="AV46" i="8"/>
  <c r="BJ45" i="8"/>
  <c r="BC45" i="8"/>
  <c r="BE45" i="8" s="1"/>
  <c r="BB45" i="8"/>
  <c r="BD45" i="8" s="1"/>
  <c r="AW45" i="8"/>
  <c r="AV45" i="8"/>
  <c r="BJ44" i="8"/>
  <c r="BC44" i="8"/>
  <c r="BE44" i="8" s="1"/>
  <c r="BB44" i="8"/>
  <c r="BD44" i="8" s="1"/>
  <c r="AW44" i="8"/>
  <c r="AV44" i="8"/>
  <c r="BJ43" i="8"/>
  <c r="BC43" i="8"/>
  <c r="BE43" i="8" s="1"/>
  <c r="BB43" i="8"/>
  <c r="BD43" i="8" s="1"/>
  <c r="AW43" i="8"/>
  <c r="AV43" i="8"/>
  <c r="BJ42" i="8"/>
  <c r="BC42" i="8"/>
  <c r="BE42" i="8" s="1"/>
  <c r="BB42" i="8"/>
  <c r="BD42" i="8" s="1"/>
  <c r="AW42" i="8"/>
  <c r="AV42" i="8"/>
  <c r="BJ41" i="8"/>
  <c r="BC41" i="8"/>
  <c r="BE41" i="8" s="1"/>
  <c r="BB41" i="8"/>
  <c r="BD41" i="8" s="1"/>
  <c r="AW41" i="8"/>
  <c r="AV41" i="8"/>
  <c r="BJ40" i="8"/>
  <c r="BC40" i="8"/>
  <c r="BE40" i="8" s="1"/>
  <c r="BB40" i="8"/>
  <c r="BD40" i="8" s="1"/>
  <c r="AW40" i="8"/>
  <c r="AV40" i="8"/>
  <c r="BJ39" i="8"/>
  <c r="BE39" i="8"/>
  <c r="BD39" i="8"/>
  <c r="AX39" i="8"/>
  <c r="AY39" i="8" s="1"/>
  <c r="BJ38" i="8"/>
  <c r="BC38" i="8"/>
  <c r="BE38" i="8" s="1"/>
  <c r="BB38" i="8"/>
  <c r="BD38" i="8" s="1"/>
  <c r="AW38" i="8"/>
  <c r="AV38" i="8"/>
  <c r="BJ37" i="8"/>
  <c r="BC37" i="8"/>
  <c r="BE37" i="8" s="1"/>
  <c r="BB37" i="8"/>
  <c r="BD37" i="8" s="1"/>
  <c r="AW37" i="8"/>
  <c r="AV37" i="8"/>
  <c r="BJ36" i="8"/>
  <c r="BC36" i="8"/>
  <c r="BE36" i="8" s="1"/>
  <c r="BB36" i="8"/>
  <c r="BD36" i="8" s="1"/>
  <c r="AW36" i="8"/>
  <c r="AV36" i="8"/>
  <c r="BJ35" i="8"/>
  <c r="BE35" i="8"/>
  <c r="BD35" i="8"/>
  <c r="AX35" i="8"/>
  <c r="AY35" i="8" s="1"/>
  <c r="BJ34" i="8"/>
  <c r="BC34" i="8"/>
  <c r="BE34" i="8" s="1"/>
  <c r="BB34" i="8"/>
  <c r="BD34" i="8" s="1"/>
  <c r="AW34" i="8"/>
  <c r="AV34" i="8"/>
  <c r="BJ33" i="8"/>
  <c r="BC33" i="8"/>
  <c r="BE33" i="8" s="1"/>
  <c r="BB33" i="8"/>
  <c r="BD33" i="8" s="1"/>
  <c r="AW33" i="8"/>
  <c r="AV33" i="8"/>
  <c r="BJ32" i="8"/>
  <c r="BC32" i="8"/>
  <c r="BE32" i="8" s="1"/>
  <c r="BB32" i="8"/>
  <c r="BD32" i="8" s="1"/>
  <c r="AW32" i="8"/>
  <c r="AV32" i="8"/>
  <c r="BJ31" i="8"/>
  <c r="BE31" i="8"/>
  <c r="BD31" i="8"/>
  <c r="AX31" i="8"/>
  <c r="AY31" i="8" s="1"/>
  <c r="BJ30" i="8"/>
  <c r="BC30" i="8"/>
  <c r="BE30" i="8" s="1"/>
  <c r="BB30" i="8"/>
  <c r="BD30" i="8" s="1"/>
  <c r="AW30" i="8"/>
  <c r="AV30" i="8"/>
  <c r="BJ29" i="8"/>
  <c r="BC29" i="8"/>
  <c r="BE29" i="8" s="1"/>
  <c r="BB29" i="8"/>
  <c r="BD29" i="8" s="1"/>
  <c r="AW29" i="8"/>
  <c r="AV29" i="8"/>
  <c r="BJ28" i="8"/>
  <c r="BC28" i="8"/>
  <c r="BE28" i="8" s="1"/>
  <c r="BB28" i="8"/>
  <c r="BD28" i="8" s="1"/>
  <c r="AW28" i="8"/>
  <c r="AV28" i="8"/>
  <c r="BJ27" i="8"/>
  <c r="BE27" i="8"/>
  <c r="BD27" i="8"/>
  <c r="AX27" i="8"/>
  <c r="AY27" i="8" s="1"/>
  <c r="BJ26" i="8"/>
  <c r="BC26" i="8"/>
  <c r="BE26" i="8" s="1"/>
  <c r="BB26" i="8"/>
  <c r="BD26" i="8" s="1"/>
  <c r="AW26" i="8"/>
  <c r="AV26" i="8"/>
  <c r="BJ25" i="8"/>
  <c r="BC25" i="8"/>
  <c r="BE25" i="8" s="1"/>
  <c r="BB25" i="8"/>
  <c r="BD25" i="8" s="1"/>
  <c r="AW25" i="8"/>
  <c r="AV25" i="8"/>
  <c r="BJ24" i="8"/>
  <c r="BC24" i="8"/>
  <c r="BE24" i="8" s="1"/>
  <c r="BB24" i="8"/>
  <c r="BD24" i="8" s="1"/>
  <c r="AW24" i="8"/>
  <c r="AV24" i="8"/>
  <c r="BJ23" i="8"/>
  <c r="BE23" i="8"/>
  <c r="BD23" i="8"/>
  <c r="AX23" i="8"/>
  <c r="AY23" i="8" s="1"/>
  <c r="BJ22" i="8"/>
  <c r="BC22" i="8"/>
  <c r="BE22" i="8" s="1"/>
  <c r="BB22" i="8"/>
  <c r="BD22" i="8" s="1"/>
  <c r="AW22" i="8"/>
  <c r="AV22" i="8"/>
  <c r="AX22" i="8" s="1"/>
  <c r="AY22" i="8" s="1"/>
  <c r="BJ21" i="8"/>
  <c r="BC21" i="8"/>
  <c r="BE21" i="8" s="1"/>
  <c r="BB21" i="8"/>
  <c r="BD21" i="8" s="1"/>
  <c r="AW21" i="8"/>
  <c r="AV21" i="8"/>
  <c r="BJ20" i="8"/>
  <c r="BC20" i="8"/>
  <c r="BE20" i="8" s="1"/>
  <c r="BB20" i="8"/>
  <c r="BD20" i="8" s="1"/>
  <c r="AW20" i="8"/>
  <c r="AV20" i="8"/>
  <c r="BJ19" i="8"/>
  <c r="BE19" i="8"/>
  <c r="BD19" i="8"/>
  <c r="AX19" i="8"/>
  <c r="AY19" i="8" s="1"/>
  <c r="BJ18" i="8"/>
  <c r="BC18" i="8"/>
  <c r="BE18" i="8" s="1"/>
  <c r="BB18" i="8"/>
  <c r="BD18" i="8" s="1"/>
  <c r="AW18" i="8"/>
  <c r="AV18" i="8"/>
  <c r="BJ17" i="8"/>
  <c r="BC17" i="8"/>
  <c r="BE17" i="8" s="1"/>
  <c r="BB17" i="8"/>
  <c r="BD17" i="8" s="1"/>
  <c r="AW17" i="8"/>
  <c r="AV17" i="8"/>
  <c r="BJ16" i="8"/>
  <c r="BC16" i="8"/>
  <c r="BE16" i="8" s="1"/>
  <c r="BB16" i="8"/>
  <c r="BD16" i="8" s="1"/>
  <c r="AW16" i="8"/>
  <c r="AV16" i="8"/>
  <c r="BJ15" i="8"/>
  <c r="BE15" i="8"/>
  <c r="BD15" i="8"/>
  <c r="AX15" i="8"/>
  <c r="AY15" i="8" s="1"/>
  <c r="BJ14" i="8"/>
  <c r="BC14" i="8"/>
  <c r="BE14" i="8" s="1"/>
  <c r="BB14" i="8"/>
  <c r="BD14" i="8" s="1"/>
  <c r="AW14" i="8"/>
  <c r="AV14" i="8"/>
  <c r="BJ13" i="8"/>
  <c r="BC13" i="8"/>
  <c r="BE13" i="8" s="1"/>
  <c r="BB13" i="8"/>
  <c r="BD13" i="8" s="1"/>
  <c r="AW13" i="8"/>
  <c r="AV13" i="8"/>
  <c r="BJ12" i="8"/>
  <c r="BC12" i="8"/>
  <c r="BE12" i="8" s="1"/>
  <c r="BB12" i="8"/>
  <c r="BD12" i="8" s="1"/>
  <c r="AW12" i="8"/>
  <c r="AV12" i="8"/>
  <c r="BJ11" i="8"/>
  <c r="BE11" i="8"/>
  <c r="BD11" i="8"/>
  <c r="AX11" i="8"/>
  <c r="AY11" i="8" s="1"/>
  <c r="BJ10" i="8"/>
  <c r="BC10" i="8"/>
  <c r="BE10" i="8" s="1"/>
  <c r="BB10" i="8"/>
  <c r="BD10" i="8" s="1"/>
  <c r="AW10" i="8"/>
  <c r="AV10" i="8"/>
  <c r="BJ9" i="8"/>
  <c r="BC9" i="8"/>
  <c r="BE9" i="8" s="1"/>
  <c r="BB9" i="8"/>
  <c r="BD9" i="8" s="1"/>
  <c r="AW9" i="8"/>
  <c r="AV9" i="8"/>
  <c r="BJ8" i="8"/>
  <c r="BC8" i="8"/>
  <c r="BE8" i="8" s="1"/>
  <c r="BB8" i="8"/>
  <c r="BD8" i="8" s="1"/>
  <c r="AW8" i="8"/>
  <c r="AV8" i="8"/>
  <c r="BJ7" i="8"/>
  <c r="BC7" i="8"/>
  <c r="BE7" i="8" s="1"/>
  <c r="BB7" i="8"/>
  <c r="BD7" i="8" s="1"/>
  <c r="AW7" i="8"/>
  <c r="AV7" i="8"/>
  <c r="BJ6" i="8"/>
  <c r="BC6" i="8"/>
  <c r="BE6" i="8" s="1"/>
  <c r="BB6" i="8"/>
  <c r="BD6" i="8" s="1"/>
  <c r="AW6" i="8"/>
  <c r="AV6" i="8"/>
  <c r="BJ5" i="8"/>
  <c r="BC5" i="8"/>
  <c r="BE5" i="8" s="1"/>
  <c r="BB5" i="8"/>
  <c r="BD5" i="8" s="1"/>
  <c r="AW5" i="8"/>
  <c r="AV5" i="8"/>
  <c r="BJ4" i="8"/>
  <c r="BC4" i="8"/>
  <c r="BE4" i="8" s="1"/>
  <c r="BB4" i="8"/>
  <c r="BD4" i="8" s="1"/>
  <c r="AW4" i="8"/>
  <c r="AV4" i="8"/>
  <c r="BJ3" i="8"/>
  <c r="BE3" i="8"/>
  <c r="BD3" i="8"/>
  <c r="AX3" i="8"/>
  <c r="AY3" i="8" s="1"/>
  <c r="BJ2" i="8"/>
  <c r="BE2" i="8"/>
  <c r="BD2" i="8"/>
  <c r="AX2" i="8"/>
  <c r="AY2" i="8" s="1"/>
  <c r="AX172" i="8" l="1"/>
  <c r="AY172" i="8" s="1"/>
  <c r="AX105" i="8"/>
  <c r="AY105" i="8" s="1"/>
  <c r="AX554" i="8"/>
  <c r="AY554" i="8" s="1"/>
  <c r="AX668" i="8"/>
  <c r="AY668" i="8" s="1"/>
  <c r="BF679" i="8"/>
  <c r="AX9" i="8"/>
  <c r="AY9" i="8" s="1"/>
  <c r="AX1357" i="8"/>
  <c r="AY1357" i="8" s="1"/>
  <c r="AX40" i="8"/>
  <c r="AY40" i="8" s="1"/>
  <c r="BK40" i="8" s="1"/>
  <c r="AX48" i="8"/>
  <c r="AY48" i="8" s="1"/>
  <c r="AX177" i="8"/>
  <c r="AY177" i="8" s="1"/>
  <c r="AX193" i="8"/>
  <c r="AY193" i="8" s="1"/>
  <c r="AX201" i="8"/>
  <c r="AY201" i="8" s="1"/>
  <c r="AX1419" i="8"/>
  <c r="AY1419" i="8" s="1"/>
  <c r="AX548" i="8"/>
  <c r="AY548" i="8" s="1"/>
  <c r="AX626" i="8"/>
  <c r="AY626" i="8" s="1"/>
  <c r="AX961" i="8"/>
  <c r="AY961" i="8" s="1"/>
  <c r="BK961" i="8" s="1"/>
  <c r="AX969" i="8"/>
  <c r="AY969" i="8" s="1"/>
  <c r="AX261" i="8"/>
  <c r="AY261" i="8" s="1"/>
  <c r="AX291" i="8"/>
  <c r="AY291" i="8" s="1"/>
  <c r="AX299" i="8"/>
  <c r="AY299" i="8" s="1"/>
  <c r="AX307" i="8"/>
  <c r="AY307" i="8" s="1"/>
  <c r="AX390" i="8"/>
  <c r="AY390" i="8" s="1"/>
  <c r="BF514" i="8"/>
  <c r="BF1107" i="8"/>
  <c r="AX289" i="8"/>
  <c r="AY289" i="8" s="1"/>
  <c r="AX305" i="8"/>
  <c r="AY305" i="8" s="1"/>
  <c r="AX320" i="8"/>
  <c r="AY320" i="8" s="1"/>
  <c r="BF352" i="8"/>
  <c r="AX384" i="8"/>
  <c r="AY384" i="8" s="1"/>
  <c r="BF487" i="8"/>
  <c r="AX786" i="8"/>
  <c r="AY786" i="8" s="1"/>
  <c r="AX1006" i="8"/>
  <c r="AY1006" i="8" s="1"/>
  <c r="BK1006" i="8" s="1"/>
  <c r="BL1006" i="8" s="1"/>
  <c r="AX1040" i="8"/>
  <c r="AY1040" i="8" s="1"/>
  <c r="AX1365" i="8"/>
  <c r="AY1365" i="8" s="1"/>
  <c r="AX1181" i="8"/>
  <c r="AY1181" i="8" s="1"/>
  <c r="AX1367" i="8"/>
  <c r="AY1367" i="8" s="1"/>
  <c r="AX1252" i="8"/>
  <c r="AY1252" i="8" s="1"/>
  <c r="AX1416" i="8"/>
  <c r="AY1416" i="8" s="1"/>
  <c r="AX1562" i="8"/>
  <c r="AY1562" i="8" s="1"/>
  <c r="AX322" i="8"/>
  <c r="AY322" i="8" s="1"/>
  <c r="BK322" i="8" s="1"/>
  <c r="AX36" i="8"/>
  <c r="AY36" i="8" s="1"/>
  <c r="AX797" i="8"/>
  <c r="AY797" i="8" s="1"/>
  <c r="BF814" i="8"/>
  <c r="BF877" i="8"/>
  <c r="BF1589" i="8"/>
  <c r="BG1589" i="8" s="1"/>
  <c r="AX595" i="8"/>
  <c r="AY595" i="8" s="1"/>
  <c r="AX602" i="8"/>
  <c r="AY602" i="8" s="1"/>
  <c r="AX625" i="8"/>
  <c r="AY625" i="8" s="1"/>
  <c r="BK625" i="8" s="1"/>
  <c r="AX651" i="8"/>
  <c r="AY651" i="8" s="1"/>
  <c r="BF678" i="8"/>
  <c r="BF912" i="8"/>
  <c r="AX982" i="8"/>
  <c r="AY982" i="8" s="1"/>
  <c r="BF1010" i="8"/>
  <c r="AX1044" i="8"/>
  <c r="AY1044" i="8" s="1"/>
  <c r="BF1077" i="8"/>
  <c r="AX1281" i="8"/>
  <c r="AY1281" i="8" s="1"/>
  <c r="BK1281" i="8" s="1"/>
  <c r="AX1524" i="8"/>
  <c r="AY1524" i="8" s="1"/>
  <c r="AX14" i="8"/>
  <c r="AY14" i="8" s="1"/>
  <c r="AX90" i="8"/>
  <c r="AY90" i="8" s="1"/>
  <c r="BF935" i="8"/>
  <c r="AX1268" i="8"/>
  <c r="AY1268" i="8" s="1"/>
  <c r="AX16" i="8"/>
  <c r="AY16" i="8" s="1"/>
  <c r="AX21" i="8"/>
  <c r="AY21" i="8" s="1"/>
  <c r="AX26" i="8"/>
  <c r="AY26" i="8" s="1"/>
  <c r="BK26" i="8" s="1"/>
  <c r="AX136" i="8"/>
  <c r="AY136" i="8" s="1"/>
  <c r="BF420" i="8"/>
  <c r="BF436" i="8"/>
  <c r="BF885" i="8"/>
  <c r="BF893" i="8"/>
  <c r="BF925" i="8"/>
  <c r="BF933" i="8"/>
  <c r="BF949" i="8"/>
  <c r="AX957" i="8"/>
  <c r="AY957" i="8" s="1"/>
  <c r="BF1082" i="8"/>
  <c r="BF1161" i="8"/>
  <c r="AX113" i="8"/>
  <c r="AY113" i="8" s="1"/>
  <c r="AX238" i="8"/>
  <c r="AY238" i="8" s="1"/>
  <c r="AX246" i="8"/>
  <c r="AY246" i="8" s="1"/>
  <c r="AX270" i="8"/>
  <c r="AY270" i="8" s="1"/>
  <c r="BF278" i="8"/>
  <c r="AX349" i="8"/>
  <c r="AY349" i="8" s="1"/>
  <c r="BK349" i="8" s="1"/>
  <c r="BL349" i="8" s="1"/>
  <c r="BM349" i="8" s="1"/>
  <c r="BO349" i="8" s="1"/>
  <c r="BF381" i="8"/>
  <c r="BF870" i="8"/>
  <c r="BF878" i="8"/>
  <c r="BF886" i="8"/>
  <c r="BF1056" i="8"/>
  <c r="BF1075" i="8"/>
  <c r="BF1118" i="8"/>
  <c r="AX1255" i="8"/>
  <c r="AY1255" i="8" s="1"/>
  <c r="BL1255" i="8" s="1"/>
  <c r="BM1255" i="8" s="1"/>
  <c r="BN1255" i="8" s="1"/>
  <c r="AX1269" i="8"/>
  <c r="AY1269" i="8" s="1"/>
  <c r="AX992" i="8"/>
  <c r="AY992" i="8" s="1"/>
  <c r="BF1008" i="8"/>
  <c r="AX288" i="8"/>
  <c r="AY288" i="8" s="1"/>
  <c r="BF733" i="8"/>
  <c r="AX63" i="8"/>
  <c r="AY63" i="8" s="1"/>
  <c r="BF525" i="8"/>
  <c r="AX569" i="8"/>
  <c r="AY569" i="8" s="1"/>
  <c r="BK569" i="8" s="1"/>
  <c r="BL569" i="8" s="1"/>
  <c r="BF577" i="8"/>
  <c r="AX583" i="8"/>
  <c r="AY583" i="8" s="1"/>
  <c r="AX631" i="8"/>
  <c r="AY631" i="8" s="1"/>
  <c r="AX639" i="8"/>
  <c r="AY639" i="8" s="1"/>
  <c r="BF938" i="8"/>
  <c r="AX1350" i="8"/>
  <c r="AY1350" i="8" s="1"/>
  <c r="AX1413" i="8"/>
  <c r="AY1413" i="8" s="1"/>
  <c r="BK1413" i="8" s="1"/>
  <c r="AX292" i="8"/>
  <c r="AY292" i="8" s="1"/>
  <c r="BK292" i="8" s="1"/>
  <c r="AX308" i="8"/>
  <c r="AY308" i="8" s="1"/>
  <c r="BK308" i="8" s="1"/>
  <c r="BF489" i="8"/>
  <c r="AX1179" i="8"/>
  <c r="AY1179" i="8" s="1"/>
  <c r="AX891" i="8"/>
  <c r="AY891" i="8" s="1"/>
  <c r="BF1005" i="8"/>
  <c r="AX1037" i="8"/>
  <c r="AY1037" i="8" s="1"/>
  <c r="AX1041" i="8"/>
  <c r="AY1041" i="8" s="1"/>
  <c r="BK1041" i="8" s="1"/>
  <c r="BF1080" i="8"/>
  <c r="AX1514" i="8"/>
  <c r="AY1514" i="8" s="1"/>
  <c r="BL1514" i="8" s="1"/>
  <c r="AX165" i="8"/>
  <c r="AY165" i="8" s="1"/>
  <c r="AX684" i="8"/>
  <c r="AY684" i="8" s="1"/>
  <c r="AX925" i="8"/>
  <c r="AY925" i="8" s="1"/>
  <c r="AX986" i="8"/>
  <c r="AY986" i="8" s="1"/>
  <c r="AX1159" i="8"/>
  <c r="AY1159" i="8" s="1"/>
  <c r="AX1191" i="8"/>
  <c r="AY1191" i="8" s="1"/>
  <c r="BK1191" i="8" s="1"/>
  <c r="AX1257" i="8"/>
  <c r="AY1257" i="8" s="1"/>
  <c r="BL1257" i="8" s="1"/>
  <c r="AX1422" i="8"/>
  <c r="AY1422" i="8" s="1"/>
  <c r="BK1422" i="8" s="1"/>
  <c r="AX161" i="8"/>
  <c r="AY161" i="8" s="1"/>
  <c r="AX285" i="8"/>
  <c r="AY285" i="8" s="1"/>
  <c r="BK285" i="8" s="1"/>
  <c r="AX309" i="8"/>
  <c r="AY309" i="8" s="1"/>
  <c r="AX340" i="8"/>
  <c r="AY340" i="8" s="1"/>
  <c r="AX372" i="8"/>
  <c r="AY372" i="8" s="1"/>
  <c r="AX391" i="8"/>
  <c r="AY391" i="8" s="1"/>
  <c r="BK391" i="8" s="1"/>
  <c r="BL391" i="8" s="1"/>
  <c r="AX415" i="8"/>
  <c r="AY415" i="8" s="1"/>
  <c r="BK415" i="8" s="1"/>
  <c r="BL415" i="8" s="1"/>
  <c r="AX423" i="8"/>
  <c r="AY423" i="8" s="1"/>
  <c r="BK423" i="8" s="1"/>
  <c r="BL423" i="8" s="1"/>
  <c r="BF533" i="8"/>
  <c r="BF537" i="8"/>
  <c r="AX960" i="8"/>
  <c r="AY960" i="8" s="1"/>
  <c r="AX1075" i="8"/>
  <c r="AY1075" i="8" s="1"/>
  <c r="AX1243" i="8"/>
  <c r="AY1243" i="8" s="1"/>
  <c r="AX1251" i="8"/>
  <c r="AY1251" i="8" s="1"/>
  <c r="BK1251" i="8" s="1"/>
  <c r="AX1513" i="8"/>
  <c r="AY1513" i="8" s="1"/>
  <c r="BL1513" i="8" s="1"/>
  <c r="AX1557" i="8"/>
  <c r="AY1557" i="8" s="1"/>
  <c r="BK1557" i="8" s="1"/>
  <c r="AX1565" i="8"/>
  <c r="AY1565" i="8" s="1"/>
  <c r="AX198" i="8"/>
  <c r="AY198" i="8" s="1"/>
  <c r="BK198" i="8" s="1"/>
  <c r="BF410" i="8"/>
  <c r="BF515" i="8"/>
  <c r="AX563" i="8"/>
  <c r="AY563" i="8" s="1"/>
  <c r="AX579" i="8"/>
  <c r="AY579" i="8" s="1"/>
  <c r="BK579" i="8" s="1"/>
  <c r="BL579" i="8" s="1"/>
  <c r="AX581" i="8"/>
  <c r="AY581" i="8" s="1"/>
  <c r="BK581" i="8" s="1"/>
  <c r="AX584" i="8"/>
  <c r="AY584" i="8" s="1"/>
  <c r="BK584" i="8" s="1"/>
  <c r="AX606" i="8"/>
  <c r="AY606" i="8" s="1"/>
  <c r="AX629" i="8"/>
  <c r="AY629" i="8" s="1"/>
  <c r="AX642" i="8"/>
  <c r="AY642" i="8" s="1"/>
  <c r="BF655" i="8"/>
  <c r="AX682" i="8"/>
  <c r="AY682" i="8" s="1"/>
  <c r="AX965" i="8"/>
  <c r="AY965" i="8" s="1"/>
  <c r="BK965" i="8" s="1"/>
  <c r="BF1007" i="8"/>
  <c r="AX1104" i="8"/>
  <c r="AY1104" i="8" s="1"/>
  <c r="BK1104" i="8" s="1"/>
  <c r="AX1570" i="8"/>
  <c r="AY1570" i="8" s="1"/>
  <c r="AX1453" i="8"/>
  <c r="AY1453" i="8" s="1"/>
  <c r="BK1453" i="8" s="1"/>
  <c r="AX830" i="8"/>
  <c r="AY830" i="8" s="1"/>
  <c r="BF853" i="8"/>
  <c r="BF887" i="8"/>
  <c r="BF916" i="8"/>
  <c r="BF932" i="8"/>
  <c r="BF956" i="8"/>
  <c r="AX1119" i="8"/>
  <c r="AY1119" i="8" s="1"/>
  <c r="BF1144" i="8"/>
  <c r="AX1183" i="8"/>
  <c r="AY1183" i="8" s="1"/>
  <c r="BF1588" i="8"/>
  <c r="BG1588" i="8" s="1"/>
  <c r="AX89" i="8"/>
  <c r="AY89" i="8" s="1"/>
  <c r="AX92" i="8"/>
  <c r="AY92" i="8" s="1"/>
  <c r="BK92" i="8" s="1"/>
  <c r="AX131" i="8"/>
  <c r="AY131" i="8" s="1"/>
  <c r="BK131" i="8" s="1"/>
  <c r="BF133" i="8"/>
  <c r="BF142" i="8"/>
  <c r="AX148" i="8"/>
  <c r="AY148" i="8" s="1"/>
  <c r="AX154" i="8"/>
  <c r="AY154" i="8" s="1"/>
  <c r="AX162" i="8"/>
  <c r="AY162" i="8" s="1"/>
  <c r="AX186" i="8"/>
  <c r="AY186" i="8" s="1"/>
  <c r="AX194" i="8"/>
  <c r="AY194" i="8" s="1"/>
  <c r="BK194" i="8" s="1"/>
  <c r="AX221" i="8"/>
  <c r="AY221" i="8" s="1"/>
  <c r="BK221" i="8" s="1"/>
  <c r="AX224" i="8"/>
  <c r="AY224" i="8" s="1"/>
  <c r="BK224" i="8" s="1"/>
  <c r="BF392" i="8"/>
  <c r="AX458" i="8"/>
  <c r="AY458" i="8" s="1"/>
  <c r="BK458" i="8" s="1"/>
  <c r="BF522" i="8"/>
  <c r="BF526" i="8"/>
  <c r="BF528" i="8"/>
  <c r="AX549" i="8"/>
  <c r="AY549" i="8" s="1"/>
  <c r="BK549" i="8" s="1"/>
  <c r="BF559" i="8"/>
  <c r="BG559" i="8" s="1"/>
  <c r="BF664" i="8"/>
  <c r="AX752" i="8"/>
  <c r="AY752" i="8" s="1"/>
  <c r="BF789" i="8"/>
  <c r="AX832" i="8"/>
  <c r="AY832" i="8" s="1"/>
  <c r="BF903" i="8"/>
  <c r="BF943" i="8"/>
  <c r="AX1227" i="8"/>
  <c r="AY1227" i="8" s="1"/>
  <c r="BL1227" i="8" s="1"/>
  <c r="AX1247" i="8"/>
  <c r="AY1247" i="8" s="1"/>
  <c r="BK1247" i="8" s="1"/>
  <c r="AX1391" i="8"/>
  <c r="AY1391" i="8" s="1"/>
  <c r="BL1391" i="8" s="1"/>
  <c r="BF1601" i="8"/>
  <c r="BG1601" i="8" s="1"/>
  <c r="AX45" i="8"/>
  <c r="AY45" i="8" s="1"/>
  <c r="BK45" i="8" s="1"/>
  <c r="AX188" i="8"/>
  <c r="AY188" i="8" s="1"/>
  <c r="AX196" i="8"/>
  <c r="AY196" i="8" s="1"/>
  <c r="AX223" i="8"/>
  <c r="AY223" i="8" s="1"/>
  <c r="AX226" i="8"/>
  <c r="AY226" i="8" s="1"/>
  <c r="BK226" i="8" s="1"/>
  <c r="AX250" i="8"/>
  <c r="AY250" i="8" s="1"/>
  <c r="BK250" i="8" s="1"/>
  <c r="AX296" i="8"/>
  <c r="AY296" i="8" s="1"/>
  <c r="BK296" i="8" s="1"/>
  <c r="BF337" i="8"/>
  <c r="BF345" i="8"/>
  <c r="BF414" i="8"/>
  <c r="BF464" i="8"/>
  <c r="BF480" i="8"/>
  <c r="AX592" i="8"/>
  <c r="AY592" i="8" s="1"/>
  <c r="BK592" i="8" s="1"/>
  <c r="BF1189" i="8"/>
  <c r="BG1189" i="8" s="1"/>
  <c r="AX1203" i="8"/>
  <c r="AY1203" i="8" s="1"/>
  <c r="BK1203" i="8" s="1"/>
  <c r="AX1232" i="8"/>
  <c r="AY1232" i="8" s="1"/>
  <c r="BF1590" i="8"/>
  <c r="BG1590" i="8" s="1"/>
  <c r="AX1609" i="8"/>
  <c r="AY1609" i="8" s="1"/>
  <c r="AX267" i="8"/>
  <c r="AY267" i="8" s="1"/>
  <c r="BF483" i="8"/>
  <c r="BF764" i="8"/>
  <c r="AX1239" i="8"/>
  <c r="AY1239" i="8" s="1"/>
  <c r="BK1239" i="8" s="1"/>
  <c r="AX1363" i="8"/>
  <c r="AY1363" i="8" s="1"/>
  <c r="BL1363" i="8" s="1"/>
  <c r="AX1451" i="8"/>
  <c r="AY1451" i="8" s="1"/>
  <c r="BK1451" i="8" s="1"/>
  <c r="AX1511" i="8"/>
  <c r="AY1511" i="8" s="1"/>
  <c r="BL1511" i="8" s="1"/>
  <c r="AX4" i="8"/>
  <c r="AY4" i="8" s="1"/>
  <c r="AX24" i="8"/>
  <c r="AY24" i="8" s="1"/>
  <c r="AX34" i="8"/>
  <c r="AY34" i="8" s="1"/>
  <c r="AX42" i="8"/>
  <c r="AY42" i="8" s="1"/>
  <c r="BK42" i="8" s="1"/>
  <c r="AX183" i="8"/>
  <c r="AY183" i="8" s="1"/>
  <c r="BK183" i="8" s="1"/>
  <c r="AX191" i="8"/>
  <c r="AY191" i="8" s="1"/>
  <c r="BK191" i="8" s="1"/>
  <c r="AX199" i="8"/>
  <c r="AY199" i="8" s="1"/>
  <c r="BK199" i="8" s="1"/>
  <c r="AX202" i="8"/>
  <c r="AY202" i="8" s="1"/>
  <c r="BK202" i="8" s="1"/>
  <c r="AX229" i="8"/>
  <c r="AY229" i="8" s="1"/>
  <c r="AX264" i="8"/>
  <c r="AY264" i="8" s="1"/>
  <c r="BF276" i="8"/>
  <c r="BF284" i="8"/>
  <c r="BF339" i="8"/>
  <c r="BF379" i="8"/>
  <c r="AX392" i="8"/>
  <c r="AY392" i="8" s="1"/>
  <c r="BK392" i="8" s="1"/>
  <c r="BL392" i="8" s="1"/>
  <c r="AX564" i="8"/>
  <c r="AY564" i="8" s="1"/>
  <c r="BK564" i="8" s="1"/>
  <c r="BL564" i="8" s="1"/>
  <c r="AX628" i="8"/>
  <c r="AY628" i="8" s="1"/>
  <c r="AX728" i="8"/>
  <c r="AY728" i="8" s="1"/>
  <c r="AX730" i="8"/>
  <c r="AY730" i="8" s="1"/>
  <c r="AX738" i="8"/>
  <c r="AY738" i="8" s="1"/>
  <c r="BK738" i="8" s="1"/>
  <c r="BL738" i="8" s="1"/>
  <c r="AX778" i="8"/>
  <c r="AY778" i="8" s="1"/>
  <c r="BK778" i="8" s="1"/>
  <c r="AX781" i="8"/>
  <c r="AY781" i="8" s="1"/>
  <c r="BK781" i="8" s="1"/>
  <c r="AX831" i="8"/>
  <c r="AY831" i="8" s="1"/>
  <c r="AX922" i="8"/>
  <c r="AY922" i="8" s="1"/>
  <c r="AX951" i="8"/>
  <c r="AY951" i="8" s="1"/>
  <c r="BF959" i="8"/>
  <c r="AX1008" i="8"/>
  <c r="AY1008" i="8" s="1"/>
  <c r="AX1445" i="8"/>
  <c r="AY1445" i="8" s="1"/>
  <c r="BK1445" i="8" s="1"/>
  <c r="AX1462" i="8"/>
  <c r="AY1462" i="8" s="1"/>
  <c r="BK1462" i="8" s="1"/>
  <c r="BF1596" i="8"/>
  <c r="BG1596" i="8" s="1"/>
  <c r="AX30" i="8"/>
  <c r="AY30" i="8" s="1"/>
  <c r="BK30" i="8" s="1"/>
  <c r="AX950" i="8"/>
  <c r="AY950" i="8" s="1"/>
  <c r="BK950" i="8" s="1"/>
  <c r="BL950" i="8" s="1"/>
  <c r="BF896" i="8"/>
  <c r="AX1190" i="8"/>
  <c r="AY1190" i="8" s="1"/>
  <c r="AX1362" i="8"/>
  <c r="AY1362" i="8" s="1"/>
  <c r="AX1410" i="8"/>
  <c r="AY1410" i="8" s="1"/>
  <c r="BK1410" i="8" s="1"/>
  <c r="AX1415" i="8"/>
  <c r="AY1415" i="8" s="1"/>
  <c r="BK1415" i="8" s="1"/>
  <c r="AX1428" i="8"/>
  <c r="AY1428" i="8" s="1"/>
  <c r="BL1428" i="8" s="1"/>
  <c r="AX1456" i="8"/>
  <c r="AY1456" i="8" s="1"/>
  <c r="BK1456" i="8" s="1"/>
  <c r="AX1610" i="8"/>
  <c r="AY1610" i="8" s="1"/>
  <c r="BK1610" i="8" s="1"/>
  <c r="BF1078" i="8"/>
  <c r="AX44" i="8"/>
  <c r="AY44" i="8" s="1"/>
  <c r="AX432" i="8"/>
  <c r="AY432" i="8" s="1"/>
  <c r="AX484" i="8"/>
  <c r="AY484" i="8" s="1"/>
  <c r="BK484" i="8" s="1"/>
  <c r="BL484" i="8" s="1"/>
  <c r="AX489" i="8"/>
  <c r="AY489" i="8" s="1"/>
  <c r="BK489" i="8" s="1"/>
  <c r="BL489" i="8" s="1"/>
  <c r="AX545" i="8"/>
  <c r="AY545" i="8" s="1"/>
  <c r="BK545" i="8" s="1"/>
  <c r="AX575" i="8"/>
  <c r="AY575" i="8" s="1"/>
  <c r="BK575" i="8" s="1"/>
  <c r="BL575" i="8" s="1"/>
  <c r="BF964" i="8"/>
  <c r="BG964" i="8" s="1"/>
  <c r="AX1000" i="8"/>
  <c r="AY1000" i="8" s="1"/>
  <c r="BF1035" i="8"/>
  <c r="AX1505" i="8"/>
  <c r="AY1505" i="8" s="1"/>
  <c r="BL1505" i="8" s="1"/>
  <c r="BM1505" i="8" s="1"/>
  <c r="BN1505" i="8" s="1"/>
  <c r="BF1110" i="8"/>
  <c r="AX28" i="8"/>
  <c r="AY28" i="8" s="1"/>
  <c r="BK28" i="8" s="1"/>
  <c r="AX33" i="8"/>
  <c r="AY33" i="8" s="1"/>
  <c r="BK33" i="8" s="1"/>
  <c r="AX160" i="8"/>
  <c r="AY160" i="8" s="1"/>
  <c r="BK160" i="8" s="1"/>
  <c r="AX163" i="8"/>
  <c r="AY163" i="8" s="1"/>
  <c r="BK163" i="8" s="1"/>
  <c r="AX171" i="8"/>
  <c r="AY171" i="8" s="1"/>
  <c r="BK171" i="8" s="1"/>
  <c r="AX179" i="8"/>
  <c r="AY179" i="8" s="1"/>
  <c r="BK179" i="8" s="1"/>
  <c r="AX244" i="8"/>
  <c r="AY244" i="8" s="1"/>
  <c r="AX260" i="8"/>
  <c r="AY260" i="8" s="1"/>
  <c r="BK260" i="8" s="1"/>
  <c r="BF312" i="8"/>
  <c r="BF390" i="8"/>
  <c r="BF466" i="8"/>
  <c r="BF474" i="8"/>
  <c r="BF500" i="8"/>
  <c r="AX589" i="8"/>
  <c r="AY589" i="8" s="1"/>
  <c r="AX635" i="8"/>
  <c r="AY635" i="8" s="1"/>
  <c r="AX648" i="8"/>
  <c r="AY648" i="8" s="1"/>
  <c r="BK648" i="8" s="1"/>
  <c r="AX662" i="8"/>
  <c r="AY662" i="8" s="1"/>
  <c r="BK662" i="8" s="1"/>
  <c r="BL662" i="8" s="1"/>
  <c r="AX771" i="8"/>
  <c r="AY771" i="8" s="1"/>
  <c r="BK771" i="8" s="1"/>
  <c r="BL771" i="8" s="1"/>
  <c r="AX833" i="8"/>
  <c r="AY833" i="8" s="1"/>
  <c r="BF923" i="8"/>
  <c r="BF928" i="8"/>
  <c r="BF1009" i="8"/>
  <c r="AX1077" i="8"/>
  <c r="AY1077" i="8" s="1"/>
  <c r="BF1147" i="8"/>
  <c r="BF1159" i="8"/>
  <c r="AX1240" i="8"/>
  <c r="AY1240" i="8" s="1"/>
  <c r="BL1240" i="8" s="1"/>
  <c r="BM1240" i="8" s="1"/>
  <c r="AX1248" i="8"/>
  <c r="AY1248" i="8" s="1"/>
  <c r="BL1248" i="8" s="1"/>
  <c r="AX1356" i="8"/>
  <c r="AY1356" i="8" s="1"/>
  <c r="BK1356" i="8" s="1"/>
  <c r="AX1364" i="8"/>
  <c r="AY1364" i="8" s="1"/>
  <c r="AX1390" i="8"/>
  <c r="AY1390" i="8" s="1"/>
  <c r="AX1396" i="8"/>
  <c r="AY1396" i="8" s="1"/>
  <c r="AX59" i="8"/>
  <c r="AY59" i="8" s="1"/>
  <c r="BK59" i="8" s="1"/>
  <c r="AX84" i="8"/>
  <c r="AY84" i="8" s="1"/>
  <c r="BK84" i="8" s="1"/>
  <c r="AX95" i="8"/>
  <c r="AY95" i="8" s="1"/>
  <c r="BK95" i="8" s="1"/>
  <c r="AX157" i="8"/>
  <c r="AY157" i="8" s="1"/>
  <c r="BK157" i="8" s="1"/>
  <c r="AX168" i="8"/>
  <c r="AY168" i="8" s="1"/>
  <c r="BK168" i="8" s="1"/>
  <c r="AX176" i="8"/>
  <c r="AY176" i="8" s="1"/>
  <c r="BF442" i="8"/>
  <c r="AX503" i="8"/>
  <c r="AY503" i="8" s="1"/>
  <c r="BF532" i="8"/>
  <c r="AX640" i="8"/>
  <c r="AY640" i="8" s="1"/>
  <c r="BK640" i="8" s="1"/>
  <c r="AX665" i="8"/>
  <c r="AY665" i="8" s="1"/>
  <c r="BK665" i="8" s="1"/>
  <c r="BL665" i="8" s="1"/>
  <c r="AX673" i="8"/>
  <c r="AY673" i="8" s="1"/>
  <c r="BK673" i="8" s="1"/>
  <c r="BL673" i="8" s="1"/>
  <c r="AX676" i="8"/>
  <c r="AY676" i="8" s="1"/>
  <c r="BF824" i="8"/>
  <c r="AX836" i="8"/>
  <c r="AY836" i="8" s="1"/>
  <c r="AX864" i="8"/>
  <c r="AY864" i="8" s="1"/>
  <c r="BF910" i="8"/>
  <c r="BF918" i="8"/>
  <c r="BF947" i="8"/>
  <c r="AX1225" i="8"/>
  <c r="AY1225" i="8" s="1"/>
  <c r="BL1225" i="8" s="1"/>
  <c r="AX1233" i="8"/>
  <c r="AY1233" i="8" s="1"/>
  <c r="BL1233" i="8" s="1"/>
  <c r="AX1245" i="8"/>
  <c r="AY1245" i="8" s="1"/>
  <c r="AX1414" i="8"/>
  <c r="AY1414" i="8" s="1"/>
  <c r="AX1468" i="8"/>
  <c r="AY1468" i="8" s="1"/>
  <c r="AX1492" i="8"/>
  <c r="AY1492" i="8" s="1"/>
  <c r="BL1492" i="8" s="1"/>
  <c r="AX1504" i="8"/>
  <c r="AY1504" i="8" s="1"/>
  <c r="BK1504" i="8" s="1"/>
  <c r="AX811" i="8"/>
  <c r="AY811" i="8" s="1"/>
  <c r="BK811" i="8" s="1"/>
  <c r="BL811" i="8" s="1"/>
  <c r="AX985" i="8"/>
  <c r="AY985" i="8" s="1"/>
  <c r="BK985" i="8" s="1"/>
  <c r="AX1033" i="8"/>
  <c r="AY1033" i="8" s="1"/>
  <c r="BK1033" i="8" s="1"/>
  <c r="BL1033" i="8" s="1"/>
  <c r="BF1038" i="8"/>
  <c r="BF1146" i="8"/>
  <c r="AX1152" i="8"/>
  <c r="AY1152" i="8" s="1"/>
  <c r="BK1152" i="8" s="1"/>
  <c r="BL1152" i="8" s="1"/>
  <c r="BF1160" i="8"/>
  <c r="AX1178" i="8"/>
  <c r="AY1178" i="8" s="1"/>
  <c r="BK1178" i="8" s="1"/>
  <c r="AX1197" i="8"/>
  <c r="AY1197" i="8" s="1"/>
  <c r="BK1197" i="8" s="1"/>
  <c r="AX1343" i="8"/>
  <c r="AY1343" i="8" s="1"/>
  <c r="BK1343" i="8" s="1"/>
  <c r="AX1351" i="8"/>
  <c r="AY1351" i="8" s="1"/>
  <c r="BL1351" i="8" s="1"/>
  <c r="AX1393" i="8"/>
  <c r="AY1393" i="8" s="1"/>
  <c r="AX1452" i="8"/>
  <c r="AY1452" i="8" s="1"/>
  <c r="AX1455" i="8"/>
  <c r="AY1455" i="8" s="1"/>
  <c r="BK1455" i="8" s="1"/>
  <c r="AX1560" i="8"/>
  <c r="AY1560" i="8" s="1"/>
  <c r="BK1560" i="8" s="1"/>
  <c r="AX1568" i="8"/>
  <c r="AY1568" i="8" s="1"/>
  <c r="BK1568" i="8" s="1"/>
  <c r="AX1571" i="8"/>
  <c r="AY1571" i="8" s="1"/>
  <c r="BK1571" i="8" s="1"/>
  <c r="AX1574" i="8"/>
  <c r="AY1574" i="8" s="1"/>
  <c r="BK1574" i="8" s="1"/>
  <c r="AX1588" i="8"/>
  <c r="AY1588" i="8" s="1"/>
  <c r="BL1588" i="8" s="1"/>
  <c r="BF1605" i="8"/>
  <c r="BG1605" i="8" s="1"/>
  <c r="AX197" i="8"/>
  <c r="AY197" i="8" s="1"/>
  <c r="BK197" i="8" s="1"/>
  <c r="AX233" i="8"/>
  <c r="AY233" i="8" s="1"/>
  <c r="BF281" i="8"/>
  <c r="AX341" i="8"/>
  <c r="AY341" i="8" s="1"/>
  <c r="BK341" i="8" s="1"/>
  <c r="BL341" i="8" s="1"/>
  <c r="BM341" i="8" s="1"/>
  <c r="BO341" i="8" s="1"/>
  <c r="AX409" i="8"/>
  <c r="AY409" i="8" s="1"/>
  <c r="BK409" i="8" s="1"/>
  <c r="BL409" i="8" s="1"/>
  <c r="BM409" i="8" s="1"/>
  <c r="AX822" i="8"/>
  <c r="AY822" i="8" s="1"/>
  <c r="BK822" i="8" s="1"/>
  <c r="BL822" i="8" s="1"/>
  <c r="BF894" i="8"/>
  <c r="AX1042" i="8"/>
  <c r="AY1042" i="8" s="1"/>
  <c r="BF138" i="8"/>
  <c r="AX297" i="8"/>
  <c r="AY297" i="8" s="1"/>
  <c r="BK297" i="8" s="1"/>
  <c r="AX396" i="8"/>
  <c r="AY396" i="8" s="1"/>
  <c r="BK396" i="8" s="1"/>
  <c r="BL396" i="8" s="1"/>
  <c r="AX412" i="8"/>
  <c r="AY412" i="8" s="1"/>
  <c r="BK412" i="8" s="1"/>
  <c r="BL412" i="8" s="1"/>
  <c r="BM412" i="8" s="1"/>
  <c r="AX447" i="8"/>
  <c r="AY447" i="8" s="1"/>
  <c r="BK447" i="8" s="1"/>
  <c r="AX455" i="8"/>
  <c r="AY455" i="8" s="1"/>
  <c r="BK455" i="8" s="1"/>
  <c r="BF667" i="8"/>
  <c r="BF809" i="8"/>
  <c r="AX838" i="8"/>
  <c r="AY838" i="8" s="1"/>
  <c r="BF848" i="8"/>
  <c r="BF1583" i="8"/>
  <c r="BL1583" i="8" s="1"/>
  <c r="BM1583" i="8" s="1"/>
  <c r="BF1603" i="8"/>
  <c r="BG1603" i="8" s="1"/>
  <c r="AX86" i="8"/>
  <c r="AY86" i="8" s="1"/>
  <c r="BK86" i="8" s="1"/>
  <c r="BF150" i="8"/>
  <c r="AX608" i="8"/>
  <c r="AY608" i="8" s="1"/>
  <c r="AX863" i="8"/>
  <c r="AY863" i="8" s="1"/>
  <c r="AX866" i="8"/>
  <c r="AY866" i="8" s="1"/>
  <c r="AX968" i="8"/>
  <c r="AY968" i="8" s="1"/>
  <c r="BK968" i="8" s="1"/>
  <c r="AX990" i="8"/>
  <c r="AY990" i="8" s="1"/>
  <c r="BK990" i="8" s="1"/>
  <c r="AX1057" i="8"/>
  <c r="AY1057" i="8" s="1"/>
  <c r="BK1057" i="8" s="1"/>
  <c r="BL1057" i="8" s="1"/>
  <c r="AX1196" i="8"/>
  <c r="AY1196" i="8" s="1"/>
  <c r="BK1196" i="8" s="1"/>
  <c r="AX1361" i="8"/>
  <c r="AY1361" i="8" s="1"/>
  <c r="BL1361" i="8" s="1"/>
  <c r="AX1377" i="8"/>
  <c r="AY1377" i="8" s="1"/>
  <c r="BL1377" i="8" s="1"/>
  <c r="AX1395" i="8"/>
  <c r="AY1395" i="8" s="1"/>
  <c r="AX1431" i="8"/>
  <c r="AY1431" i="8" s="1"/>
  <c r="AX1523" i="8"/>
  <c r="AY1523" i="8" s="1"/>
  <c r="BK1523" i="8" s="1"/>
  <c r="AX1573" i="8"/>
  <c r="AY1573" i="8" s="1"/>
  <c r="BK1573" i="8" s="1"/>
  <c r="AX185" i="8"/>
  <c r="AY185" i="8" s="1"/>
  <c r="BK185" i="8" s="1"/>
  <c r="AX13" i="8"/>
  <c r="AY13" i="8" s="1"/>
  <c r="BK13" i="8" s="1"/>
  <c r="AX38" i="8"/>
  <c r="AY38" i="8" s="1"/>
  <c r="AX41" i="8"/>
  <c r="AY41" i="8" s="1"/>
  <c r="BK41" i="8" s="1"/>
  <c r="AX88" i="8"/>
  <c r="AY88" i="8" s="1"/>
  <c r="AX91" i="8"/>
  <c r="AY91" i="8" s="1"/>
  <c r="AX94" i="8"/>
  <c r="AY94" i="8" s="1"/>
  <c r="BK94" i="8" s="1"/>
  <c r="AX115" i="8"/>
  <c r="AY115" i="8" s="1"/>
  <c r="BK115" i="8" s="1"/>
  <c r="AX130" i="8"/>
  <c r="AY130" i="8" s="1"/>
  <c r="BK130" i="8" s="1"/>
  <c r="AX156" i="8"/>
  <c r="AY156" i="8" s="1"/>
  <c r="BK156" i="8" s="1"/>
  <c r="AX170" i="8"/>
  <c r="AY170" i="8" s="1"/>
  <c r="BK170" i="8" s="1"/>
  <c r="AX173" i="8"/>
  <c r="AY173" i="8" s="1"/>
  <c r="BK173" i="8" s="1"/>
  <c r="AX182" i="8"/>
  <c r="AY182" i="8" s="1"/>
  <c r="AX204" i="8"/>
  <c r="AY204" i="8" s="1"/>
  <c r="BK204" i="8" s="1"/>
  <c r="AX243" i="8"/>
  <c r="AY243" i="8" s="1"/>
  <c r="BK243" i="8" s="1"/>
  <c r="AX282" i="8"/>
  <c r="AY282" i="8" s="1"/>
  <c r="BK282" i="8" s="1"/>
  <c r="BL282" i="8" s="1"/>
  <c r="AX304" i="8"/>
  <c r="AY304" i="8" s="1"/>
  <c r="BK304" i="8" s="1"/>
  <c r="AX454" i="8"/>
  <c r="AY454" i="8" s="1"/>
  <c r="BK454" i="8" s="1"/>
  <c r="AX472" i="8"/>
  <c r="AY472" i="8" s="1"/>
  <c r="BK472" i="8" s="1"/>
  <c r="BL472" i="8" s="1"/>
  <c r="AX475" i="8"/>
  <c r="AY475" i="8" s="1"/>
  <c r="BK475" i="8" s="1"/>
  <c r="BL475" i="8" s="1"/>
  <c r="BF614" i="8"/>
  <c r="BF645" i="8"/>
  <c r="AX731" i="8"/>
  <c r="AY731" i="8" s="1"/>
  <c r="BK731" i="8" s="1"/>
  <c r="BL731" i="8" s="1"/>
  <c r="AX739" i="8"/>
  <c r="AY739" i="8" s="1"/>
  <c r="BK739" i="8" s="1"/>
  <c r="BL739" i="8" s="1"/>
  <c r="AX755" i="8"/>
  <c r="AY755" i="8" s="1"/>
  <c r="BK755" i="8" s="1"/>
  <c r="BL755" i="8" s="1"/>
  <c r="BM755" i="8" s="1"/>
  <c r="BO755" i="8" s="1"/>
  <c r="AX763" i="8"/>
  <c r="AY763" i="8" s="1"/>
  <c r="BK763" i="8" s="1"/>
  <c r="BL763" i="8" s="1"/>
  <c r="BF815" i="8"/>
  <c r="BF820" i="8"/>
  <c r="BF823" i="8"/>
  <c r="AX964" i="8"/>
  <c r="AY964" i="8" s="1"/>
  <c r="BF1151" i="8"/>
  <c r="AX1244" i="8"/>
  <c r="AY1244" i="8" s="1"/>
  <c r="BL1244" i="8" s="1"/>
  <c r="AX1347" i="8"/>
  <c r="AY1347" i="8" s="1"/>
  <c r="BL1347" i="8" s="1"/>
  <c r="AX1437" i="8"/>
  <c r="AY1437" i="8" s="1"/>
  <c r="BL1437" i="8" s="1"/>
  <c r="AX133" i="8"/>
  <c r="AY133" i="8" s="1"/>
  <c r="BK133" i="8" s="1"/>
  <c r="BL133" i="8" s="1"/>
  <c r="BF148" i="8"/>
  <c r="AX5" i="8"/>
  <c r="AY5" i="8" s="1"/>
  <c r="AX20" i="8"/>
  <c r="AY20" i="8" s="1"/>
  <c r="BK20" i="8" s="1"/>
  <c r="AX25" i="8"/>
  <c r="AY25" i="8" s="1"/>
  <c r="BK25" i="8" s="1"/>
  <c r="AX60" i="8"/>
  <c r="AY60" i="8" s="1"/>
  <c r="BK60" i="8" s="1"/>
  <c r="AX85" i="8"/>
  <c r="AY85" i="8" s="1"/>
  <c r="BK85" i="8" s="1"/>
  <c r="BF137" i="8"/>
  <c r="BF139" i="8"/>
  <c r="BF143" i="8"/>
  <c r="BF147" i="8"/>
  <c r="AX153" i="8"/>
  <c r="AY153" i="8" s="1"/>
  <c r="BK153" i="8" s="1"/>
  <c r="AX167" i="8"/>
  <c r="AY167" i="8" s="1"/>
  <c r="BK167" i="8" s="1"/>
  <c r="AX184" i="8"/>
  <c r="AY184" i="8" s="1"/>
  <c r="BK184" i="8" s="1"/>
  <c r="AX187" i="8"/>
  <c r="AY187" i="8" s="1"/>
  <c r="BK187" i="8" s="1"/>
  <c r="AX228" i="8"/>
  <c r="AY228" i="8" s="1"/>
  <c r="BK228" i="8" s="1"/>
  <c r="AX231" i="8"/>
  <c r="AY231" i="8" s="1"/>
  <c r="BK231" i="8" s="1"/>
  <c r="AX234" i="8"/>
  <c r="AY234" i="8" s="1"/>
  <c r="BK234" i="8" s="1"/>
  <c r="AX251" i="8"/>
  <c r="AY251" i="8" s="1"/>
  <c r="AX263" i="8"/>
  <c r="AY263" i="8" s="1"/>
  <c r="BK263" i="8" s="1"/>
  <c r="AX271" i="8"/>
  <c r="AY271" i="8" s="1"/>
  <c r="BK271" i="8" s="1"/>
  <c r="AX293" i="8"/>
  <c r="AY293" i="8" s="1"/>
  <c r="BK293" i="8" s="1"/>
  <c r="AX301" i="8"/>
  <c r="AY301" i="8" s="1"/>
  <c r="BK301" i="8" s="1"/>
  <c r="AX315" i="8"/>
  <c r="AY315" i="8" s="1"/>
  <c r="BK315" i="8" s="1"/>
  <c r="BL315" i="8" s="1"/>
  <c r="BF380" i="8"/>
  <c r="BF388" i="8"/>
  <c r="BF408" i="8"/>
  <c r="AX451" i="8"/>
  <c r="AY451" i="8" s="1"/>
  <c r="AX459" i="8"/>
  <c r="AY459" i="8" s="1"/>
  <c r="BK459" i="8" s="1"/>
  <c r="AX478" i="8"/>
  <c r="AY478" i="8" s="1"/>
  <c r="BK478" i="8" s="1"/>
  <c r="BL478" i="8" s="1"/>
  <c r="AX486" i="8"/>
  <c r="AY486" i="8" s="1"/>
  <c r="BK486" i="8" s="1"/>
  <c r="BL486" i="8" s="1"/>
  <c r="BF540" i="8"/>
  <c r="BL540" i="8" s="1"/>
  <c r="BM540" i="8" s="1"/>
  <c r="AX555" i="8"/>
  <c r="AY555" i="8" s="1"/>
  <c r="BK555" i="8" s="1"/>
  <c r="AX597" i="8"/>
  <c r="AY597" i="8" s="1"/>
  <c r="AX636" i="8"/>
  <c r="AY636" i="8" s="1"/>
  <c r="AX644" i="8"/>
  <c r="AY644" i="8" s="1"/>
  <c r="AX658" i="8"/>
  <c r="AY658" i="8" s="1"/>
  <c r="BK658" i="8" s="1"/>
  <c r="BL658" i="8" s="1"/>
  <c r="BF663" i="8"/>
  <c r="AX737" i="8"/>
  <c r="AY737" i="8" s="1"/>
  <c r="BK737" i="8" s="1"/>
  <c r="BL737" i="8" s="1"/>
  <c r="BF758" i="8"/>
  <c r="BF766" i="8"/>
  <c r="BF826" i="8"/>
  <c r="AX834" i="8"/>
  <c r="AY834" i="8" s="1"/>
  <c r="AX837" i="8"/>
  <c r="AY837" i="8" s="1"/>
  <c r="AX849" i="8"/>
  <c r="AY849" i="8" s="1"/>
  <c r="BK849" i="8" s="1"/>
  <c r="BL849" i="8" s="1"/>
  <c r="AX880" i="8"/>
  <c r="AY880" i="8" s="1"/>
  <c r="BK880" i="8" s="1"/>
  <c r="BL880" i="8" s="1"/>
  <c r="AX893" i="8"/>
  <c r="AY893" i="8" s="1"/>
  <c r="BK893" i="8" s="1"/>
  <c r="BL893" i="8" s="1"/>
  <c r="BF911" i="8"/>
  <c r="BF937" i="8"/>
  <c r="BF950" i="8"/>
  <c r="BF1000" i="8"/>
  <c r="AX1035" i="8"/>
  <c r="AY1035" i="8" s="1"/>
  <c r="BF1058" i="8"/>
  <c r="AX1078" i="8"/>
  <c r="AY1078" i="8" s="1"/>
  <c r="BK1078" i="8" s="1"/>
  <c r="BL1078" i="8" s="1"/>
  <c r="AX1110" i="8"/>
  <c r="AY1110" i="8" s="1"/>
  <c r="BK1110" i="8" s="1"/>
  <c r="BL1110" i="8" s="1"/>
  <c r="BF1115" i="8"/>
  <c r="AX1195" i="8"/>
  <c r="AY1195" i="8" s="1"/>
  <c r="AX1202" i="8"/>
  <c r="AY1202" i="8" s="1"/>
  <c r="BK1202" i="8" s="1"/>
  <c r="AX1352" i="8"/>
  <c r="AY1352" i="8" s="1"/>
  <c r="AX1360" i="8"/>
  <c r="AY1360" i="8" s="1"/>
  <c r="AX1394" i="8"/>
  <c r="AY1394" i="8" s="1"/>
  <c r="BL1394" i="8" s="1"/>
  <c r="AX1417" i="8"/>
  <c r="AY1417" i="8" s="1"/>
  <c r="BK1417" i="8" s="1"/>
  <c r="AX1444" i="8"/>
  <c r="AY1444" i="8" s="1"/>
  <c r="BK1444" i="8" s="1"/>
  <c r="AX1506" i="8"/>
  <c r="AY1506" i="8" s="1"/>
  <c r="BK1506" i="8" s="1"/>
  <c r="AX1533" i="8"/>
  <c r="AY1533" i="8" s="1"/>
  <c r="BL1533" i="8" s="1"/>
  <c r="AX1569" i="8"/>
  <c r="AY1569" i="8" s="1"/>
  <c r="BK1569" i="8" s="1"/>
  <c r="AX1581" i="8"/>
  <c r="AY1581" i="8" s="1"/>
  <c r="AX10" i="8"/>
  <c r="AY10" i="8" s="1"/>
  <c r="BK10" i="8" s="1"/>
  <c r="AX32" i="8"/>
  <c r="AY32" i="8" s="1"/>
  <c r="BK32" i="8" s="1"/>
  <c r="AX43" i="8"/>
  <c r="AY43" i="8" s="1"/>
  <c r="BK43" i="8" s="1"/>
  <c r="AX46" i="8"/>
  <c r="AY46" i="8" s="1"/>
  <c r="BK46" i="8" s="1"/>
  <c r="AX49" i="8"/>
  <c r="AY49" i="8" s="1"/>
  <c r="BK49" i="8" s="1"/>
  <c r="AX93" i="8"/>
  <c r="AY93" i="8" s="1"/>
  <c r="BK93" i="8" s="1"/>
  <c r="BF149" i="8"/>
  <c r="BF151" i="8"/>
  <c r="AX158" i="8"/>
  <c r="AY158" i="8" s="1"/>
  <c r="BK158" i="8" s="1"/>
  <c r="AX175" i="8"/>
  <c r="AY175" i="8" s="1"/>
  <c r="BK175" i="8" s="1"/>
  <c r="AX178" i="8"/>
  <c r="AY178" i="8" s="1"/>
  <c r="BK178" i="8" s="1"/>
  <c r="AX192" i="8"/>
  <c r="AY192" i="8" s="1"/>
  <c r="BK192" i="8" s="1"/>
  <c r="AX195" i="8"/>
  <c r="AY195" i="8" s="1"/>
  <c r="BK195" i="8" s="1"/>
  <c r="AX225" i="8"/>
  <c r="AY225" i="8" s="1"/>
  <c r="BK225" i="8" s="1"/>
  <c r="AX268" i="8"/>
  <c r="AY268" i="8" s="1"/>
  <c r="BK268" i="8" s="1"/>
  <c r="AX321" i="8"/>
  <c r="AY321" i="8" s="1"/>
  <c r="AX359" i="8"/>
  <c r="AY359" i="8" s="1"/>
  <c r="AX375" i="8"/>
  <c r="AY375" i="8" s="1"/>
  <c r="BK375" i="8" s="1"/>
  <c r="BL375" i="8" s="1"/>
  <c r="AX383" i="8"/>
  <c r="AY383" i="8" s="1"/>
  <c r="BK383" i="8" s="1"/>
  <c r="BL383" i="8" s="1"/>
  <c r="BF416" i="8"/>
  <c r="BF424" i="8"/>
  <c r="AX473" i="8"/>
  <c r="AY473" i="8" s="1"/>
  <c r="BK473" i="8" s="1"/>
  <c r="BL473" i="8" s="1"/>
  <c r="AX491" i="8"/>
  <c r="AY491" i="8" s="1"/>
  <c r="BK491" i="8" s="1"/>
  <c r="BL491" i="8" s="1"/>
  <c r="BF507" i="8"/>
  <c r="AX547" i="8"/>
  <c r="AY547" i="8" s="1"/>
  <c r="BF565" i="8"/>
  <c r="BF573" i="8"/>
  <c r="BF578" i="8"/>
  <c r="AX582" i="8"/>
  <c r="AY582" i="8" s="1"/>
  <c r="BK582" i="8" s="1"/>
  <c r="AX633" i="8"/>
  <c r="AY633" i="8" s="1"/>
  <c r="BK633" i="8" s="1"/>
  <c r="BF661" i="8"/>
  <c r="AX666" i="8"/>
  <c r="AY666" i="8" s="1"/>
  <c r="AX674" i="8"/>
  <c r="AY674" i="8" s="1"/>
  <c r="AX753" i="8"/>
  <c r="AY753" i="8" s="1"/>
  <c r="BK753" i="8" s="1"/>
  <c r="BL753" i="8" s="1"/>
  <c r="BF883" i="8"/>
  <c r="AX1192" i="8"/>
  <c r="AY1192" i="8" s="1"/>
  <c r="BK1192" i="8" s="1"/>
  <c r="AX1201" i="8"/>
  <c r="AY1201" i="8" s="1"/>
  <c r="BK1201" i="8" s="1"/>
  <c r="AX1266" i="8"/>
  <c r="AY1266" i="8" s="1"/>
  <c r="BK1266" i="8" s="1"/>
  <c r="AX1349" i="8"/>
  <c r="AY1349" i="8" s="1"/>
  <c r="BL1349" i="8" s="1"/>
  <c r="AX1373" i="8"/>
  <c r="AY1373" i="8" s="1"/>
  <c r="AX1566" i="8"/>
  <c r="AY1566" i="8" s="1"/>
  <c r="BF1599" i="8"/>
  <c r="BG1599" i="8" s="1"/>
  <c r="AX1607" i="8"/>
  <c r="AY1607" i="8" s="1"/>
  <c r="BK1607" i="8" s="1"/>
  <c r="AX37" i="8"/>
  <c r="AY37" i="8" s="1"/>
  <c r="BK37" i="8" s="1"/>
  <c r="AX64" i="8"/>
  <c r="AY64" i="8" s="1"/>
  <c r="BK64" i="8" s="1"/>
  <c r="AX87" i="8"/>
  <c r="AY87" i="8" s="1"/>
  <c r="BK87" i="8" s="1"/>
  <c r="AX114" i="8"/>
  <c r="AY114" i="8" s="1"/>
  <c r="BK114" i="8" s="1"/>
  <c r="AX129" i="8"/>
  <c r="AY129" i="8" s="1"/>
  <c r="BF135" i="8"/>
  <c r="AX166" i="8"/>
  <c r="AY166" i="8" s="1"/>
  <c r="BK166" i="8" s="1"/>
  <c r="AX169" i="8"/>
  <c r="AY169" i="8" s="1"/>
  <c r="BK169" i="8" s="1"/>
  <c r="AX189" i="8"/>
  <c r="AY189" i="8" s="1"/>
  <c r="BK189" i="8" s="1"/>
  <c r="AX200" i="8"/>
  <c r="AY200" i="8" s="1"/>
  <c r="BK200" i="8" s="1"/>
  <c r="AX203" i="8"/>
  <c r="AY203" i="8" s="1"/>
  <c r="BK203" i="8" s="1"/>
  <c r="AX230" i="8"/>
  <c r="AY230" i="8" s="1"/>
  <c r="BK230" i="8" s="1"/>
  <c r="AX236" i="8"/>
  <c r="AY236" i="8" s="1"/>
  <c r="AX242" i="8"/>
  <c r="AY242" i="8" s="1"/>
  <c r="AX262" i="8"/>
  <c r="AY262" i="8" s="1"/>
  <c r="BK262" i="8" s="1"/>
  <c r="AX287" i="8"/>
  <c r="AY287" i="8" s="1"/>
  <c r="BK287" i="8" s="1"/>
  <c r="AX295" i="8"/>
  <c r="AY295" i="8" s="1"/>
  <c r="BK295" i="8" s="1"/>
  <c r="AX318" i="8"/>
  <c r="AY318" i="8" s="1"/>
  <c r="BK318" i="8" s="1"/>
  <c r="BF346" i="8"/>
  <c r="BF378" i="8"/>
  <c r="BF386" i="8"/>
  <c r="BF406" i="8"/>
  <c r="AX414" i="8"/>
  <c r="AY414" i="8" s="1"/>
  <c r="BK414" i="8" s="1"/>
  <c r="BL414" i="8" s="1"/>
  <c r="AX453" i="8"/>
  <c r="AY453" i="8" s="1"/>
  <c r="BK453" i="8" s="1"/>
  <c r="AX468" i="8"/>
  <c r="AY468" i="8" s="1"/>
  <c r="BK468" i="8" s="1"/>
  <c r="BL468" i="8" s="1"/>
  <c r="BM468" i="8" s="1"/>
  <c r="BN468" i="8" s="1"/>
  <c r="BF523" i="8"/>
  <c r="BF568" i="8"/>
  <c r="BF576" i="8"/>
  <c r="AX585" i="8"/>
  <c r="AY585" i="8" s="1"/>
  <c r="AX590" i="8"/>
  <c r="AY590" i="8" s="1"/>
  <c r="AX601" i="8"/>
  <c r="AY601" i="8" s="1"/>
  <c r="BK601" i="8" s="1"/>
  <c r="AX609" i="8"/>
  <c r="AY609" i="8" s="1"/>
  <c r="BK609" i="8" s="1"/>
  <c r="AX627" i="8"/>
  <c r="AY627" i="8" s="1"/>
  <c r="BK627" i="8" s="1"/>
  <c r="AX638" i="8"/>
  <c r="AY638" i="8" s="1"/>
  <c r="BK638" i="8" s="1"/>
  <c r="AX643" i="8"/>
  <c r="AY643" i="8" s="1"/>
  <c r="BK643" i="8" s="1"/>
  <c r="BF656" i="8"/>
  <c r="BF669" i="8"/>
  <c r="BF680" i="8"/>
  <c r="BF685" i="8"/>
  <c r="AX725" i="8"/>
  <c r="AY725" i="8" s="1"/>
  <c r="BK725" i="8" s="1"/>
  <c r="AX735" i="8"/>
  <c r="AY735" i="8" s="1"/>
  <c r="BK735" i="8" s="1"/>
  <c r="BL735" i="8" s="1"/>
  <c r="BF751" i="8"/>
  <c r="AX779" i="8"/>
  <c r="AY779" i="8" s="1"/>
  <c r="BK779" i="8" s="1"/>
  <c r="AX901" i="8"/>
  <c r="AY901" i="8" s="1"/>
  <c r="BK901" i="8" s="1"/>
  <c r="BL901" i="8" s="1"/>
  <c r="AX909" i="8"/>
  <c r="AY909" i="8" s="1"/>
  <c r="AX955" i="8"/>
  <c r="AY955" i="8" s="1"/>
  <c r="AX963" i="8"/>
  <c r="AY963" i="8" s="1"/>
  <c r="BK963" i="8" s="1"/>
  <c r="AX979" i="8"/>
  <c r="AY979" i="8" s="1"/>
  <c r="BK979" i="8" s="1"/>
  <c r="AX1432" i="8"/>
  <c r="AY1432" i="8" s="1"/>
  <c r="BL1432" i="8" s="1"/>
  <c r="AX1459" i="8"/>
  <c r="AY1459" i="8" s="1"/>
  <c r="BK1459" i="8" s="1"/>
  <c r="AX1500" i="8"/>
  <c r="AY1500" i="8" s="1"/>
  <c r="BK1500" i="8" s="1"/>
  <c r="AX1508" i="8"/>
  <c r="AY1508" i="8" s="1"/>
  <c r="BK1508" i="8" s="1"/>
  <c r="AX1519" i="8"/>
  <c r="AY1519" i="8" s="1"/>
  <c r="AX1535" i="8"/>
  <c r="AY1535" i="8" s="1"/>
  <c r="BF1602" i="8"/>
  <c r="BG1602" i="8" s="1"/>
  <c r="BF1609" i="8"/>
  <c r="BG1609" i="8" s="1"/>
  <c r="BF207" i="8"/>
  <c r="BL207" i="8" s="1"/>
  <c r="BF211" i="8"/>
  <c r="BG211" i="8" s="1"/>
  <c r="BF219" i="8"/>
  <c r="BG219" i="8" s="1"/>
  <c r="BK206" i="8"/>
  <c r="BF198" i="8"/>
  <c r="BF194" i="8"/>
  <c r="BL194" i="8" s="1"/>
  <c r="BM194" i="8" s="1"/>
  <c r="BK1214" i="8"/>
  <c r="BK1441" i="8"/>
  <c r="BL1316" i="8"/>
  <c r="BM1316" i="8" s="1"/>
  <c r="BO1316" i="8" s="1"/>
  <c r="BL1320" i="8"/>
  <c r="BM1320" i="8" s="1"/>
  <c r="BO1320" i="8" s="1"/>
  <c r="BK1361" i="8"/>
  <c r="BF1538" i="8"/>
  <c r="BG1538" i="8" s="1"/>
  <c r="BF970" i="8"/>
  <c r="BL970" i="8" s="1"/>
  <c r="BM970" i="8" s="1"/>
  <c r="BO970" i="8" s="1"/>
  <c r="BK1137" i="8"/>
  <c r="BL1137" i="8" s="1"/>
  <c r="BM1137" i="8" s="1"/>
  <c r="BK233" i="8"/>
  <c r="BK842" i="8"/>
  <c r="BK805" i="8"/>
  <c r="BL805" i="8" s="1"/>
  <c r="BM805" i="8" s="1"/>
  <c r="BN805" i="8" s="1"/>
  <c r="BF844" i="8"/>
  <c r="BG844" i="8" s="1"/>
  <c r="BL1433" i="8"/>
  <c r="BM1433" i="8" s="1"/>
  <c r="BN1433" i="8" s="1"/>
  <c r="BK1435" i="8"/>
  <c r="BK496" i="8"/>
  <c r="BL496" i="8" s="1"/>
  <c r="BM496" i="8" s="1"/>
  <c r="BN496" i="8" s="1"/>
  <c r="BK1357" i="8"/>
  <c r="BF1527" i="8"/>
  <c r="BG1527" i="8" s="1"/>
  <c r="BF269" i="8"/>
  <c r="BL269" i="8" s="1"/>
  <c r="BK1416" i="8"/>
  <c r="BF1045" i="8"/>
  <c r="BL1045" i="8" s="1"/>
  <c r="BM1045" i="8" s="1"/>
  <c r="BK27" i="8"/>
  <c r="BK117" i="8"/>
  <c r="BK119" i="8"/>
  <c r="BK121" i="8"/>
  <c r="BK125" i="8"/>
  <c r="BK127" i="8"/>
  <c r="BK172" i="8"/>
  <c r="BF1434" i="8"/>
  <c r="BG1434" i="8" s="1"/>
  <c r="BF27" i="8"/>
  <c r="BG27" i="8" s="1"/>
  <c r="BF123" i="8"/>
  <c r="BL123" i="8" s="1"/>
  <c r="BF127" i="8"/>
  <c r="BG127" i="8" s="1"/>
  <c r="BL1270" i="8"/>
  <c r="BM1270" i="8" s="1"/>
  <c r="BN1270" i="8" s="1"/>
  <c r="BF1282" i="8"/>
  <c r="BG1282" i="8" s="1"/>
  <c r="BL1528" i="8"/>
  <c r="BM1528" i="8" s="1"/>
  <c r="BN1528" i="8" s="1"/>
  <c r="BF186" i="8"/>
  <c r="BL186" i="8" s="1"/>
  <c r="BF979" i="8"/>
  <c r="BG979" i="8" s="1"/>
  <c r="BL1365" i="8"/>
  <c r="BM1365" i="8" s="1"/>
  <c r="BN1365" i="8" s="1"/>
  <c r="BK1087" i="8"/>
  <c r="BL1087" i="8" s="1"/>
  <c r="BM1087" i="8" s="1"/>
  <c r="BK1268" i="8"/>
  <c r="BF76" i="8"/>
  <c r="BG76" i="8" s="1"/>
  <c r="BK1027" i="8"/>
  <c r="BL1027" i="8" s="1"/>
  <c r="BM1027" i="8" s="1"/>
  <c r="BN1027" i="8" s="1"/>
  <c r="BF1526" i="8"/>
  <c r="BG1526" i="8" s="1"/>
  <c r="BF1528" i="8"/>
  <c r="BG1528" i="8" s="1"/>
  <c r="BF1530" i="8"/>
  <c r="BG1530" i="8" s="1"/>
  <c r="BF1532" i="8"/>
  <c r="BG1532" i="8" s="1"/>
  <c r="BF1546" i="8"/>
  <c r="BG1546" i="8" s="1"/>
  <c r="BF1548" i="8"/>
  <c r="BG1548" i="8" s="1"/>
  <c r="BF1552" i="8"/>
  <c r="BL1552" i="8" s="1"/>
  <c r="BM1552" i="8" s="1"/>
  <c r="BN1552" i="8" s="1"/>
  <c r="BF994" i="8"/>
  <c r="BL994" i="8" s="1"/>
  <c r="BM994" i="8" s="1"/>
  <c r="BO994" i="8" s="1"/>
  <c r="BF996" i="8"/>
  <c r="BL996" i="8" s="1"/>
  <c r="BM996" i="8" s="1"/>
  <c r="BO996" i="8" s="1"/>
  <c r="BF1284" i="8"/>
  <c r="BG1284" i="8" s="1"/>
  <c r="BF1300" i="8"/>
  <c r="BG1300" i="8" s="1"/>
  <c r="BF1308" i="8"/>
  <c r="BG1308" i="8" s="1"/>
  <c r="BF1312" i="8"/>
  <c r="BG1312" i="8" s="1"/>
  <c r="BF1314" i="8"/>
  <c r="BG1314" i="8" s="1"/>
  <c r="BF1324" i="8"/>
  <c r="BG1324" i="8" s="1"/>
  <c r="BF1328" i="8"/>
  <c r="BG1328" i="8" s="1"/>
  <c r="BF1332" i="8"/>
  <c r="BG1332" i="8" s="1"/>
  <c r="BF1334" i="8"/>
  <c r="BG1334" i="8" s="1"/>
  <c r="BF1383" i="8"/>
  <c r="BG1383" i="8" s="1"/>
  <c r="BF1385" i="8"/>
  <c r="BG1385" i="8" s="1"/>
  <c r="BL1493" i="8"/>
  <c r="BM1493" i="8" s="1"/>
  <c r="BN1493" i="8" s="1"/>
  <c r="BK748" i="8"/>
  <c r="BL748" i="8" s="1"/>
  <c r="BM748" i="8" s="1"/>
  <c r="BO748" i="8" s="1"/>
  <c r="BK1025" i="8"/>
  <c r="BL1025" i="8" s="1"/>
  <c r="BN107" i="8"/>
  <c r="BF202" i="8"/>
  <c r="BL202" i="8" s="1"/>
  <c r="BM202" i="8" s="1"/>
  <c r="BK361" i="8"/>
  <c r="BL361" i="8" s="1"/>
  <c r="BM361" i="8" s="1"/>
  <c r="BK369" i="8"/>
  <c r="BL369" i="8" s="1"/>
  <c r="BM369" i="8" s="1"/>
  <c r="BN369" i="8" s="1"/>
  <c r="BK1187" i="8"/>
  <c r="BF1371" i="8"/>
  <c r="BG1371" i="8" s="1"/>
  <c r="BK1383" i="8"/>
  <c r="BF1415" i="8"/>
  <c r="BG1415" i="8" s="1"/>
  <c r="BK324" i="8"/>
  <c r="BL324" i="8" s="1"/>
  <c r="BM324" i="8" s="1"/>
  <c r="BN324" i="8" s="1"/>
  <c r="BF698" i="8"/>
  <c r="BL698" i="8" s="1"/>
  <c r="BM698" i="8" s="1"/>
  <c r="BO698" i="8" s="1"/>
  <c r="BF704" i="8"/>
  <c r="BL704" i="8" s="1"/>
  <c r="BM704" i="8" s="1"/>
  <c r="BO704" i="8" s="1"/>
  <c r="BF706" i="8"/>
  <c r="BL706" i="8" s="1"/>
  <c r="BM706" i="8" s="1"/>
  <c r="BN706" i="8" s="1"/>
  <c r="BF708" i="8"/>
  <c r="BL708" i="8" s="1"/>
  <c r="BM708" i="8" s="1"/>
  <c r="BN708" i="8" s="1"/>
  <c r="BF712" i="8"/>
  <c r="BL712" i="8" s="1"/>
  <c r="BM712" i="8" s="1"/>
  <c r="BN712" i="8" s="1"/>
  <c r="BF861" i="8"/>
  <c r="BL861" i="8" s="1"/>
  <c r="BM861" i="8" s="1"/>
  <c r="BO861" i="8" s="1"/>
  <c r="BF978" i="8"/>
  <c r="BL978" i="8" s="1"/>
  <c r="BK1176" i="8"/>
  <c r="BL1176" i="8" s="1"/>
  <c r="BF1289" i="8"/>
  <c r="BG1289" i="8" s="1"/>
  <c r="BF1295" i="8"/>
  <c r="BG1295" i="8" s="1"/>
  <c r="BF1297" i="8"/>
  <c r="BG1297" i="8" s="1"/>
  <c r="BF1303" i="8"/>
  <c r="BG1303" i="8" s="1"/>
  <c r="BF1307" i="8"/>
  <c r="BG1307" i="8" s="1"/>
  <c r="BF1313" i="8"/>
  <c r="BG1313" i="8" s="1"/>
  <c r="BF1315" i="8"/>
  <c r="BG1315" i="8" s="1"/>
  <c r="BF1323" i="8"/>
  <c r="BG1323" i="8" s="1"/>
  <c r="BF1333" i="8"/>
  <c r="BG1333" i="8" s="1"/>
  <c r="BF1335" i="8"/>
  <c r="BG1335" i="8" s="1"/>
  <c r="BF1339" i="8"/>
  <c r="BG1339" i="8" s="1"/>
  <c r="BF1341" i="8"/>
  <c r="BG1341" i="8" s="1"/>
  <c r="BF1349" i="8"/>
  <c r="BG1349" i="8" s="1"/>
  <c r="BF1380" i="8"/>
  <c r="BG1380" i="8" s="1"/>
  <c r="BF1386" i="8"/>
  <c r="BG1386" i="8" s="1"/>
  <c r="BF1400" i="8"/>
  <c r="BG1400" i="8" s="1"/>
  <c r="AX895" i="8"/>
  <c r="AY895" i="8" s="1"/>
  <c r="BK895" i="8" s="1"/>
  <c r="BL895" i="8" s="1"/>
  <c r="BF895" i="8"/>
  <c r="AX438" i="8"/>
  <c r="AY438" i="8" s="1"/>
  <c r="BK438" i="8" s="1"/>
  <c r="BL438" i="8" s="1"/>
  <c r="BF438" i="8"/>
  <c r="AX470" i="8"/>
  <c r="AY470" i="8" s="1"/>
  <c r="BK470" i="8" s="1"/>
  <c r="BL470" i="8" s="1"/>
  <c r="BF470" i="8"/>
  <c r="BF617" i="8"/>
  <c r="AX617" i="8"/>
  <c r="AY617" i="8" s="1"/>
  <c r="BK617" i="8" s="1"/>
  <c r="BL617" i="8" s="1"/>
  <c r="BF344" i="8"/>
  <c r="AX344" i="8"/>
  <c r="AY344" i="8" s="1"/>
  <c r="BK344" i="8" s="1"/>
  <c r="BL344" i="8" s="1"/>
  <c r="BM344" i="8" s="1"/>
  <c r="AX373" i="8"/>
  <c r="AY373" i="8" s="1"/>
  <c r="BK373" i="8" s="1"/>
  <c r="BL373" i="8" s="1"/>
  <c r="BF373" i="8"/>
  <c r="BC641" i="8"/>
  <c r="BF641" i="8"/>
  <c r="BF504" i="8"/>
  <c r="AX504" i="8"/>
  <c r="AY504" i="8" s="1"/>
  <c r="BK504" i="8" s="1"/>
  <c r="BL504" i="8" s="1"/>
  <c r="BF103" i="8"/>
  <c r="BG103" i="8" s="1"/>
  <c r="BF185" i="8"/>
  <c r="BL185" i="8" s="1"/>
  <c r="BF353" i="8"/>
  <c r="AX353" i="8"/>
  <c r="AY353" i="8" s="1"/>
  <c r="BK353" i="8" s="1"/>
  <c r="BL353" i="8" s="1"/>
  <c r="BF557" i="8"/>
  <c r="BL557" i="8" s="1"/>
  <c r="BM557" i="8" s="1"/>
  <c r="AX675" i="8"/>
  <c r="AY675" i="8" s="1"/>
  <c r="BK675" i="8" s="1"/>
  <c r="BL675" i="8" s="1"/>
  <c r="BF675" i="8"/>
  <c r="BF97" i="8"/>
  <c r="BL97" i="8" s="1"/>
  <c r="BM97" i="8" s="1"/>
  <c r="BF132" i="8"/>
  <c r="AX132" i="8"/>
  <c r="AY132" i="8" s="1"/>
  <c r="BK132" i="8" s="1"/>
  <c r="BL132" i="8" s="1"/>
  <c r="AX181" i="8"/>
  <c r="AY181" i="8" s="1"/>
  <c r="BK181" i="8" s="1"/>
  <c r="AX417" i="8"/>
  <c r="AY417" i="8" s="1"/>
  <c r="BK417" i="8" s="1"/>
  <c r="BL417" i="8" s="1"/>
  <c r="AX425" i="8"/>
  <c r="AY425" i="8" s="1"/>
  <c r="BK425" i="8" s="1"/>
  <c r="BL425" i="8" s="1"/>
  <c r="AX743" i="8"/>
  <c r="AY743" i="8" s="1"/>
  <c r="BK743" i="8" s="1"/>
  <c r="BL743" i="8" s="1"/>
  <c r="BF743" i="8"/>
  <c r="BF1568" i="8"/>
  <c r="BG1568" i="8" s="1"/>
  <c r="BF349" i="8"/>
  <c r="AX356" i="8"/>
  <c r="AY356" i="8" s="1"/>
  <c r="BK356" i="8" s="1"/>
  <c r="BL356" i="8" s="1"/>
  <c r="BF398" i="8"/>
  <c r="AX428" i="8"/>
  <c r="AY428" i="8" s="1"/>
  <c r="BK428" i="8" s="1"/>
  <c r="BL428" i="8" s="1"/>
  <c r="BF475" i="8"/>
  <c r="AX480" i="8"/>
  <c r="AY480" i="8" s="1"/>
  <c r="BK480" i="8" s="1"/>
  <c r="BL480" i="8" s="1"/>
  <c r="BM480" i="8" s="1"/>
  <c r="BF549" i="8"/>
  <c r="BG549" i="8" s="1"/>
  <c r="BF673" i="8"/>
  <c r="BF714" i="8"/>
  <c r="BL714" i="8" s="1"/>
  <c r="BM714" i="8" s="1"/>
  <c r="BN714" i="8" s="1"/>
  <c r="BF718" i="8"/>
  <c r="BL718" i="8" s="1"/>
  <c r="BM718" i="8" s="1"/>
  <c r="BN718" i="8" s="1"/>
  <c r="BF720" i="8"/>
  <c r="BL720" i="8" s="1"/>
  <c r="BM720" i="8" s="1"/>
  <c r="BO720" i="8" s="1"/>
  <c r="AX724" i="8"/>
  <c r="AY724" i="8" s="1"/>
  <c r="BK724" i="8" s="1"/>
  <c r="BF730" i="8"/>
  <c r="AX917" i="8"/>
  <c r="AY917" i="8" s="1"/>
  <c r="BK917" i="8" s="1"/>
  <c r="BL917" i="8" s="1"/>
  <c r="BF917" i="8"/>
  <c r="AX358" i="8"/>
  <c r="AY358" i="8" s="1"/>
  <c r="BK358" i="8" s="1"/>
  <c r="BL358" i="8" s="1"/>
  <c r="BF430" i="8"/>
  <c r="AX634" i="8"/>
  <c r="AY634" i="8" s="1"/>
  <c r="BK634" i="8" s="1"/>
  <c r="BF660" i="8"/>
  <c r="BF36" i="8"/>
  <c r="AX232" i="8"/>
  <c r="AY232" i="8" s="1"/>
  <c r="BK232" i="8" s="1"/>
  <c r="AX239" i="8"/>
  <c r="AY239" i="8" s="1"/>
  <c r="BK239" i="8" s="1"/>
  <c r="AX302" i="8"/>
  <c r="AY302" i="8" s="1"/>
  <c r="BK302" i="8" s="1"/>
  <c r="AX313" i="8"/>
  <c r="AY313" i="8" s="1"/>
  <c r="BK313" i="8" s="1"/>
  <c r="BL313" i="8" s="1"/>
  <c r="BM313" i="8" s="1"/>
  <c r="AX159" i="8"/>
  <c r="AY159" i="8" s="1"/>
  <c r="BK159" i="8" s="1"/>
  <c r="BF160" i="8"/>
  <c r="BL160" i="8" s="1"/>
  <c r="BM160" i="8" s="1"/>
  <c r="BF171" i="8"/>
  <c r="BL171" i="8" s="1"/>
  <c r="AX227" i="8"/>
  <c r="AY227" i="8" s="1"/>
  <c r="BK227" i="8" s="1"/>
  <c r="AX290" i="8"/>
  <c r="AY290" i="8" s="1"/>
  <c r="BK290" i="8" s="1"/>
  <c r="AX337" i="8"/>
  <c r="AY337" i="8" s="1"/>
  <c r="BK337" i="8" s="1"/>
  <c r="BL337" i="8" s="1"/>
  <c r="BF347" i="8"/>
  <c r="BF377" i="8"/>
  <c r="AX382" i="8"/>
  <c r="AY382" i="8" s="1"/>
  <c r="BK382" i="8" s="1"/>
  <c r="BL382" i="8" s="1"/>
  <c r="AX389" i="8"/>
  <c r="AY389" i="8" s="1"/>
  <c r="BK389" i="8" s="1"/>
  <c r="BL389" i="8" s="1"/>
  <c r="AX401" i="8"/>
  <c r="AY401" i="8" s="1"/>
  <c r="BK401" i="8" s="1"/>
  <c r="BL401" i="8" s="1"/>
  <c r="BF404" i="8"/>
  <c r="AX406" i="8"/>
  <c r="AY406" i="8" s="1"/>
  <c r="BK406" i="8" s="1"/>
  <c r="BL406" i="8" s="1"/>
  <c r="BF418" i="8"/>
  <c r="BF426" i="8"/>
  <c r="AX444" i="8"/>
  <c r="AY444" i="8" s="1"/>
  <c r="BK444" i="8" s="1"/>
  <c r="BF460" i="8"/>
  <c r="BG460" i="8" s="1"/>
  <c r="BF462" i="8"/>
  <c r="BL462" i="8" s="1"/>
  <c r="AX471" i="8"/>
  <c r="AY471" i="8" s="1"/>
  <c r="BK471" i="8" s="1"/>
  <c r="BL471" i="8" s="1"/>
  <c r="BF473" i="8"/>
  <c r="AX500" i="8"/>
  <c r="AY500" i="8" s="1"/>
  <c r="BK500" i="8" s="1"/>
  <c r="BL500" i="8" s="1"/>
  <c r="BM500" i="8" s="1"/>
  <c r="BO500" i="8" s="1"/>
  <c r="AX517" i="8"/>
  <c r="AY517" i="8" s="1"/>
  <c r="BK517" i="8" s="1"/>
  <c r="BL517" i="8" s="1"/>
  <c r="AX566" i="8"/>
  <c r="AY566" i="8" s="1"/>
  <c r="BK566" i="8" s="1"/>
  <c r="BL566" i="8" s="1"/>
  <c r="BF571" i="8"/>
  <c r="AX653" i="8"/>
  <c r="AY653" i="8" s="1"/>
  <c r="BK653" i="8" s="1"/>
  <c r="BL653" i="8" s="1"/>
  <c r="AX686" i="8"/>
  <c r="AY686" i="8" s="1"/>
  <c r="BK686" i="8" s="1"/>
  <c r="BL686" i="8" s="1"/>
  <c r="BK360" i="8"/>
  <c r="BL360" i="8" s="1"/>
  <c r="AX580" i="8"/>
  <c r="AY580" i="8" s="1"/>
  <c r="BK580" i="8" s="1"/>
  <c r="BF790" i="8"/>
  <c r="AX283" i="8"/>
  <c r="AY283" i="8" s="1"/>
  <c r="BK283" i="8" s="1"/>
  <c r="BL283" i="8" s="1"/>
  <c r="AX29" i="8"/>
  <c r="AY29" i="8" s="1"/>
  <c r="BK29" i="8" s="1"/>
  <c r="AX235" i="8"/>
  <c r="AY235" i="8" s="1"/>
  <c r="BK235" i="8" s="1"/>
  <c r="AX174" i="8"/>
  <c r="AY174" i="8" s="1"/>
  <c r="BK174" i="8" s="1"/>
  <c r="BF179" i="8"/>
  <c r="BL179" i="8" s="1"/>
  <c r="AX352" i="8"/>
  <c r="AY352" i="8" s="1"/>
  <c r="BF384" i="8"/>
  <c r="BF558" i="8"/>
  <c r="BL558" i="8" s="1"/>
  <c r="BM558" i="8" s="1"/>
  <c r="AX630" i="8"/>
  <c r="AY630" i="8" s="1"/>
  <c r="BK630" i="8" s="1"/>
  <c r="BF676" i="8"/>
  <c r="AX294" i="8"/>
  <c r="AY294" i="8" s="1"/>
  <c r="BK294" i="8" s="1"/>
  <c r="AX388" i="8"/>
  <c r="AY388" i="8" s="1"/>
  <c r="BK388" i="8" s="1"/>
  <c r="BL388" i="8" s="1"/>
  <c r="BF400" i="8"/>
  <c r="AX452" i="8"/>
  <c r="AY452" i="8" s="1"/>
  <c r="AX603" i="8"/>
  <c r="AY603" i="8" s="1"/>
  <c r="BK603" i="8" s="1"/>
  <c r="BF652" i="8"/>
  <c r="BF665" i="8"/>
  <c r="AX180" i="8"/>
  <c r="AY180" i="8" s="1"/>
  <c r="BK180" i="8" s="1"/>
  <c r="BF249" i="8"/>
  <c r="BG249" i="8" s="1"/>
  <c r="AX142" i="8"/>
  <c r="AY142" i="8" s="1"/>
  <c r="BK142" i="8" s="1"/>
  <c r="BL142" i="8" s="1"/>
  <c r="AX155" i="8"/>
  <c r="AY155" i="8" s="1"/>
  <c r="BK155" i="8" s="1"/>
  <c r="BF191" i="8"/>
  <c r="BL191" i="8" s="1"/>
  <c r="AX241" i="8"/>
  <c r="AY241" i="8" s="1"/>
  <c r="BK241" i="8" s="1"/>
  <c r="AX254" i="8"/>
  <c r="AY254" i="8" s="1"/>
  <c r="BK254" i="8" s="1"/>
  <c r="AX257" i="8"/>
  <c r="AY257" i="8" s="1"/>
  <c r="BK257" i="8" s="1"/>
  <c r="AX286" i="8"/>
  <c r="AY286" i="8" s="1"/>
  <c r="BK286" i="8" s="1"/>
  <c r="AX298" i="8"/>
  <c r="AY298" i="8" s="1"/>
  <c r="BK298" i="8" s="1"/>
  <c r="AX310" i="8"/>
  <c r="AY310" i="8" s="1"/>
  <c r="BK310" i="8" s="1"/>
  <c r="BK317" i="8"/>
  <c r="AX323" i="8"/>
  <c r="AY323" i="8" s="1"/>
  <c r="BK323" i="8" s="1"/>
  <c r="AX350" i="8"/>
  <c r="AY350" i="8" s="1"/>
  <c r="BK350" i="8" s="1"/>
  <c r="BL350" i="8" s="1"/>
  <c r="AX377" i="8"/>
  <c r="AY377" i="8" s="1"/>
  <c r="BK377" i="8" s="1"/>
  <c r="BL377" i="8" s="1"/>
  <c r="BF382" i="8"/>
  <c r="AX437" i="8"/>
  <c r="AY437" i="8" s="1"/>
  <c r="BK437" i="8" s="1"/>
  <c r="BL437" i="8" s="1"/>
  <c r="AX476" i="8"/>
  <c r="AY476" i="8" s="1"/>
  <c r="BK476" i="8" s="1"/>
  <c r="BL476" i="8" s="1"/>
  <c r="BF517" i="8"/>
  <c r="AX546" i="8"/>
  <c r="AY546" i="8" s="1"/>
  <c r="BK546" i="8" s="1"/>
  <c r="BF548" i="8"/>
  <c r="BG548" i="8" s="1"/>
  <c r="AX577" i="8"/>
  <c r="AY577" i="8" s="1"/>
  <c r="BK577" i="8" s="1"/>
  <c r="BL577" i="8" s="1"/>
  <c r="AX604" i="8"/>
  <c r="AY604" i="8" s="1"/>
  <c r="BK604" i="8" s="1"/>
  <c r="AX607" i="8"/>
  <c r="AY607" i="8" s="1"/>
  <c r="BK607" i="8" s="1"/>
  <c r="AX632" i="8"/>
  <c r="AY632" i="8" s="1"/>
  <c r="BK632" i="8" s="1"/>
  <c r="BF643" i="8"/>
  <c r="BG643" i="8" s="1"/>
  <c r="AX645" i="8"/>
  <c r="AY645" i="8" s="1"/>
  <c r="BK645" i="8" s="1"/>
  <c r="AX654" i="8"/>
  <c r="AY654" i="8" s="1"/>
  <c r="BK654" i="8" s="1"/>
  <c r="BL654" i="8" s="1"/>
  <c r="BF662" i="8"/>
  <c r="AX726" i="8"/>
  <c r="AY726" i="8" s="1"/>
  <c r="BK726" i="8" s="1"/>
  <c r="AX729" i="8"/>
  <c r="AY729" i="8" s="1"/>
  <c r="BK729" i="8" s="1"/>
  <c r="BL729" i="8" s="1"/>
  <c r="BF734" i="8"/>
  <c r="BF754" i="8"/>
  <c r="AX770" i="8"/>
  <c r="AY770" i="8" s="1"/>
  <c r="BK770" i="8" s="1"/>
  <c r="BL770" i="8" s="1"/>
  <c r="BF879" i="8"/>
  <c r="BF936" i="8"/>
  <c r="AX936" i="8"/>
  <c r="AY936" i="8" s="1"/>
  <c r="BK936" i="8" s="1"/>
  <c r="BL936" i="8" s="1"/>
  <c r="AX1062" i="8"/>
  <c r="AY1062" i="8" s="1"/>
  <c r="BK1062" i="8" s="1"/>
  <c r="BL1062" i="8" s="1"/>
  <c r="BF1062" i="8"/>
  <c r="AX1148" i="8"/>
  <c r="AY1148" i="8" s="1"/>
  <c r="BK1148" i="8" s="1"/>
  <c r="BL1148" i="8" s="1"/>
  <c r="BF1148" i="8"/>
  <c r="AX253" i="8"/>
  <c r="AY253" i="8" s="1"/>
  <c r="BK253" i="8" s="1"/>
  <c r="AX306" i="8"/>
  <c r="AY306" i="8" s="1"/>
  <c r="BK306" i="8" s="1"/>
  <c r="BF745" i="8"/>
  <c r="BF246" i="8"/>
  <c r="AX258" i="8"/>
  <c r="AY258" i="8" s="1"/>
  <c r="BK258" i="8" s="1"/>
  <c r="BK58" i="8"/>
  <c r="AX8" i="8"/>
  <c r="AY8" i="8" s="1"/>
  <c r="BK8" i="8" s="1"/>
  <c r="BF53" i="8"/>
  <c r="BG53" i="8" s="1"/>
  <c r="BF55" i="8"/>
  <c r="BL55" i="8" s="1"/>
  <c r="BK79" i="8"/>
  <c r="BK81" i="8"/>
  <c r="AX111" i="8"/>
  <c r="AY111" i="8" s="1"/>
  <c r="BK111" i="8" s="1"/>
  <c r="BF134" i="8"/>
  <c r="AX190" i="8"/>
  <c r="AY190" i="8" s="1"/>
  <c r="BK190" i="8" s="1"/>
  <c r="AX237" i="8"/>
  <c r="AY237" i="8" s="1"/>
  <c r="BK237" i="8" s="1"/>
  <c r="BF270" i="8"/>
  <c r="BL270" i="8" s="1"/>
  <c r="BF282" i="8"/>
  <c r="AX300" i="8"/>
  <c r="AY300" i="8" s="1"/>
  <c r="BK300" i="8" s="1"/>
  <c r="AX303" i="8"/>
  <c r="AY303" i="8" s="1"/>
  <c r="BK303" i="8" s="1"/>
  <c r="AX355" i="8"/>
  <c r="AY355" i="8" s="1"/>
  <c r="BK355" i="8" s="1"/>
  <c r="BL355" i="8" s="1"/>
  <c r="AX407" i="8"/>
  <c r="AY407" i="8" s="1"/>
  <c r="BK407" i="8" s="1"/>
  <c r="BL407" i="8" s="1"/>
  <c r="BF440" i="8"/>
  <c r="BF446" i="8"/>
  <c r="BG446" i="8" s="1"/>
  <c r="BF472" i="8"/>
  <c r="BK494" i="8"/>
  <c r="BL494" i="8" s="1"/>
  <c r="BF499" i="8"/>
  <c r="AX506" i="8"/>
  <c r="AY506" i="8" s="1"/>
  <c r="BK506" i="8" s="1"/>
  <c r="BL506" i="8" s="1"/>
  <c r="BM506" i="8" s="1"/>
  <c r="AX535" i="8"/>
  <c r="AY535" i="8" s="1"/>
  <c r="BK535" i="8" s="1"/>
  <c r="BL535" i="8" s="1"/>
  <c r="AX537" i="8"/>
  <c r="AY537" i="8" s="1"/>
  <c r="BK537" i="8" s="1"/>
  <c r="BL537" i="8" s="1"/>
  <c r="BF547" i="8"/>
  <c r="BL547" i="8" s="1"/>
  <c r="BF562" i="8"/>
  <c r="BF564" i="8"/>
  <c r="BF567" i="8"/>
  <c r="AX594" i="8"/>
  <c r="AY594" i="8" s="1"/>
  <c r="BK594" i="8" s="1"/>
  <c r="AX637" i="8"/>
  <c r="AY637" i="8" s="1"/>
  <c r="BK637" i="8" s="1"/>
  <c r="BF642" i="8"/>
  <c r="BG642" i="8" s="1"/>
  <c r="AX647" i="8"/>
  <c r="AY647" i="8" s="1"/>
  <c r="BK647" i="8" s="1"/>
  <c r="BF677" i="8"/>
  <c r="BF742" i="8"/>
  <c r="BF765" i="8"/>
  <c r="BB1187" i="8"/>
  <c r="BF1187" i="8"/>
  <c r="BL1187" i="8" s="1"/>
  <c r="AX850" i="8"/>
  <c r="AY850" i="8" s="1"/>
  <c r="BK850" i="8" s="1"/>
  <c r="BL850" i="8" s="1"/>
  <c r="AX879" i="8"/>
  <c r="AY879" i="8" s="1"/>
  <c r="BK879" i="8" s="1"/>
  <c r="BL879" i="8" s="1"/>
  <c r="BF953" i="8"/>
  <c r="AX973" i="8"/>
  <c r="AY973" i="8" s="1"/>
  <c r="BK973" i="8" s="1"/>
  <c r="AX983" i="8"/>
  <c r="AY983" i="8" s="1"/>
  <c r="BK983" i="8" s="1"/>
  <c r="AX1001" i="8"/>
  <c r="AY1001" i="8" s="1"/>
  <c r="BK1001" i="8" s="1"/>
  <c r="BL1001" i="8" s="1"/>
  <c r="BF1031" i="8"/>
  <c r="AX1038" i="8"/>
  <c r="AY1038" i="8" s="1"/>
  <c r="BK1038" i="8" s="1"/>
  <c r="BL1038" i="8" s="1"/>
  <c r="AX1112" i="8"/>
  <c r="AY1112" i="8" s="1"/>
  <c r="BK1112" i="8" s="1"/>
  <c r="BL1112" i="8" s="1"/>
  <c r="AX1146" i="8"/>
  <c r="AY1146" i="8" s="1"/>
  <c r="BK1146" i="8" s="1"/>
  <c r="BL1146" i="8" s="1"/>
  <c r="AX1273" i="8"/>
  <c r="AY1273" i="8" s="1"/>
  <c r="BL1273" i="8" s="1"/>
  <c r="BM1273" i="8" s="1"/>
  <c r="BK1275" i="8"/>
  <c r="BF1321" i="8"/>
  <c r="BG1321" i="8" s="1"/>
  <c r="AX1348" i="8"/>
  <c r="AY1348" i="8" s="1"/>
  <c r="BL1348" i="8" s="1"/>
  <c r="AX1359" i="8"/>
  <c r="AY1359" i="8" s="1"/>
  <c r="BL1359" i="8" s="1"/>
  <c r="BF1389" i="8"/>
  <c r="BG1389" i="8" s="1"/>
  <c r="BF1395" i="8"/>
  <c r="BL1395" i="8" s="1"/>
  <c r="BM1395" i="8" s="1"/>
  <c r="AX1411" i="8"/>
  <c r="AY1411" i="8" s="1"/>
  <c r="BL1411" i="8" s="1"/>
  <c r="AX1427" i="8"/>
  <c r="AY1427" i="8" s="1"/>
  <c r="BL1427" i="8" s="1"/>
  <c r="BF1460" i="8"/>
  <c r="BL1460" i="8" s="1"/>
  <c r="AX1541" i="8"/>
  <c r="AY1541" i="8" s="1"/>
  <c r="BL1541" i="8" s="1"/>
  <c r="AX1572" i="8"/>
  <c r="AY1572" i="8" s="1"/>
  <c r="BK1572" i="8" s="1"/>
  <c r="BK800" i="8"/>
  <c r="BL800" i="8" s="1"/>
  <c r="BM800" i="8" s="1"/>
  <c r="BO800" i="8" s="1"/>
  <c r="BF872" i="8"/>
  <c r="AX882" i="8"/>
  <c r="AY882" i="8" s="1"/>
  <c r="BK882" i="8" s="1"/>
  <c r="BL882" i="8" s="1"/>
  <c r="AX898" i="8"/>
  <c r="AY898" i="8" s="1"/>
  <c r="BK898" i="8" s="1"/>
  <c r="BL898" i="8" s="1"/>
  <c r="AX903" i="8"/>
  <c r="AY903" i="8" s="1"/>
  <c r="BK903" i="8" s="1"/>
  <c r="BL903" i="8" s="1"/>
  <c r="BF1041" i="8"/>
  <c r="BG1041" i="8" s="1"/>
  <c r="AX1150" i="8"/>
  <c r="AY1150" i="8" s="1"/>
  <c r="BK1150" i="8" s="1"/>
  <c r="BL1150" i="8" s="1"/>
  <c r="BF1221" i="8"/>
  <c r="BL1221" i="8" s="1"/>
  <c r="AX1223" i="8"/>
  <c r="AY1223" i="8" s="1"/>
  <c r="BK1223" i="8" s="1"/>
  <c r="AX1231" i="8"/>
  <c r="AY1231" i="8" s="1"/>
  <c r="BL1231" i="8" s="1"/>
  <c r="BM1231" i="8" s="1"/>
  <c r="BL1234" i="8"/>
  <c r="BM1234" i="8" s="1"/>
  <c r="AX1241" i="8"/>
  <c r="AY1241" i="8" s="1"/>
  <c r="BK1241" i="8" s="1"/>
  <c r="BF1262" i="8"/>
  <c r="BG1262" i="8" s="1"/>
  <c r="BF1275" i="8"/>
  <c r="BG1275" i="8" s="1"/>
  <c r="BF1365" i="8"/>
  <c r="BG1365" i="8" s="1"/>
  <c r="BF1394" i="8"/>
  <c r="BG1394" i="8" s="1"/>
  <c r="BF1401" i="8"/>
  <c r="BG1401" i="8" s="1"/>
  <c r="AX1449" i="8"/>
  <c r="AY1449" i="8" s="1"/>
  <c r="BK1449" i="8" s="1"/>
  <c r="AX1515" i="8"/>
  <c r="AY1515" i="8" s="1"/>
  <c r="BF1582" i="8"/>
  <c r="BL1582" i="8" s="1"/>
  <c r="AX1596" i="8"/>
  <c r="AY1596" i="8" s="1"/>
  <c r="BL1596" i="8" s="1"/>
  <c r="AX1600" i="8"/>
  <c r="AY1600" i="8" s="1"/>
  <c r="BK1600" i="8" s="1"/>
  <c r="BF773" i="8"/>
  <c r="AX785" i="8"/>
  <c r="AY785" i="8" s="1"/>
  <c r="BK785" i="8" s="1"/>
  <c r="AX794" i="8"/>
  <c r="AY794" i="8" s="1"/>
  <c r="BK794" i="8" s="1"/>
  <c r="BF816" i="8"/>
  <c r="AX865" i="8"/>
  <c r="AY865" i="8" s="1"/>
  <c r="BK865" i="8" s="1"/>
  <c r="BF901" i="8"/>
  <c r="BF920" i="8"/>
  <c r="BF951" i="8"/>
  <c r="AX1046" i="8"/>
  <c r="AY1046" i="8" s="1"/>
  <c r="BK1046" i="8" s="1"/>
  <c r="AX1081" i="8"/>
  <c r="AY1081" i="8" s="1"/>
  <c r="BK1081" i="8" s="1"/>
  <c r="BL1081" i="8" s="1"/>
  <c r="AX1118" i="8"/>
  <c r="AY1118" i="8" s="1"/>
  <c r="BK1118" i="8" s="1"/>
  <c r="BL1118" i="8" s="1"/>
  <c r="BM1118" i="8" s="1"/>
  <c r="BF1143" i="8"/>
  <c r="BF1152" i="8"/>
  <c r="AX1228" i="8"/>
  <c r="AY1228" i="8" s="1"/>
  <c r="BK1228" i="8" s="1"/>
  <c r="AX1272" i="8"/>
  <c r="AY1272" i="8" s="1"/>
  <c r="BK1272" i="8" s="1"/>
  <c r="AX1345" i="8"/>
  <c r="AY1345" i="8" s="1"/>
  <c r="BK1345" i="8" s="1"/>
  <c r="BF1348" i="8"/>
  <c r="BG1348" i="8" s="1"/>
  <c r="AX1353" i="8"/>
  <c r="AY1353" i="8" s="1"/>
  <c r="BK1353" i="8" s="1"/>
  <c r="AX1398" i="8"/>
  <c r="AY1398" i="8" s="1"/>
  <c r="BK1398" i="8" s="1"/>
  <c r="AX1407" i="8"/>
  <c r="AY1407" i="8" s="1"/>
  <c r="BK1407" i="8" s="1"/>
  <c r="AX1501" i="8"/>
  <c r="AY1501" i="8" s="1"/>
  <c r="BK1501" i="8" s="1"/>
  <c r="AX1509" i="8"/>
  <c r="AY1509" i="8" s="1"/>
  <c r="BK1509" i="8" s="1"/>
  <c r="AX1536" i="8"/>
  <c r="AY1536" i="8" s="1"/>
  <c r="BL1536" i="8" s="1"/>
  <c r="BF811" i="8"/>
  <c r="AX906" i="8"/>
  <c r="AY906" i="8" s="1"/>
  <c r="BK906" i="8" s="1"/>
  <c r="BL906" i="8" s="1"/>
  <c r="BM906" i="8" s="1"/>
  <c r="BF913" i="8"/>
  <c r="BF1181" i="8"/>
  <c r="BG1181" i="8" s="1"/>
  <c r="BL1251" i="8"/>
  <c r="BM1251" i="8" s="1"/>
  <c r="BN1251" i="8" s="1"/>
  <c r="BF1345" i="8"/>
  <c r="BG1345" i="8" s="1"/>
  <c r="AX1369" i="8"/>
  <c r="AY1369" i="8" s="1"/>
  <c r="BL1369" i="8" s="1"/>
  <c r="AX1397" i="8"/>
  <c r="AY1397" i="8" s="1"/>
  <c r="BK1397" i="8" s="1"/>
  <c r="AX1424" i="8"/>
  <c r="AY1424" i="8" s="1"/>
  <c r="BK1424" i="8" s="1"/>
  <c r="AX1587" i="8"/>
  <c r="AY1587" i="8" s="1"/>
  <c r="BK1587" i="8" s="1"/>
  <c r="AX814" i="8"/>
  <c r="AY814" i="8" s="1"/>
  <c r="BK814" i="8" s="1"/>
  <c r="BL814" i="8" s="1"/>
  <c r="AX933" i="8"/>
  <c r="AY933" i="8" s="1"/>
  <c r="BK933" i="8" s="1"/>
  <c r="BL933" i="8" s="1"/>
  <c r="AX935" i="8"/>
  <c r="AY935" i="8" s="1"/>
  <c r="BK935" i="8" s="1"/>
  <c r="BL935" i="8" s="1"/>
  <c r="AX939" i="8"/>
  <c r="AY939" i="8" s="1"/>
  <c r="BK939" i="8" s="1"/>
  <c r="BL939" i="8" s="1"/>
  <c r="BF954" i="8"/>
  <c r="BK970" i="8"/>
  <c r="AX981" i="8"/>
  <c r="AY981" i="8" s="1"/>
  <c r="BK981" i="8" s="1"/>
  <c r="AX988" i="8"/>
  <c r="AY988" i="8" s="1"/>
  <c r="BK988" i="8" s="1"/>
  <c r="BF1032" i="8"/>
  <c r="AX1073" i="8"/>
  <c r="AY1073" i="8" s="1"/>
  <c r="BK1073" i="8" s="1"/>
  <c r="BL1073" i="8" s="1"/>
  <c r="BK1095" i="8"/>
  <c r="BL1095" i="8" s="1"/>
  <c r="BF1197" i="8"/>
  <c r="BG1197" i="8" s="1"/>
  <c r="BF1294" i="8"/>
  <c r="BG1294" i="8" s="1"/>
  <c r="BF1318" i="8"/>
  <c r="BG1318" i="8" s="1"/>
  <c r="AX1344" i="8"/>
  <c r="AY1344" i="8" s="1"/>
  <c r="BL1344" i="8" s="1"/>
  <c r="AX1355" i="8"/>
  <c r="AY1355" i="8" s="1"/>
  <c r="BK1355" i="8" s="1"/>
  <c r="AX1366" i="8"/>
  <c r="AY1366" i="8" s="1"/>
  <c r="BK1366" i="8" s="1"/>
  <c r="AX1409" i="8"/>
  <c r="AY1409" i="8" s="1"/>
  <c r="BK1409" i="8" s="1"/>
  <c r="AX1418" i="8"/>
  <c r="AY1418" i="8" s="1"/>
  <c r="BK1418" i="8" s="1"/>
  <c r="AX1421" i="8"/>
  <c r="AY1421" i="8" s="1"/>
  <c r="BK1421" i="8" s="1"/>
  <c r="AX1458" i="8"/>
  <c r="AY1458" i="8" s="1"/>
  <c r="BK1458" i="8" s="1"/>
  <c r="AX1461" i="8"/>
  <c r="AY1461" i="8" s="1"/>
  <c r="BK1461" i="8" s="1"/>
  <c r="AX1488" i="8"/>
  <c r="AY1488" i="8" s="1"/>
  <c r="BL1488" i="8" s="1"/>
  <c r="BM1488" i="8" s="1"/>
  <c r="BF1511" i="8"/>
  <c r="BG1511" i="8" s="1"/>
  <c r="BF1536" i="8"/>
  <c r="BG1536" i="8" s="1"/>
  <c r="AX1542" i="8"/>
  <c r="AY1542" i="8" s="1"/>
  <c r="BK1542" i="8" s="1"/>
  <c r="BF1545" i="8"/>
  <c r="BG1545" i="8" s="1"/>
  <c r="AX1553" i="8"/>
  <c r="AY1553" i="8" s="1"/>
  <c r="AX1583" i="8"/>
  <c r="AY1583" i="8" s="1"/>
  <c r="AX1590" i="8"/>
  <c r="AY1590" i="8" s="1"/>
  <c r="BL1590" i="8" s="1"/>
  <c r="AX774" i="8"/>
  <c r="AY774" i="8" s="1"/>
  <c r="BK774" i="8" s="1"/>
  <c r="AX787" i="8"/>
  <c r="AY787" i="8" s="1"/>
  <c r="BK787" i="8" s="1"/>
  <c r="BF788" i="8"/>
  <c r="AX812" i="8"/>
  <c r="AY812" i="8" s="1"/>
  <c r="BK812" i="8" s="1"/>
  <c r="BL812" i="8" s="1"/>
  <c r="AX885" i="8"/>
  <c r="AY885" i="8" s="1"/>
  <c r="BK885" i="8" s="1"/>
  <c r="BL885" i="8" s="1"/>
  <c r="AX887" i="8"/>
  <c r="AY887" i="8" s="1"/>
  <c r="BK887" i="8" s="1"/>
  <c r="BL887" i="8" s="1"/>
  <c r="BM887" i="8" s="1"/>
  <c r="BF904" i="8"/>
  <c r="AX911" i="8"/>
  <c r="AY911" i="8" s="1"/>
  <c r="BK911" i="8" s="1"/>
  <c r="BL911" i="8" s="1"/>
  <c r="AX959" i="8"/>
  <c r="AY959" i="8" s="1"/>
  <c r="BK959" i="8" s="1"/>
  <c r="BL959" i="8" s="1"/>
  <c r="AX962" i="8"/>
  <c r="AY962" i="8" s="1"/>
  <c r="BK962" i="8" s="1"/>
  <c r="AX966" i="8"/>
  <c r="AY966" i="8" s="1"/>
  <c r="BK966" i="8" s="1"/>
  <c r="AX984" i="8"/>
  <c r="AY984" i="8" s="1"/>
  <c r="BK984" i="8" s="1"/>
  <c r="AX1009" i="8"/>
  <c r="AY1009" i="8" s="1"/>
  <c r="BK1009" i="8" s="1"/>
  <c r="BL1009" i="8" s="1"/>
  <c r="AX1045" i="8"/>
  <c r="AY1045" i="8" s="1"/>
  <c r="BK1045" i="8" s="1"/>
  <c r="BF1071" i="8"/>
  <c r="AX1161" i="8"/>
  <c r="AY1161" i="8" s="1"/>
  <c r="BK1161" i="8" s="1"/>
  <c r="BL1161" i="8" s="1"/>
  <c r="BF1432" i="8"/>
  <c r="BG1432" i="8" s="1"/>
  <c r="AX1454" i="8"/>
  <c r="AY1454" i="8" s="1"/>
  <c r="BK1454" i="8" s="1"/>
  <c r="AX1601" i="8"/>
  <c r="AY1601" i="8" s="1"/>
  <c r="BL1601" i="8" s="1"/>
  <c r="AX1603" i="8"/>
  <c r="AY1603" i="8" s="1"/>
  <c r="BL1603" i="8" s="1"/>
  <c r="AX1605" i="8"/>
  <c r="AY1605" i="8" s="1"/>
  <c r="BL1605" i="8" s="1"/>
  <c r="BF1610" i="8"/>
  <c r="BG1610" i="8" s="1"/>
  <c r="BF731" i="8"/>
  <c r="BF736" i="8"/>
  <c r="BF753" i="8"/>
  <c r="AX764" i="8"/>
  <c r="AY764" i="8" s="1"/>
  <c r="BK764" i="8" s="1"/>
  <c r="BL764" i="8" s="1"/>
  <c r="AX777" i="8"/>
  <c r="AY777" i="8" s="1"/>
  <c r="BK777" i="8" s="1"/>
  <c r="BL782" i="8"/>
  <c r="BM782" i="8" s="1"/>
  <c r="BN782" i="8" s="1"/>
  <c r="BF793" i="8"/>
  <c r="AX798" i="8"/>
  <c r="AY798" i="8" s="1"/>
  <c r="BF810" i="8"/>
  <c r="BF822" i="8"/>
  <c r="BF825" i="8"/>
  <c r="BF827" i="8"/>
  <c r="BL827" i="8" s="1"/>
  <c r="BM827" i="8" s="1"/>
  <c r="BN827" i="8" s="1"/>
  <c r="BF829" i="8"/>
  <c r="BL829" i="8" s="1"/>
  <c r="BM829" i="8" s="1"/>
  <c r="BO829" i="8" s="1"/>
  <c r="AX835" i="8"/>
  <c r="AY835" i="8" s="1"/>
  <c r="BK835" i="8" s="1"/>
  <c r="BF839" i="8"/>
  <c r="BF849" i="8"/>
  <c r="BF852" i="8"/>
  <c r="AX862" i="8"/>
  <c r="AY862" i="8" s="1"/>
  <c r="BK862" i="8" s="1"/>
  <c r="AX869" i="8"/>
  <c r="AY869" i="8" s="1"/>
  <c r="BK869" i="8" s="1"/>
  <c r="BF871" i="8"/>
  <c r="AX883" i="8"/>
  <c r="AY883" i="8" s="1"/>
  <c r="BK883" i="8" s="1"/>
  <c r="BL883" i="8" s="1"/>
  <c r="AX890" i="8"/>
  <c r="AY890" i="8" s="1"/>
  <c r="BK890" i="8" s="1"/>
  <c r="BL890" i="8" s="1"/>
  <c r="BF907" i="8"/>
  <c r="BF909" i="8"/>
  <c r="AX914" i="8"/>
  <c r="AY914" i="8" s="1"/>
  <c r="BK914" i="8" s="1"/>
  <c r="BL914" i="8" s="1"/>
  <c r="BF924" i="8"/>
  <c r="BF926" i="8"/>
  <c r="AX931" i="8"/>
  <c r="AY931" i="8" s="1"/>
  <c r="BK931" i="8" s="1"/>
  <c r="BL931" i="8" s="1"/>
  <c r="BF940" i="8"/>
  <c r="BF957" i="8"/>
  <c r="AX975" i="8"/>
  <c r="AY975" i="8" s="1"/>
  <c r="BK975" i="8" s="1"/>
  <c r="AX980" i="8"/>
  <c r="AY980" i="8" s="1"/>
  <c r="BF1037" i="8"/>
  <c r="BF1114" i="8"/>
  <c r="AX1144" i="8"/>
  <c r="AY1144" i="8" s="1"/>
  <c r="BK1144" i="8" s="1"/>
  <c r="BL1144" i="8" s="1"/>
  <c r="BF1180" i="8"/>
  <c r="BG1180" i="8" s="1"/>
  <c r="AX1200" i="8"/>
  <c r="AY1200" i="8" s="1"/>
  <c r="BK1200" i="8" s="1"/>
  <c r="AX1224" i="8"/>
  <c r="AY1224" i="8" s="1"/>
  <c r="BL1224" i="8" s="1"/>
  <c r="BM1224" i="8" s="1"/>
  <c r="AX1253" i="8"/>
  <c r="AY1253" i="8" s="1"/>
  <c r="BK1253" i="8" s="1"/>
  <c r="AX1256" i="8"/>
  <c r="AY1256" i="8" s="1"/>
  <c r="BL1256" i="8" s="1"/>
  <c r="AX1278" i="8"/>
  <c r="AY1278" i="8" s="1"/>
  <c r="BK1278" i="8" s="1"/>
  <c r="BL1299" i="8"/>
  <c r="BM1299" i="8" s="1"/>
  <c r="BO1299" i="8" s="1"/>
  <c r="BL1327" i="8"/>
  <c r="BM1327" i="8" s="1"/>
  <c r="BO1327" i="8" s="1"/>
  <c r="BF1374" i="8"/>
  <c r="BG1374" i="8" s="1"/>
  <c r="AX1376" i="8"/>
  <c r="AY1376" i="8" s="1"/>
  <c r="BL1376" i="8" s="1"/>
  <c r="BF1387" i="8"/>
  <c r="BG1387" i="8" s="1"/>
  <c r="AX1389" i="8"/>
  <c r="AY1389" i="8" s="1"/>
  <c r="BK1389" i="8" s="1"/>
  <c r="AX1450" i="8"/>
  <c r="AY1450" i="8" s="1"/>
  <c r="BK1450" i="8" s="1"/>
  <c r="BF1458" i="8"/>
  <c r="BL1458" i="8" s="1"/>
  <c r="BM1458" i="8" s="1"/>
  <c r="AX1466" i="8"/>
  <c r="AY1466" i="8" s="1"/>
  <c r="BK1466" i="8" s="1"/>
  <c r="BF1469" i="8"/>
  <c r="BG1469" i="8" s="1"/>
  <c r="BF1475" i="8"/>
  <c r="BG1475" i="8" s="1"/>
  <c r="BF1477" i="8"/>
  <c r="BG1477" i="8" s="1"/>
  <c r="AX1502" i="8"/>
  <c r="AY1502" i="8" s="1"/>
  <c r="BK1502" i="8" s="1"/>
  <c r="AX1510" i="8"/>
  <c r="AY1510" i="8" s="1"/>
  <c r="BK1510" i="8" s="1"/>
  <c r="BF1542" i="8"/>
  <c r="BG1542" i="8" s="1"/>
  <c r="AX1544" i="8"/>
  <c r="AY1544" i="8" s="1"/>
  <c r="BK1544" i="8" s="1"/>
  <c r="AX1555" i="8"/>
  <c r="AY1555" i="8" s="1"/>
  <c r="BK1555" i="8" s="1"/>
  <c r="AX1558" i="8"/>
  <c r="AY1558" i="8" s="1"/>
  <c r="BL1558" i="8" s="1"/>
  <c r="AX1563" i="8"/>
  <c r="AY1563" i="8" s="1"/>
  <c r="BL1563" i="8" s="1"/>
  <c r="AX1582" i="8"/>
  <c r="AY1582" i="8" s="1"/>
  <c r="BK1582" i="8" s="1"/>
  <c r="BB1583" i="8"/>
  <c r="BF1593" i="8"/>
  <c r="BG1593" i="8" s="1"/>
  <c r="BF184" i="8"/>
  <c r="BL184" i="8" s="1"/>
  <c r="AX482" i="8"/>
  <c r="AY482" i="8" s="1"/>
  <c r="BK482" i="8" s="1"/>
  <c r="BL482" i="8" s="1"/>
  <c r="BF482" i="8"/>
  <c r="BF387" i="8"/>
  <c r="AX387" i="8"/>
  <c r="AY387" i="8" s="1"/>
  <c r="BK387" i="8" s="1"/>
  <c r="BL387" i="8" s="1"/>
  <c r="BF336" i="8"/>
  <c r="AX336" i="8"/>
  <c r="AY336" i="8" s="1"/>
  <c r="AX348" i="8"/>
  <c r="AY348" i="8" s="1"/>
  <c r="BK348" i="8" s="1"/>
  <c r="BL348" i="8" s="1"/>
  <c r="BM348" i="8" s="1"/>
  <c r="BF350" i="8"/>
  <c r="BF771" i="8"/>
  <c r="AX443" i="8"/>
  <c r="AY443" i="8" s="1"/>
  <c r="BK443" i="8" s="1"/>
  <c r="BL443" i="8" s="1"/>
  <c r="BF443" i="8"/>
  <c r="BF136" i="8"/>
  <c r="AX138" i="8"/>
  <c r="AY138" i="8" s="1"/>
  <c r="BK138" i="8" s="1"/>
  <c r="BL138" i="8" s="1"/>
  <c r="BF140" i="8"/>
  <c r="AX140" i="8"/>
  <c r="AY140" i="8" s="1"/>
  <c r="BK140" i="8" s="1"/>
  <c r="BL140" i="8" s="1"/>
  <c r="BF166" i="8"/>
  <c r="BL166" i="8" s="1"/>
  <c r="BF221" i="8"/>
  <c r="BG221" i="8" s="1"/>
  <c r="AX247" i="8"/>
  <c r="AY247" i="8" s="1"/>
  <c r="BK247" i="8" s="1"/>
  <c r="BF247" i="8"/>
  <c r="BL247" i="8" s="1"/>
  <c r="BM247" i="8" s="1"/>
  <c r="BF277" i="8"/>
  <c r="AX277" i="8"/>
  <c r="AY277" i="8" s="1"/>
  <c r="BK277" i="8" s="1"/>
  <c r="BL277" i="8" s="1"/>
  <c r="AX312" i="8"/>
  <c r="AY312" i="8" s="1"/>
  <c r="BK312" i="8" s="1"/>
  <c r="BL312" i="8" s="1"/>
  <c r="AX769" i="8"/>
  <c r="AY769" i="8" s="1"/>
  <c r="BK769" i="8" s="1"/>
  <c r="BL769" i="8" s="1"/>
  <c r="BF769" i="8"/>
  <c r="BF817" i="8"/>
  <c r="AX817" i="8"/>
  <c r="AY817" i="8" s="1"/>
  <c r="BK817" i="8" s="1"/>
  <c r="BL817" i="8" s="1"/>
  <c r="BF73" i="8"/>
  <c r="BG73" i="8" s="1"/>
  <c r="AX398" i="8"/>
  <c r="AY398" i="8" s="1"/>
  <c r="BK398" i="8" s="1"/>
  <c r="BL398" i="8" s="1"/>
  <c r="BF110" i="8"/>
  <c r="BL110" i="8" s="1"/>
  <c r="BM110" i="8" s="1"/>
  <c r="AX110" i="8"/>
  <c r="AY110" i="8" s="1"/>
  <c r="BK110" i="8" s="1"/>
  <c r="BF195" i="8"/>
  <c r="BG195" i="8" s="1"/>
  <c r="BF225" i="8"/>
  <c r="BL225" i="8" s="1"/>
  <c r="AX265" i="8"/>
  <c r="AY265" i="8" s="1"/>
  <c r="BK265" i="8" s="1"/>
  <c r="BF429" i="8"/>
  <c r="AX429" i="8"/>
  <c r="AY429" i="8" s="1"/>
  <c r="BK429" i="8" s="1"/>
  <c r="BL429" i="8" s="1"/>
  <c r="AX450" i="8"/>
  <c r="AY450" i="8" s="1"/>
  <c r="BK450" i="8" s="1"/>
  <c r="BF467" i="8"/>
  <c r="BF670" i="8"/>
  <c r="AX670" i="8"/>
  <c r="AY670" i="8" s="1"/>
  <c r="BK670" i="8" s="1"/>
  <c r="BL670" i="8" s="1"/>
  <c r="BF422" i="8"/>
  <c r="AX422" i="8"/>
  <c r="AY422" i="8" s="1"/>
  <c r="BK422" i="8" s="1"/>
  <c r="BL422" i="8" s="1"/>
  <c r="BF616" i="8"/>
  <c r="AX616" i="8"/>
  <c r="AY616" i="8" s="1"/>
  <c r="BK616" i="8" s="1"/>
  <c r="BL616" i="8" s="1"/>
  <c r="BF17" i="8"/>
  <c r="BG17" i="8" s="1"/>
  <c r="AX150" i="8"/>
  <c r="AY150" i="8" s="1"/>
  <c r="BK150" i="8" s="1"/>
  <c r="BL150" i="8" s="1"/>
  <c r="BF393" i="8"/>
  <c r="AX393" i="8"/>
  <c r="AY393" i="8" s="1"/>
  <c r="BK393" i="8" s="1"/>
  <c r="BL393" i="8" s="1"/>
  <c r="BF492" i="8"/>
  <c r="AX492" i="8"/>
  <c r="AY492" i="8" s="1"/>
  <c r="BK492" i="8" s="1"/>
  <c r="BL492" i="8" s="1"/>
  <c r="AX516" i="8"/>
  <c r="AY516" i="8" s="1"/>
  <c r="BK516" i="8" s="1"/>
  <c r="BL516" i="8" s="1"/>
  <c r="BF516" i="8"/>
  <c r="BF919" i="8"/>
  <c r="AX919" i="8"/>
  <c r="AY919" i="8" s="1"/>
  <c r="BK919" i="8" s="1"/>
  <c r="BL919" i="8" s="1"/>
  <c r="BM919" i="8" s="1"/>
  <c r="AX357" i="8"/>
  <c r="AY357" i="8" s="1"/>
  <c r="BK357" i="8" s="1"/>
  <c r="BL357" i="8" s="1"/>
  <c r="BM357" i="8" s="1"/>
  <c r="BF357" i="8"/>
  <c r="BF14" i="8"/>
  <c r="BL14" i="8" s="1"/>
  <c r="BF190" i="8"/>
  <c r="BL190" i="8" s="1"/>
  <c r="BF275" i="8"/>
  <c r="AX275" i="8"/>
  <c r="AY275" i="8" s="1"/>
  <c r="BK275" i="8" s="1"/>
  <c r="BL275" i="8" s="1"/>
  <c r="BF465" i="8"/>
  <c r="AX465" i="8"/>
  <c r="AY465" i="8" s="1"/>
  <c r="BK465" i="8" s="1"/>
  <c r="BL465" i="8" s="1"/>
  <c r="BM465" i="8" s="1"/>
  <c r="BF767" i="8"/>
  <c r="AX767" i="8"/>
  <c r="AY767" i="8" s="1"/>
  <c r="BK767" i="8" s="1"/>
  <c r="BL767" i="8" s="1"/>
  <c r="BF152" i="8"/>
  <c r="AX152" i="8"/>
  <c r="AY152" i="8" s="1"/>
  <c r="BK152" i="8" s="1"/>
  <c r="BL152" i="8" s="1"/>
  <c r="AX252" i="8"/>
  <c r="AY252" i="8" s="1"/>
  <c r="BK252" i="8" s="1"/>
  <c r="BF314" i="8"/>
  <c r="AX314" i="8"/>
  <c r="AY314" i="8" s="1"/>
  <c r="BK314" i="8" s="1"/>
  <c r="BL314" i="8" s="1"/>
  <c r="AX400" i="8"/>
  <c r="AY400" i="8" s="1"/>
  <c r="BF433" i="8"/>
  <c r="AX433" i="8"/>
  <c r="AY433" i="8" s="1"/>
  <c r="BK433" i="8" s="1"/>
  <c r="BL433" i="8" s="1"/>
  <c r="BF71" i="8"/>
  <c r="BL71" i="8" s="1"/>
  <c r="BM71" i="8" s="1"/>
  <c r="AX279" i="8"/>
  <c r="AY279" i="8" s="1"/>
  <c r="BK279" i="8" s="1"/>
  <c r="BL279" i="8" s="1"/>
  <c r="BF279" i="8"/>
  <c r="BF38" i="8"/>
  <c r="BG38" i="8" s="1"/>
  <c r="AX134" i="8"/>
  <c r="AY134" i="8" s="1"/>
  <c r="BK134" i="8" s="1"/>
  <c r="BL134" i="8" s="1"/>
  <c r="BF37" i="8"/>
  <c r="BG37" i="8" s="1"/>
  <c r="AX116" i="8"/>
  <c r="AY116" i="8" s="1"/>
  <c r="BK116" i="8" s="1"/>
  <c r="BF203" i="8"/>
  <c r="BL203" i="8" s="1"/>
  <c r="AX222" i="8"/>
  <c r="AY222" i="8" s="1"/>
  <c r="BK222" i="8" s="1"/>
  <c r="AX256" i="8"/>
  <c r="AY256" i="8" s="1"/>
  <c r="BK256" i="8" s="1"/>
  <c r="AX272" i="8"/>
  <c r="AY272" i="8" s="1"/>
  <c r="BK272" i="8" s="1"/>
  <c r="BF273" i="8"/>
  <c r="BL273" i="8" s="1"/>
  <c r="AX342" i="8"/>
  <c r="AY342" i="8" s="1"/>
  <c r="BK342" i="8" s="1"/>
  <c r="BL342" i="8" s="1"/>
  <c r="BM342" i="8" s="1"/>
  <c r="BF342" i="8"/>
  <c r="BF376" i="8"/>
  <c r="AX376" i="8"/>
  <c r="AY376" i="8" s="1"/>
  <c r="BK376" i="8" s="1"/>
  <c r="BL376" i="8" s="1"/>
  <c r="BF405" i="8"/>
  <c r="AX405" i="8"/>
  <c r="AY405" i="8" s="1"/>
  <c r="BK405" i="8" s="1"/>
  <c r="BL405" i="8" s="1"/>
  <c r="BF412" i="8"/>
  <c r="BF419" i="8"/>
  <c r="AX419" i="8"/>
  <c r="AY419" i="8" s="1"/>
  <c r="BK419" i="8" s="1"/>
  <c r="BL419" i="8" s="1"/>
  <c r="BM419" i="8" s="1"/>
  <c r="AX527" i="8"/>
  <c r="AY527" i="8" s="1"/>
  <c r="BK527" i="8" s="1"/>
  <c r="BL527" i="8" s="1"/>
  <c r="BF527" i="8"/>
  <c r="AX529" i="8"/>
  <c r="AY529" i="8" s="1"/>
  <c r="BK529" i="8" s="1"/>
  <c r="BL529" i="8" s="1"/>
  <c r="BF529" i="8"/>
  <c r="AX531" i="8"/>
  <c r="AY531" i="8" s="1"/>
  <c r="BK531" i="8" s="1"/>
  <c r="BL531" i="8" s="1"/>
  <c r="BF531" i="8"/>
  <c r="BF613" i="8"/>
  <c r="BF658" i="8"/>
  <c r="BF762" i="8"/>
  <c r="BF795" i="8"/>
  <c r="BG795" i="8" s="1"/>
  <c r="BF608" i="8"/>
  <c r="BG608" i="8" s="1"/>
  <c r="BK97" i="8"/>
  <c r="BF104" i="8"/>
  <c r="BL104" i="8" s="1"/>
  <c r="BF113" i="8"/>
  <c r="BL113" i="8" s="1"/>
  <c r="AX259" i="8"/>
  <c r="AY259" i="8" s="1"/>
  <c r="BK259" i="8" s="1"/>
  <c r="BF374" i="8"/>
  <c r="AX374" i="8"/>
  <c r="AY374" i="8" s="1"/>
  <c r="BK374" i="8" s="1"/>
  <c r="BL374" i="8" s="1"/>
  <c r="BM374" i="8" s="1"/>
  <c r="BF413" i="8"/>
  <c r="AX413" i="8"/>
  <c r="AY413" i="8" s="1"/>
  <c r="BK413" i="8" s="1"/>
  <c r="BL413" i="8" s="1"/>
  <c r="AX427" i="8"/>
  <c r="AY427" i="8" s="1"/>
  <c r="BK427" i="8" s="1"/>
  <c r="BL427" i="8" s="1"/>
  <c r="BF427" i="8"/>
  <c r="BF441" i="8"/>
  <c r="BF488" i="8"/>
  <c r="AX488" i="8"/>
  <c r="AY488" i="8" s="1"/>
  <c r="AX507" i="8"/>
  <c r="AY507" i="8" s="1"/>
  <c r="BK507" i="8" s="1"/>
  <c r="BL507" i="8" s="1"/>
  <c r="BM507" i="8" s="1"/>
  <c r="AX571" i="8"/>
  <c r="AY571" i="8" s="1"/>
  <c r="BK571" i="8" s="1"/>
  <c r="BL571" i="8" s="1"/>
  <c r="AX574" i="8"/>
  <c r="AY574" i="8" s="1"/>
  <c r="BK574" i="8" s="1"/>
  <c r="BL574" i="8" s="1"/>
  <c r="BF574" i="8"/>
  <c r="BF637" i="8"/>
  <c r="BL637" i="8" s="1"/>
  <c r="BM637" i="8" s="1"/>
  <c r="AX685" i="8"/>
  <c r="AY685" i="8" s="1"/>
  <c r="BK685" i="8" s="1"/>
  <c r="BL685" i="8" s="1"/>
  <c r="BF385" i="8"/>
  <c r="AX385" i="8"/>
  <c r="AY385" i="8" s="1"/>
  <c r="BK385" i="8" s="1"/>
  <c r="BL385" i="8" s="1"/>
  <c r="BF403" i="8"/>
  <c r="AX403" i="8"/>
  <c r="AY403" i="8" s="1"/>
  <c r="BK403" i="8" s="1"/>
  <c r="BL403" i="8" s="1"/>
  <c r="AX424" i="8"/>
  <c r="AY424" i="8" s="1"/>
  <c r="BK424" i="8" s="1"/>
  <c r="BL424" i="8" s="1"/>
  <c r="BF687" i="8"/>
  <c r="BG687" i="8" s="1"/>
  <c r="BF812" i="8"/>
  <c r="BF927" i="8"/>
  <c r="AX927" i="8"/>
  <c r="AY927" i="8" s="1"/>
  <c r="BK927" i="8" s="1"/>
  <c r="BL927" i="8" s="1"/>
  <c r="AX1124" i="8"/>
  <c r="AY1124" i="8" s="1"/>
  <c r="BK1124" i="8" s="1"/>
  <c r="BL1124" i="8" s="1"/>
  <c r="BF1124" i="8"/>
  <c r="BF8" i="8"/>
  <c r="BL8" i="8" s="1"/>
  <c r="AX7" i="8"/>
  <c r="AY7" i="8" s="1"/>
  <c r="BK7" i="8" s="1"/>
  <c r="AX12" i="8"/>
  <c r="AY12" i="8" s="1"/>
  <c r="BK12" i="8" s="1"/>
  <c r="AX18" i="8"/>
  <c r="AY18" i="8" s="1"/>
  <c r="BK18" i="8" s="1"/>
  <c r="BF66" i="8"/>
  <c r="BG66" i="8" s="1"/>
  <c r="BF77" i="8"/>
  <c r="BL77" i="8" s="1"/>
  <c r="BM77" i="8" s="1"/>
  <c r="AX103" i="8"/>
  <c r="AY103" i="8" s="1"/>
  <c r="BK103" i="8" s="1"/>
  <c r="AX164" i="8"/>
  <c r="AY164" i="8" s="1"/>
  <c r="BK164" i="8" s="1"/>
  <c r="AX245" i="8"/>
  <c r="AY245" i="8" s="1"/>
  <c r="BK245" i="8" s="1"/>
  <c r="AX255" i="8"/>
  <c r="AY255" i="8" s="1"/>
  <c r="BK255" i="8" s="1"/>
  <c r="AX269" i="8"/>
  <c r="AY269" i="8" s="1"/>
  <c r="BK269" i="8" s="1"/>
  <c r="BK329" i="8"/>
  <c r="BL329" i="8" s="1"/>
  <c r="BM329" i="8" s="1"/>
  <c r="BO329" i="8" s="1"/>
  <c r="BF341" i="8"/>
  <c r="AX347" i="8"/>
  <c r="AY347" i="8" s="1"/>
  <c r="BK347" i="8" s="1"/>
  <c r="BL347" i="8" s="1"/>
  <c r="BM347" i="8" s="1"/>
  <c r="BF355" i="8"/>
  <c r="AX379" i="8"/>
  <c r="AY379" i="8" s="1"/>
  <c r="BK379" i="8" s="1"/>
  <c r="BL379" i="8" s="1"/>
  <c r="AX381" i="8"/>
  <c r="AY381" i="8" s="1"/>
  <c r="BK381" i="8" s="1"/>
  <c r="BL381" i="8" s="1"/>
  <c r="BM381" i="8" s="1"/>
  <c r="BF397" i="8"/>
  <c r="AX397" i="8"/>
  <c r="AY397" i="8" s="1"/>
  <c r="BK397" i="8" s="1"/>
  <c r="BL397" i="8" s="1"/>
  <c r="AX408" i="8"/>
  <c r="AY408" i="8" s="1"/>
  <c r="BK408" i="8" s="1"/>
  <c r="BL408" i="8" s="1"/>
  <c r="AX420" i="8"/>
  <c r="AY420" i="8" s="1"/>
  <c r="BK420" i="8" s="1"/>
  <c r="BL420" i="8" s="1"/>
  <c r="BF437" i="8"/>
  <c r="AX439" i="8"/>
  <c r="AY439" i="8" s="1"/>
  <c r="BK439" i="8" s="1"/>
  <c r="BL439" i="8" s="1"/>
  <c r="AX445" i="8"/>
  <c r="AY445" i="8" s="1"/>
  <c r="BK445" i="8" s="1"/>
  <c r="AX456" i="8"/>
  <c r="AY456" i="8" s="1"/>
  <c r="BK456" i="8" s="1"/>
  <c r="BF505" i="8"/>
  <c r="BF539" i="8"/>
  <c r="BG539" i="8" s="1"/>
  <c r="BF560" i="8"/>
  <c r="BL560" i="8" s="1"/>
  <c r="BM560" i="8" s="1"/>
  <c r="BF569" i="8"/>
  <c r="AX591" i="8"/>
  <c r="AY591" i="8" s="1"/>
  <c r="BK591" i="8" s="1"/>
  <c r="BF651" i="8"/>
  <c r="AX678" i="8"/>
  <c r="AY678" i="8" s="1"/>
  <c r="BK678" i="8" s="1"/>
  <c r="BL678" i="8" s="1"/>
  <c r="BF681" i="8"/>
  <c r="AX683" i="8"/>
  <c r="AY683" i="8" s="1"/>
  <c r="BK683" i="8" s="1"/>
  <c r="BL683" i="8" s="1"/>
  <c r="BF683" i="8"/>
  <c r="BF744" i="8"/>
  <c r="AX744" i="8"/>
  <c r="AY744" i="8" s="1"/>
  <c r="BF791" i="8"/>
  <c r="AX791" i="8"/>
  <c r="AY791" i="8" s="1"/>
  <c r="BK791" i="8" s="1"/>
  <c r="BL791" i="8" s="1"/>
  <c r="AX820" i="8"/>
  <c r="AY820" i="8" s="1"/>
  <c r="BK820" i="8" s="1"/>
  <c r="BL820" i="8" s="1"/>
  <c r="AX852" i="8"/>
  <c r="AY852" i="8" s="1"/>
  <c r="BK852" i="8" s="1"/>
  <c r="BL852" i="8" s="1"/>
  <c r="BF695" i="8"/>
  <c r="BG695" i="8" s="1"/>
  <c r="BF112" i="8"/>
  <c r="BG112" i="8" s="1"/>
  <c r="BF223" i="8"/>
  <c r="BL223" i="8" s="1"/>
  <c r="BM223" i="8" s="1"/>
  <c r="BF411" i="8"/>
  <c r="AX411" i="8"/>
  <c r="AY411" i="8" s="1"/>
  <c r="BK411" i="8" s="1"/>
  <c r="BL411" i="8" s="1"/>
  <c r="BM411" i="8" s="1"/>
  <c r="BF481" i="8"/>
  <c r="AX481" i="8"/>
  <c r="AY481" i="8" s="1"/>
  <c r="BK481" i="8" s="1"/>
  <c r="BL481" i="8" s="1"/>
  <c r="BF534" i="8"/>
  <c r="BF536" i="8"/>
  <c r="BF538" i="8"/>
  <c r="AX567" i="8"/>
  <c r="AY567" i="8" s="1"/>
  <c r="BK567" i="8" s="1"/>
  <c r="BL567" i="8" s="1"/>
  <c r="BF572" i="8"/>
  <c r="AX572" i="8"/>
  <c r="AY572" i="8" s="1"/>
  <c r="BK572" i="8" s="1"/>
  <c r="BL572" i="8" s="1"/>
  <c r="BF586" i="8"/>
  <c r="BG586" i="8" s="1"/>
  <c r="BF588" i="8"/>
  <c r="BL588" i="8" s="1"/>
  <c r="AX605" i="8"/>
  <c r="AY605" i="8" s="1"/>
  <c r="BK605" i="8" s="1"/>
  <c r="BF640" i="8"/>
  <c r="BL640" i="8" s="1"/>
  <c r="AX650" i="8"/>
  <c r="AY650" i="8" s="1"/>
  <c r="BK650" i="8" s="1"/>
  <c r="BF657" i="8"/>
  <c r="AX657" i="8"/>
  <c r="AY657" i="8" s="1"/>
  <c r="BK657" i="8" s="1"/>
  <c r="BL657" i="8" s="1"/>
  <c r="BM657" i="8" s="1"/>
  <c r="BF761" i="8"/>
  <c r="AX761" i="8"/>
  <c r="AY761" i="8" s="1"/>
  <c r="BK761" i="8" s="1"/>
  <c r="BL761" i="8" s="1"/>
  <c r="AX788" i="8"/>
  <c r="AY788" i="8" s="1"/>
  <c r="BK788" i="8" s="1"/>
  <c r="BL788" i="8" s="1"/>
  <c r="AX825" i="8"/>
  <c r="AY825" i="8" s="1"/>
  <c r="BK825" i="8" s="1"/>
  <c r="BL825" i="8" s="1"/>
  <c r="BK193" i="8"/>
  <c r="BF196" i="8"/>
  <c r="BK201" i="8"/>
  <c r="BF204" i="8"/>
  <c r="BL204" i="8" s="1"/>
  <c r="BM204" i="8" s="1"/>
  <c r="BK216" i="8"/>
  <c r="BK218" i="8"/>
  <c r="BF222" i="8"/>
  <c r="BL222" i="8" s="1"/>
  <c r="BM222" i="8" s="1"/>
  <c r="AX280" i="8"/>
  <c r="AY280" i="8" s="1"/>
  <c r="BK280" i="8" s="1"/>
  <c r="BL280" i="8" s="1"/>
  <c r="BF315" i="8"/>
  <c r="BF395" i="8"/>
  <c r="AX395" i="8"/>
  <c r="AY395" i="8" s="1"/>
  <c r="BK395" i="8" s="1"/>
  <c r="BL395" i="8" s="1"/>
  <c r="BM395" i="8" s="1"/>
  <c r="AX404" i="8"/>
  <c r="AY404" i="8" s="1"/>
  <c r="BK404" i="8" s="1"/>
  <c r="BL404" i="8" s="1"/>
  <c r="BF421" i="8"/>
  <c r="AX421" i="8"/>
  <c r="AY421" i="8" s="1"/>
  <c r="BK421" i="8" s="1"/>
  <c r="BL421" i="8" s="1"/>
  <c r="BM421" i="8" s="1"/>
  <c r="AX430" i="8"/>
  <c r="AY430" i="8" s="1"/>
  <c r="BK430" i="8" s="1"/>
  <c r="BL430" i="8" s="1"/>
  <c r="BF432" i="8"/>
  <c r="AX435" i="8"/>
  <c r="AY435" i="8" s="1"/>
  <c r="BK435" i="8" s="1"/>
  <c r="BL435" i="8" s="1"/>
  <c r="BF435" i="8"/>
  <c r="BF456" i="8"/>
  <c r="BG456" i="8" s="1"/>
  <c r="BF563" i="8"/>
  <c r="AX681" i="8"/>
  <c r="AY681" i="8" s="1"/>
  <c r="BK681" i="8" s="1"/>
  <c r="BL681" i="8" s="1"/>
  <c r="AX756" i="8"/>
  <c r="AY756" i="8" s="1"/>
  <c r="BK756" i="8" s="1"/>
  <c r="BL756" i="8" s="1"/>
  <c r="BF756" i="8"/>
  <c r="BF850" i="8"/>
  <c r="AX446" i="8"/>
  <c r="AY446" i="8" s="1"/>
  <c r="BK446" i="8" s="1"/>
  <c r="BF691" i="8"/>
  <c r="BG691" i="8" s="1"/>
  <c r="BK15" i="8"/>
  <c r="AX6" i="8"/>
  <c r="AY6" i="8" s="1"/>
  <c r="BK6" i="8" s="1"/>
  <c r="BF15" i="8"/>
  <c r="BG15" i="8" s="1"/>
  <c r="AX17" i="8"/>
  <c r="AY17" i="8" s="1"/>
  <c r="BK17" i="8" s="1"/>
  <c r="BF50" i="8"/>
  <c r="BG50" i="8" s="1"/>
  <c r="BF52" i="8"/>
  <c r="BG52" i="8" s="1"/>
  <c r="BK98" i="8"/>
  <c r="BK100" i="8"/>
  <c r="BK102" i="8"/>
  <c r="BF111" i="8"/>
  <c r="BL111" i="8" s="1"/>
  <c r="BM111" i="8" s="1"/>
  <c r="AX112" i="8"/>
  <c r="AY112" i="8" s="1"/>
  <c r="BK112" i="8" s="1"/>
  <c r="BF141" i="8"/>
  <c r="BF216" i="8"/>
  <c r="BL216" i="8" s="1"/>
  <c r="BF218" i="8"/>
  <c r="AX240" i="8"/>
  <c r="AY240" i="8" s="1"/>
  <c r="BK240" i="8" s="1"/>
  <c r="BF245" i="8"/>
  <c r="BG245" i="8" s="1"/>
  <c r="AX249" i="8"/>
  <c r="AY249" i="8" s="1"/>
  <c r="BK249" i="8" s="1"/>
  <c r="BF254" i="8"/>
  <c r="BG254" i="8" s="1"/>
  <c r="AX266" i="8"/>
  <c r="AY266" i="8" s="1"/>
  <c r="BK266" i="8" s="1"/>
  <c r="AX278" i="8"/>
  <c r="AY278" i="8" s="1"/>
  <c r="BK278" i="8" s="1"/>
  <c r="BL278" i="8" s="1"/>
  <c r="BF283" i="8"/>
  <c r="BK330" i="8"/>
  <c r="BL330" i="8" s="1"/>
  <c r="AX339" i="8"/>
  <c r="AY339" i="8" s="1"/>
  <c r="BK339" i="8" s="1"/>
  <c r="BL339" i="8" s="1"/>
  <c r="AX345" i="8"/>
  <c r="AY345" i="8" s="1"/>
  <c r="BK345" i="8" s="1"/>
  <c r="BL345" i="8" s="1"/>
  <c r="BF358" i="8"/>
  <c r="BF389" i="8"/>
  <c r="BF402" i="8"/>
  <c r="AX416" i="8"/>
  <c r="AY416" i="8" s="1"/>
  <c r="BK416" i="8" s="1"/>
  <c r="BL416" i="8" s="1"/>
  <c r="BF491" i="8"/>
  <c r="BF501" i="8"/>
  <c r="AX501" i="8"/>
  <c r="AY501" i="8" s="1"/>
  <c r="BK501" i="8" s="1"/>
  <c r="BL501" i="8" s="1"/>
  <c r="AX525" i="8"/>
  <c r="AY525" i="8" s="1"/>
  <c r="BK525" i="8" s="1"/>
  <c r="BL525" i="8" s="1"/>
  <c r="BF615" i="8"/>
  <c r="BF644" i="8"/>
  <c r="BL644" i="8" s="1"/>
  <c r="BM644" i="8" s="1"/>
  <c r="AX660" i="8"/>
  <c r="AY660" i="8" s="1"/>
  <c r="BK660" i="8" s="1"/>
  <c r="BL660" i="8" s="1"/>
  <c r="AX667" i="8"/>
  <c r="AY667" i="8" s="1"/>
  <c r="BK667" i="8" s="1"/>
  <c r="BL667" i="8" s="1"/>
  <c r="AX669" i="8"/>
  <c r="AY669" i="8" s="1"/>
  <c r="BK669" i="8" s="1"/>
  <c r="BL669" i="8" s="1"/>
  <c r="BF672" i="8"/>
  <c r="BF674" i="8"/>
  <c r="AX727" i="8"/>
  <c r="AY727" i="8" s="1"/>
  <c r="BK727" i="8" s="1"/>
  <c r="BF735" i="8"/>
  <c r="BF737" i="8"/>
  <c r="BF752" i="8"/>
  <c r="AX754" i="8"/>
  <c r="AY754" i="8" s="1"/>
  <c r="BK754" i="8" s="1"/>
  <c r="BL754" i="8" s="1"/>
  <c r="BM754" i="8" s="1"/>
  <c r="AX775" i="8"/>
  <c r="AY775" i="8" s="1"/>
  <c r="BK775" i="8" s="1"/>
  <c r="AX795" i="8"/>
  <c r="AY795" i="8" s="1"/>
  <c r="BK795" i="8" s="1"/>
  <c r="BF819" i="8"/>
  <c r="AX819" i="8"/>
  <c r="AY819" i="8" s="1"/>
  <c r="BK819" i="8" s="1"/>
  <c r="BL819" i="8" s="1"/>
  <c r="BF834" i="8"/>
  <c r="BL834" i="8" s="1"/>
  <c r="BK856" i="8"/>
  <c r="BL856" i="8" s="1"/>
  <c r="BM856" i="8" s="1"/>
  <c r="BN856" i="8" s="1"/>
  <c r="AX872" i="8"/>
  <c r="AY872" i="8" s="1"/>
  <c r="BK872" i="8" s="1"/>
  <c r="BL872" i="8" s="1"/>
  <c r="BF902" i="8"/>
  <c r="BF908" i="8"/>
  <c r="BF921" i="8"/>
  <c r="AX923" i="8"/>
  <c r="AY923" i="8" s="1"/>
  <c r="BK923" i="8" s="1"/>
  <c r="BL923" i="8" s="1"/>
  <c r="BF929" i="8"/>
  <c r="AX942" i="8"/>
  <c r="AY942" i="8" s="1"/>
  <c r="BK942" i="8" s="1"/>
  <c r="BL942" i="8" s="1"/>
  <c r="BF944" i="8"/>
  <c r="AX944" i="8"/>
  <c r="AY944" i="8" s="1"/>
  <c r="BK944" i="8" s="1"/>
  <c r="BL944" i="8" s="1"/>
  <c r="AX967" i="8"/>
  <c r="AY967" i="8" s="1"/>
  <c r="BK967" i="8" s="1"/>
  <c r="BF983" i="8"/>
  <c r="BL983" i="8" s="1"/>
  <c r="BF1357" i="8"/>
  <c r="BG1357" i="8" s="1"/>
  <c r="AX902" i="8"/>
  <c r="AY902" i="8" s="1"/>
  <c r="BK902" i="8" s="1"/>
  <c r="BL902" i="8" s="1"/>
  <c r="BF934" i="8"/>
  <c r="AX934" i="8"/>
  <c r="AY934" i="8" s="1"/>
  <c r="BK934" i="8" s="1"/>
  <c r="BL934" i="8" s="1"/>
  <c r="BF1061" i="8"/>
  <c r="AX1061" i="8"/>
  <c r="AY1061" i="8" s="1"/>
  <c r="BK1061" i="8" s="1"/>
  <c r="BL1061" i="8" s="1"/>
  <c r="BF1194" i="8"/>
  <c r="BG1194" i="8" s="1"/>
  <c r="AX1194" i="8"/>
  <c r="AY1194" i="8" s="1"/>
  <c r="BK1194" i="8" s="1"/>
  <c r="BF372" i="8"/>
  <c r="AX399" i="8"/>
  <c r="AY399" i="8" s="1"/>
  <c r="BK399" i="8" s="1"/>
  <c r="BL399" i="8" s="1"/>
  <c r="BF401" i="8"/>
  <c r="BF409" i="8"/>
  <c r="BF417" i="8"/>
  <c r="BF425" i="8"/>
  <c r="AX431" i="8"/>
  <c r="AY431" i="8" s="1"/>
  <c r="BK431" i="8" s="1"/>
  <c r="BL431" i="8" s="1"/>
  <c r="AX479" i="8"/>
  <c r="AY479" i="8" s="1"/>
  <c r="BK479" i="8" s="1"/>
  <c r="BL479" i="8" s="1"/>
  <c r="AX499" i="8"/>
  <c r="AY499" i="8" s="1"/>
  <c r="BK499" i="8" s="1"/>
  <c r="BL499" i="8" s="1"/>
  <c r="BF503" i="8"/>
  <c r="BF524" i="8"/>
  <c r="AX533" i="8"/>
  <c r="AY533" i="8" s="1"/>
  <c r="BK533" i="8" s="1"/>
  <c r="BL533" i="8" s="1"/>
  <c r="BF544" i="8"/>
  <c r="BL544" i="8" s="1"/>
  <c r="BM544" i="8" s="1"/>
  <c r="BF546" i="8"/>
  <c r="BG546" i="8" s="1"/>
  <c r="AX557" i="8"/>
  <c r="AY557" i="8" s="1"/>
  <c r="BK557" i="8" s="1"/>
  <c r="BF570" i="8"/>
  <c r="BF580" i="8"/>
  <c r="BG580" i="8" s="1"/>
  <c r="AX596" i="8"/>
  <c r="AY596" i="8" s="1"/>
  <c r="BK596" i="8" s="1"/>
  <c r="BF606" i="8"/>
  <c r="BG606" i="8" s="1"/>
  <c r="AX614" i="8"/>
  <c r="AY614" i="8" s="1"/>
  <c r="BK614" i="8" s="1"/>
  <c r="BL614" i="8" s="1"/>
  <c r="AX618" i="8"/>
  <c r="AY618" i="8" s="1"/>
  <c r="BK618" i="8" s="1"/>
  <c r="BL618" i="8" s="1"/>
  <c r="AX649" i="8"/>
  <c r="AY649" i="8" s="1"/>
  <c r="BK649" i="8" s="1"/>
  <c r="AX652" i="8"/>
  <c r="AY652" i="8" s="1"/>
  <c r="BK652" i="8" s="1"/>
  <c r="BL652" i="8" s="1"/>
  <c r="BM652" i="8" s="1"/>
  <c r="AX659" i="8"/>
  <c r="AY659" i="8" s="1"/>
  <c r="BK659" i="8" s="1"/>
  <c r="BL659" i="8" s="1"/>
  <c r="AX661" i="8"/>
  <c r="AY661" i="8" s="1"/>
  <c r="BK661" i="8" s="1"/>
  <c r="BL661" i="8" s="1"/>
  <c r="BF686" i="8"/>
  <c r="BF688" i="8"/>
  <c r="BL688" i="8" s="1"/>
  <c r="BM688" i="8" s="1"/>
  <c r="BO688" i="8" s="1"/>
  <c r="BF690" i="8"/>
  <c r="BL690" i="8" s="1"/>
  <c r="BM690" i="8" s="1"/>
  <c r="BO690" i="8" s="1"/>
  <c r="BF692" i="8"/>
  <c r="BL692" i="8" s="1"/>
  <c r="BM692" i="8" s="1"/>
  <c r="BO692" i="8" s="1"/>
  <c r="BF694" i="8"/>
  <c r="BL694" i="8" s="1"/>
  <c r="BM694" i="8" s="1"/>
  <c r="BO694" i="8" s="1"/>
  <c r="BF696" i="8"/>
  <c r="BL696" i="8" s="1"/>
  <c r="BM696" i="8" s="1"/>
  <c r="BO696" i="8" s="1"/>
  <c r="BF740" i="8"/>
  <c r="AX746" i="8"/>
  <c r="AY746" i="8" s="1"/>
  <c r="BK746" i="8" s="1"/>
  <c r="BL746" i="8" s="1"/>
  <c r="BF759" i="8"/>
  <c r="BF763" i="8"/>
  <c r="AX772" i="8"/>
  <c r="AY772" i="8" s="1"/>
  <c r="BK772" i="8" s="1"/>
  <c r="BL772" i="8" s="1"/>
  <c r="BF821" i="8"/>
  <c r="BF842" i="8"/>
  <c r="BG842" i="8" s="1"/>
  <c r="BF880" i="8"/>
  <c r="BF882" i="8"/>
  <c r="BF890" i="8"/>
  <c r="AX896" i="8"/>
  <c r="AY896" i="8" s="1"/>
  <c r="BK896" i="8" s="1"/>
  <c r="BL896" i="8" s="1"/>
  <c r="BF898" i="8"/>
  <c r="AX904" i="8"/>
  <c r="AY904" i="8" s="1"/>
  <c r="BK904" i="8" s="1"/>
  <c r="BL904" i="8" s="1"/>
  <c r="BM904" i="8" s="1"/>
  <c r="BF906" i="8"/>
  <c r="AX910" i="8"/>
  <c r="AY910" i="8" s="1"/>
  <c r="BK910" i="8" s="1"/>
  <c r="BL910" i="8" s="1"/>
  <c r="AX930" i="8"/>
  <c r="AY930" i="8" s="1"/>
  <c r="BK930" i="8" s="1"/>
  <c r="BL930" i="8" s="1"/>
  <c r="BF930" i="8"/>
  <c r="BF543" i="8"/>
  <c r="BG543" i="8" s="1"/>
  <c r="BF545" i="8"/>
  <c r="BG545" i="8" s="1"/>
  <c r="BF605" i="8"/>
  <c r="BG605" i="8" s="1"/>
  <c r="BK722" i="8"/>
  <c r="AX868" i="8"/>
  <c r="AY868" i="8" s="1"/>
  <c r="BK868" i="8" s="1"/>
  <c r="BF873" i="8"/>
  <c r="BF876" i="8"/>
  <c r="BF888" i="8"/>
  <c r="AX912" i="8"/>
  <c r="AY912" i="8" s="1"/>
  <c r="BK912" i="8" s="1"/>
  <c r="BL912" i="8" s="1"/>
  <c r="BF914" i="8"/>
  <c r="AX918" i="8"/>
  <c r="AY918" i="8" s="1"/>
  <c r="BK918" i="8" s="1"/>
  <c r="BL918" i="8" s="1"/>
  <c r="AX926" i="8"/>
  <c r="AY926" i="8" s="1"/>
  <c r="BK926" i="8" s="1"/>
  <c r="BL926" i="8" s="1"/>
  <c r="AX941" i="8"/>
  <c r="AY941" i="8" s="1"/>
  <c r="BK941" i="8" s="1"/>
  <c r="BL941" i="8" s="1"/>
  <c r="BF952" i="8"/>
  <c r="AX952" i="8"/>
  <c r="AY952" i="8" s="1"/>
  <c r="BK952" i="8" s="1"/>
  <c r="BL952" i="8" s="1"/>
  <c r="AX1003" i="8"/>
  <c r="AY1003" i="8" s="1"/>
  <c r="BK1003" i="8" s="1"/>
  <c r="BL1003" i="8" s="1"/>
  <c r="BF1003" i="8"/>
  <c r="BF1059" i="8"/>
  <c r="AX1059" i="8"/>
  <c r="AY1059" i="8" s="1"/>
  <c r="BK1059" i="8" s="1"/>
  <c r="BL1059" i="8" s="1"/>
  <c r="BF338" i="8"/>
  <c r="AX380" i="8"/>
  <c r="AY380" i="8" s="1"/>
  <c r="BK380" i="8" s="1"/>
  <c r="BL380" i="8" s="1"/>
  <c r="AX440" i="8"/>
  <c r="AY440" i="8" s="1"/>
  <c r="BK440" i="8" s="1"/>
  <c r="BL440" i="8" s="1"/>
  <c r="AX464" i="8"/>
  <c r="AY464" i="8" s="1"/>
  <c r="BK464" i="8" s="1"/>
  <c r="BL464" i="8" s="1"/>
  <c r="AX515" i="8"/>
  <c r="AY515" i="8" s="1"/>
  <c r="BK515" i="8" s="1"/>
  <c r="BL515" i="8" s="1"/>
  <c r="BM515" i="8" s="1"/>
  <c r="BF542" i="8"/>
  <c r="BG542" i="8" s="1"/>
  <c r="BF579" i="8"/>
  <c r="BF604" i="8"/>
  <c r="BL604" i="8" s="1"/>
  <c r="BF646" i="8"/>
  <c r="BG646" i="8" s="1"/>
  <c r="BF659" i="8"/>
  <c r="BF666" i="8"/>
  <c r="BF668" i="8"/>
  <c r="AX677" i="8"/>
  <c r="AY677" i="8" s="1"/>
  <c r="BK677" i="8" s="1"/>
  <c r="BL677" i="8" s="1"/>
  <c r="BF702" i="8"/>
  <c r="BL702" i="8" s="1"/>
  <c r="BM702" i="8" s="1"/>
  <c r="BO702" i="8" s="1"/>
  <c r="BF729" i="8"/>
  <c r="AX736" i="8"/>
  <c r="AY736" i="8" s="1"/>
  <c r="BK736" i="8" s="1"/>
  <c r="BL736" i="8" s="1"/>
  <c r="BF746" i="8"/>
  <c r="AX759" i="8"/>
  <c r="AY759" i="8" s="1"/>
  <c r="BK759" i="8" s="1"/>
  <c r="BL759" i="8" s="1"/>
  <c r="BF770" i="8"/>
  <c r="BF772" i="8"/>
  <c r="AX871" i="8"/>
  <c r="AY871" i="8" s="1"/>
  <c r="BK871" i="8" s="1"/>
  <c r="BL871" i="8" s="1"/>
  <c r="AX920" i="8"/>
  <c r="AY920" i="8" s="1"/>
  <c r="BK920" i="8" s="1"/>
  <c r="BL920" i="8" s="1"/>
  <c r="BF922" i="8"/>
  <c r="AX928" i="8"/>
  <c r="AY928" i="8" s="1"/>
  <c r="BK928" i="8" s="1"/>
  <c r="BL928" i="8" s="1"/>
  <c r="AX943" i="8"/>
  <c r="AY943" i="8" s="1"/>
  <c r="BK943" i="8" s="1"/>
  <c r="BL943" i="8" s="1"/>
  <c r="BF962" i="8"/>
  <c r="BG962" i="8" s="1"/>
  <c r="BB962" i="8"/>
  <c r="BB1580" i="8"/>
  <c r="BF1580" i="8"/>
  <c r="BL1580" i="8" s="1"/>
  <c r="BF354" i="8"/>
  <c r="BF356" i="8"/>
  <c r="BF394" i="8"/>
  <c r="BF396" i="8"/>
  <c r="BF428" i="8"/>
  <c r="BF434" i="8"/>
  <c r="AX436" i="8"/>
  <c r="AY436" i="8" s="1"/>
  <c r="BK436" i="8" s="1"/>
  <c r="BL436" i="8" s="1"/>
  <c r="BF447" i="8"/>
  <c r="BG447" i="8" s="1"/>
  <c r="AX457" i="8"/>
  <c r="AY457" i="8" s="1"/>
  <c r="BK457" i="8" s="1"/>
  <c r="BF484" i="8"/>
  <c r="BF506" i="8"/>
  <c r="BK519" i="8"/>
  <c r="BL519" i="8" s="1"/>
  <c r="AX523" i="8"/>
  <c r="AY523" i="8" s="1"/>
  <c r="BK523" i="8" s="1"/>
  <c r="BL523" i="8" s="1"/>
  <c r="BF530" i="8"/>
  <c r="BF535" i="8"/>
  <c r="BF541" i="8"/>
  <c r="BL541" i="8" s="1"/>
  <c r="BM541" i="8" s="1"/>
  <c r="AX556" i="8"/>
  <c r="AY556" i="8" s="1"/>
  <c r="BK556" i="8" s="1"/>
  <c r="BF561" i="8"/>
  <c r="BG561" i="8" s="1"/>
  <c r="BF566" i="8"/>
  <c r="BF575" i="8"/>
  <c r="AX593" i="8"/>
  <c r="AY593" i="8" s="1"/>
  <c r="BK593" i="8" s="1"/>
  <c r="BF603" i="8"/>
  <c r="BL603" i="8" s="1"/>
  <c r="BM603" i="8" s="1"/>
  <c r="BF610" i="8"/>
  <c r="BL610" i="8" s="1"/>
  <c r="BF612" i="8"/>
  <c r="BL612" i="8" s="1"/>
  <c r="BF653" i="8"/>
  <c r="BF671" i="8"/>
  <c r="BF682" i="8"/>
  <c r="BF684" i="8"/>
  <c r="AX732" i="8"/>
  <c r="AY732" i="8" s="1"/>
  <c r="BK732" i="8" s="1"/>
  <c r="BL732" i="8" s="1"/>
  <c r="BM732" i="8" s="1"/>
  <c r="BF738" i="8"/>
  <c r="BF741" i="8"/>
  <c r="AX745" i="8"/>
  <c r="AY745" i="8" s="1"/>
  <c r="BK745" i="8" s="1"/>
  <c r="BL745" i="8" s="1"/>
  <c r="AX751" i="8"/>
  <c r="AY751" i="8" s="1"/>
  <c r="BK751" i="8" s="1"/>
  <c r="BL751" i="8" s="1"/>
  <c r="BF755" i="8"/>
  <c r="AX776" i="8"/>
  <c r="AY776" i="8" s="1"/>
  <c r="BK776" i="8" s="1"/>
  <c r="AX780" i="8"/>
  <c r="AY780" i="8" s="1"/>
  <c r="BK780" i="8" s="1"/>
  <c r="AX784" i="8"/>
  <c r="AY784" i="8" s="1"/>
  <c r="BK784" i="8" s="1"/>
  <c r="AX809" i="8"/>
  <c r="AY809" i="8" s="1"/>
  <c r="BK809" i="8" s="1"/>
  <c r="BL809" i="8" s="1"/>
  <c r="BF813" i="8"/>
  <c r="BF818" i="8"/>
  <c r="BF851" i="8"/>
  <c r="AX867" i="8"/>
  <c r="AY867" i="8" s="1"/>
  <c r="BK867" i="8" s="1"/>
  <c r="AX899" i="8"/>
  <c r="AY899" i="8" s="1"/>
  <c r="BK899" i="8" s="1"/>
  <c r="BL899" i="8" s="1"/>
  <c r="BF905" i="8"/>
  <c r="AX907" i="8"/>
  <c r="AY907" i="8" s="1"/>
  <c r="BK907" i="8" s="1"/>
  <c r="BL907" i="8" s="1"/>
  <c r="BF915" i="8"/>
  <c r="BF931" i="8"/>
  <c r="BF939" i="8"/>
  <c r="BF941" i="8"/>
  <c r="AX946" i="8"/>
  <c r="AY946" i="8" s="1"/>
  <c r="BK946" i="8" s="1"/>
  <c r="BL946" i="8" s="1"/>
  <c r="BF946" i="8"/>
  <c r="BF1072" i="8"/>
  <c r="BF1150" i="8"/>
  <c r="AX938" i="8"/>
  <c r="AY938" i="8" s="1"/>
  <c r="BK938" i="8" s="1"/>
  <c r="BL938" i="8" s="1"/>
  <c r="BF961" i="8"/>
  <c r="BG961" i="8" s="1"/>
  <c r="BF982" i="8"/>
  <c r="BG982" i="8" s="1"/>
  <c r="BF988" i="8"/>
  <c r="BG988" i="8" s="1"/>
  <c r="BF992" i="8"/>
  <c r="BG992" i="8" s="1"/>
  <c r="BK1017" i="8"/>
  <c r="BL1017" i="8" s="1"/>
  <c r="BM1017" i="8" s="1"/>
  <c r="BO1017" i="8" s="1"/>
  <c r="BF1185" i="8"/>
  <c r="BG1185" i="8" s="1"/>
  <c r="BF1193" i="8"/>
  <c r="BG1193" i="8" s="1"/>
  <c r="BF1252" i="8"/>
  <c r="BG1252" i="8" s="1"/>
  <c r="BF1255" i="8"/>
  <c r="BG1255" i="8" s="1"/>
  <c r="AX1267" i="8"/>
  <c r="AY1267" i="8" s="1"/>
  <c r="BK1267" i="8" s="1"/>
  <c r="BF1281" i="8"/>
  <c r="BL1281" i="8" s="1"/>
  <c r="BF1285" i="8"/>
  <c r="BG1285" i="8" s="1"/>
  <c r="BF1296" i="8"/>
  <c r="BG1296" i="8" s="1"/>
  <c r="BF1298" i="8"/>
  <c r="BG1298" i="8" s="1"/>
  <c r="AX1370" i="8"/>
  <c r="AY1370" i="8" s="1"/>
  <c r="BL1370" i="8" s="1"/>
  <c r="BF1431" i="8"/>
  <c r="BG1431" i="8" s="1"/>
  <c r="BF1438" i="8"/>
  <c r="BG1438" i="8" s="1"/>
  <c r="AX1443" i="8"/>
  <c r="AY1443" i="8" s="1"/>
  <c r="BK1443" i="8" s="1"/>
  <c r="BF1445" i="8"/>
  <c r="BF1446" i="8"/>
  <c r="BF1447" i="8"/>
  <c r="BF1448" i="8"/>
  <c r="BF1449" i="8"/>
  <c r="BL1449" i="8" s="1"/>
  <c r="AX1460" i="8"/>
  <c r="AY1460" i="8" s="1"/>
  <c r="BK1460" i="8" s="1"/>
  <c r="BF1465" i="8"/>
  <c r="BG1465" i="8" s="1"/>
  <c r="AX1467" i="8"/>
  <c r="AY1467" i="8" s="1"/>
  <c r="BK1467" i="8" s="1"/>
  <c r="BF1468" i="8"/>
  <c r="BL1468" i="8" s="1"/>
  <c r="BF1470" i="8"/>
  <c r="BG1470" i="8" s="1"/>
  <c r="BF1474" i="8"/>
  <c r="BG1474" i="8" s="1"/>
  <c r="BF1484" i="8"/>
  <c r="BG1484" i="8" s="1"/>
  <c r="AX1486" i="8"/>
  <c r="AY1486" i="8" s="1"/>
  <c r="BL1486" i="8" s="1"/>
  <c r="AX1491" i="8"/>
  <c r="AY1491" i="8" s="1"/>
  <c r="BL1491" i="8" s="1"/>
  <c r="BF1496" i="8"/>
  <c r="BG1496" i="8" s="1"/>
  <c r="BF1501" i="8"/>
  <c r="BG1501" i="8" s="1"/>
  <c r="AX1520" i="8"/>
  <c r="AY1520" i="8" s="1"/>
  <c r="BK1520" i="8" s="1"/>
  <c r="AX1534" i="8"/>
  <c r="AY1534" i="8" s="1"/>
  <c r="BL1534" i="8" s="1"/>
  <c r="BF1564" i="8"/>
  <c r="BG1564" i="8" s="1"/>
  <c r="BF1571" i="8"/>
  <c r="BL1571" i="8" s="1"/>
  <c r="AX949" i="8"/>
  <c r="AY949" i="8" s="1"/>
  <c r="BK949" i="8" s="1"/>
  <c r="BL949" i="8" s="1"/>
  <c r="BM949" i="8" s="1"/>
  <c r="BF960" i="8"/>
  <c r="BL960" i="8" s="1"/>
  <c r="BF977" i="8"/>
  <c r="BL977" i="8" s="1"/>
  <c r="BF981" i="8"/>
  <c r="BG981" i="8" s="1"/>
  <c r="AX987" i="8"/>
  <c r="AY987" i="8" s="1"/>
  <c r="BK987" i="8" s="1"/>
  <c r="AX991" i="8"/>
  <c r="AY991" i="8" s="1"/>
  <c r="BK991" i="8" s="1"/>
  <c r="BF1006" i="8"/>
  <c r="AX1010" i="8"/>
  <c r="AY1010" i="8" s="1"/>
  <c r="BK1010" i="8" s="1"/>
  <c r="BL1010" i="8" s="1"/>
  <c r="AX1039" i="8"/>
  <c r="AY1039" i="8" s="1"/>
  <c r="BK1039" i="8" s="1"/>
  <c r="AX1043" i="8"/>
  <c r="AY1043" i="8" s="1"/>
  <c r="BK1043" i="8" s="1"/>
  <c r="BF1057" i="8"/>
  <c r="BF1081" i="8"/>
  <c r="BK1105" i="8"/>
  <c r="BF1109" i="8"/>
  <c r="BF1111" i="8"/>
  <c r="BF1113" i="8"/>
  <c r="AX1120" i="8"/>
  <c r="AY1120" i="8" s="1"/>
  <c r="BK1120" i="8" s="1"/>
  <c r="BL1120" i="8" s="1"/>
  <c r="AX1122" i="8"/>
  <c r="AY1122" i="8" s="1"/>
  <c r="BK1122" i="8" s="1"/>
  <c r="BL1122" i="8" s="1"/>
  <c r="BF1184" i="8"/>
  <c r="BG1184" i="8" s="1"/>
  <c r="BF1191" i="8"/>
  <c r="BG1191" i="8" s="1"/>
  <c r="BF1192" i="8"/>
  <c r="BG1192" i="8" s="1"/>
  <c r="BF1225" i="8"/>
  <c r="BG1225" i="8" s="1"/>
  <c r="BF1486" i="8"/>
  <c r="BG1486" i="8" s="1"/>
  <c r="BF1555" i="8"/>
  <c r="BG1555" i="8" s="1"/>
  <c r="BF1558" i="8"/>
  <c r="BG1558" i="8" s="1"/>
  <c r="BF1584" i="8"/>
  <c r="BL1584" i="8" s="1"/>
  <c r="BM1584" i="8" s="1"/>
  <c r="AX1595" i="8"/>
  <c r="AY1595" i="8" s="1"/>
  <c r="BF955" i="8"/>
  <c r="BF980" i="8"/>
  <c r="BG980" i="8" s="1"/>
  <c r="AX1002" i="8"/>
  <c r="AY1002" i="8" s="1"/>
  <c r="BK1002" i="8" s="1"/>
  <c r="BL1002" i="8" s="1"/>
  <c r="BF1004" i="8"/>
  <c r="BF1055" i="8"/>
  <c r="BF1073" i="8"/>
  <c r="BF1079" i="8"/>
  <c r="AX1107" i="8"/>
  <c r="AY1107" i="8" s="1"/>
  <c r="BK1107" i="8" s="1"/>
  <c r="BL1107" i="8" s="1"/>
  <c r="BF1116" i="8"/>
  <c r="BF1149" i="8"/>
  <c r="BF1158" i="8"/>
  <c r="BF1183" i="8"/>
  <c r="BG1183" i="8" s="1"/>
  <c r="AX1185" i="8"/>
  <c r="AY1185" i="8" s="1"/>
  <c r="BF1190" i="8"/>
  <c r="BG1190" i="8" s="1"/>
  <c r="AX1193" i="8"/>
  <c r="AY1193" i="8" s="1"/>
  <c r="BK1193" i="8" s="1"/>
  <c r="AX1199" i="8"/>
  <c r="AY1199" i="8" s="1"/>
  <c r="BK1199" i="8" s="1"/>
  <c r="BF1228" i="8"/>
  <c r="BG1228" i="8" s="1"/>
  <c r="BF1231" i="8"/>
  <c r="BG1231" i="8" s="1"/>
  <c r="BK1277" i="8"/>
  <c r="BF1316" i="8"/>
  <c r="BG1316" i="8" s="1"/>
  <c r="AX1346" i="8"/>
  <c r="AY1346" i="8" s="1"/>
  <c r="BL1346" i="8" s="1"/>
  <c r="BF1361" i="8"/>
  <c r="BG1361" i="8" s="1"/>
  <c r="BF1370" i="8"/>
  <c r="BG1370" i="8" s="1"/>
  <c r="AX1372" i="8"/>
  <c r="AY1372" i="8" s="1"/>
  <c r="BK1372" i="8" s="1"/>
  <c r="BF1373" i="8"/>
  <c r="BG1373" i="8" s="1"/>
  <c r="AX1375" i="8"/>
  <c r="AY1375" i="8" s="1"/>
  <c r="BK1375" i="8" s="1"/>
  <c r="BF1393" i="8"/>
  <c r="BG1393" i="8" s="1"/>
  <c r="BK1406" i="8"/>
  <c r="BF1416" i="8"/>
  <c r="BL1416" i="8" s="1"/>
  <c r="BM1416" i="8" s="1"/>
  <c r="AX1430" i="8"/>
  <c r="AY1430" i="8" s="1"/>
  <c r="BL1430" i="8" s="1"/>
  <c r="BF1433" i="8"/>
  <c r="BG1433" i="8" s="1"/>
  <c r="BF1444" i="8"/>
  <c r="BG1444" i="8" s="1"/>
  <c r="BF1457" i="8"/>
  <c r="BG1457" i="8" s="1"/>
  <c r="BL1471" i="8"/>
  <c r="BM1471" i="8" s="1"/>
  <c r="BN1471" i="8" s="1"/>
  <c r="BK1473" i="8"/>
  <c r="BL1475" i="8"/>
  <c r="BM1475" i="8" s="1"/>
  <c r="BO1475" i="8" s="1"/>
  <c r="AX1485" i="8"/>
  <c r="AY1485" i="8" s="1"/>
  <c r="BL1485" i="8" s="1"/>
  <c r="AX1497" i="8"/>
  <c r="AY1497" i="8" s="1"/>
  <c r="BK1497" i="8" s="1"/>
  <c r="BF1515" i="8"/>
  <c r="BG1515" i="8" s="1"/>
  <c r="AX1517" i="8"/>
  <c r="AY1517" i="8" s="1"/>
  <c r="BK1517" i="8" s="1"/>
  <c r="AX1522" i="8"/>
  <c r="AY1522" i="8" s="1"/>
  <c r="BK1522" i="8" s="1"/>
  <c r="BF1523" i="8"/>
  <c r="BG1523" i="8" s="1"/>
  <c r="BF1534" i="8"/>
  <c r="BG1534" i="8" s="1"/>
  <c r="AX1543" i="8"/>
  <c r="AY1543" i="8" s="1"/>
  <c r="BL1543" i="8" s="1"/>
  <c r="AX1554" i="8"/>
  <c r="AY1554" i="8" s="1"/>
  <c r="BK1554" i="8" s="1"/>
  <c r="AX1591" i="8"/>
  <c r="AY1591" i="8" s="1"/>
  <c r="BK1591" i="8" s="1"/>
  <c r="AX1593" i="8"/>
  <c r="AY1593" i="8" s="1"/>
  <c r="BL1593" i="8" s="1"/>
  <c r="BF1182" i="8"/>
  <c r="BG1182" i="8" s="1"/>
  <c r="AX1184" i="8"/>
  <c r="AY1184" i="8" s="1"/>
  <c r="BK1184" i="8" s="1"/>
  <c r="BF1198" i="8"/>
  <c r="BL1198" i="8" s="1"/>
  <c r="BM1198" i="8" s="1"/>
  <c r="BF1257" i="8"/>
  <c r="BG1257" i="8" s="1"/>
  <c r="BF1322" i="8"/>
  <c r="BG1322" i="8" s="1"/>
  <c r="BF1411" i="8"/>
  <c r="BG1411" i="8" s="1"/>
  <c r="BF1422" i="8"/>
  <c r="BG1422" i="8" s="1"/>
  <c r="BF1452" i="8"/>
  <c r="BG1452" i="8" s="1"/>
  <c r="BF1500" i="8"/>
  <c r="BG1500" i="8" s="1"/>
  <c r="BF1514" i="8"/>
  <c r="BG1514" i="8" s="1"/>
  <c r="BF1563" i="8"/>
  <c r="BG1563" i="8" s="1"/>
  <c r="BF1569" i="8"/>
  <c r="BL1569" i="8" s="1"/>
  <c r="BF1574" i="8"/>
  <c r="BL1574" i="8" s="1"/>
  <c r="AX1589" i="8"/>
  <c r="AY1589" i="8" s="1"/>
  <c r="BK1589" i="8" s="1"/>
  <c r="AX1599" i="8"/>
  <c r="AY1599" i="8" s="1"/>
  <c r="BF945" i="8"/>
  <c r="AX947" i="8"/>
  <c r="AY947" i="8" s="1"/>
  <c r="BK947" i="8" s="1"/>
  <c r="BL947" i="8" s="1"/>
  <c r="BF958" i="8"/>
  <c r="BB964" i="8"/>
  <c r="BF965" i="8"/>
  <c r="BG965" i="8" s="1"/>
  <c r="BF972" i="8"/>
  <c r="BL972" i="8" s="1"/>
  <c r="BF986" i="8"/>
  <c r="BF990" i="8"/>
  <c r="BG990" i="8" s="1"/>
  <c r="BF998" i="8"/>
  <c r="BL998" i="8" s="1"/>
  <c r="BM998" i="8" s="1"/>
  <c r="BO998" i="8" s="1"/>
  <c r="BF1002" i="8"/>
  <c r="BF1200" i="8"/>
  <c r="BG1200" i="8" s="1"/>
  <c r="BF1201" i="8"/>
  <c r="BG1201" i="8" s="1"/>
  <c r="BF1202" i="8"/>
  <c r="BF1224" i="8"/>
  <c r="BG1224" i="8" s="1"/>
  <c r="BF1263" i="8"/>
  <c r="BL1263" i="8" s="1"/>
  <c r="AX1265" i="8"/>
  <c r="AY1265" i="8" s="1"/>
  <c r="BK1265" i="8" s="1"/>
  <c r="BF1299" i="8"/>
  <c r="BG1299" i="8" s="1"/>
  <c r="BF1309" i="8"/>
  <c r="BG1309" i="8" s="1"/>
  <c r="BL1315" i="8"/>
  <c r="BM1315" i="8" s="1"/>
  <c r="BN1315" i="8" s="1"/>
  <c r="BF1330" i="8"/>
  <c r="BG1330" i="8" s="1"/>
  <c r="AX1342" i="8"/>
  <c r="AY1342" i="8" s="1"/>
  <c r="BK1342" i="8" s="1"/>
  <c r="BF1375" i="8"/>
  <c r="BG1375" i="8" s="1"/>
  <c r="BF1382" i="8"/>
  <c r="BG1382" i="8" s="1"/>
  <c r="BF1399" i="8"/>
  <c r="BG1399" i="8" s="1"/>
  <c r="AX1408" i="8"/>
  <c r="AY1408" i="8" s="1"/>
  <c r="BK1408" i="8" s="1"/>
  <c r="AX1429" i="8"/>
  <c r="AY1429" i="8" s="1"/>
  <c r="BL1429" i="8" s="1"/>
  <c r="BG1440" i="8"/>
  <c r="BF1443" i="8"/>
  <c r="BG1443" i="8" s="1"/>
  <c r="AX1446" i="8"/>
  <c r="AY1446" i="8" s="1"/>
  <c r="BK1446" i="8" s="1"/>
  <c r="AX1447" i="8"/>
  <c r="AY1447" i="8" s="1"/>
  <c r="BK1447" i="8" s="1"/>
  <c r="AX1448" i="8"/>
  <c r="AY1448" i="8" s="1"/>
  <c r="BK1448" i="8" s="1"/>
  <c r="AX1465" i="8"/>
  <c r="AY1465" i="8" s="1"/>
  <c r="BK1465" i="8" s="1"/>
  <c r="AX1487" i="8"/>
  <c r="AY1487" i="8" s="1"/>
  <c r="BL1487" i="8" s="1"/>
  <c r="BF1488" i="8"/>
  <c r="BG1488" i="8" s="1"/>
  <c r="AX1490" i="8"/>
  <c r="AY1490" i="8" s="1"/>
  <c r="BL1490" i="8" s="1"/>
  <c r="BF1497" i="8"/>
  <c r="BG1497" i="8" s="1"/>
  <c r="BF1499" i="8"/>
  <c r="BG1499" i="8" s="1"/>
  <c r="AX1516" i="8"/>
  <c r="AY1516" i="8" s="1"/>
  <c r="BL1516" i="8" s="1"/>
  <c r="BF1543" i="8"/>
  <c r="BG1543" i="8" s="1"/>
  <c r="AX1559" i="8"/>
  <c r="AY1559" i="8" s="1"/>
  <c r="AX1580" i="8"/>
  <c r="AY1580" i="8" s="1"/>
  <c r="BK1580" i="8" s="1"/>
  <c r="AX1592" i="8"/>
  <c r="AY1592" i="8" s="1"/>
  <c r="BL1592" i="8" s="1"/>
  <c r="AX1594" i="8"/>
  <c r="AY1594" i="8" s="1"/>
  <c r="BK1594" i="8" s="1"/>
  <c r="BF985" i="8"/>
  <c r="BG985" i="8" s="1"/>
  <c r="AX989" i="8"/>
  <c r="AY989" i="8" s="1"/>
  <c r="BK989" i="8" s="1"/>
  <c r="AX993" i="8"/>
  <c r="AY993" i="8" s="1"/>
  <c r="BK993" i="8" s="1"/>
  <c r="BK1024" i="8"/>
  <c r="BL1024" i="8" s="1"/>
  <c r="AX1056" i="8"/>
  <c r="AY1056" i="8" s="1"/>
  <c r="BK1056" i="8" s="1"/>
  <c r="BL1056" i="8" s="1"/>
  <c r="BM1056" i="8" s="1"/>
  <c r="BF1074" i="8"/>
  <c r="BF1076" i="8"/>
  <c r="AX1080" i="8"/>
  <c r="AY1080" i="8" s="1"/>
  <c r="BK1080" i="8" s="1"/>
  <c r="BL1080" i="8" s="1"/>
  <c r="AX1103" i="8"/>
  <c r="AY1103" i="8" s="1"/>
  <c r="BK1103" i="8" s="1"/>
  <c r="AX1106" i="8"/>
  <c r="AY1106" i="8" s="1"/>
  <c r="BK1106" i="8" s="1"/>
  <c r="BF1117" i="8"/>
  <c r="AX1121" i="8"/>
  <c r="AY1121" i="8" s="1"/>
  <c r="BK1121" i="8" s="1"/>
  <c r="BL1121" i="8" s="1"/>
  <c r="AX1123" i="8"/>
  <c r="AY1123" i="8" s="1"/>
  <c r="BK1123" i="8" s="1"/>
  <c r="BL1123" i="8" s="1"/>
  <c r="BF1179" i="8"/>
  <c r="BG1179" i="8" s="1"/>
  <c r="AX1182" i="8"/>
  <c r="AY1182" i="8" s="1"/>
  <c r="BK1182" i="8" s="1"/>
  <c r="BF1196" i="8"/>
  <c r="BL1196" i="8" s="1"/>
  <c r="AX1198" i="8"/>
  <c r="AY1198" i="8" s="1"/>
  <c r="BK1198" i="8" s="1"/>
  <c r="BF1203" i="8"/>
  <c r="BG1203" i="8" s="1"/>
  <c r="AX1229" i="8"/>
  <c r="AY1229" i="8" s="1"/>
  <c r="BK1229" i="8" s="1"/>
  <c r="BF1237" i="8"/>
  <c r="BG1237" i="8" s="1"/>
  <c r="AX1249" i="8"/>
  <c r="AY1249" i="8" s="1"/>
  <c r="BL1249" i="8" s="1"/>
  <c r="BF1363" i="8"/>
  <c r="BG1363" i="8" s="1"/>
  <c r="BF1369" i="8"/>
  <c r="BG1369" i="8" s="1"/>
  <c r="AX1371" i="8"/>
  <c r="AY1371" i="8" s="1"/>
  <c r="BK1371" i="8" s="1"/>
  <c r="AX1374" i="8"/>
  <c r="AY1374" i="8" s="1"/>
  <c r="BL1374" i="8" s="1"/>
  <c r="BL1524" i="8"/>
  <c r="BF942" i="8"/>
  <c r="BF948" i="8"/>
  <c r="AX954" i="8"/>
  <c r="AY954" i="8" s="1"/>
  <c r="BK954" i="8" s="1"/>
  <c r="BL954" i="8" s="1"/>
  <c r="AX958" i="8"/>
  <c r="AY958" i="8" s="1"/>
  <c r="BK958" i="8" s="1"/>
  <c r="BL958" i="8" s="1"/>
  <c r="BF963" i="8"/>
  <c r="BL963" i="8" s="1"/>
  <c r="AX974" i="8"/>
  <c r="AY974" i="8" s="1"/>
  <c r="BK974" i="8" s="1"/>
  <c r="BF984" i="8"/>
  <c r="BL984" i="8" s="1"/>
  <c r="BM984" i="8" s="1"/>
  <c r="BF999" i="8"/>
  <c r="BF1001" i="8"/>
  <c r="AX1005" i="8"/>
  <c r="AY1005" i="8" s="1"/>
  <c r="BK1005" i="8" s="1"/>
  <c r="BL1005" i="8" s="1"/>
  <c r="BK1019" i="8"/>
  <c r="BL1019" i="8" s="1"/>
  <c r="BM1019" i="8" s="1"/>
  <c r="BO1019" i="8" s="1"/>
  <c r="AX1032" i="8"/>
  <c r="AY1032" i="8" s="1"/>
  <c r="BK1032" i="8" s="1"/>
  <c r="BL1032" i="8" s="1"/>
  <c r="BM1032" i="8" s="1"/>
  <c r="AX1072" i="8"/>
  <c r="AY1072" i="8" s="1"/>
  <c r="BK1072" i="8" s="1"/>
  <c r="BL1072" i="8" s="1"/>
  <c r="BF1108" i="8"/>
  <c r="BF1112" i="8"/>
  <c r="AX1115" i="8"/>
  <c r="AY1115" i="8" s="1"/>
  <c r="BK1115" i="8" s="1"/>
  <c r="BL1115" i="8" s="1"/>
  <c r="BF1145" i="8"/>
  <c r="BF1162" i="8"/>
  <c r="BF1178" i="8"/>
  <c r="BG1178" i="8" s="1"/>
  <c r="AX1180" i="8"/>
  <c r="AY1180" i="8" s="1"/>
  <c r="BK1180" i="8" s="1"/>
  <c r="BF1195" i="8"/>
  <c r="BG1195" i="8" s="1"/>
  <c r="BF1223" i="8"/>
  <c r="BG1223" i="8" s="1"/>
  <c r="BF1256" i="8"/>
  <c r="BG1256" i="8" s="1"/>
  <c r="BL1258" i="8"/>
  <c r="AX1264" i="8"/>
  <c r="AY1264" i="8" s="1"/>
  <c r="BK1264" i="8" s="1"/>
  <c r="BF1265" i="8"/>
  <c r="BF1271" i="8"/>
  <c r="BG1271" i="8" s="1"/>
  <c r="BF1290" i="8"/>
  <c r="BG1290" i="8" s="1"/>
  <c r="BF1292" i="8"/>
  <c r="BG1292" i="8" s="1"/>
  <c r="BL1304" i="8"/>
  <c r="BM1304" i="8" s="1"/>
  <c r="BO1304" i="8" s="1"/>
  <c r="BL1306" i="8"/>
  <c r="BF1317" i="8"/>
  <c r="BG1317" i="8" s="1"/>
  <c r="BF1319" i="8"/>
  <c r="BG1319" i="8" s="1"/>
  <c r="BF1340" i="8"/>
  <c r="BG1340" i="8" s="1"/>
  <c r="AX1354" i="8"/>
  <c r="AY1354" i="8" s="1"/>
  <c r="BL1354" i="8" s="1"/>
  <c r="BF1355" i="8"/>
  <c r="BG1355" i="8" s="1"/>
  <c r="AX1358" i="8"/>
  <c r="AY1358" i="8" s="1"/>
  <c r="BL1358" i="8" s="1"/>
  <c r="BF1359" i="8"/>
  <c r="BG1359" i="8" s="1"/>
  <c r="AX1368" i="8"/>
  <c r="AY1368" i="8" s="1"/>
  <c r="BL1368" i="8" s="1"/>
  <c r="BF1410" i="8"/>
  <c r="BL1410" i="8" s="1"/>
  <c r="AX1412" i="8"/>
  <c r="AY1412" i="8" s="1"/>
  <c r="BK1412" i="8" s="1"/>
  <c r="AX1420" i="8"/>
  <c r="AY1420" i="8" s="1"/>
  <c r="BL1420" i="8" s="1"/>
  <c r="AX1423" i="8"/>
  <c r="AY1423" i="8" s="1"/>
  <c r="BL1423" i="8" s="1"/>
  <c r="BF1436" i="8"/>
  <c r="BG1436" i="8" s="1"/>
  <c r="AX1438" i="8"/>
  <c r="AY1438" i="8" s="1"/>
  <c r="BL1438" i="8" s="1"/>
  <c r="BB1446" i="8"/>
  <c r="BB1447" i="8"/>
  <c r="BB1448" i="8"/>
  <c r="AX1457" i="8"/>
  <c r="AY1457" i="8" s="1"/>
  <c r="BB1465" i="8"/>
  <c r="AX1489" i="8"/>
  <c r="AY1489" i="8" s="1"/>
  <c r="BL1489" i="8" s="1"/>
  <c r="AX1512" i="8"/>
  <c r="AY1512" i="8" s="1"/>
  <c r="BL1512" i="8" s="1"/>
  <c r="AX1518" i="8"/>
  <c r="AY1518" i="8" s="1"/>
  <c r="BK1518" i="8" s="1"/>
  <c r="AX1521" i="8"/>
  <c r="AY1521" i="8" s="1"/>
  <c r="BL1521" i="8" s="1"/>
  <c r="BF1559" i="8"/>
  <c r="BG1559" i="8" s="1"/>
  <c r="AX1561" i="8"/>
  <c r="AY1561" i="8" s="1"/>
  <c r="BL1561" i="8" s="1"/>
  <c r="BM1561" i="8" s="1"/>
  <c r="AX1564" i="8"/>
  <c r="AY1564" i="8" s="1"/>
  <c r="BK1564" i="8" s="1"/>
  <c r="AX1567" i="8"/>
  <c r="AY1567" i="8" s="1"/>
  <c r="BK1567" i="8" s="1"/>
  <c r="BL1577" i="8"/>
  <c r="BM1577" i="8" s="1"/>
  <c r="BN1577" i="8" s="1"/>
  <c r="BF1592" i="8"/>
  <c r="BG1592" i="8" s="1"/>
  <c r="BF1594" i="8"/>
  <c r="BG1594" i="8" s="1"/>
  <c r="BK1052" i="8"/>
  <c r="BL1052" i="8" s="1"/>
  <c r="BM1052" i="8" s="1"/>
  <c r="BO1052" i="8" s="1"/>
  <c r="BF3" i="8"/>
  <c r="BL3" i="8" s="1"/>
  <c r="BM3" i="8" s="1"/>
  <c r="BK62" i="8"/>
  <c r="BK70" i="8"/>
  <c r="BF78" i="8"/>
  <c r="BL108" i="8"/>
  <c r="BF119" i="8"/>
  <c r="BG119" i="8" s="1"/>
  <c r="BF121" i="8"/>
  <c r="BG121" i="8" s="1"/>
  <c r="BK123" i="8"/>
  <c r="BF126" i="8"/>
  <c r="BL126" i="8" s="1"/>
  <c r="BF154" i="8"/>
  <c r="BL154" i="8" s="1"/>
  <c r="BF188" i="8"/>
  <c r="BL188" i="8" s="1"/>
  <c r="BF189" i="8"/>
  <c r="BG189" i="8" s="1"/>
  <c r="BF197" i="8"/>
  <c r="BL197" i="8" s="1"/>
  <c r="BK208" i="8"/>
  <c r="BK210" i="8"/>
  <c r="BK212" i="8"/>
  <c r="BF224" i="8"/>
  <c r="BG224" i="8" s="1"/>
  <c r="BF265" i="8"/>
  <c r="BL265" i="8" s="1"/>
  <c r="BF311" i="8"/>
  <c r="BG311" i="8" s="1"/>
  <c r="BF322" i="8"/>
  <c r="BK495" i="8"/>
  <c r="BL495" i="8" s="1"/>
  <c r="BM495" i="8" s="1"/>
  <c r="BO495" i="8" s="1"/>
  <c r="BF581" i="8"/>
  <c r="BG581" i="8" s="1"/>
  <c r="BF582" i="8"/>
  <c r="BG582" i="8" s="1"/>
  <c r="BF583" i="8"/>
  <c r="BL583" i="8" s="1"/>
  <c r="BF584" i="8"/>
  <c r="BG584" i="8" s="1"/>
  <c r="BF585" i="8"/>
  <c r="BG585" i="8" s="1"/>
  <c r="BF607" i="8"/>
  <c r="BG607" i="8" s="1"/>
  <c r="BF721" i="8"/>
  <c r="BK972" i="8"/>
  <c r="BF997" i="8"/>
  <c r="BG997" i="8" s="1"/>
  <c r="BK1050" i="8"/>
  <c r="BL1050" i="8" s="1"/>
  <c r="BM1050" i="8" s="1"/>
  <c r="BO1050" i="8" s="1"/>
  <c r="BK1068" i="8"/>
  <c r="BL1068" i="8" s="1"/>
  <c r="BK1097" i="8"/>
  <c r="BL1097" i="8" s="1"/>
  <c r="BK1132" i="8"/>
  <c r="BL1132" i="8" s="1"/>
  <c r="BK1206" i="8"/>
  <c r="BL1219" i="8"/>
  <c r="BM1219" i="8" s="1"/>
  <c r="BO1219" i="8" s="1"/>
  <c r="BF1245" i="8"/>
  <c r="BG1245" i="8" s="1"/>
  <c r="BF1268" i="8"/>
  <c r="BG1268" i="8" s="1"/>
  <c r="BF1310" i="8"/>
  <c r="BG1310" i="8" s="1"/>
  <c r="BL1319" i="8"/>
  <c r="BM1319" i="8" s="1"/>
  <c r="BO1319" i="8" s="1"/>
  <c r="BF1352" i="8"/>
  <c r="BG1352" i="8" s="1"/>
  <c r="BF1529" i="8"/>
  <c r="BG1529" i="8" s="1"/>
  <c r="BF1531" i="8"/>
  <c r="BG1531" i="8" s="1"/>
  <c r="BF13" i="8"/>
  <c r="BF19" i="8"/>
  <c r="BG19" i="8" s="1"/>
  <c r="BF22" i="8"/>
  <c r="BL22" i="8" s="1"/>
  <c r="BF206" i="8"/>
  <c r="BL206" i="8" s="1"/>
  <c r="BF208" i="8"/>
  <c r="BL208" i="8" s="1"/>
  <c r="BF210" i="8"/>
  <c r="BL210" i="8" s="1"/>
  <c r="BF458" i="8"/>
  <c r="BL458" i="8" s="1"/>
  <c r="BF587" i="8"/>
  <c r="BF716" i="8"/>
  <c r="BL716" i="8" s="1"/>
  <c r="BM716" i="8" s="1"/>
  <c r="BO716" i="8" s="1"/>
  <c r="BK1066" i="8"/>
  <c r="BL1066" i="8" s="1"/>
  <c r="BM1066" i="8" s="1"/>
  <c r="BO1066" i="8" s="1"/>
  <c r="BK1171" i="8"/>
  <c r="BL1171" i="8" s="1"/>
  <c r="BF1248" i="8"/>
  <c r="BG1248" i="8" s="1"/>
  <c r="BF1251" i="8"/>
  <c r="BG1251" i="8" s="1"/>
  <c r="BF1273" i="8"/>
  <c r="BG1273" i="8" s="1"/>
  <c r="BF1288" i="8"/>
  <c r="BG1288" i="8" s="1"/>
  <c r="BL1294" i="8"/>
  <c r="BM1294" i="8" s="1"/>
  <c r="BO1294" i="8" s="1"/>
  <c r="BL1305" i="8"/>
  <c r="BM1305" i="8" s="1"/>
  <c r="BO1305" i="8" s="1"/>
  <c r="BF1406" i="8"/>
  <c r="BL1406" i="8" s="1"/>
  <c r="BG1442" i="8"/>
  <c r="BF1478" i="8"/>
  <c r="BG1478" i="8" s="1"/>
  <c r="BF1480" i="8"/>
  <c r="BG1480" i="8" s="1"/>
  <c r="BF1482" i="8"/>
  <c r="BG1482" i="8" s="1"/>
  <c r="BF10" i="8"/>
  <c r="BF16" i="8"/>
  <c r="BG16" i="8" s="1"/>
  <c r="BF31" i="8"/>
  <c r="BG31" i="8" s="1"/>
  <c r="BF32" i="8"/>
  <c r="BL32" i="8" s="1"/>
  <c r="BF34" i="8"/>
  <c r="BL34" i="8" s="1"/>
  <c r="BM34" i="8" s="1"/>
  <c r="BF65" i="8"/>
  <c r="BG65" i="8" s="1"/>
  <c r="BF98" i="8"/>
  <c r="BL98" i="8" s="1"/>
  <c r="BF102" i="8"/>
  <c r="BF125" i="8"/>
  <c r="BF165" i="8"/>
  <c r="BL165" i="8" s="1"/>
  <c r="BF214" i="8"/>
  <c r="BL214" i="8" s="1"/>
  <c r="BL1284" i="8"/>
  <c r="BL1298" i="8"/>
  <c r="BF1344" i="8"/>
  <c r="BG1344" i="8" s="1"/>
  <c r="BK1565" i="8"/>
  <c r="BK65" i="8"/>
  <c r="BF590" i="8"/>
  <c r="BL590" i="8" s="1"/>
  <c r="BM590" i="8" s="1"/>
  <c r="BF699" i="8"/>
  <c r="BL699" i="8" s="1"/>
  <c r="BF701" i="8"/>
  <c r="BF868" i="8"/>
  <c r="BG868" i="8" s="1"/>
  <c r="BF976" i="8"/>
  <c r="BG976" i="8" s="1"/>
  <c r="BF1233" i="8"/>
  <c r="BG1233" i="8" s="1"/>
  <c r="BF1241" i="8"/>
  <c r="BG1241" i="8" s="1"/>
  <c r="BF1244" i="8"/>
  <c r="BG1244" i="8" s="1"/>
  <c r="BF1259" i="8"/>
  <c r="BG1259" i="8" s="1"/>
  <c r="BF1261" i="8"/>
  <c r="BG1261" i="8" s="1"/>
  <c r="BF1270" i="8"/>
  <c r="BG1270" i="8" s="1"/>
  <c r="BL1300" i="8"/>
  <c r="BM1300" i="8" s="1"/>
  <c r="BF1305" i="8"/>
  <c r="BG1305" i="8" s="1"/>
  <c r="BL1311" i="8"/>
  <c r="BL1323" i="8"/>
  <c r="BF1351" i="8"/>
  <c r="BG1351" i="8" s="1"/>
  <c r="BF1354" i="8"/>
  <c r="BG1354" i="8" s="1"/>
  <c r="BF1366" i="8"/>
  <c r="BG1366" i="8" s="1"/>
  <c r="BF1384" i="8"/>
  <c r="BG1384" i="8" s="1"/>
  <c r="BF1403" i="8"/>
  <c r="BF1492" i="8"/>
  <c r="BG1492" i="8" s="1"/>
  <c r="BF1494" i="8"/>
  <c r="BG1494" i="8" s="1"/>
  <c r="BF1504" i="8"/>
  <c r="BG1504" i="8" s="1"/>
  <c r="BF1510" i="8"/>
  <c r="BG1510" i="8" s="1"/>
  <c r="BF1513" i="8"/>
  <c r="BG1513" i="8" s="1"/>
  <c r="BF1519" i="8"/>
  <c r="BG1519" i="8" s="1"/>
  <c r="BF1547" i="8"/>
  <c r="BG1547" i="8" s="1"/>
  <c r="BL1562" i="8"/>
  <c r="BM1562" i="8" s="1"/>
  <c r="BO1562" i="8" s="1"/>
  <c r="BF4" i="8"/>
  <c r="BG4" i="8" s="1"/>
  <c r="BF26" i="8"/>
  <c r="BL26" i="8" s="1"/>
  <c r="BK66" i="8"/>
  <c r="BK83" i="8"/>
  <c r="BK96" i="8"/>
  <c r="BF193" i="8"/>
  <c r="BL193" i="8" s="1"/>
  <c r="BM193" i="8" s="1"/>
  <c r="BO193" i="8" s="1"/>
  <c r="BF201" i="8"/>
  <c r="BF228" i="8"/>
  <c r="BG228" i="8" s="1"/>
  <c r="BF248" i="8"/>
  <c r="BL248" i="8" s="1"/>
  <c r="BM248" i="8" s="1"/>
  <c r="BK273" i="8"/>
  <c r="BF317" i="8"/>
  <c r="BL317" i="8" s="1"/>
  <c r="BM317" i="8" s="1"/>
  <c r="BK462" i="8"/>
  <c r="BN783" i="8"/>
  <c r="BK1028" i="8"/>
  <c r="BL1028" i="8" s="1"/>
  <c r="BM1028" i="8" s="1"/>
  <c r="BO1028" i="8" s="1"/>
  <c r="BK1047" i="8"/>
  <c r="BL1047" i="8" s="1"/>
  <c r="BF1103" i="8"/>
  <c r="BL1103" i="8" s="1"/>
  <c r="BM1103" i="8" s="1"/>
  <c r="BK1129" i="8"/>
  <c r="BL1129" i="8" s="1"/>
  <c r="BK1155" i="8"/>
  <c r="BL1155" i="8" s="1"/>
  <c r="BF1253" i="8"/>
  <c r="BG1253" i="8" s="1"/>
  <c r="BF1302" i="8"/>
  <c r="BG1302" i="8" s="1"/>
  <c r="BF1562" i="8"/>
  <c r="BG1562" i="8" s="1"/>
  <c r="BF29" i="8"/>
  <c r="BG29" i="8" s="1"/>
  <c r="BF30" i="8"/>
  <c r="BG30" i="8" s="1"/>
  <c r="BO109" i="8"/>
  <c r="BF130" i="8"/>
  <c r="BL130" i="8" s="1"/>
  <c r="BF157" i="8"/>
  <c r="BG157" i="8" s="1"/>
  <c r="BF182" i="8"/>
  <c r="BL182" i="8" s="1"/>
  <c r="BF192" i="8"/>
  <c r="BF200" i="8"/>
  <c r="BG200" i="8" s="1"/>
  <c r="BK220" i="8"/>
  <c r="BF227" i="8"/>
  <c r="BL227" i="8" s="1"/>
  <c r="BM227" i="8" s="1"/>
  <c r="BF253" i="8"/>
  <c r="BG253" i="8" s="1"/>
  <c r="BF599" i="8"/>
  <c r="BL599" i="8" s="1"/>
  <c r="BF602" i="8"/>
  <c r="BL602" i="8" s="1"/>
  <c r="BF705" i="8"/>
  <c r="BG705" i="8" s="1"/>
  <c r="BF707" i="8"/>
  <c r="BG707" i="8" s="1"/>
  <c r="BF711" i="8"/>
  <c r="BG711" i="8" s="1"/>
  <c r="BF713" i="8"/>
  <c r="BL713" i="8" s="1"/>
  <c r="BM713" i="8" s="1"/>
  <c r="BF722" i="8"/>
  <c r="BL722" i="8" s="1"/>
  <c r="BF794" i="8"/>
  <c r="BL794" i="8" s="1"/>
  <c r="BM794" i="8" s="1"/>
  <c r="BK844" i="8"/>
  <c r="BK1063" i="8"/>
  <c r="BL1063" i="8" s="1"/>
  <c r="BF1235" i="8"/>
  <c r="BG1235" i="8" s="1"/>
  <c r="BF1243" i="8"/>
  <c r="BG1243" i="8" s="1"/>
  <c r="BF1266" i="8"/>
  <c r="BG1266" i="8" s="1"/>
  <c r="BK1280" i="8"/>
  <c r="BF1287" i="8"/>
  <c r="BG1287" i="8" s="1"/>
  <c r="BF1325" i="8"/>
  <c r="BG1325" i="8" s="1"/>
  <c r="BF1327" i="8"/>
  <c r="BG1327" i="8" s="1"/>
  <c r="BF1336" i="8"/>
  <c r="BG1336" i="8" s="1"/>
  <c r="BF1338" i="8"/>
  <c r="BG1338" i="8" s="1"/>
  <c r="BF1343" i="8"/>
  <c r="BG1343" i="8" s="1"/>
  <c r="BF1379" i="8"/>
  <c r="BG1379" i="8" s="1"/>
  <c r="BF1409" i="8"/>
  <c r="BG1409" i="8" s="1"/>
  <c r="BF1418" i="8"/>
  <c r="BL1418" i="8" s="1"/>
  <c r="BF1426" i="8"/>
  <c r="BG1426" i="8" s="1"/>
  <c r="BF1429" i="8"/>
  <c r="BG1429" i="8" s="1"/>
  <c r="BL1435" i="8"/>
  <c r="BM1435" i="8" s="1"/>
  <c r="BN1435" i="8" s="1"/>
  <c r="BK1439" i="8"/>
  <c r="BF1453" i="8"/>
  <c r="BG1453" i="8" s="1"/>
  <c r="BF1481" i="8"/>
  <c r="BG1481" i="8" s="1"/>
  <c r="BF1483" i="8"/>
  <c r="BG1483" i="8" s="1"/>
  <c r="BF1491" i="8"/>
  <c r="BG1491" i="8" s="1"/>
  <c r="BK1493" i="8"/>
  <c r="BF1498" i="8"/>
  <c r="BG1498" i="8" s="1"/>
  <c r="BF1509" i="8"/>
  <c r="BG1509" i="8" s="1"/>
  <c r="BF1518" i="8"/>
  <c r="BG1518" i="8" s="1"/>
  <c r="BF11" i="8"/>
  <c r="BL11" i="8" s="1"/>
  <c r="BM11" i="8" s="1"/>
  <c r="BF28" i="8"/>
  <c r="BG28" i="8" s="1"/>
  <c r="BF35" i="8"/>
  <c r="BG35" i="8" s="1"/>
  <c r="BK52" i="8"/>
  <c r="BK54" i="8"/>
  <c r="BF62" i="8"/>
  <c r="BL62" i="8" s="1"/>
  <c r="BF70" i="8"/>
  <c r="BG70" i="8" s="1"/>
  <c r="BF72" i="8"/>
  <c r="BG72" i="8" s="1"/>
  <c r="BF74" i="8"/>
  <c r="BG74" i="8" s="1"/>
  <c r="BF156" i="8"/>
  <c r="BG156" i="8" s="1"/>
  <c r="BF161" i="8"/>
  <c r="BL161" i="8" s="1"/>
  <c r="BM161" i="8" s="1"/>
  <c r="BF167" i="8"/>
  <c r="BL167" i="8" s="1"/>
  <c r="BF181" i="8"/>
  <c r="BK196" i="8"/>
  <c r="BF199" i="8"/>
  <c r="BG199" i="8" s="1"/>
  <c r="BF215" i="8"/>
  <c r="BL215" i="8" s="1"/>
  <c r="BK223" i="8"/>
  <c r="BF226" i="8"/>
  <c r="BL226" i="8" s="1"/>
  <c r="BM226" i="8" s="1"/>
  <c r="BF267" i="8"/>
  <c r="BL267" i="8" s="1"/>
  <c r="BF285" i="8"/>
  <c r="BF601" i="8"/>
  <c r="BG601" i="8" s="1"/>
  <c r="BF609" i="8"/>
  <c r="BG609" i="8" s="1"/>
  <c r="BF798" i="8"/>
  <c r="BL798" i="8" s="1"/>
  <c r="BK977" i="8"/>
  <c r="BF1232" i="8"/>
  <c r="BG1232" i="8" s="1"/>
  <c r="BF1249" i="8"/>
  <c r="BG1249" i="8" s="1"/>
  <c r="BF1274" i="8"/>
  <c r="BG1274" i="8" s="1"/>
  <c r="BF1304" i="8"/>
  <c r="BG1304" i="8" s="1"/>
  <c r="BF1306" i="8"/>
  <c r="BG1306" i="8" s="1"/>
  <c r="BF1320" i="8"/>
  <c r="BG1320" i="8" s="1"/>
  <c r="BF1329" i="8"/>
  <c r="BG1329" i="8" s="1"/>
  <c r="BF1331" i="8"/>
  <c r="BG1331" i="8" s="1"/>
  <c r="BF1353" i="8"/>
  <c r="BG1353" i="8" s="1"/>
  <c r="BF1381" i="8"/>
  <c r="BG1381" i="8" s="1"/>
  <c r="BF1402" i="8"/>
  <c r="BL1402" i="8" s="1"/>
  <c r="BM1402" i="8" s="1"/>
  <c r="BF1472" i="8"/>
  <c r="BG1472" i="8" s="1"/>
  <c r="BL1477" i="8"/>
  <c r="BF1506" i="8"/>
  <c r="BG1506" i="8" s="1"/>
  <c r="BF1537" i="8"/>
  <c r="BG1537" i="8" s="1"/>
  <c r="BF1572" i="8"/>
  <c r="BG1572" i="8" s="1"/>
  <c r="BK108" i="8"/>
  <c r="BG1464" i="8"/>
  <c r="BL1464" i="8"/>
  <c r="BK808" i="8"/>
  <c r="BL808" i="8" s="1"/>
  <c r="BM808" i="8" s="1"/>
  <c r="BK67" i="8"/>
  <c r="BF69" i="8"/>
  <c r="BL69" i="8" s="1"/>
  <c r="BM69" i="8" s="1"/>
  <c r="BF83" i="8"/>
  <c r="BL83" i="8" s="1"/>
  <c r="BM83" i="8" s="1"/>
  <c r="BF114" i="8"/>
  <c r="BL114" i="8" s="1"/>
  <c r="BF115" i="8"/>
  <c r="BL115" i="8" s="1"/>
  <c r="BF116" i="8"/>
  <c r="BL116" i="8" s="1"/>
  <c r="BF128" i="8"/>
  <c r="BG128" i="8" s="1"/>
  <c r="BO552" i="8"/>
  <c r="BF99" i="8"/>
  <c r="BL99" i="8" s="1"/>
  <c r="BG109" i="8"/>
  <c r="BF241" i="8"/>
  <c r="BL241" i="8" s="1"/>
  <c r="BM241" i="8" s="1"/>
  <c r="BL551" i="8"/>
  <c r="BG551" i="8"/>
  <c r="BF67" i="8"/>
  <c r="BF21" i="8"/>
  <c r="BL21" i="8" s="1"/>
  <c r="BM21" i="8" s="1"/>
  <c r="BL27" i="8"/>
  <c r="BK35" i="8"/>
  <c r="BF54" i="8"/>
  <c r="BK69" i="8"/>
  <c r="BF80" i="8"/>
  <c r="BG80" i="8" s="1"/>
  <c r="BF101" i="8"/>
  <c r="BG106" i="8"/>
  <c r="BF118" i="8"/>
  <c r="BL118" i="8" s="1"/>
  <c r="BM118" i="8" s="1"/>
  <c r="BF153" i="8"/>
  <c r="BL153" i="8" s="1"/>
  <c r="BK238" i="8"/>
  <c r="BO106" i="8"/>
  <c r="BF79" i="8"/>
  <c r="BL79" i="8" s="1"/>
  <c r="BM79" i="8" s="1"/>
  <c r="BF258" i="8"/>
  <c r="BL258" i="8" s="1"/>
  <c r="BM258" i="8" s="1"/>
  <c r="BL1380" i="8"/>
  <c r="BF122" i="8"/>
  <c r="BL122" i="8" s="1"/>
  <c r="BF2" i="8"/>
  <c r="BL2" i="8" s="1"/>
  <c r="BM2" i="8" s="1"/>
  <c r="BN2" i="8" s="1"/>
  <c r="BF7" i="8"/>
  <c r="BL7" i="8" s="1"/>
  <c r="BF56" i="8"/>
  <c r="BF58" i="8"/>
  <c r="BG58" i="8" s="1"/>
  <c r="BF68" i="8"/>
  <c r="BL68" i="8" s="1"/>
  <c r="BK75" i="8"/>
  <c r="BF82" i="8"/>
  <c r="BG82" i="8" s="1"/>
  <c r="BF84" i="8"/>
  <c r="BL84" i="8" s="1"/>
  <c r="BM84" i="8" s="1"/>
  <c r="BF85" i="8"/>
  <c r="BL85" i="8" s="1"/>
  <c r="BM85" i="8" s="1"/>
  <c r="BF86" i="8"/>
  <c r="BL86" i="8" s="1"/>
  <c r="BF87" i="8"/>
  <c r="BF88" i="8"/>
  <c r="BG88" i="8" s="1"/>
  <c r="BF89" i="8"/>
  <c r="BL89" i="8" s="1"/>
  <c r="BM89" i="8" s="1"/>
  <c r="BF90" i="8"/>
  <c r="BF91" i="8"/>
  <c r="BL91" i="8" s="1"/>
  <c r="BF92" i="8"/>
  <c r="BL92" i="8" s="1"/>
  <c r="BM92" i="8" s="1"/>
  <c r="BF93" i="8"/>
  <c r="BG93" i="8" s="1"/>
  <c r="BF94" i="8"/>
  <c r="BL94" i="8" s="1"/>
  <c r="BF95" i="8"/>
  <c r="BF100" i="8"/>
  <c r="BL100" i="8" s="1"/>
  <c r="BF117" i="8"/>
  <c r="BG117" i="8" s="1"/>
  <c r="BF124" i="8"/>
  <c r="BF129" i="8"/>
  <c r="BL129" i="8" s="1"/>
  <c r="BM129" i="8" s="1"/>
  <c r="BK214" i="8"/>
  <c r="BK229" i="8"/>
  <c r="BK1166" i="8"/>
  <c r="BL1166" i="8" s="1"/>
  <c r="BN106" i="8"/>
  <c r="BL1378" i="8"/>
  <c r="BF24" i="8"/>
  <c r="BL24" i="8" s="1"/>
  <c r="BK61" i="8"/>
  <c r="BK71" i="8"/>
  <c r="BK77" i="8"/>
  <c r="BK106" i="8"/>
  <c r="BO107" i="8"/>
  <c r="BF159" i="8"/>
  <c r="BG159" i="8" s="1"/>
  <c r="BK236" i="8"/>
  <c r="BF63" i="8"/>
  <c r="BL63" i="8" s="1"/>
  <c r="BF81" i="8"/>
  <c r="BL81" i="8" s="1"/>
  <c r="BM81" i="8" s="1"/>
  <c r="BF20" i="8"/>
  <c r="BL20" i="8" s="1"/>
  <c r="BF9" i="8"/>
  <c r="BL9" i="8" s="1"/>
  <c r="BF12" i="8"/>
  <c r="BL12" i="8" s="1"/>
  <c r="BF23" i="8"/>
  <c r="BL23" i="8" s="1"/>
  <c r="BF41" i="8"/>
  <c r="BF42" i="8"/>
  <c r="BF46" i="8"/>
  <c r="BG46" i="8" s="1"/>
  <c r="BF47" i="8"/>
  <c r="BL47" i="8" s="1"/>
  <c r="BF49" i="8"/>
  <c r="BL49" i="8" s="1"/>
  <c r="BM49" i="8" s="1"/>
  <c r="BF59" i="8"/>
  <c r="BL59" i="8" s="1"/>
  <c r="BM59" i="8" s="1"/>
  <c r="BK73" i="8"/>
  <c r="BF75" i="8"/>
  <c r="BL75" i="8" s="1"/>
  <c r="BM75" i="8" s="1"/>
  <c r="BF96" i="8"/>
  <c r="BG96" i="8" s="1"/>
  <c r="BF105" i="8"/>
  <c r="BG107" i="8"/>
  <c r="BF120" i="8"/>
  <c r="BL120" i="8" s="1"/>
  <c r="BF131" i="8"/>
  <c r="BL131" i="8" s="1"/>
  <c r="BF158" i="8"/>
  <c r="BL158" i="8" s="1"/>
  <c r="BF162" i="8"/>
  <c r="BL162" i="8" s="1"/>
  <c r="BF251" i="8"/>
  <c r="BF271" i="8"/>
  <c r="BL271" i="8" s="1"/>
  <c r="BF287" i="8"/>
  <c r="BG287" i="8" s="1"/>
  <c r="BF291" i="8"/>
  <c r="BG291" i="8" s="1"/>
  <c r="BK460" i="8"/>
  <c r="BK508" i="8"/>
  <c r="BL508" i="8" s="1"/>
  <c r="BM508" i="8" s="1"/>
  <c r="BF295" i="8"/>
  <c r="BL295" i="8" s="1"/>
  <c r="BF299" i="8"/>
  <c r="BG299" i="8" s="1"/>
  <c r="BF303" i="8"/>
  <c r="BG303" i="8" s="1"/>
  <c r="BK328" i="8"/>
  <c r="BL328" i="8" s="1"/>
  <c r="BM328" i="8" s="1"/>
  <c r="BN328" i="8" s="1"/>
  <c r="BK362" i="8"/>
  <c r="BL362" i="8" s="1"/>
  <c r="BF459" i="8"/>
  <c r="BF689" i="8"/>
  <c r="BL689" i="8" s="1"/>
  <c r="BF715" i="8"/>
  <c r="BG715" i="8" s="1"/>
  <c r="BF717" i="8"/>
  <c r="BL717" i="8" s="1"/>
  <c r="BK1011" i="8"/>
  <c r="BL1011" i="8" s="1"/>
  <c r="BF1293" i="8"/>
  <c r="BG1293" i="8" s="1"/>
  <c r="BF1311" i="8"/>
  <c r="BG1311" i="8" s="1"/>
  <c r="BL1426" i="8"/>
  <c r="BM1426" i="8" s="1"/>
  <c r="BO1426" i="8" s="1"/>
  <c r="BK1426" i="8"/>
  <c r="BL1441" i="8"/>
  <c r="BM1441" i="8" s="1"/>
  <c r="BN1441" i="8" s="1"/>
  <c r="BG1441" i="8"/>
  <c r="BK1173" i="8"/>
  <c r="BL1173" i="8" s="1"/>
  <c r="BF1455" i="8"/>
  <c r="BL1455" i="8" s="1"/>
  <c r="BM1455" i="8" s="1"/>
  <c r="BF155" i="8"/>
  <c r="BL155" i="8" s="1"/>
  <c r="BF205" i="8"/>
  <c r="BG205" i="8" s="1"/>
  <c r="BF213" i="8"/>
  <c r="BL213" i="8" s="1"/>
  <c r="BF257" i="8"/>
  <c r="BG257" i="8" s="1"/>
  <c r="BF268" i="8"/>
  <c r="BL268" i="8" s="1"/>
  <c r="BF274" i="8"/>
  <c r="BL274" i="8" s="1"/>
  <c r="BF286" i="8"/>
  <c r="BG286" i="8" s="1"/>
  <c r="BF290" i="8"/>
  <c r="BG290" i="8" s="1"/>
  <c r="BF294" i="8"/>
  <c r="BG294" i="8" s="1"/>
  <c r="BF298" i="8"/>
  <c r="BG298" i="8" s="1"/>
  <c r="BF302" i="8"/>
  <c r="BG302" i="8" s="1"/>
  <c r="BF306" i="8"/>
  <c r="BG306" i="8" s="1"/>
  <c r="BF457" i="8"/>
  <c r="BL457" i="8" s="1"/>
  <c r="BF461" i="8"/>
  <c r="BG461" i="8" s="1"/>
  <c r="BF598" i="8"/>
  <c r="BG598" i="8" s="1"/>
  <c r="BF600" i="8"/>
  <c r="BL600" i="8" s="1"/>
  <c r="BF611" i="8"/>
  <c r="BF693" i="8"/>
  <c r="BG693" i="8" s="1"/>
  <c r="BF697" i="8"/>
  <c r="BG697" i="8" s="1"/>
  <c r="BF710" i="8"/>
  <c r="BL710" i="8" s="1"/>
  <c r="BM710" i="8" s="1"/>
  <c r="BO710" i="8" s="1"/>
  <c r="BF1301" i="8"/>
  <c r="BG1301" i="8" s="1"/>
  <c r="BF1347" i="8"/>
  <c r="BG1347" i="8" s="1"/>
  <c r="BF1391" i="8"/>
  <c r="BG1391" i="8" s="1"/>
  <c r="BL1312" i="8"/>
  <c r="BF250" i="8"/>
  <c r="BG250" i="8" s="1"/>
  <c r="BF252" i="8"/>
  <c r="BG252" i="8" s="1"/>
  <c r="BF256" i="8"/>
  <c r="BF266" i="8"/>
  <c r="BL266" i="8" s="1"/>
  <c r="BM266" i="8" s="1"/>
  <c r="BF289" i="8"/>
  <c r="BG289" i="8" s="1"/>
  <c r="BF293" i="8"/>
  <c r="BG293" i="8" s="1"/>
  <c r="BF297" i="8"/>
  <c r="BL297" i="8" s="1"/>
  <c r="BM297" i="8" s="1"/>
  <c r="BF301" i="8"/>
  <c r="BG301" i="8" s="1"/>
  <c r="BF305" i="8"/>
  <c r="BG305" i="8" s="1"/>
  <c r="BF309" i="8"/>
  <c r="BG309" i="8" s="1"/>
  <c r="BF310" i="8"/>
  <c r="BG310" i="8" s="1"/>
  <c r="BK368" i="8"/>
  <c r="BL368" i="8" s="1"/>
  <c r="BM368" i="8" s="1"/>
  <c r="BN368" i="8" s="1"/>
  <c r="BK384" i="8"/>
  <c r="BL384" i="8" s="1"/>
  <c r="BM384" i="8" s="1"/>
  <c r="BO384" i="8" s="1"/>
  <c r="BF449" i="8"/>
  <c r="BF450" i="8"/>
  <c r="BL450" i="8" s="1"/>
  <c r="BM450" i="8" s="1"/>
  <c r="BF451" i="8"/>
  <c r="BL451" i="8" s="1"/>
  <c r="BF452" i="8"/>
  <c r="BL452" i="8" s="1"/>
  <c r="BM452" i="8" s="1"/>
  <c r="BF453" i="8"/>
  <c r="BF454" i="8"/>
  <c r="BF455" i="8"/>
  <c r="BG455" i="8" s="1"/>
  <c r="BK807" i="8"/>
  <c r="BL807" i="8" s="1"/>
  <c r="BF1356" i="8"/>
  <c r="BG1356" i="8" s="1"/>
  <c r="BF1479" i="8"/>
  <c r="BG1479" i="8" s="1"/>
  <c r="BF212" i="8"/>
  <c r="BL212" i="8" s="1"/>
  <c r="BF220" i="8"/>
  <c r="BF320" i="8"/>
  <c r="BL320" i="8" s="1"/>
  <c r="BM320" i="8" s="1"/>
  <c r="BF321" i="8"/>
  <c r="BL321" i="8" s="1"/>
  <c r="BK326" i="8"/>
  <c r="BL326" i="8" s="1"/>
  <c r="BM326" i="8" s="1"/>
  <c r="BK370" i="8"/>
  <c r="BL370" i="8" s="1"/>
  <c r="BK448" i="8"/>
  <c r="BK497" i="8"/>
  <c r="BL497" i="8" s="1"/>
  <c r="BK509" i="8"/>
  <c r="BL509" i="8" s="1"/>
  <c r="BM509" i="8" s="1"/>
  <c r="BN509" i="8" s="1"/>
  <c r="BK1219" i="8"/>
  <c r="BL1302" i="8"/>
  <c r="BL1381" i="8"/>
  <c r="BK1381" i="8"/>
  <c r="BL1383" i="8"/>
  <c r="BF209" i="8"/>
  <c r="BL209" i="8" s="1"/>
  <c r="BF217" i="8"/>
  <c r="BL217" i="8" s="1"/>
  <c r="BM217" i="8" s="1"/>
  <c r="BF255" i="8"/>
  <c r="BG255" i="8" s="1"/>
  <c r="BF259" i="8"/>
  <c r="BL259" i="8" s="1"/>
  <c r="BF260" i="8"/>
  <c r="BG260" i="8" s="1"/>
  <c r="BF261" i="8"/>
  <c r="BL261" i="8" s="1"/>
  <c r="BF262" i="8"/>
  <c r="BL262" i="8" s="1"/>
  <c r="BF263" i="8"/>
  <c r="BG263" i="8" s="1"/>
  <c r="BF264" i="8"/>
  <c r="BF272" i="8"/>
  <c r="BL272" i="8" s="1"/>
  <c r="BM272" i="8" s="1"/>
  <c r="BF319" i="8"/>
  <c r="BL319" i="8" s="1"/>
  <c r="BM319" i="8" s="1"/>
  <c r="BF323" i="8"/>
  <c r="BL323" i="8" s="1"/>
  <c r="BM323" i="8" s="1"/>
  <c r="BF448" i="8"/>
  <c r="BL448" i="8" s="1"/>
  <c r="BM448" i="8" s="1"/>
  <c r="BK511" i="8"/>
  <c r="BL511" i="8" s="1"/>
  <c r="BF589" i="8"/>
  <c r="BF700" i="8"/>
  <c r="BL700" i="8" s="1"/>
  <c r="BG723" i="8"/>
  <c r="BF838" i="8"/>
  <c r="BG838" i="8" s="1"/>
  <c r="BF841" i="8"/>
  <c r="BL841" i="8" s="1"/>
  <c r="BF971" i="8"/>
  <c r="BG971" i="8" s="1"/>
  <c r="BK1167" i="8"/>
  <c r="BL1167" i="8" s="1"/>
  <c r="BF1229" i="8"/>
  <c r="BG1229" i="8" s="1"/>
  <c r="BF1326" i="8"/>
  <c r="BG1326" i="8" s="1"/>
  <c r="BF1337" i="8"/>
  <c r="BG1337" i="8" s="1"/>
  <c r="BK1405" i="8"/>
  <c r="BF1476" i="8"/>
  <c r="BG1476" i="8" s="1"/>
  <c r="BL1495" i="8"/>
  <c r="BM1495" i="8" s="1"/>
  <c r="BN1495" i="8" s="1"/>
  <c r="BF1567" i="8"/>
  <c r="BG1567" i="8" s="1"/>
  <c r="BF832" i="8"/>
  <c r="BL832" i="8" s="1"/>
  <c r="BF1283" i="8"/>
  <c r="BG1283" i="8" s="1"/>
  <c r="BL1292" i="8"/>
  <c r="BF1342" i="8"/>
  <c r="BG1342" i="8" s="1"/>
  <c r="BF1346" i="8"/>
  <c r="BG1346" i="8" s="1"/>
  <c r="BF1350" i="8"/>
  <c r="BG1350" i="8" s="1"/>
  <c r="BF1360" i="8"/>
  <c r="BG1360" i="8" s="1"/>
  <c r="BF1378" i="8"/>
  <c r="BG1378" i="8" s="1"/>
  <c r="BF1396" i="8"/>
  <c r="BL1396" i="8" s="1"/>
  <c r="BF1397" i="8"/>
  <c r="BL1397" i="8" s="1"/>
  <c r="BM1397" i="8" s="1"/>
  <c r="BF1398" i="8"/>
  <c r="BL1398" i="8" s="1"/>
  <c r="BF1404" i="8"/>
  <c r="BK1414" i="8"/>
  <c r="BF1437" i="8"/>
  <c r="BG1437" i="8" s="1"/>
  <c r="BF1454" i="8"/>
  <c r="BG1454" i="8" s="1"/>
  <c r="BK1471" i="8"/>
  <c r="BF1473" i="8"/>
  <c r="BG1473" i="8" s="1"/>
  <c r="BK1475" i="8"/>
  <c r="BF1521" i="8"/>
  <c r="BG1521" i="8" s="1"/>
  <c r="BF1540" i="8"/>
  <c r="BG1540" i="8" s="1"/>
  <c r="BF1550" i="8"/>
  <c r="BL1550" i="8" s="1"/>
  <c r="BF1570" i="8"/>
  <c r="BG1570" i="8" s="1"/>
  <c r="BF703" i="8"/>
  <c r="BF719" i="8"/>
  <c r="BL719" i="8" s="1"/>
  <c r="BF831" i="8"/>
  <c r="BL831" i="8" s="1"/>
  <c r="BM831" i="8" s="1"/>
  <c r="BF840" i="8"/>
  <c r="BL840" i="8" s="1"/>
  <c r="BF867" i="8"/>
  <c r="BF989" i="8"/>
  <c r="BG989" i="8" s="1"/>
  <c r="BF993" i="8"/>
  <c r="BL993" i="8" s="1"/>
  <c r="BM993" i="8" s="1"/>
  <c r="BF1040" i="8"/>
  <c r="BK1089" i="8"/>
  <c r="BL1089" i="8" s="1"/>
  <c r="BK1211" i="8"/>
  <c r="BL1275" i="8"/>
  <c r="BL1282" i="8"/>
  <c r="BM1282" i="8" s="1"/>
  <c r="BO1282" i="8" s="1"/>
  <c r="BK1287" i="8"/>
  <c r="BF1566" i="8"/>
  <c r="BG1566" i="8" s="1"/>
  <c r="BK783" i="8"/>
  <c r="BF830" i="8"/>
  <c r="BF969" i="8"/>
  <c r="BL969" i="8" s="1"/>
  <c r="BK1172" i="8"/>
  <c r="BL1172" i="8" s="1"/>
  <c r="BK1177" i="8"/>
  <c r="BL1177" i="8" s="1"/>
  <c r="BM1177" i="8" s="1"/>
  <c r="BF1267" i="8"/>
  <c r="BG1267" i="8" s="1"/>
  <c r="BL1283" i="8"/>
  <c r="BL1296" i="8"/>
  <c r="BF1364" i="8"/>
  <c r="BG1364" i="8" s="1"/>
  <c r="BF1368" i="8"/>
  <c r="BG1368" i="8" s="1"/>
  <c r="BF1377" i="8"/>
  <c r="BG1377" i="8" s="1"/>
  <c r="BF1407" i="8"/>
  <c r="BL1407" i="8" s="1"/>
  <c r="BM1407" i="8" s="1"/>
  <c r="BF1414" i="8"/>
  <c r="BF1435" i="8"/>
  <c r="BG1435" i="8" s="1"/>
  <c r="BK1440" i="8"/>
  <c r="BF1485" i="8"/>
  <c r="BG1485" i="8" s="1"/>
  <c r="BF1493" i="8"/>
  <c r="BG1493" i="8" s="1"/>
  <c r="BF1502" i="8"/>
  <c r="BG1502" i="8" s="1"/>
  <c r="BF1517" i="8"/>
  <c r="BG1517" i="8" s="1"/>
  <c r="BF1535" i="8"/>
  <c r="BG1535" i="8" s="1"/>
  <c r="BF797" i="8"/>
  <c r="BF843" i="8"/>
  <c r="BL843" i="8" s="1"/>
  <c r="BF866" i="8"/>
  <c r="BL866" i="8" s="1"/>
  <c r="BF968" i="8"/>
  <c r="BG968" i="8" s="1"/>
  <c r="BF1105" i="8"/>
  <c r="BL1105" i="8" s="1"/>
  <c r="BF1220" i="8"/>
  <c r="BF1227" i="8"/>
  <c r="BG1227" i="8" s="1"/>
  <c r="BF1234" i="8"/>
  <c r="BG1234" i="8" s="1"/>
  <c r="BF1240" i="8"/>
  <c r="BG1240" i="8" s="1"/>
  <c r="BF1247" i="8"/>
  <c r="BG1247" i="8" s="1"/>
  <c r="BF1258" i="8"/>
  <c r="BG1258" i="8" s="1"/>
  <c r="BF1358" i="8"/>
  <c r="BG1358" i="8" s="1"/>
  <c r="BL1379" i="8"/>
  <c r="BM1379" i="8" s="1"/>
  <c r="BO1379" i="8" s="1"/>
  <c r="BF1388" i="8"/>
  <c r="BG1388" i="8" s="1"/>
  <c r="BF1413" i="8"/>
  <c r="BG1413" i="8" s="1"/>
  <c r="BF1421" i="8"/>
  <c r="BG1421" i="8" s="1"/>
  <c r="BF1425" i="8"/>
  <c r="BG1425" i="8" s="1"/>
  <c r="BF1428" i="8"/>
  <c r="BG1428" i="8" s="1"/>
  <c r="BF1456" i="8"/>
  <c r="BG1456" i="8" s="1"/>
  <c r="BF1533" i="8"/>
  <c r="BG1533" i="8" s="1"/>
  <c r="BF709" i="8"/>
  <c r="BL709" i="8" s="1"/>
  <c r="BF828" i="8"/>
  <c r="BG828" i="8" s="1"/>
  <c r="BF967" i="8"/>
  <c r="BG967" i="8" s="1"/>
  <c r="BN1463" i="8"/>
  <c r="BF1539" i="8"/>
  <c r="BG1539" i="8" s="1"/>
  <c r="BF1549" i="8"/>
  <c r="BL1549" i="8" s="1"/>
  <c r="BL1575" i="8"/>
  <c r="BF860" i="8"/>
  <c r="BG860" i="8" s="1"/>
  <c r="BF865" i="8"/>
  <c r="BL865" i="8" s="1"/>
  <c r="BM865" i="8" s="1"/>
  <c r="BF869" i="8"/>
  <c r="BL869" i="8" s="1"/>
  <c r="BF966" i="8"/>
  <c r="BG966" i="8" s="1"/>
  <c r="BF987" i="8"/>
  <c r="BG987" i="8" s="1"/>
  <c r="BF991" i="8"/>
  <c r="BF995" i="8"/>
  <c r="BG995" i="8" s="1"/>
  <c r="BF1104" i="8"/>
  <c r="BL1104" i="8" s="1"/>
  <c r="BK1141" i="8"/>
  <c r="BL1141" i="8" s="1"/>
  <c r="BK1168" i="8"/>
  <c r="BL1168" i="8" s="1"/>
  <c r="BL1211" i="8"/>
  <c r="BM1211" i="8" s="1"/>
  <c r="BN1211" i="8" s="1"/>
  <c r="BF1236" i="8"/>
  <c r="BG1236" i="8" s="1"/>
  <c r="BF1239" i="8"/>
  <c r="BG1239" i="8" s="1"/>
  <c r="BF1260" i="8"/>
  <c r="BG1260" i="8" s="1"/>
  <c r="BF1272" i="8"/>
  <c r="BG1272" i="8" s="1"/>
  <c r="BK1282" i="8"/>
  <c r="BF1286" i="8"/>
  <c r="BG1286" i="8" s="1"/>
  <c r="BF1291" i="8"/>
  <c r="BG1291" i="8" s="1"/>
  <c r="BF1362" i="8"/>
  <c r="BG1362" i="8" s="1"/>
  <c r="BF1367" i="8"/>
  <c r="BG1367" i="8" s="1"/>
  <c r="BF1376" i="8"/>
  <c r="BG1376" i="8" s="1"/>
  <c r="BF1405" i="8"/>
  <c r="BF1412" i="8"/>
  <c r="BG1412" i="8" s="1"/>
  <c r="BF1417" i="8"/>
  <c r="BF1424" i="8"/>
  <c r="BG1424" i="8" s="1"/>
  <c r="BK1433" i="8"/>
  <c r="BF1471" i="8"/>
  <c r="BG1471" i="8" s="1"/>
  <c r="BF1495" i="8"/>
  <c r="BG1495" i="8" s="1"/>
  <c r="BF1522" i="8"/>
  <c r="BG1522" i="8" s="1"/>
  <c r="BF1525" i="8"/>
  <c r="BG1525" i="8" s="1"/>
  <c r="BF1551" i="8"/>
  <c r="BL1551" i="8" s="1"/>
  <c r="BK24" i="8"/>
  <c r="BK9" i="8"/>
  <c r="BK3" i="8"/>
  <c r="BK19" i="8"/>
  <c r="BK16" i="8"/>
  <c r="BK11" i="8"/>
  <c r="BF6" i="8"/>
  <c r="BK22" i="8"/>
  <c r="BK38" i="8"/>
  <c r="BK5" i="8"/>
  <c r="BK14" i="8"/>
  <c r="BK2" i="8"/>
  <c r="BK21" i="8"/>
  <c r="BK4" i="8"/>
  <c r="BF5" i="8"/>
  <c r="BF18" i="8"/>
  <c r="BL31" i="8"/>
  <c r="BK31" i="8"/>
  <c r="BF40" i="8"/>
  <c r="BF45" i="8"/>
  <c r="BK48" i="8"/>
  <c r="BF57" i="8"/>
  <c r="BF61" i="8"/>
  <c r="BK82" i="8"/>
  <c r="BK145" i="8"/>
  <c r="BL145" i="8" s="1"/>
  <c r="BK186" i="8"/>
  <c r="BK53" i="8"/>
  <c r="BK74" i="8"/>
  <c r="BN109" i="8"/>
  <c r="BK182" i="8"/>
  <c r="BF60" i="8"/>
  <c r="BK63" i="8"/>
  <c r="BF64" i="8"/>
  <c r="BF163" i="8"/>
  <c r="BF48" i="8"/>
  <c r="BK76" i="8"/>
  <c r="BK88" i="8"/>
  <c r="BK89" i="8"/>
  <c r="BK90" i="8"/>
  <c r="BK91" i="8"/>
  <c r="BK113" i="8"/>
  <c r="BK129" i="8"/>
  <c r="BK23" i="8"/>
  <c r="BF25" i="8"/>
  <c r="BK44" i="8"/>
  <c r="BK50" i="8"/>
  <c r="BK55" i="8"/>
  <c r="BK68" i="8"/>
  <c r="BK144" i="8"/>
  <c r="BL144" i="8" s="1"/>
  <c r="BM144" i="8" s="1"/>
  <c r="BK146" i="8"/>
  <c r="BL146" i="8" s="1"/>
  <c r="BK165" i="8"/>
  <c r="BK36" i="8"/>
  <c r="BL39" i="8"/>
  <c r="BM39" i="8" s="1"/>
  <c r="BK39" i="8"/>
  <c r="BK56" i="8"/>
  <c r="BK78" i="8"/>
  <c r="BK105" i="8"/>
  <c r="BK34" i="8"/>
  <c r="BL35" i="8"/>
  <c r="BF39" i="8"/>
  <c r="BG39" i="8" s="1"/>
  <c r="BF43" i="8"/>
  <c r="BK51" i="8"/>
  <c r="BK148" i="8"/>
  <c r="BL148" i="8" s="1"/>
  <c r="BK154" i="8"/>
  <c r="BF33" i="8"/>
  <c r="BF44" i="8"/>
  <c r="BK47" i="8"/>
  <c r="BF51" i="8"/>
  <c r="BK57" i="8"/>
  <c r="BK72" i="8"/>
  <c r="BK80" i="8"/>
  <c r="BK136" i="8"/>
  <c r="BL136" i="8" s="1"/>
  <c r="BK161" i="8"/>
  <c r="BK188" i="8"/>
  <c r="BK270" i="8"/>
  <c r="BK162" i="8"/>
  <c r="BF168" i="8"/>
  <c r="BF176" i="8"/>
  <c r="BK177" i="8"/>
  <c r="BK209" i="8"/>
  <c r="BK217" i="8"/>
  <c r="BF239" i="8"/>
  <c r="BF243" i="8"/>
  <c r="BK246" i="8"/>
  <c r="BK251" i="8"/>
  <c r="BK288" i="8"/>
  <c r="AX137" i="8"/>
  <c r="AY137" i="8" s="1"/>
  <c r="AX139" i="8"/>
  <c r="AY139" i="8" s="1"/>
  <c r="AX141" i="8"/>
  <c r="AY141" i="8" s="1"/>
  <c r="AX143" i="8"/>
  <c r="AY143" i="8" s="1"/>
  <c r="BF173" i="8"/>
  <c r="BF288" i="8"/>
  <c r="BF292" i="8"/>
  <c r="BF296" i="8"/>
  <c r="BF300" i="8"/>
  <c r="BF304" i="8"/>
  <c r="BF308" i="8"/>
  <c r="BF164" i="8"/>
  <c r="BF170" i="8"/>
  <c r="BF178" i="8"/>
  <c r="BL198" i="8"/>
  <c r="BM198" i="8" s="1"/>
  <c r="BG198" i="8"/>
  <c r="BK211" i="8"/>
  <c r="BK219" i="8"/>
  <c r="BF229" i="8"/>
  <c r="BF230" i="8"/>
  <c r="BF231" i="8"/>
  <c r="BF232" i="8"/>
  <c r="BF233" i="8"/>
  <c r="BF234" i="8"/>
  <c r="BF235" i="8"/>
  <c r="BF236" i="8"/>
  <c r="BF237" i="8"/>
  <c r="BF238" i="8"/>
  <c r="BF242" i="8"/>
  <c r="BK244" i="8"/>
  <c r="BK267" i="8"/>
  <c r="BK291" i="8"/>
  <c r="BK299" i="8"/>
  <c r="BK307" i="8"/>
  <c r="BK99" i="8"/>
  <c r="BK101" i="8"/>
  <c r="BK104" i="8"/>
  <c r="BK107" i="8"/>
  <c r="BK109" i="8"/>
  <c r="BK118" i="8"/>
  <c r="BK120" i="8"/>
  <c r="BK122" i="8"/>
  <c r="BK124" i="8"/>
  <c r="BK126" i="8"/>
  <c r="BK128" i="8"/>
  <c r="AX135" i="8"/>
  <c r="AY135" i="8" s="1"/>
  <c r="AX147" i="8"/>
  <c r="AY147" i="8" s="1"/>
  <c r="AX149" i="8"/>
  <c r="AY149" i="8" s="1"/>
  <c r="AX151" i="8"/>
  <c r="AY151" i="8" s="1"/>
  <c r="BF175" i="8"/>
  <c r="BK176" i="8"/>
  <c r="BF183" i="8"/>
  <c r="BF187" i="8"/>
  <c r="BF307" i="8"/>
  <c r="BF172" i="8"/>
  <c r="BF180" i="8"/>
  <c r="BK205" i="8"/>
  <c r="BK213" i="8"/>
  <c r="BK274" i="8"/>
  <c r="BF169" i="8"/>
  <c r="BF177" i="8"/>
  <c r="BK333" i="8"/>
  <c r="BL333" i="8" s="1"/>
  <c r="BF174" i="8"/>
  <c r="BK207" i="8"/>
  <c r="BK215" i="8"/>
  <c r="BF240" i="8"/>
  <c r="BK242" i="8"/>
  <c r="BF244" i="8"/>
  <c r="BK261" i="8"/>
  <c r="BK264" i="8"/>
  <c r="BK289" i="8"/>
  <c r="BK305" i="8"/>
  <c r="BK309" i="8"/>
  <c r="BK321" i="8"/>
  <c r="BK340" i="8"/>
  <c r="BL340" i="8" s="1"/>
  <c r="BF280" i="8"/>
  <c r="AX311" i="8"/>
  <c r="AY311" i="8" s="1"/>
  <c r="BK432" i="8"/>
  <c r="BL432" i="8" s="1"/>
  <c r="BM432" i="8" s="1"/>
  <c r="AX248" i="8"/>
  <c r="AY248" i="8" s="1"/>
  <c r="AX281" i="8"/>
  <c r="AY281" i="8" s="1"/>
  <c r="AX319" i="8"/>
  <c r="AY319" i="8" s="1"/>
  <c r="BK367" i="8"/>
  <c r="BL367" i="8" s="1"/>
  <c r="BK371" i="8"/>
  <c r="BL371" i="8" s="1"/>
  <c r="AX276" i="8"/>
  <c r="AY276" i="8" s="1"/>
  <c r="AX284" i="8"/>
  <c r="AY284" i="8" s="1"/>
  <c r="BK332" i="8"/>
  <c r="BL332" i="8" s="1"/>
  <c r="BK334" i="8"/>
  <c r="BL334" i="8" s="1"/>
  <c r="BF313" i="8"/>
  <c r="BF318" i="8"/>
  <c r="BK327" i="8"/>
  <c r="BL327" i="8" s="1"/>
  <c r="BK365" i="8"/>
  <c r="BL365" i="8" s="1"/>
  <c r="BF445" i="8"/>
  <c r="BK320" i="8"/>
  <c r="BK359" i="8"/>
  <c r="BL359" i="8" s="1"/>
  <c r="BK363" i="8"/>
  <c r="BL363" i="8" s="1"/>
  <c r="BM363" i="8" s="1"/>
  <c r="BN363" i="8" s="1"/>
  <c r="BK441" i="8"/>
  <c r="BL441" i="8" s="1"/>
  <c r="BK451" i="8"/>
  <c r="AX316" i="8"/>
  <c r="AY316" i="8" s="1"/>
  <c r="BF316" i="8"/>
  <c r="BK325" i="8"/>
  <c r="BL325" i="8" s="1"/>
  <c r="BK372" i="8"/>
  <c r="BL372" i="8" s="1"/>
  <c r="BF444" i="8"/>
  <c r="BK449" i="8"/>
  <c r="BK331" i="8"/>
  <c r="BL331" i="8" s="1"/>
  <c r="BK335" i="8"/>
  <c r="BL335" i="8" s="1"/>
  <c r="BF340" i="8"/>
  <c r="AX343" i="8"/>
  <c r="AY343" i="8" s="1"/>
  <c r="BF343" i="8"/>
  <c r="BF348" i="8"/>
  <c r="AX351" i="8"/>
  <c r="AY351" i="8" s="1"/>
  <c r="BF351" i="8"/>
  <c r="BK366" i="8"/>
  <c r="BL366" i="8" s="1"/>
  <c r="BK463" i="8"/>
  <c r="AX338" i="8"/>
  <c r="AY338" i="8" s="1"/>
  <c r="AX346" i="8"/>
  <c r="AY346" i="8" s="1"/>
  <c r="AX354" i="8"/>
  <c r="AY354" i="8" s="1"/>
  <c r="BK364" i="8"/>
  <c r="BL364" i="8" s="1"/>
  <c r="AX378" i="8"/>
  <c r="AY378" i="8" s="1"/>
  <c r="AX386" i="8"/>
  <c r="AY386" i="8" s="1"/>
  <c r="BK390" i="8"/>
  <c r="BL390" i="8" s="1"/>
  <c r="AX394" i="8"/>
  <c r="AY394" i="8" s="1"/>
  <c r="AX402" i="8"/>
  <c r="AY402" i="8" s="1"/>
  <c r="AX410" i="8"/>
  <c r="AY410" i="8" s="1"/>
  <c r="AX418" i="8"/>
  <c r="AY418" i="8" s="1"/>
  <c r="AX426" i="8"/>
  <c r="AY426" i="8" s="1"/>
  <c r="AX434" i="8"/>
  <c r="AY434" i="8" s="1"/>
  <c r="AX442" i="8"/>
  <c r="AY442" i="8" s="1"/>
  <c r="BF485" i="8"/>
  <c r="AX485" i="8"/>
  <c r="AY485" i="8" s="1"/>
  <c r="BK518" i="8"/>
  <c r="BL518" i="8" s="1"/>
  <c r="BK547" i="8"/>
  <c r="BK551" i="8"/>
  <c r="BK554" i="8"/>
  <c r="BK595" i="8"/>
  <c r="BF359" i="8"/>
  <c r="BF375" i="8"/>
  <c r="BF383" i="8"/>
  <c r="BF391" i="8"/>
  <c r="BF399" i="8"/>
  <c r="BF407" i="8"/>
  <c r="BF415" i="8"/>
  <c r="BF423" i="8"/>
  <c r="BF431" i="8"/>
  <c r="BF439" i="8"/>
  <c r="BK461" i="8"/>
  <c r="BF478" i="8"/>
  <c r="BK520" i="8"/>
  <c r="BL520" i="8" s="1"/>
  <c r="BK599" i="8"/>
  <c r="BK610" i="8"/>
  <c r="BK612" i="8"/>
  <c r="BF463" i="8"/>
  <c r="BF468" i="8"/>
  <c r="BF471" i="8"/>
  <c r="AX474" i="8"/>
  <c r="AY474" i="8" s="1"/>
  <c r="AX483" i="8"/>
  <c r="AY483" i="8" s="1"/>
  <c r="BF486" i="8"/>
  <c r="BF490" i="8"/>
  <c r="AX490" i="8"/>
  <c r="AY490" i="8" s="1"/>
  <c r="BK586" i="8"/>
  <c r="BK588" i="8"/>
  <c r="AX466" i="8"/>
  <c r="AY466" i="8" s="1"/>
  <c r="AX467" i="8"/>
  <c r="AY467" i="8" s="1"/>
  <c r="BF469" i="8"/>
  <c r="AX469" i="8"/>
  <c r="AY469" i="8" s="1"/>
  <c r="BF502" i="8"/>
  <c r="AX502" i="8"/>
  <c r="AY502" i="8" s="1"/>
  <c r="BO550" i="8"/>
  <c r="BF479" i="8"/>
  <c r="BK510" i="8"/>
  <c r="BL510" i="8" s="1"/>
  <c r="BK619" i="8"/>
  <c r="BL619" i="8" s="1"/>
  <c r="BN553" i="8"/>
  <c r="BK553" i="8"/>
  <c r="BO553" i="8"/>
  <c r="BK590" i="8"/>
  <c r="BK598" i="8"/>
  <c r="BK600" i="8"/>
  <c r="BK611" i="8"/>
  <c r="BK493" i="8"/>
  <c r="BL493" i="8" s="1"/>
  <c r="BK563" i="8"/>
  <c r="BL563" i="8" s="1"/>
  <c r="BK587" i="8"/>
  <c r="BK589" i="8"/>
  <c r="BK597" i="8"/>
  <c r="BF476" i="8"/>
  <c r="BF477" i="8"/>
  <c r="AX477" i="8"/>
  <c r="AY477" i="8" s="1"/>
  <c r="AX487" i="8"/>
  <c r="AY487" i="8" s="1"/>
  <c r="BK503" i="8"/>
  <c r="BL503" i="8" s="1"/>
  <c r="BK548" i="8"/>
  <c r="BG550" i="8"/>
  <c r="BG552" i="8"/>
  <c r="BK583" i="8"/>
  <c r="BK585" i="8"/>
  <c r="BK602" i="8"/>
  <c r="BK606" i="8"/>
  <c r="BK608" i="8"/>
  <c r="BK635" i="8"/>
  <c r="BK639" i="8"/>
  <c r="BG645" i="8"/>
  <c r="BL645" i="8"/>
  <c r="BM645" i="8" s="1"/>
  <c r="BK651" i="8"/>
  <c r="BL651" i="8" s="1"/>
  <c r="BK666" i="8"/>
  <c r="BL666" i="8" s="1"/>
  <c r="BK684" i="8"/>
  <c r="BL684" i="8" s="1"/>
  <c r="BK694" i="8"/>
  <c r="BK701" i="8"/>
  <c r="BK710" i="8"/>
  <c r="BK717" i="8"/>
  <c r="AX538" i="8"/>
  <c r="AY538" i="8" s="1"/>
  <c r="AX539" i="8"/>
  <c r="AY539" i="8" s="1"/>
  <c r="AX540" i="8"/>
  <c r="AY540" i="8" s="1"/>
  <c r="AX541" i="8"/>
  <c r="AY541" i="8" s="1"/>
  <c r="AX542" i="8"/>
  <c r="AY542" i="8" s="1"/>
  <c r="AX543" i="8"/>
  <c r="AY543" i="8" s="1"/>
  <c r="AX544" i="8"/>
  <c r="AY544" i="8" s="1"/>
  <c r="BF554" i="8"/>
  <c r="BF555" i="8"/>
  <c r="BF556" i="8"/>
  <c r="AX558" i="8"/>
  <c r="AY558" i="8" s="1"/>
  <c r="AX559" i="8"/>
  <c r="AY559" i="8" s="1"/>
  <c r="AX560" i="8"/>
  <c r="AY560" i="8" s="1"/>
  <c r="AX561" i="8"/>
  <c r="AY561" i="8" s="1"/>
  <c r="AX562" i="8"/>
  <c r="AY562" i="8" s="1"/>
  <c r="AX570" i="8"/>
  <c r="AY570" i="8" s="1"/>
  <c r="AX578" i="8"/>
  <c r="AY578" i="8" s="1"/>
  <c r="BF591" i="8"/>
  <c r="BF592" i="8"/>
  <c r="BF593" i="8"/>
  <c r="BF594" i="8"/>
  <c r="BF595" i="8"/>
  <c r="BF596" i="8"/>
  <c r="BF597" i="8"/>
  <c r="AX615" i="8"/>
  <c r="AY615" i="8" s="1"/>
  <c r="BK626" i="8"/>
  <c r="BK642" i="8"/>
  <c r="BK687" i="8"/>
  <c r="BK696" i="8"/>
  <c r="BK703" i="8"/>
  <c r="BK712" i="8"/>
  <c r="BK719" i="8"/>
  <c r="BK498" i="8"/>
  <c r="BL498" i="8" s="1"/>
  <c r="BK512" i="8"/>
  <c r="BL512" i="8" s="1"/>
  <c r="BK521" i="8"/>
  <c r="BL521" i="8" s="1"/>
  <c r="AX522" i="8"/>
  <c r="AY522" i="8" s="1"/>
  <c r="AX524" i="8"/>
  <c r="AY524" i="8" s="1"/>
  <c r="AX526" i="8"/>
  <c r="AY526" i="8" s="1"/>
  <c r="AX528" i="8"/>
  <c r="AY528" i="8" s="1"/>
  <c r="AX530" i="8"/>
  <c r="AY530" i="8" s="1"/>
  <c r="AX532" i="8"/>
  <c r="AY532" i="8" s="1"/>
  <c r="AX534" i="8"/>
  <c r="AY534" i="8" s="1"/>
  <c r="AX536" i="8"/>
  <c r="AY536" i="8" s="1"/>
  <c r="BK550" i="8"/>
  <c r="BK552" i="8"/>
  <c r="BG553" i="8"/>
  <c r="AX565" i="8"/>
  <c r="AY565" i="8" s="1"/>
  <c r="AX573" i="8"/>
  <c r="AY573" i="8" s="1"/>
  <c r="BK620" i="8"/>
  <c r="BL620" i="8" s="1"/>
  <c r="BF638" i="8"/>
  <c r="BK682" i="8"/>
  <c r="BL682" i="8" s="1"/>
  <c r="BK689" i="8"/>
  <c r="BK698" i="8"/>
  <c r="BK705" i="8"/>
  <c r="BK714" i="8"/>
  <c r="BK721" i="8"/>
  <c r="AX505" i="8"/>
  <c r="AY505" i="8" s="1"/>
  <c r="BK513" i="8"/>
  <c r="BL513" i="8" s="1"/>
  <c r="AX514" i="8"/>
  <c r="AY514" i="8" s="1"/>
  <c r="AX568" i="8"/>
  <c r="AY568" i="8" s="1"/>
  <c r="AX576" i="8"/>
  <c r="AY576" i="8" s="1"/>
  <c r="AX613" i="8"/>
  <c r="AY613" i="8" s="1"/>
  <c r="BF618" i="8"/>
  <c r="BK622" i="8"/>
  <c r="BL622" i="8" s="1"/>
  <c r="BK623" i="8"/>
  <c r="BL623" i="8" s="1"/>
  <c r="BF639" i="8"/>
  <c r="BK646" i="8"/>
  <c r="BK691" i="8"/>
  <c r="BK700" i="8"/>
  <c r="BK707" i="8"/>
  <c r="BK716" i="8"/>
  <c r="BK624" i="8"/>
  <c r="BL624" i="8" s="1"/>
  <c r="BM624" i="8" s="1"/>
  <c r="BK631" i="8"/>
  <c r="BK676" i="8"/>
  <c r="BL676" i="8" s="1"/>
  <c r="BK693" i="8"/>
  <c r="BK702" i="8"/>
  <c r="BK709" i="8"/>
  <c r="BK718" i="8"/>
  <c r="BK728" i="8"/>
  <c r="BN550" i="8"/>
  <c r="BN552" i="8"/>
  <c r="BK688" i="8"/>
  <c r="BK695" i="8"/>
  <c r="BK704" i="8"/>
  <c r="BK711" i="8"/>
  <c r="BK720" i="8"/>
  <c r="BK723" i="8"/>
  <c r="BO723" i="8"/>
  <c r="BN723" i="8"/>
  <c r="BK629" i="8"/>
  <c r="BK668" i="8"/>
  <c r="BL668" i="8" s="1"/>
  <c r="BK674" i="8"/>
  <c r="BL674" i="8" s="1"/>
  <c r="BM674" i="8" s="1"/>
  <c r="BK690" i="8"/>
  <c r="BK697" i="8"/>
  <c r="BK706" i="8"/>
  <c r="BK713" i="8"/>
  <c r="BK730" i="8"/>
  <c r="BL730" i="8" s="1"/>
  <c r="BK628" i="8"/>
  <c r="BK636" i="8"/>
  <c r="BK644" i="8"/>
  <c r="BK692" i="8"/>
  <c r="BK699" i="8"/>
  <c r="BK708" i="8"/>
  <c r="BK715" i="8"/>
  <c r="BB781" i="8"/>
  <c r="BF781" i="8"/>
  <c r="BK786" i="8"/>
  <c r="BK854" i="8"/>
  <c r="BL854" i="8" s="1"/>
  <c r="BK621" i="8"/>
  <c r="BL621" i="8" s="1"/>
  <c r="BF625" i="8"/>
  <c r="BF626" i="8"/>
  <c r="BF627" i="8"/>
  <c r="BF628" i="8"/>
  <c r="BF629" i="8"/>
  <c r="BF630" i="8"/>
  <c r="BF631" i="8"/>
  <c r="BF632" i="8"/>
  <c r="BF633" i="8"/>
  <c r="BF634" i="8"/>
  <c r="BF635" i="8"/>
  <c r="BF636" i="8"/>
  <c r="BK641" i="8"/>
  <c r="BC646" i="8"/>
  <c r="BF654" i="8"/>
  <c r="BF732" i="8"/>
  <c r="BK749" i="8"/>
  <c r="BL749" i="8" s="1"/>
  <c r="AX762" i="8"/>
  <c r="AY762" i="8" s="1"/>
  <c r="BB780" i="8"/>
  <c r="BF780" i="8"/>
  <c r="BK830" i="8"/>
  <c r="BK837" i="8"/>
  <c r="BB642" i="8"/>
  <c r="BB643" i="8"/>
  <c r="BB644" i="8"/>
  <c r="BB645" i="8"/>
  <c r="AX655" i="8"/>
  <c r="AY655" i="8" s="1"/>
  <c r="AX663" i="8"/>
  <c r="AY663" i="8" s="1"/>
  <c r="AX671" i="8"/>
  <c r="AY671" i="8" s="1"/>
  <c r="AX679" i="8"/>
  <c r="AY679" i="8" s="1"/>
  <c r="AX733" i="8"/>
  <c r="AY733" i="8" s="1"/>
  <c r="BF739" i="8"/>
  <c r="BF768" i="8"/>
  <c r="AX768" i="8"/>
  <c r="AY768" i="8" s="1"/>
  <c r="BB779" i="8"/>
  <c r="BF779" i="8"/>
  <c r="BB787" i="8"/>
  <c r="BF787" i="8"/>
  <c r="BF792" i="8"/>
  <c r="AX792" i="8"/>
  <c r="AY792" i="8" s="1"/>
  <c r="BF799" i="8"/>
  <c r="BK801" i="8"/>
  <c r="BL801" i="8" s="1"/>
  <c r="BF833" i="8"/>
  <c r="BF837" i="8"/>
  <c r="BK840" i="8"/>
  <c r="BK752" i="8"/>
  <c r="BL752" i="8" s="1"/>
  <c r="BM752" i="8" s="1"/>
  <c r="BB778" i="8"/>
  <c r="BF778" i="8"/>
  <c r="BB786" i="8"/>
  <c r="BF786" i="8"/>
  <c r="BK793" i="8"/>
  <c r="BL793" i="8" s="1"/>
  <c r="BK836" i="8"/>
  <c r="BK855" i="8"/>
  <c r="BL855" i="8" s="1"/>
  <c r="BK857" i="8"/>
  <c r="BL857" i="8" s="1"/>
  <c r="BK866" i="8"/>
  <c r="BF647" i="8"/>
  <c r="BF648" i="8"/>
  <c r="BF649" i="8"/>
  <c r="BF650" i="8"/>
  <c r="BF724" i="8"/>
  <c r="BF725" i="8"/>
  <c r="BF726" i="8"/>
  <c r="BF727" i="8"/>
  <c r="BF728" i="8"/>
  <c r="BB777" i="8"/>
  <c r="BF777" i="8"/>
  <c r="BK782" i="8"/>
  <c r="BB785" i="8"/>
  <c r="BF785" i="8"/>
  <c r="BK797" i="8"/>
  <c r="BK806" i="8"/>
  <c r="BL806" i="8" s="1"/>
  <c r="BK834" i="8"/>
  <c r="BF836" i="8"/>
  <c r="BK843" i="8"/>
  <c r="BK891" i="8"/>
  <c r="BL891" i="8" s="1"/>
  <c r="AX656" i="8"/>
  <c r="AY656" i="8" s="1"/>
  <c r="AX664" i="8"/>
  <c r="AY664" i="8" s="1"/>
  <c r="AX672" i="8"/>
  <c r="AY672" i="8" s="1"/>
  <c r="AX680" i="8"/>
  <c r="AY680" i="8" s="1"/>
  <c r="AX734" i="8"/>
  <c r="AY734" i="8" s="1"/>
  <c r="AX742" i="8"/>
  <c r="AY742" i="8" s="1"/>
  <c r="BF760" i="8"/>
  <c r="AX760" i="8"/>
  <c r="AY760" i="8" s="1"/>
  <c r="BB776" i="8"/>
  <c r="BF776" i="8"/>
  <c r="BB784" i="8"/>
  <c r="BF784" i="8"/>
  <c r="BF796" i="8"/>
  <c r="AX796" i="8"/>
  <c r="AY796" i="8" s="1"/>
  <c r="BK804" i="8"/>
  <c r="BL804" i="8" s="1"/>
  <c r="BK828" i="8"/>
  <c r="AX740" i="8"/>
  <c r="AY740" i="8" s="1"/>
  <c r="AX741" i="8"/>
  <c r="AY741" i="8" s="1"/>
  <c r="BF750" i="8"/>
  <c r="AX750" i="8"/>
  <c r="AY750" i="8" s="1"/>
  <c r="BF757" i="8"/>
  <c r="AX757" i="8"/>
  <c r="AY757" i="8" s="1"/>
  <c r="BB775" i="8"/>
  <c r="BF775" i="8"/>
  <c r="BK790" i="8"/>
  <c r="BL790" i="8" s="1"/>
  <c r="BK832" i="8"/>
  <c r="BK833" i="8"/>
  <c r="BF835" i="8"/>
  <c r="BK860" i="8"/>
  <c r="BK864" i="8"/>
  <c r="BK747" i="8"/>
  <c r="BL747" i="8" s="1"/>
  <c r="BB774" i="8"/>
  <c r="BF774" i="8"/>
  <c r="BK831" i="8"/>
  <c r="BK838" i="8"/>
  <c r="BK845" i="8"/>
  <c r="BL845" i="8" s="1"/>
  <c r="BK863" i="8"/>
  <c r="BK799" i="8"/>
  <c r="AX874" i="8"/>
  <c r="AY874" i="8" s="1"/>
  <c r="BF875" i="8"/>
  <c r="BK951" i="8"/>
  <c r="BL951" i="8" s="1"/>
  <c r="BK955" i="8"/>
  <c r="BL955" i="8" s="1"/>
  <c r="BK964" i="8"/>
  <c r="BF862" i="8"/>
  <c r="BF863" i="8"/>
  <c r="BF864" i="8"/>
  <c r="BF881" i="8"/>
  <c r="AX881" i="8"/>
  <c r="AY881" i="8" s="1"/>
  <c r="BK1015" i="8"/>
  <c r="BL1015" i="8" s="1"/>
  <c r="AX765" i="8"/>
  <c r="AY765" i="8" s="1"/>
  <c r="AX773" i="8"/>
  <c r="AY773" i="8" s="1"/>
  <c r="BO783" i="8"/>
  <c r="AX815" i="8"/>
  <c r="AY815" i="8" s="1"/>
  <c r="AX823" i="8"/>
  <c r="AY823" i="8" s="1"/>
  <c r="AX853" i="8"/>
  <c r="AY853" i="8" s="1"/>
  <c r="AX875" i="8"/>
  <c r="AY875" i="8" s="1"/>
  <c r="BF889" i="8"/>
  <c r="AX889" i="8"/>
  <c r="AY889" i="8" s="1"/>
  <c r="BK978" i="8"/>
  <c r="BK802" i="8"/>
  <c r="BL802" i="8" s="1"/>
  <c r="AX810" i="8"/>
  <c r="AY810" i="8" s="1"/>
  <c r="AX818" i="8"/>
  <c r="AY818" i="8" s="1"/>
  <c r="AX826" i="8"/>
  <c r="AY826" i="8" s="1"/>
  <c r="BK846" i="8"/>
  <c r="BL846" i="8" s="1"/>
  <c r="AX848" i="8"/>
  <c r="AY848" i="8" s="1"/>
  <c r="BK858" i="8"/>
  <c r="BL858" i="8" s="1"/>
  <c r="AX870" i="8"/>
  <c r="AY870" i="8" s="1"/>
  <c r="BF874" i="8"/>
  <c r="AX876" i="8"/>
  <c r="AY876" i="8" s="1"/>
  <c r="AX877" i="8"/>
  <c r="AY877" i="8" s="1"/>
  <c r="AX878" i="8"/>
  <c r="AY878" i="8" s="1"/>
  <c r="BF900" i="8"/>
  <c r="AX900" i="8"/>
  <c r="AY900" i="8" s="1"/>
  <c r="BK922" i="8"/>
  <c r="BL922" i="8" s="1"/>
  <c r="BK969" i="8"/>
  <c r="BK1018" i="8"/>
  <c r="BL1018" i="8" s="1"/>
  <c r="BK1020" i="8"/>
  <c r="BL1020" i="8" s="1"/>
  <c r="BG783" i="8"/>
  <c r="AX789" i="8"/>
  <c r="AY789" i="8" s="1"/>
  <c r="BK803" i="8"/>
  <c r="BL803" i="8" s="1"/>
  <c r="AX813" i="8"/>
  <c r="AY813" i="8" s="1"/>
  <c r="AX821" i="8"/>
  <c r="AY821" i="8" s="1"/>
  <c r="BK827" i="8"/>
  <c r="BK829" i="8"/>
  <c r="BK839" i="8"/>
  <c r="BK841" i="8"/>
  <c r="BK847" i="8"/>
  <c r="BL847" i="8" s="1"/>
  <c r="AX851" i="8"/>
  <c r="AY851" i="8" s="1"/>
  <c r="BK859" i="8"/>
  <c r="BL859" i="8" s="1"/>
  <c r="BK861" i="8"/>
  <c r="AX888" i="8"/>
  <c r="AY888" i="8" s="1"/>
  <c r="AX894" i="8"/>
  <c r="AY894" i="8" s="1"/>
  <c r="BF897" i="8"/>
  <c r="BK960" i="8"/>
  <c r="BN970" i="8"/>
  <c r="BK992" i="8"/>
  <c r="BK1016" i="8"/>
  <c r="BL1016" i="8" s="1"/>
  <c r="AX758" i="8"/>
  <c r="AY758" i="8" s="1"/>
  <c r="AX766" i="8"/>
  <c r="AY766" i="8" s="1"/>
  <c r="AX816" i="8"/>
  <c r="AY816" i="8" s="1"/>
  <c r="AX824" i="8"/>
  <c r="AY824" i="8" s="1"/>
  <c r="AX886" i="8"/>
  <c r="AY886" i="8" s="1"/>
  <c r="BK957" i="8"/>
  <c r="BL957" i="8" s="1"/>
  <c r="BK995" i="8"/>
  <c r="BF884" i="8"/>
  <c r="AX884" i="8"/>
  <c r="AY884" i="8" s="1"/>
  <c r="BF892" i="8"/>
  <c r="AX892" i="8"/>
  <c r="AY892" i="8" s="1"/>
  <c r="BF899" i="8"/>
  <c r="BK1000" i="8"/>
  <c r="BL1000" i="8" s="1"/>
  <c r="BK1008" i="8"/>
  <c r="BL1008" i="8" s="1"/>
  <c r="BK1012" i="8"/>
  <c r="BL1012" i="8" s="1"/>
  <c r="BK1023" i="8"/>
  <c r="BL1023" i="8" s="1"/>
  <c r="BM1023" i="8" s="1"/>
  <c r="AX873" i="8"/>
  <c r="AY873" i="8" s="1"/>
  <c r="BF891" i="8"/>
  <c r="BK915" i="8"/>
  <c r="BL915" i="8" s="1"/>
  <c r="BK971" i="8"/>
  <c r="BK976" i="8"/>
  <c r="BK997" i="8"/>
  <c r="BK982" i="8"/>
  <c r="BK986" i="8"/>
  <c r="BF1034" i="8"/>
  <c r="AX1034" i="8"/>
  <c r="AY1034" i="8" s="1"/>
  <c r="BK1065" i="8"/>
  <c r="BL1065" i="8" s="1"/>
  <c r="BM1065" i="8" s="1"/>
  <c r="BK1067" i="8"/>
  <c r="BL1067" i="8" s="1"/>
  <c r="BK1096" i="8"/>
  <c r="BL1096" i="8" s="1"/>
  <c r="BM1096" i="8" s="1"/>
  <c r="BO1096" i="8" s="1"/>
  <c r="BK1128" i="8"/>
  <c r="BL1128" i="8" s="1"/>
  <c r="BK1142" i="8"/>
  <c r="BL1142" i="8" s="1"/>
  <c r="BK1157" i="8"/>
  <c r="BL1157" i="8" s="1"/>
  <c r="BK1164" i="8"/>
  <c r="BL1164" i="8" s="1"/>
  <c r="BK1175" i="8"/>
  <c r="BL1175" i="8" s="1"/>
  <c r="BF973" i="8"/>
  <c r="BF974" i="8"/>
  <c r="BF975" i="8"/>
  <c r="BK1049" i="8"/>
  <c r="BL1049" i="8" s="1"/>
  <c r="BK1094" i="8"/>
  <c r="BL1094" i="8" s="1"/>
  <c r="BK1126" i="8"/>
  <c r="BL1126" i="8" s="1"/>
  <c r="BK1140" i="8"/>
  <c r="BL1140" i="8" s="1"/>
  <c r="BK1186" i="8"/>
  <c r="AX897" i="8"/>
  <c r="AY897" i="8" s="1"/>
  <c r="AX905" i="8"/>
  <c r="AY905" i="8" s="1"/>
  <c r="BK909" i="8"/>
  <c r="BL909" i="8" s="1"/>
  <c r="AX913" i="8"/>
  <c r="AY913" i="8" s="1"/>
  <c r="AX921" i="8"/>
  <c r="AY921" i="8" s="1"/>
  <c r="BK925" i="8"/>
  <c r="BL925" i="8" s="1"/>
  <c r="BM925" i="8" s="1"/>
  <c r="AX929" i="8"/>
  <c r="AY929" i="8" s="1"/>
  <c r="AX937" i="8"/>
  <c r="AY937" i="8" s="1"/>
  <c r="AX945" i="8"/>
  <c r="AY945" i="8" s="1"/>
  <c r="AX953" i="8"/>
  <c r="AY953" i="8" s="1"/>
  <c r="BG970" i="8"/>
  <c r="AX1004" i="8"/>
  <c r="AY1004" i="8" s="1"/>
  <c r="BK1029" i="8"/>
  <c r="BL1029" i="8" s="1"/>
  <c r="BF1036" i="8"/>
  <c r="AX1036" i="8"/>
  <c r="AY1036" i="8" s="1"/>
  <c r="BF1039" i="8"/>
  <c r="BK1051" i="8"/>
  <c r="BL1051" i="8" s="1"/>
  <c r="BK1092" i="8"/>
  <c r="BL1092" i="8" s="1"/>
  <c r="BK1099" i="8"/>
  <c r="BL1099" i="8" s="1"/>
  <c r="BK1119" i="8"/>
  <c r="BL1119" i="8" s="1"/>
  <c r="BK1131" i="8"/>
  <c r="BL1131" i="8" s="1"/>
  <c r="BK1133" i="8"/>
  <c r="BL1133" i="8" s="1"/>
  <c r="BK1154" i="8"/>
  <c r="BL1154" i="8" s="1"/>
  <c r="BK1159" i="8"/>
  <c r="BL1159" i="8" s="1"/>
  <c r="BM1159" i="8" s="1"/>
  <c r="AX908" i="8"/>
  <c r="AY908" i="8" s="1"/>
  <c r="AX916" i="8"/>
  <c r="AY916" i="8" s="1"/>
  <c r="AX924" i="8"/>
  <c r="AY924" i="8" s="1"/>
  <c r="AX932" i="8"/>
  <c r="AY932" i="8" s="1"/>
  <c r="AX940" i="8"/>
  <c r="AY940" i="8" s="1"/>
  <c r="AX948" i="8"/>
  <c r="AY948" i="8" s="1"/>
  <c r="AX956" i="8"/>
  <c r="AY956" i="8" s="1"/>
  <c r="AX999" i="8"/>
  <c r="AY999" i="8" s="1"/>
  <c r="AX1007" i="8"/>
  <c r="AY1007" i="8" s="1"/>
  <c r="BK1013" i="8"/>
  <c r="BL1013" i="8" s="1"/>
  <c r="BK1021" i="8"/>
  <c r="BL1021" i="8" s="1"/>
  <c r="BF1033" i="8"/>
  <c r="BK1044" i="8"/>
  <c r="BF1046" i="8"/>
  <c r="BK1053" i="8"/>
  <c r="BL1053" i="8" s="1"/>
  <c r="BM1053" i="8" s="1"/>
  <c r="BF1106" i="8"/>
  <c r="BK1138" i="8"/>
  <c r="BL1138" i="8" s="1"/>
  <c r="BK994" i="8"/>
  <c r="BK996" i="8"/>
  <c r="BK998" i="8"/>
  <c r="BK1014" i="8"/>
  <c r="BL1014" i="8" s="1"/>
  <c r="BK1022" i="8"/>
  <c r="BL1022" i="8" s="1"/>
  <c r="BK1026" i="8"/>
  <c r="BL1026" i="8" s="1"/>
  <c r="BK1070" i="8"/>
  <c r="BL1070" i="8" s="1"/>
  <c r="BK1083" i="8"/>
  <c r="BL1083" i="8" s="1"/>
  <c r="BK1090" i="8"/>
  <c r="BL1090" i="8" s="1"/>
  <c r="BM1090" i="8" s="1"/>
  <c r="BK1102" i="8"/>
  <c r="BL1102" i="8" s="1"/>
  <c r="BK1136" i="8"/>
  <c r="BL1136" i="8" s="1"/>
  <c r="BK1156" i="8"/>
  <c r="BL1156" i="8" s="1"/>
  <c r="BM1156" i="8" s="1"/>
  <c r="BN1156" i="8" s="1"/>
  <c r="BK1163" i="8"/>
  <c r="BL1163" i="8" s="1"/>
  <c r="BK1165" i="8"/>
  <c r="BL1165" i="8" s="1"/>
  <c r="BK1183" i="8"/>
  <c r="BK1030" i="8"/>
  <c r="BL1030" i="8" s="1"/>
  <c r="BK1042" i="8"/>
  <c r="BF1044" i="8"/>
  <c r="BK1048" i="8"/>
  <c r="BL1048" i="8" s="1"/>
  <c r="BK1064" i="8"/>
  <c r="BL1064" i="8" s="1"/>
  <c r="BK1088" i="8"/>
  <c r="BL1088" i="8" s="1"/>
  <c r="BK1100" i="8"/>
  <c r="BL1100" i="8" s="1"/>
  <c r="BK1134" i="8"/>
  <c r="BL1134" i="8" s="1"/>
  <c r="BM1134" i="8" s="1"/>
  <c r="BK1181" i="8"/>
  <c r="BK1037" i="8"/>
  <c r="BL1037" i="8" s="1"/>
  <c r="BF1043" i="8"/>
  <c r="BK1054" i="8"/>
  <c r="BL1054" i="8" s="1"/>
  <c r="BK1086" i="8"/>
  <c r="BL1086" i="8" s="1"/>
  <c r="BK1125" i="8"/>
  <c r="BL1125" i="8" s="1"/>
  <c r="BK1139" i="8"/>
  <c r="BL1139" i="8" s="1"/>
  <c r="BK1153" i="8"/>
  <c r="BL1153" i="8" s="1"/>
  <c r="BK1179" i="8"/>
  <c r="BK1190" i="8"/>
  <c r="BK1035" i="8"/>
  <c r="BL1035" i="8" s="1"/>
  <c r="BK1040" i="8"/>
  <c r="BF1042" i="8"/>
  <c r="BK1077" i="8"/>
  <c r="BL1077" i="8" s="1"/>
  <c r="BK1084" i="8"/>
  <c r="BL1084" i="8" s="1"/>
  <c r="BK1091" i="8"/>
  <c r="BL1091" i="8" s="1"/>
  <c r="BK1098" i="8"/>
  <c r="BL1098" i="8" s="1"/>
  <c r="BK1130" i="8"/>
  <c r="BL1130" i="8" s="1"/>
  <c r="BM1130" i="8" s="1"/>
  <c r="BK1236" i="8"/>
  <c r="BK1263" i="8"/>
  <c r="BK1297" i="8"/>
  <c r="BL1297" i="8"/>
  <c r="BK1314" i="8"/>
  <c r="BL1314" i="8"/>
  <c r="BL1334" i="8"/>
  <c r="BK1334" i="8"/>
  <c r="BL1350" i="8"/>
  <c r="BM1350" i="8" s="1"/>
  <c r="BK1350" i="8"/>
  <c r="BL1360" i="8"/>
  <c r="BK1360" i="8"/>
  <c r="AX1113" i="8"/>
  <c r="AY1113" i="8" s="1"/>
  <c r="BK1170" i="8"/>
  <c r="BL1170" i="8" s="1"/>
  <c r="BK1188" i="8"/>
  <c r="AX1189" i="8"/>
  <c r="AY1189" i="8" s="1"/>
  <c r="BL1212" i="8"/>
  <c r="BK1212" i="8"/>
  <c r="BL1217" i="8"/>
  <c r="BM1217" i="8" s="1"/>
  <c r="BO1217" i="8" s="1"/>
  <c r="BK1217" i="8"/>
  <c r="BK1260" i="8"/>
  <c r="BF1269" i="8"/>
  <c r="BK1271" i="8"/>
  <c r="BK1274" i="8"/>
  <c r="BL1288" i="8"/>
  <c r="BK1288" i="8"/>
  <c r="AX1060" i="8"/>
  <c r="AY1060" i="8" s="1"/>
  <c r="AX1076" i="8"/>
  <c r="AY1076" i="8" s="1"/>
  <c r="AX1108" i="8"/>
  <c r="AY1108" i="8" s="1"/>
  <c r="AX1116" i="8"/>
  <c r="AY1116" i="8" s="1"/>
  <c r="AX1143" i="8"/>
  <c r="AY1143" i="8" s="1"/>
  <c r="AX1145" i="8"/>
  <c r="AY1145" i="8" s="1"/>
  <c r="AX1147" i="8"/>
  <c r="AY1147" i="8" s="1"/>
  <c r="AX1149" i="8"/>
  <c r="AY1149" i="8" s="1"/>
  <c r="AX1151" i="8"/>
  <c r="AY1151" i="8" s="1"/>
  <c r="BL1205" i="8"/>
  <c r="BK1205" i="8"/>
  <c r="BL1208" i="8"/>
  <c r="BK1208" i="8"/>
  <c r="BL1218" i="8"/>
  <c r="BK1218" i="8"/>
  <c r="BF1238" i="8"/>
  <c r="BG1238" i="8" s="1"/>
  <c r="AX1238" i="8"/>
  <c r="AY1238" i="8" s="1"/>
  <c r="BK1243" i="8"/>
  <c r="BK1289" i="8"/>
  <c r="BL1289" i="8"/>
  <c r="BK1303" i="8"/>
  <c r="BL1303" i="8"/>
  <c r="BK1307" i="8"/>
  <c r="BL1307" i="8"/>
  <c r="BK1310" i="8"/>
  <c r="BL1310" i="8"/>
  <c r="AX1031" i="8"/>
  <c r="AY1031" i="8" s="1"/>
  <c r="AX1055" i="8"/>
  <c r="AY1055" i="8" s="1"/>
  <c r="BK1069" i="8"/>
  <c r="BL1069" i="8" s="1"/>
  <c r="AX1071" i="8"/>
  <c r="AY1071" i="8" s="1"/>
  <c r="BK1075" i="8"/>
  <c r="BL1075" i="8" s="1"/>
  <c r="AX1079" i="8"/>
  <c r="AY1079" i="8" s="1"/>
  <c r="BK1085" i="8"/>
  <c r="BL1085" i="8" s="1"/>
  <c r="BK1093" i="8"/>
  <c r="BL1093" i="8" s="1"/>
  <c r="BK1101" i="8"/>
  <c r="BL1101" i="8" s="1"/>
  <c r="AX1111" i="8"/>
  <c r="AY1111" i="8" s="1"/>
  <c r="BK1127" i="8"/>
  <c r="BL1127" i="8" s="1"/>
  <c r="BK1135" i="8"/>
  <c r="BL1135" i="8" s="1"/>
  <c r="BF1222" i="8"/>
  <c r="BG1222" i="8" s="1"/>
  <c r="AX1222" i="8"/>
  <c r="AY1222" i="8" s="1"/>
  <c r="BL1232" i="8"/>
  <c r="BK1232" i="8"/>
  <c r="BL1235" i="8"/>
  <c r="BK1235" i="8"/>
  <c r="BF1242" i="8"/>
  <c r="BG1242" i="8" s="1"/>
  <c r="AX1242" i="8"/>
  <c r="AY1242" i="8" s="1"/>
  <c r="BL1252" i="8"/>
  <c r="BK1252" i="8"/>
  <c r="BK1262" i="8"/>
  <c r="BF1278" i="8"/>
  <c r="BL1286" i="8"/>
  <c r="BK1286" i="8"/>
  <c r="BK1322" i="8"/>
  <c r="BL1322" i="8"/>
  <c r="AX1058" i="8"/>
  <c r="AY1058" i="8" s="1"/>
  <c r="AX1074" i="8"/>
  <c r="AY1074" i="8" s="1"/>
  <c r="AX1082" i="8"/>
  <c r="AY1082" i="8" s="1"/>
  <c r="AX1114" i="8"/>
  <c r="AY1114" i="8" s="1"/>
  <c r="AX1158" i="8"/>
  <c r="AY1158" i="8" s="1"/>
  <c r="AX1160" i="8"/>
  <c r="AY1160" i="8" s="1"/>
  <c r="AX1162" i="8"/>
  <c r="AY1162" i="8" s="1"/>
  <c r="BL1204" i="8"/>
  <c r="BK1204" i="8"/>
  <c r="BL1209" i="8"/>
  <c r="BK1209" i="8"/>
  <c r="BL1214" i="8"/>
  <c r="BF1226" i="8"/>
  <c r="BG1226" i="8" s="1"/>
  <c r="AX1226" i="8"/>
  <c r="AY1226" i="8" s="1"/>
  <c r="BL1236" i="8"/>
  <c r="BF1246" i="8"/>
  <c r="BG1246" i="8" s="1"/>
  <c r="AX1246" i="8"/>
  <c r="AY1246" i="8" s="1"/>
  <c r="BL1259" i="8"/>
  <c r="BM1259" i="8" s="1"/>
  <c r="BK1259" i="8"/>
  <c r="AX1109" i="8"/>
  <c r="AY1109" i="8" s="1"/>
  <c r="AX1117" i="8"/>
  <c r="AY1117" i="8" s="1"/>
  <c r="BK1169" i="8"/>
  <c r="BL1169" i="8" s="1"/>
  <c r="BF1188" i="8"/>
  <c r="BK1195" i="8"/>
  <c r="BL1210" i="8"/>
  <c r="BK1210" i="8"/>
  <c r="BK1221" i="8"/>
  <c r="BF1230" i="8"/>
  <c r="BG1230" i="8" s="1"/>
  <c r="AX1230" i="8"/>
  <c r="AY1230" i="8" s="1"/>
  <c r="BL1237" i="8"/>
  <c r="BK1237" i="8"/>
  <c r="BF1250" i="8"/>
  <c r="BG1250" i="8" s="1"/>
  <c r="AX1250" i="8"/>
  <c r="AY1250" i="8" s="1"/>
  <c r="BK1255" i="8"/>
  <c r="BL1260" i="8"/>
  <c r="BK1269" i="8"/>
  <c r="BL1271" i="8"/>
  <c r="BL1274" i="8"/>
  <c r="BK1291" i="8"/>
  <c r="BL1291" i="8"/>
  <c r="BK1305" i="8"/>
  <c r="BK1309" i="8"/>
  <c r="BL1309" i="8"/>
  <c r="BK1174" i="8"/>
  <c r="BL1174" i="8" s="1"/>
  <c r="BK1220" i="8"/>
  <c r="BK1234" i="8"/>
  <c r="BL1243" i="8"/>
  <c r="BL1245" i="8"/>
  <c r="BK1245" i="8"/>
  <c r="BF1254" i="8"/>
  <c r="BG1254" i="8" s="1"/>
  <c r="AX1254" i="8"/>
  <c r="AY1254" i="8" s="1"/>
  <c r="BL1261" i="8"/>
  <c r="BK1261" i="8"/>
  <c r="BG1280" i="8"/>
  <c r="BL1280" i="8"/>
  <c r="BK1293" i="8"/>
  <c r="BL1293" i="8"/>
  <c r="BK1301" i="8"/>
  <c r="BL1301" i="8"/>
  <c r="BK1318" i="8"/>
  <c r="BL1318" i="8"/>
  <c r="BL1206" i="8"/>
  <c r="BL1213" i="8"/>
  <c r="BK1213" i="8"/>
  <c r="BL1216" i="8"/>
  <c r="BK1216" i="8"/>
  <c r="BK1258" i="8"/>
  <c r="BF1264" i="8"/>
  <c r="BK1285" i="8"/>
  <c r="BL1285" i="8"/>
  <c r="BK1295" i="8"/>
  <c r="BL1295" i="8"/>
  <c r="BK1308" i="8"/>
  <c r="BK1325" i="8"/>
  <c r="BK1331" i="8"/>
  <c r="BL1331" i="8"/>
  <c r="BK1339" i="8"/>
  <c r="BL1339" i="8"/>
  <c r="BK1306" i="8"/>
  <c r="BK1313" i="8"/>
  <c r="BK1317" i="8"/>
  <c r="BK1321" i="8"/>
  <c r="BL1328" i="8"/>
  <c r="BK1328" i="8"/>
  <c r="BL1336" i="8"/>
  <c r="BK1336" i="8"/>
  <c r="BL1364" i="8"/>
  <c r="BK1364" i="8"/>
  <c r="BK1207" i="8"/>
  <c r="BK1215" i="8"/>
  <c r="BL1276" i="8"/>
  <c r="BG1277" i="8"/>
  <c r="BL1279" i="8"/>
  <c r="BK1284" i="8"/>
  <c r="BK1304" i="8"/>
  <c r="BK1333" i="8"/>
  <c r="BL1333" i="8"/>
  <c r="BK1341" i="8"/>
  <c r="BL1341" i="8"/>
  <c r="BK1377" i="8"/>
  <c r="BF1186" i="8"/>
  <c r="BF1199" i="8"/>
  <c r="BL1207" i="8"/>
  <c r="BL1215" i="8"/>
  <c r="BK1283" i="8"/>
  <c r="BL1290" i="8"/>
  <c r="BK1302" i="8"/>
  <c r="BK1312" i="8"/>
  <c r="BK1316" i="8"/>
  <c r="BK1320" i="8"/>
  <c r="BL1324" i="8"/>
  <c r="BK1324" i="8"/>
  <c r="BK1327" i="8"/>
  <c r="BL1330" i="8"/>
  <c r="BK1330" i="8"/>
  <c r="BL1338" i="8"/>
  <c r="BK1338" i="8"/>
  <c r="BL1352" i="8"/>
  <c r="BK1352" i="8"/>
  <c r="BK1300" i="8"/>
  <c r="BK1335" i="8"/>
  <c r="BL1335" i="8"/>
  <c r="BL1362" i="8"/>
  <c r="BK1362" i="8"/>
  <c r="BK1367" i="8"/>
  <c r="BL1367" i="8"/>
  <c r="BK1276" i="8"/>
  <c r="BK1279" i="8"/>
  <c r="BK1290" i="8"/>
  <c r="BK1298" i="8"/>
  <c r="BK1299" i="8"/>
  <c r="BK1311" i="8"/>
  <c r="BK1315" i="8"/>
  <c r="BK1319" i="8"/>
  <c r="BK1323" i="8"/>
  <c r="BL1325" i="8"/>
  <c r="BL1332" i="8"/>
  <c r="BK1332" i="8"/>
  <c r="BL1340" i="8"/>
  <c r="BK1340" i="8"/>
  <c r="BK1270" i="8"/>
  <c r="BO1277" i="8"/>
  <c r="BN1277" i="8"/>
  <c r="BL1287" i="8"/>
  <c r="BK1292" i="8"/>
  <c r="BK1294" i="8"/>
  <c r="BK1296" i="8"/>
  <c r="BL1308" i="8"/>
  <c r="BL1313" i="8"/>
  <c r="BL1317" i="8"/>
  <c r="BL1321" i="8"/>
  <c r="BL1326" i="8"/>
  <c r="BK1326" i="8"/>
  <c r="BK1329" i="8"/>
  <c r="BL1329" i="8"/>
  <c r="BK1337" i="8"/>
  <c r="BL1337" i="8"/>
  <c r="BL1343" i="8"/>
  <c r="BK1382" i="8"/>
  <c r="BL1382" i="8"/>
  <c r="BL1357" i="8"/>
  <c r="BK1384" i="8"/>
  <c r="BK1387" i="8"/>
  <c r="BL1390" i="8"/>
  <c r="BK1390" i="8"/>
  <c r="AX1392" i="8"/>
  <c r="AY1392" i="8" s="1"/>
  <c r="BK1393" i="8"/>
  <c r="BK1386" i="8"/>
  <c r="BK1402" i="8"/>
  <c r="BK1379" i="8"/>
  <c r="BF1390" i="8"/>
  <c r="BG1390" i="8" s="1"/>
  <c r="BF1392" i="8"/>
  <c r="BG1392" i="8" s="1"/>
  <c r="BK1401" i="8"/>
  <c r="BK1378" i="8"/>
  <c r="BL1384" i="8"/>
  <c r="BL1393" i="8"/>
  <c r="BK1404" i="8"/>
  <c r="BK1431" i="8"/>
  <c r="BL1431" i="8"/>
  <c r="BK1373" i="8"/>
  <c r="BK1380" i="8"/>
  <c r="BK1385" i="8"/>
  <c r="BL1386" i="8"/>
  <c r="BL1387" i="8"/>
  <c r="BK1395" i="8"/>
  <c r="BK1400" i="8"/>
  <c r="BK1365" i="8"/>
  <c r="BF1372" i="8"/>
  <c r="BG1372" i="8" s="1"/>
  <c r="BL1373" i="8"/>
  <c r="BL1385" i="8"/>
  <c r="AX1388" i="8"/>
  <c r="AY1388" i="8" s="1"/>
  <c r="BK1396" i="8"/>
  <c r="BO1442" i="8"/>
  <c r="BN1442" i="8"/>
  <c r="BL1481" i="8"/>
  <c r="BK1481" i="8"/>
  <c r="BK1403" i="8"/>
  <c r="BF1430" i="8"/>
  <c r="BG1430" i="8" s="1"/>
  <c r="BL1439" i="8"/>
  <c r="BM1439" i="8" s="1"/>
  <c r="BG1439" i="8"/>
  <c r="BB1445" i="8"/>
  <c r="BF1450" i="8"/>
  <c r="BF1451" i="8"/>
  <c r="BL1483" i="8"/>
  <c r="BK1483" i="8"/>
  <c r="BK1399" i="8"/>
  <c r="BF1408" i="8"/>
  <c r="BL1419" i="8"/>
  <c r="BK1419" i="8"/>
  <c r="BL1425" i="8"/>
  <c r="BK1425" i="8"/>
  <c r="BL1480" i="8"/>
  <c r="BK1480" i="8"/>
  <c r="BL1473" i="8"/>
  <c r="BL1482" i="8"/>
  <c r="BK1482" i="8"/>
  <c r="BL1519" i="8"/>
  <c r="BM1519" i="8" s="1"/>
  <c r="BK1519" i="8"/>
  <c r="BF1423" i="8"/>
  <c r="BG1423" i="8" s="1"/>
  <c r="BL1434" i="8"/>
  <c r="BM1434" i="8" s="1"/>
  <c r="BK1434" i="8"/>
  <c r="BL1436" i="8"/>
  <c r="BM1436" i="8" s="1"/>
  <c r="BK1436" i="8"/>
  <c r="BK1442" i="8"/>
  <c r="BB1459" i="8"/>
  <c r="BF1459" i="8"/>
  <c r="BL1496" i="8"/>
  <c r="BK1496" i="8"/>
  <c r="BL1526" i="8"/>
  <c r="BK1526" i="8"/>
  <c r="BF1420" i="8"/>
  <c r="BG1420" i="8" s="1"/>
  <c r="BF1427" i="8"/>
  <c r="BG1427" i="8" s="1"/>
  <c r="BK1452" i="8"/>
  <c r="BK1464" i="8"/>
  <c r="BB1467" i="8"/>
  <c r="BF1467" i="8"/>
  <c r="BL1469" i="8"/>
  <c r="BK1469" i="8"/>
  <c r="BL1479" i="8"/>
  <c r="BK1479" i="8"/>
  <c r="BF1419" i="8"/>
  <c r="BG1419" i="8" s="1"/>
  <c r="BO1440" i="8"/>
  <c r="BN1440" i="8"/>
  <c r="BB1444" i="8"/>
  <c r="BK1463" i="8"/>
  <c r="BO1463" i="8"/>
  <c r="BL1478" i="8"/>
  <c r="BK1478" i="8"/>
  <c r="BF1487" i="8"/>
  <c r="BG1487" i="8" s="1"/>
  <c r="BF1489" i="8"/>
  <c r="BG1489" i="8" s="1"/>
  <c r="BL1476" i="8"/>
  <c r="BK1476" i="8"/>
  <c r="BF1490" i="8"/>
  <c r="BG1490" i="8" s="1"/>
  <c r="BK1511" i="8"/>
  <c r="BF1462" i="8"/>
  <c r="BL1474" i="8"/>
  <c r="BK1474" i="8"/>
  <c r="BF1505" i="8"/>
  <c r="BG1505" i="8" s="1"/>
  <c r="BK1524" i="8"/>
  <c r="BL1546" i="8"/>
  <c r="BK1546" i="8"/>
  <c r="BK1581" i="8"/>
  <c r="BF1461" i="8"/>
  <c r="BL1472" i="8"/>
  <c r="BK1472" i="8"/>
  <c r="BL1494" i="8"/>
  <c r="BK1494" i="8"/>
  <c r="BL1504" i="8"/>
  <c r="BL1508" i="8"/>
  <c r="BF1579" i="8"/>
  <c r="AX1579" i="8"/>
  <c r="AY1579" i="8" s="1"/>
  <c r="BK1468" i="8"/>
  <c r="BL1470" i="8"/>
  <c r="BK1470" i="8"/>
  <c r="BF1507" i="8"/>
  <c r="BG1507" i="8" s="1"/>
  <c r="AX1507" i="8"/>
  <c r="AY1507" i="8" s="1"/>
  <c r="BK1550" i="8"/>
  <c r="BF1466" i="8"/>
  <c r="BK1477" i="8"/>
  <c r="BL1484" i="8"/>
  <c r="BK1484" i="8"/>
  <c r="BK1495" i="8"/>
  <c r="BF1503" i="8"/>
  <c r="BG1503" i="8" s="1"/>
  <c r="AX1503" i="8"/>
  <c r="AY1503" i="8" s="1"/>
  <c r="BK1505" i="8"/>
  <c r="BL1535" i="8"/>
  <c r="BK1535" i="8"/>
  <c r="BL1532" i="8"/>
  <c r="BK1532" i="8"/>
  <c r="BL1539" i="8"/>
  <c r="BK1539" i="8"/>
  <c r="BL1545" i="8"/>
  <c r="BK1545" i="8"/>
  <c r="BK1549" i="8"/>
  <c r="BF1586" i="8"/>
  <c r="AX1586" i="8"/>
  <c r="AY1586" i="8" s="1"/>
  <c r="BF1604" i="8"/>
  <c r="BG1604" i="8" s="1"/>
  <c r="AX1604" i="8"/>
  <c r="AY1604" i="8" s="1"/>
  <c r="BF1524" i="8"/>
  <c r="BG1524" i="8" s="1"/>
  <c r="BL1531" i="8"/>
  <c r="BK1531" i="8"/>
  <c r="BL1538" i="8"/>
  <c r="BK1538" i="8"/>
  <c r="BF1554" i="8"/>
  <c r="BG1554" i="8" s="1"/>
  <c r="BF1573" i="8"/>
  <c r="BK1577" i="8"/>
  <c r="BL1609" i="8"/>
  <c r="BK1609" i="8"/>
  <c r="BG1463" i="8"/>
  <c r="AX1499" i="8"/>
  <c r="AY1499" i="8" s="1"/>
  <c r="BF1520" i="8"/>
  <c r="BG1520" i="8" s="1"/>
  <c r="BL1525" i="8"/>
  <c r="BK1525" i="8"/>
  <c r="BL1530" i="8"/>
  <c r="BK1530" i="8"/>
  <c r="BL1548" i="8"/>
  <c r="BK1548" i="8"/>
  <c r="BK1552" i="8"/>
  <c r="BF1553" i="8"/>
  <c r="BG1553" i="8" s="1"/>
  <c r="BF1556" i="8"/>
  <c r="BG1556" i="8" s="1"/>
  <c r="AX1556" i="8"/>
  <c r="AY1556" i="8" s="1"/>
  <c r="BK1562" i="8"/>
  <c r="BF1585" i="8"/>
  <c r="AX1585" i="8"/>
  <c r="AY1585" i="8" s="1"/>
  <c r="BK1606" i="8"/>
  <c r="BL1606" i="8"/>
  <c r="BF1516" i="8"/>
  <c r="BG1516" i="8" s="1"/>
  <c r="BL1527" i="8"/>
  <c r="BM1527" i="8" s="1"/>
  <c r="BK1527" i="8"/>
  <c r="BK1528" i="8"/>
  <c r="BL1529" i="8"/>
  <c r="BK1529" i="8"/>
  <c r="BL1537" i="8"/>
  <c r="BK1537" i="8"/>
  <c r="BF1544" i="8"/>
  <c r="BG1544" i="8" s="1"/>
  <c r="BK1570" i="8"/>
  <c r="BK1588" i="8"/>
  <c r="BF1598" i="8"/>
  <c r="BG1598" i="8" s="1"/>
  <c r="AX1598" i="8"/>
  <c r="AY1598" i="8" s="1"/>
  <c r="BF1512" i="8"/>
  <c r="BG1512" i="8" s="1"/>
  <c r="BL1547" i="8"/>
  <c r="BK1547" i="8"/>
  <c r="BK1551" i="8"/>
  <c r="BL1565" i="8"/>
  <c r="BK1566" i="8"/>
  <c r="BL1566" i="8"/>
  <c r="AX1498" i="8"/>
  <c r="AY1498" i="8" s="1"/>
  <c r="BF1508" i="8"/>
  <c r="BG1508" i="8" s="1"/>
  <c r="BL1540" i="8"/>
  <c r="BK1540" i="8"/>
  <c r="BF1541" i="8"/>
  <c r="BG1541" i="8" s="1"/>
  <c r="AX1584" i="8"/>
  <c r="AY1584" i="8" s="1"/>
  <c r="BO1578" i="8"/>
  <c r="BN1578" i="8"/>
  <c r="BK1578" i="8"/>
  <c r="BF1581" i="8"/>
  <c r="BF1587" i="8"/>
  <c r="BG1587" i="8" s="1"/>
  <c r="BF1591" i="8"/>
  <c r="BG1591" i="8" s="1"/>
  <c r="BF1595" i="8"/>
  <c r="BG1595" i="8" s="1"/>
  <c r="BF1597" i="8"/>
  <c r="BG1597" i="8" s="1"/>
  <c r="AX1597" i="8"/>
  <c r="AY1597" i="8" s="1"/>
  <c r="BK1575" i="8"/>
  <c r="BO1576" i="8"/>
  <c r="BN1576" i="8"/>
  <c r="BK1576" i="8"/>
  <c r="BF1557" i="8"/>
  <c r="BG1557" i="8" s="1"/>
  <c r="BL1610" i="8"/>
  <c r="BF1561" i="8"/>
  <c r="BG1561" i="8" s="1"/>
  <c r="BF1608" i="8"/>
  <c r="BG1608" i="8" s="1"/>
  <c r="AX1608" i="8"/>
  <c r="AY1608" i="8" s="1"/>
  <c r="BF1565" i="8"/>
  <c r="BG1565" i="8" s="1"/>
  <c r="BG1578" i="8"/>
  <c r="AX1602" i="8"/>
  <c r="AY1602" i="8" s="1"/>
  <c r="BF1606" i="8"/>
  <c r="BG1606" i="8" s="1"/>
  <c r="BF1560" i="8"/>
  <c r="BG1560" i="8" s="1"/>
  <c r="BG1576" i="8"/>
  <c r="BF1600" i="8"/>
  <c r="BG1600" i="8" s="1"/>
  <c r="BK1227" i="8" l="1"/>
  <c r="BK1492" i="8"/>
  <c r="BL559" i="8"/>
  <c r="BM559" i="8" s="1"/>
  <c r="BG540" i="8"/>
  <c r="BK1437" i="8"/>
  <c r="BL1506" i="8"/>
  <c r="BL1422" i="8"/>
  <c r="BK1257" i="8"/>
  <c r="BK1391" i="8"/>
  <c r="BL1247" i="8"/>
  <c r="BM1247" i="8" s="1"/>
  <c r="BO1247" i="8" s="1"/>
  <c r="BL1557" i="8"/>
  <c r="BM1557" i="8" s="1"/>
  <c r="BO1557" i="8" s="1"/>
  <c r="BK1428" i="8"/>
  <c r="BK1363" i="8"/>
  <c r="BL1239" i="8"/>
  <c r="BM1239" i="8" s="1"/>
  <c r="BO1239" i="8" s="1"/>
  <c r="BL1189" i="8"/>
  <c r="BM1189" i="8" s="1"/>
  <c r="BK1513" i="8"/>
  <c r="BK1514" i="8"/>
  <c r="BL964" i="8"/>
  <c r="BM964" i="8" s="1"/>
  <c r="BO964" i="8" s="1"/>
  <c r="BK1351" i="8"/>
  <c r="BK1349" i="8"/>
  <c r="BK1233" i="8"/>
  <c r="BL1356" i="8"/>
  <c r="BM1356" i="8" s="1"/>
  <c r="BN1356" i="8" s="1"/>
  <c r="BK1533" i="8"/>
  <c r="BL1500" i="8"/>
  <c r="BM1500" i="8" s="1"/>
  <c r="BN1500" i="8" s="1"/>
  <c r="BL1266" i="8"/>
  <c r="BM1266" i="8" s="1"/>
  <c r="BO1266" i="8" s="1"/>
  <c r="BG996" i="8"/>
  <c r="BL219" i="8"/>
  <c r="BM219" i="8" s="1"/>
  <c r="BO219" i="8" s="1"/>
  <c r="BO1365" i="8"/>
  <c r="BK1248" i="8"/>
  <c r="BK1240" i="8"/>
  <c r="BN1320" i="8"/>
  <c r="BL211" i="8"/>
  <c r="BM211" i="8" s="1"/>
  <c r="BO211" i="8" s="1"/>
  <c r="BK1225" i="8"/>
  <c r="BL1178" i="8"/>
  <c r="BM1178" i="8" s="1"/>
  <c r="BO1178" i="8" s="1"/>
  <c r="BL1523" i="8"/>
  <c r="BM1523" i="8" s="1"/>
  <c r="BO1523" i="8" s="1"/>
  <c r="BG557" i="8"/>
  <c r="BL1510" i="8"/>
  <c r="BM1510" i="8" s="1"/>
  <c r="BN1510" i="8" s="1"/>
  <c r="BG1395" i="8"/>
  <c r="BL1197" i="8"/>
  <c r="BK1394" i="8"/>
  <c r="BK1601" i="8"/>
  <c r="BK1224" i="8"/>
  <c r="BL1502" i="8"/>
  <c r="BM1502" i="8" s="1"/>
  <c r="BL1560" i="8"/>
  <c r="BL1607" i="8"/>
  <c r="BM1607" i="8" s="1"/>
  <c r="BO1607" i="8" s="1"/>
  <c r="BG1583" i="8"/>
  <c r="BK1244" i="8"/>
  <c r="BK1489" i="8"/>
  <c r="BG171" i="8"/>
  <c r="BG1187" i="8"/>
  <c r="BN1231" i="8"/>
  <c r="BO1231" i="8"/>
  <c r="BL1568" i="8"/>
  <c r="BM1568" i="8" s="1"/>
  <c r="BO1568" i="8" s="1"/>
  <c r="BN720" i="8"/>
  <c r="BO827" i="8"/>
  <c r="BN1294" i="8"/>
  <c r="BO1577" i="8"/>
  <c r="BN1316" i="8"/>
  <c r="BO468" i="8"/>
  <c r="BG207" i="8"/>
  <c r="BO1583" i="8"/>
  <c r="BK1432" i="8"/>
  <c r="BK1347" i="8"/>
  <c r="BG194" i="8"/>
  <c r="BO1032" i="8"/>
  <c r="BG1198" i="8"/>
  <c r="BL1179" i="8"/>
  <c r="BM1179" i="8" s="1"/>
  <c r="BN1179" i="8" s="1"/>
  <c r="BG702" i="8"/>
  <c r="BL1400" i="8"/>
  <c r="BM1400" i="8" s="1"/>
  <c r="BN1400" i="8" s="1"/>
  <c r="BN1305" i="8"/>
  <c r="BL542" i="8"/>
  <c r="BM542" i="8" s="1"/>
  <c r="BO542" i="8" s="1"/>
  <c r="BN1032" i="8"/>
  <c r="BG716" i="8"/>
  <c r="BK1487" i="8"/>
  <c r="BN1019" i="8"/>
  <c r="BL581" i="8"/>
  <c r="BM581" i="8" s="1"/>
  <c r="BO581" i="8" s="1"/>
  <c r="BK1429" i="8"/>
  <c r="BL1509" i="8"/>
  <c r="BM1509" i="8" s="1"/>
  <c r="BO1509" i="8" s="1"/>
  <c r="BG1468" i="8"/>
  <c r="BL1375" i="8"/>
  <c r="BM1375" i="8" s="1"/>
  <c r="BN1375" i="8" s="1"/>
  <c r="BL1520" i="8"/>
  <c r="BM1520" i="8" s="1"/>
  <c r="BL988" i="8"/>
  <c r="BM988" i="8" s="1"/>
  <c r="BO988" i="8" s="1"/>
  <c r="BG1281" i="8"/>
  <c r="BL545" i="8"/>
  <c r="BM545" i="8" s="1"/>
  <c r="BN545" i="8" s="1"/>
  <c r="BO1471" i="8"/>
  <c r="BK1592" i="8"/>
  <c r="BK1411" i="8"/>
  <c r="BG717" i="8"/>
  <c r="BL19" i="8"/>
  <c r="BM19" i="8" s="1"/>
  <c r="BO19" i="8" s="1"/>
  <c r="BG248" i="8"/>
  <c r="BL1567" i="8"/>
  <c r="BM1567" i="8" s="1"/>
  <c r="BN1567" i="8" s="1"/>
  <c r="BL561" i="8"/>
  <c r="BM561" i="8" s="1"/>
  <c r="BN561" i="8" s="1"/>
  <c r="BK1512" i="8"/>
  <c r="BG1460" i="8"/>
  <c r="BL997" i="8"/>
  <c r="BM997" i="8" s="1"/>
  <c r="BO997" i="8" s="1"/>
  <c r="BN698" i="8"/>
  <c r="BN349" i="8"/>
  <c r="BL980" i="8"/>
  <c r="BM980" i="8" s="1"/>
  <c r="BN980" i="8" s="1"/>
  <c r="BG834" i="8"/>
  <c r="BN702" i="8"/>
  <c r="BG22" i="8"/>
  <c r="BL1268" i="8"/>
  <c r="BM1268" i="8" s="1"/>
  <c r="BN1268" i="8" s="1"/>
  <c r="BK1590" i="8"/>
  <c r="BL992" i="8"/>
  <c r="BM992" i="8" s="1"/>
  <c r="BN992" i="8" s="1"/>
  <c r="BG123" i="8"/>
  <c r="BO496" i="8"/>
  <c r="BL586" i="8"/>
  <c r="BM586" i="8" s="1"/>
  <c r="BN586" i="8" s="1"/>
  <c r="BK1427" i="8"/>
  <c r="BK1438" i="8"/>
  <c r="BO411" i="8"/>
  <c r="BL1262" i="8"/>
  <c r="BM1262" i="8" s="1"/>
  <c r="BO1262" i="8" s="1"/>
  <c r="BK1596" i="8"/>
  <c r="BG8" i="8"/>
  <c r="BK1344" i="8"/>
  <c r="BL189" i="8"/>
  <c r="BM189" i="8" s="1"/>
  <c r="BO189" i="8" s="1"/>
  <c r="BL1444" i="8"/>
  <c r="BM1444" i="8" s="1"/>
  <c r="BO1444" i="8" s="1"/>
  <c r="BL1399" i="8"/>
  <c r="BM1399" i="8" s="1"/>
  <c r="BO1399" i="8" s="1"/>
  <c r="BL263" i="8"/>
  <c r="BM263" i="8" s="1"/>
  <c r="BO263" i="8" s="1"/>
  <c r="BL795" i="8"/>
  <c r="BM795" i="8" s="1"/>
  <c r="BN795" i="8" s="1"/>
  <c r="BK1354" i="8"/>
  <c r="BK1249" i="8"/>
  <c r="BG197" i="8"/>
  <c r="BK1423" i="8"/>
  <c r="BN716" i="8"/>
  <c r="BG998" i="8"/>
  <c r="BG165" i="8"/>
  <c r="BN495" i="8"/>
  <c r="BN998" i="8"/>
  <c r="BL715" i="8"/>
  <c r="BM715" i="8" s="1"/>
  <c r="BN715" i="8" s="1"/>
  <c r="BO1270" i="8"/>
  <c r="BG704" i="8"/>
  <c r="BL1345" i="8"/>
  <c r="BM1345" i="8" s="1"/>
  <c r="BO1345" i="8" s="1"/>
  <c r="BN1273" i="8"/>
  <c r="BN1017" i="8"/>
  <c r="BG644" i="8"/>
  <c r="BL606" i="8"/>
  <c r="BM606" i="8" s="1"/>
  <c r="BG558" i="8"/>
  <c r="BG97" i="8"/>
  <c r="BG166" i="8"/>
  <c r="BO369" i="8"/>
  <c r="BK1490" i="8"/>
  <c r="BK1273" i="8"/>
  <c r="BG698" i="8"/>
  <c r="BK1534" i="8"/>
  <c r="BG1458" i="8"/>
  <c r="BL1272" i="8"/>
  <c r="BM1272" i="8" s="1"/>
  <c r="BO1272" i="8" s="1"/>
  <c r="BO1273" i="8"/>
  <c r="BL1041" i="8"/>
  <c r="BM1041" i="8" s="1"/>
  <c r="BO1041" i="8" s="1"/>
  <c r="BG688" i="8"/>
  <c r="BN688" i="8"/>
  <c r="BL605" i="8"/>
  <c r="BM605" i="8" s="1"/>
  <c r="BN605" i="8" s="1"/>
  <c r="BL446" i="8"/>
  <c r="BM446" i="8" s="1"/>
  <c r="BN446" i="8" s="1"/>
  <c r="BG184" i="8"/>
  <c r="BK1536" i="8"/>
  <c r="BN411" i="8"/>
  <c r="BG547" i="8"/>
  <c r="BN690" i="8"/>
  <c r="BN313" i="8"/>
  <c r="BL1355" i="8"/>
  <c r="BM1355" i="8" s="1"/>
  <c r="BO1355" i="8" s="1"/>
  <c r="BL221" i="8"/>
  <c r="BM221" i="8" s="1"/>
  <c r="BN221" i="8" s="1"/>
  <c r="BL103" i="8"/>
  <c r="BM103" i="8" s="1"/>
  <c r="BO103" i="8" s="1"/>
  <c r="BL1424" i="8"/>
  <c r="BM1424" i="8" s="1"/>
  <c r="BO1424" i="8" s="1"/>
  <c r="BO1493" i="8"/>
  <c r="BL76" i="8"/>
  <c r="BM76" i="8" s="1"/>
  <c r="BN76" i="8" s="1"/>
  <c r="BN1475" i="8"/>
  <c r="BN1217" i="8"/>
  <c r="BG604" i="8"/>
  <c r="BG214" i="8"/>
  <c r="BL1443" i="8"/>
  <c r="BM1443" i="8" s="1"/>
  <c r="BO1443" i="8" s="1"/>
  <c r="BN704" i="8"/>
  <c r="BO1255" i="8"/>
  <c r="BN384" i="8"/>
  <c r="BG111" i="8"/>
  <c r="BL16" i="8"/>
  <c r="BM16" i="8" s="1"/>
  <c r="BN16" i="8" s="1"/>
  <c r="BG1103" i="8"/>
  <c r="BL53" i="8"/>
  <c r="BM53" i="8" s="1"/>
  <c r="BN53" i="8" s="1"/>
  <c r="BG1221" i="8"/>
  <c r="BG861" i="8"/>
  <c r="BG713" i="8"/>
  <c r="BL257" i="8"/>
  <c r="BM257" i="8" s="1"/>
  <c r="BO257" i="8" s="1"/>
  <c r="BG269" i="8"/>
  <c r="BL228" i="8"/>
  <c r="BM228" i="8" s="1"/>
  <c r="BN228" i="8" s="1"/>
  <c r="BL260" i="8"/>
  <c r="BM260" i="8" s="1"/>
  <c r="BN260" i="8" s="1"/>
  <c r="BG47" i="8"/>
  <c r="BN1562" i="8"/>
  <c r="BL1554" i="8"/>
  <c r="BM1554" i="8" s="1"/>
  <c r="BN1554" i="8" s="1"/>
  <c r="BL73" i="8"/>
  <c r="BM73" i="8" s="1"/>
  <c r="BN73" i="8" s="1"/>
  <c r="BG268" i="8"/>
  <c r="BO1552" i="8"/>
  <c r="BN1379" i="8"/>
  <c r="BL1409" i="8"/>
  <c r="BM1409" i="8" s="1"/>
  <c r="BO1409" i="8" s="1"/>
  <c r="BL968" i="8"/>
  <c r="BM968" i="8" s="1"/>
  <c r="BN968" i="8" s="1"/>
  <c r="BL844" i="8"/>
  <c r="BM844" i="8" s="1"/>
  <c r="BO712" i="8"/>
  <c r="BN710" i="8"/>
  <c r="BG120" i="8"/>
  <c r="BK1485" i="8"/>
  <c r="BL1572" i="8"/>
  <c r="BM1572" i="8" s="1"/>
  <c r="BO1572" i="8" s="1"/>
  <c r="BL1456" i="8"/>
  <c r="BM1456" i="8" s="1"/>
  <c r="BO1456" i="8" s="1"/>
  <c r="BN692" i="8"/>
  <c r="BL305" i="8"/>
  <c r="BM305" i="8" s="1"/>
  <c r="BO305" i="8" s="1"/>
  <c r="BG710" i="8"/>
  <c r="BL1415" i="8"/>
  <c r="BM1415" i="8" s="1"/>
  <c r="BO1415" i="8" s="1"/>
  <c r="BG1416" i="8"/>
  <c r="BG969" i="8"/>
  <c r="BO1441" i="8"/>
  <c r="BG963" i="8"/>
  <c r="BG689" i="8"/>
  <c r="BL1185" i="8"/>
  <c r="BM1185" i="8" s="1"/>
  <c r="BO1185" i="8" s="1"/>
  <c r="BG1045" i="8"/>
  <c r="BG869" i="8"/>
  <c r="BL608" i="8"/>
  <c r="BM608" i="8" s="1"/>
  <c r="BN608" i="8" s="1"/>
  <c r="BG14" i="8"/>
  <c r="BL1555" i="8"/>
  <c r="BM1555" i="8" s="1"/>
  <c r="BK1543" i="8"/>
  <c r="BO805" i="8"/>
  <c r="BO708" i="8"/>
  <c r="BO706" i="8"/>
  <c r="BL549" i="8"/>
  <c r="BM549" i="8" s="1"/>
  <c r="BN549" i="8" s="1"/>
  <c r="BG544" i="8"/>
  <c r="BO222" i="8"/>
  <c r="BN222" i="8"/>
  <c r="BL254" i="8"/>
  <c r="BM254" i="8" s="1"/>
  <c r="BN254" i="8" s="1"/>
  <c r="BG225" i="8"/>
  <c r="BG190" i="8"/>
  <c r="BL289" i="8"/>
  <c r="BM289" i="8" s="1"/>
  <c r="BO856" i="8"/>
  <c r="BN1319" i="8"/>
  <c r="BL1371" i="8"/>
  <c r="BM1371" i="8" s="1"/>
  <c r="BO1371" i="8" s="1"/>
  <c r="BL1544" i="8"/>
  <c r="BM1544" i="8" s="1"/>
  <c r="BO1544" i="8" s="1"/>
  <c r="BK1358" i="8"/>
  <c r="BL1183" i="8"/>
  <c r="BM1183" i="8" s="1"/>
  <c r="BL1195" i="8"/>
  <c r="BM1195" i="8" s="1"/>
  <c r="BN1195" i="8" s="1"/>
  <c r="BK1346" i="8"/>
  <c r="BK1185" i="8"/>
  <c r="BL979" i="8"/>
  <c r="BM979" i="8" s="1"/>
  <c r="BN979" i="8" s="1"/>
  <c r="BN755" i="8"/>
  <c r="BG708" i="8"/>
  <c r="BL1201" i="8"/>
  <c r="BM1201" i="8" s="1"/>
  <c r="BN1201" i="8" s="1"/>
  <c r="BG690" i="8"/>
  <c r="BN748" i="8"/>
  <c r="BG706" i="8"/>
  <c r="BL695" i="8"/>
  <c r="BM695" i="8" s="1"/>
  <c r="BN695" i="8" s="1"/>
  <c r="BL693" i="8"/>
  <c r="BM693" i="8" s="1"/>
  <c r="BO693" i="8" s="1"/>
  <c r="BL646" i="8"/>
  <c r="BM646" i="8" s="1"/>
  <c r="BG588" i="8"/>
  <c r="BN500" i="8"/>
  <c r="BG222" i="8"/>
  <c r="BG203" i="8"/>
  <c r="BG186" i="8"/>
  <c r="BG71" i="8"/>
  <c r="BG692" i="8"/>
  <c r="BN1426" i="8"/>
  <c r="BK1541" i="8"/>
  <c r="BL1587" i="8"/>
  <c r="BM1587" i="8" s="1"/>
  <c r="BN1587" i="8" s="1"/>
  <c r="BL1600" i="8"/>
  <c r="BM1600" i="8" s="1"/>
  <c r="BO1600" i="8" s="1"/>
  <c r="BL687" i="8"/>
  <c r="BM687" i="8" s="1"/>
  <c r="BO687" i="8" s="1"/>
  <c r="BL697" i="8"/>
  <c r="BM697" i="8" s="1"/>
  <c r="BO697" i="8" s="1"/>
  <c r="BL1200" i="8"/>
  <c r="BM1200" i="8" s="1"/>
  <c r="BN1200" i="8" s="1"/>
  <c r="BL15" i="8"/>
  <c r="BM15" i="8" s="1"/>
  <c r="BO15" i="8" s="1"/>
  <c r="BG1552" i="8"/>
  <c r="BG602" i="8"/>
  <c r="BO313" i="8"/>
  <c r="BG1571" i="8"/>
  <c r="BO1211" i="8"/>
  <c r="BN1066" i="8"/>
  <c r="BK1488" i="8"/>
  <c r="BG1396" i="8"/>
  <c r="BN1299" i="8"/>
  <c r="BN1327" i="8"/>
  <c r="BO247" i="8"/>
  <c r="BG637" i="8"/>
  <c r="BO1433" i="8"/>
  <c r="BL705" i="8"/>
  <c r="BM705" i="8" s="1"/>
  <c r="BO705" i="8" s="1"/>
  <c r="BK1558" i="8"/>
  <c r="BN1304" i="8"/>
  <c r="BO714" i="8"/>
  <c r="BG583" i="8"/>
  <c r="BL461" i="8"/>
  <c r="BM461" i="8" s="1"/>
  <c r="BO461" i="8" s="1"/>
  <c r="BN193" i="8"/>
  <c r="BG185" i="8"/>
  <c r="BG104" i="8"/>
  <c r="BG7" i="8"/>
  <c r="BL112" i="8"/>
  <c r="BM112" i="8" s="1"/>
  <c r="BN112" i="8" s="1"/>
  <c r="BG193" i="8"/>
  <c r="BL643" i="8"/>
  <c r="BM643" i="8" s="1"/>
  <c r="BL582" i="8"/>
  <c r="BM582" i="8" s="1"/>
  <c r="BN582" i="8" s="1"/>
  <c r="BL249" i="8"/>
  <c r="BM249" i="8" s="1"/>
  <c r="BO249" i="8" s="1"/>
  <c r="BL121" i="8"/>
  <c r="BM121" i="8" s="1"/>
  <c r="BO121" i="8" s="1"/>
  <c r="BG62" i="8"/>
  <c r="BL1594" i="8"/>
  <c r="BM1594" i="8" s="1"/>
  <c r="BN1594" i="8" s="1"/>
  <c r="BK1521" i="8"/>
  <c r="BL1518" i="8"/>
  <c r="BM1518" i="8" s="1"/>
  <c r="BO1435" i="8"/>
  <c r="BL1366" i="8"/>
  <c r="BM1366" i="8" s="1"/>
  <c r="BO1366" i="8" s="1"/>
  <c r="BO1315" i="8"/>
  <c r="BG1196" i="8"/>
  <c r="BL539" i="8"/>
  <c r="BM539" i="8" s="1"/>
  <c r="BO539" i="8" s="1"/>
  <c r="BG457" i="8"/>
  <c r="BN329" i="8"/>
  <c r="BG267" i="8"/>
  <c r="BL306" i="8"/>
  <c r="BM306" i="8" s="1"/>
  <c r="BL1192" i="8"/>
  <c r="BM1192" i="8" s="1"/>
  <c r="BK1348" i="8"/>
  <c r="BL965" i="8"/>
  <c r="BM965" i="8" s="1"/>
  <c r="BO965" i="8" s="1"/>
  <c r="BL96" i="8"/>
  <c r="BM96" i="8" s="1"/>
  <c r="BO96" i="8" s="1"/>
  <c r="BO1528" i="8"/>
  <c r="BL1180" i="8"/>
  <c r="BM1180" i="8" s="1"/>
  <c r="BN1050" i="8"/>
  <c r="BO1027" i="8"/>
  <c r="BG1406" i="8"/>
  <c r="BN1052" i="8"/>
  <c r="BL971" i="8"/>
  <c r="BM971" i="8" s="1"/>
  <c r="BO971" i="8" s="1"/>
  <c r="BG714" i="8"/>
  <c r="BN341" i="8"/>
  <c r="BG182" i="8"/>
  <c r="BG699" i="8"/>
  <c r="BG994" i="8"/>
  <c r="BG984" i="8"/>
  <c r="BN754" i="8"/>
  <c r="BG712" i="8"/>
  <c r="BG274" i="8"/>
  <c r="BG226" i="8"/>
  <c r="BG261" i="8"/>
  <c r="BL70" i="8"/>
  <c r="BM70" i="8" s="1"/>
  <c r="BN70" i="8" s="1"/>
  <c r="BG832" i="8"/>
  <c r="BG603" i="8"/>
  <c r="BG1584" i="8"/>
  <c r="BK1593" i="8"/>
  <c r="BL1453" i="8"/>
  <c r="BM1453" i="8" s="1"/>
  <c r="BO1453" i="8" s="1"/>
  <c r="BL868" i="8"/>
  <c r="BM868" i="8" s="1"/>
  <c r="BN868" i="8" s="1"/>
  <c r="BL455" i="8"/>
  <c r="BM455" i="8" s="1"/>
  <c r="BN455" i="8" s="1"/>
  <c r="BG266" i="8"/>
  <c r="BG160" i="8"/>
  <c r="BN861" i="8"/>
  <c r="BG1402" i="8"/>
  <c r="BL200" i="8"/>
  <c r="BM200" i="8" s="1"/>
  <c r="BO200" i="8" s="1"/>
  <c r="BK1491" i="8"/>
  <c r="BN1096" i="8"/>
  <c r="BL987" i="8"/>
  <c r="BM987" i="8" s="1"/>
  <c r="BN987" i="8" s="1"/>
  <c r="BL199" i="8"/>
  <c r="BM199" i="8" s="1"/>
  <c r="BO199" i="8" s="1"/>
  <c r="BG960" i="8"/>
  <c r="BG843" i="8"/>
  <c r="BN696" i="8"/>
  <c r="BN1028" i="8"/>
  <c r="BG696" i="8"/>
  <c r="BL46" i="8"/>
  <c r="BM46" i="8" s="1"/>
  <c r="BO46" i="8" s="1"/>
  <c r="BG587" i="8"/>
  <c r="BL587" i="8"/>
  <c r="BM587" i="8" s="1"/>
  <c r="BN587" i="8" s="1"/>
  <c r="BL78" i="8"/>
  <c r="BM78" i="8" s="1"/>
  <c r="BN78" i="8" s="1"/>
  <c r="BG78" i="8"/>
  <c r="BO1234" i="8"/>
  <c r="BN1234" i="8"/>
  <c r="BG986" i="8"/>
  <c r="BL986" i="8"/>
  <c r="BM986" i="8" s="1"/>
  <c r="BK1595" i="8"/>
  <c r="BL1595" i="8"/>
  <c r="BM1595" i="8" s="1"/>
  <c r="BO1595" i="8" s="1"/>
  <c r="BL218" i="8"/>
  <c r="BM218" i="8" s="1"/>
  <c r="BN218" i="8" s="1"/>
  <c r="BG218" i="8"/>
  <c r="BG196" i="8"/>
  <c r="BL196" i="8"/>
  <c r="BM196" i="8" s="1"/>
  <c r="BN196" i="8" s="1"/>
  <c r="BG538" i="8"/>
  <c r="BL538" i="8"/>
  <c r="BM538" i="8" s="1"/>
  <c r="BO538" i="8" s="1"/>
  <c r="BK744" i="8"/>
  <c r="BL744" i="8" s="1"/>
  <c r="BM744" i="8" s="1"/>
  <c r="BO744" i="8" s="1"/>
  <c r="BG13" i="8"/>
  <c r="BL13" i="8"/>
  <c r="BM13" i="8" s="1"/>
  <c r="BL1553" i="8"/>
  <c r="BM1553" i="8" s="1"/>
  <c r="BO1553" i="8" s="1"/>
  <c r="BK1553" i="8"/>
  <c r="BO361" i="8"/>
  <c r="BN361" i="8"/>
  <c r="BL1501" i="8"/>
  <c r="BM1501" i="8" s="1"/>
  <c r="BO1501" i="8" s="1"/>
  <c r="BN1219" i="8"/>
  <c r="BL990" i="8"/>
  <c r="BM990" i="8" s="1"/>
  <c r="BO990" i="8" s="1"/>
  <c r="BO432" i="8"/>
  <c r="BN432" i="8"/>
  <c r="BG201" i="8"/>
  <c r="BL201" i="8"/>
  <c r="BM201" i="8" s="1"/>
  <c r="BN201" i="8" s="1"/>
  <c r="BG1403" i="8"/>
  <c r="BL1403" i="8"/>
  <c r="BM1403" i="8" s="1"/>
  <c r="BN1403" i="8" s="1"/>
  <c r="BN1300" i="8"/>
  <c r="BO1300" i="8"/>
  <c r="BL1515" i="8"/>
  <c r="BM1515" i="8" s="1"/>
  <c r="BK1515" i="8"/>
  <c r="BL454" i="8"/>
  <c r="BM454" i="8" s="1"/>
  <c r="BO454" i="8" s="1"/>
  <c r="BG454" i="8"/>
  <c r="BG256" i="8"/>
  <c r="BL256" i="8"/>
  <c r="BM256" i="8" s="1"/>
  <c r="BO256" i="8" s="1"/>
  <c r="BL251" i="8"/>
  <c r="BM251" i="8" s="1"/>
  <c r="BO251" i="8" s="1"/>
  <c r="BG251" i="8"/>
  <c r="BG285" i="8"/>
  <c r="BL285" i="8"/>
  <c r="BM285" i="8" s="1"/>
  <c r="BG192" i="8"/>
  <c r="BL192" i="8"/>
  <c r="BM192" i="8" s="1"/>
  <c r="BO192" i="8" s="1"/>
  <c r="BG701" i="8"/>
  <c r="BL701" i="8"/>
  <c r="BM701" i="8" s="1"/>
  <c r="BO701" i="8" s="1"/>
  <c r="BG10" i="8"/>
  <c r="BL10" i="8"/>
  <c r="BM10" i="8" s="1"/>
  <c r="BN10" i="8" s="1"/>
  <c r="BL322" i="8"/>
  <c r="BM322" i="8" s="1"/>
  <c r="BG322" i="8"/>
  <c r="BL839" i="8"/>
  <c r="BM839" i="8" s="1"/>
  <c r="BN839" i="8" s="1"/>
  <c r="BG839" i="8"/>
  <c r="BG246" i="8"/>
  <c r="BL246" i="8"/>
  <c r="BM246" i="8" s="1"/>
  <c r="BN246" i="8" s="1"/>
  <c r="BO1505" i="8"/>
  <c r="BG102" i="8"/>
  <c r="BL102" i="8"/>
  <c r="BM102" i="8" s="1"/>
  <c r="BN102" i="8" s="1"/>
  <c r="BL1253" i="8"/>
  <c r="BM1253" i="8" s="1"/>
  <c r="BO1253" i="8" s="1"/>
  <c r="BG1414" i="8"/>
  <c r="BL1414" i="8"/>
  <c r="BM1414" i="8" s="1"/>
  <c r="BL867" i="8"/>
  <c r="BM867" i="8" s="1"/>
  <c r="BN867" i="8" s="1"/>
  <c r="BG867" i="8"/>
  <c r="BG453" i="8"/>
  <c r="BL453" i="8"/>
  <c r="BM453" i="8" s="1"/>
  <c r="BG41" i="8"/>
  <c r="BL41" i="8"/>
  <c r="BM41" i="8" s="1"/>
  <c r="BO41" i="8" s="1"/>
  <c r="BG95" i="8"/>
  <c r="BL95" i="8"/>
  <c r="BM95" i="8" s="1"/>
  <c r="BN95" i="8" s="1"/>
  <c r="BL87" i="8"/>
  <c r="BM87" i="8" s="1"/>
  <c r="BO87" i="8" s="1"/>
  <c r="BG87" i="8"/>
  <c r="BG56" i="8"/>
  <c r="BL56" i="8"/>
  <c r="BM56" i="8" s="1"/>
  <c r="BL101" i="8"/>
  <c r="BM101" i="8" s="1"/>
  <c r="BN101" i="8" s="1"/>
  <c r="BG101" i="8"/>
  <c r="BL67" i="8"/>
  <c r="BM67" i="8" s="1"/>
  <c r="BO67" i="8" s="1"/>
  <c r="BG67" i="8"/>
  <c r="BG181" i="8"/>
  <c r="BL181" i="8"/>
  <c r="BM181" i="8" s="1"/>
  <c r="BN181" i="8" s="1"/>
  <c r="BG1265" i="8"/>
  <c r="BL1265" i="8"/>
  <c r="BM1265" i="8" s="1"/>
  <c r="BO1265" i="8" s="1"/>
  <c r="BK1420" i="8"/>
  <c r="BL548" i="8"/>
  <c r="BM548" i="8" s="1"/>
  <c r="BO548" i="8" s="1"/>
  <c r="BO1177" i="8"/>
  <c r="BN1177" i="8"/>
  <c r="BL1404" i="8"/>
  <c r="BM1404" i="8" s="1"/>
  <c r="BN1404" i="8" s="1"/>
  <c r="BG1404" i="8"/>
  <c r="BG125" i="8"/>
  <c r="BL125" i="8"/>
  <c r="BM125" i="8" s="1"/>
  <c r="BO125" i="8" s="1"/>
  <c r="BG721" i="8"/>
  <c r="BL721" i="8"/>
  <c r="BM721" i="8" s="1"/>
  <c r="BO721" i="8" s="1"/>
  <c r="BL1559" i="8"/>
  <c r="BM1559" i="8" s="1"/>
  <c r="BO1559" i="8" s="1"/>
  <c r="BK1559" i="8"/>
  <c r="BL1599" i="8"/>
  <c r="BM1599" i="8" s="1"/>
  <c r="BK1599" i="8"/>
  <c r="BL36" i="8"/>
  <c r="BM36" i="8" s="1"/>
  <c r="BG36" i="8"/>
  <c r="BG641" i="8"/>
  <c r="BL641" i="8"/>
  <c r="BM641" i="8" s="1"/>
  <c r="BN641" i="8" s="1"/>
  <c r="BN1137" i="8"/>
  <c r="BO1137" i="8"/>
  <c r="BL1389" i="8"/>
  <c r="BM1389" i="8" s="1"/>
  <c r="BO1389" i="8" s="1"/>
  <c r="BL1421" i="8"/>
  <c r="BM1421" i="8" s="1"/>
  <c r="BK1605" i="8"/>
  <c r="BL691" i="8"/>
  <c r="BM691" i="8" s="1"/>
  <c r="BO691" i="8" s="1"/>
  <c r="BG458" i="8"/>
  <c r="BG188" i="8"/>
  <c r="BG1417" i="8"/>
  <c r="BL1417" i="8"/>
  <c r="BM1417" i="8" s="1"/>
  <c r="BO1417" i="8" s="1"/>
  <c r="BL127" i="8"/>
  <c r="BM127" i="8" s="1"/>
  <c r="BG94" i="8"/>
  <c r="BG1105" i="8"/>
  <c r="BG978" i="8"/>
  <c r="BN996" i="8"/>
  <c r="BO754" i="8"/>
  <c r="BG709" i="8"/>
  <c r="BO509" i="8"/>
  <c r="BG462" i="8"/>
  <c r="BL460" i="8"/>
  <c r="BM460" i="8" s="1"/>
  <c r="BN460" i="8" s="1"/>
  <c r="BG270" i="8"/>
  <c r="BG23" i="8"/>
  <c r="BO1407" i="8"/>
  <c r="BK1231" i="8"/>
  <c r="BL1203" i="8"/>
  <c r="BM1203" i="8" s="1"/>
  <c r="BN1203" i="8" s="1"/>
  <c r="BO782" i="8"/>
  <c r="BN637" i="8"/>
  <c r="BG167" i="8"/>
  <c r="BL1542" i="8"/>
  <c r="BM1542" i="8" s="1"/>
  <c r="BO1251" i="8"/>
  <c r="BG827" i="8"/>
  <c r="BG599" i="8"/>
  <c r="BN994" i="8"/>
  <c r="BG295" i="8"/>
  <c r="BK1603" i="8"/>
  <c r="BG720" i="8"/>
  <c r="BN557" i="8"/>
  <c r="BN247" i="8"/>
  <c r="BG179" i="8"/>
  <c r="BG98" i="8"/>
  <c r="BL66" i="8"/>
  <c r="BM66" i="8" s="1"/>
  <c r="BG75" i="8"/>
  <c r="BK1368" i="8"/>
  <c r="BL1353" i="8"/>
  <c r="BM1353" i="8" s="1"/>
  <c r="BN1353" i="8" s="1"/>
  <c r="BO718" i="8"/>
  <c r="BO557" i="8"/>
  <c r="BG247" i="8"/>
  <c r="BG210" i="8"/>
  <c r="BN1087" i="8"/>
  <c r="BO1087" i="8"/>
  <c r="BL546" i="8"/>
  <c r="BM546" i="8" s="1"/>
  <c r="BN546" i="8" s="1"/>
  <c r="BO363" i="8"/>
  <c r="BG113" i="8"/>
  <c r="BG1449" i="8"/>
  <c r="BL1193" i="8"/>
  <c r="BM1193" i="8" s="1"/>
  <c r="BO1193" i="8" s="1"/>
  <c r="BL224" i="8"/>
  <c r="BM224" i="8" s="1"/>
  <c r="BG130" i="8"/>
  <c r="BL1342" i="8"/>
  <c r="BM1342" i="8" s="1"/>
  <c r="BO1342" i="8" s="1"/>
  <c r="BL962" i="8"/>
  <c r="BM962" i="8" s="1"/>
  <c r="BN800" i="8"/>
  <c r="BG718" i="8"/>
  <c r="BN694" i="8"/>
  <c r="BO645" i="8"/>
  <c r="BL302" i="8"/>
  <c r="BM302" i="8" s="1"/>
  <c r="BN302" i="8" s="1"/>
  <c r="BG91" i="8"/>
  <c r="BG68" i="8"/>
  <c r="BN829" i="8"/>
  <c r="BK1563" i="8"/>
  <c r="BG1569" i="8"/>
  <c r="BG1549" i="8"/>
  <c r="BL1497" i="8"/>
  <c r="BM1497" i="8" s="1"/>
  <c r="BK1430" i="8"/>
  <c r="BK1359" i="8"/>
  <c r="BK1374" i="8"/>
  <c r="BL1223" i="8"/>
  <c r="BM1223" i="8" s="1"/>
  <c r="BO1223" i="8" s="1"/>
  <c r="BL842" i="8"/>
  <c r="BM842" i="8" s="1"/>
  <c r="BN842" i="8" s="1"/>
  <c r="BG719" i="8"/>
  <c r="BG452" i="8"/>
  <c r="BG213" i="8"/>
  <c r="BG271" i="8"/>
  <c r="BG212" i="8"/>
  <c r="BL252" i="8"/>
  <c r="BM252" i="8" s="1"/>
  <c r="BL58" i="8"/>
  <c r="BM58" i="8" s="1"/>
  <c r="BN58" i="8" s="1"/>
  <c r="BG126" i="8"/>
  <c r="BG129" i="8"/>
  <c r="BL38" i="8"/>
  <c r="BM38" i="8" s="1"/>
  <c r="BK1376" i="8"/>
  <c r="BG3" i="8"/>
  <c r="BO1495" i="8"/>
  <c r="BL1190" i="8"/>
  <c r="BM1190" i="8" s="1"/>
  <c r="BL1591" i="8"/>
  <c r="BM1591" i="8" s="1"/>
  <c r="BN1591" i="8" s="1"/>
  <c r="BG841" i="8"/>
  <c r="BO368" i="8"/>
  <c r="BO328" i="8"/>
  <c r="BL294" i="8"/>
  <c r="BM294" i="8" s="1"/>
  <c r="BO294" i="8" s="1"/>
  <c r="BG258" i="8"/>
  <c r="BG202" i="8"/>
  <c r="BL250" i="8"/>
  <c r="BM250" i="8" s="1"/>
  <c r="BG114" i="8"/>
  <c r="BG81" i="8"/>
  <c r="BG131" i="8"/>
  <c r="BL50" i="8"/>
  <c r="BM50" i="8" s="1"/>
  <c r="BO50" i="8" s="1"/>
  <c r="BL1181" i="8"/>
  <c r="BM1181" i="8" s="1"/>
  <c r="BO1181" i="8" s="1"/>
  <c r="BK1486" i="8"/>
  <c r="BG983" i="8"/>
  <c r="BG1407" i="8"/>
  <c r="BK1370" i="8"/>
  <c r="BN1282" i="8"/>
  <c r="BL985" i="8"/>
  <c r="BM985" i="8" s="1"/>
  <c r="BN985" i="8" s="1"/>
  <c r="BG694" i="8"/>
  <c r="BG640" i="8"/>
  <c r="BL584" i="8"/>
  <c r="BM584" i="8" s="1"/>
  <c r="BO584" i="8" s="1"/>
  <c r="BG560" i="8"/>
  <c r="BG216" i="8"/>
  <c r="BL291" i="8"/>
  <c r="BM291" i="8" s="1"/>
  <c r="BO291" i="8" s="1"/>
  <c r="BL310" i="8"/>
  <c r="BM310" i="8" s="1"/>
  <c r="BN310" i="8" s="1"/>
  <c r="BG55" i="8"/>
  <c r="BG86" i="8"/>
  <c r="BG153" i="8"/>
  <c r="BL80" i="8"/>
  <c r="BM80" i="8" s="1"/>
  <c r="BN80" i="8" s="1"/>
  <c r="BL1401" i="8"/>
  <c r="BM1401" i="8" s="1"/>
  <c r="BL1194" i="8"/>
  <c r="BM1194" i="8" s="1"/>
  <c r="BL966" i="8"/>
  <c r="BM966" i="8" s="1"/>
  <c r="BN966" i="8" s="1"/>
  <c r="BG829" i="8"/>
  <c r="BG798" i="8"/>
  <c r="BL609" i="8"/>
  <c r="BM609" i="8" s="1"/>
  <c r="BO324" i="8"/>
  <c r="BL253" i="8"/>
  <c r="BM253" i="8" s="1"/>
  <c r="BL309" i="8"/>
  <c r="BM309" i="8" s="1"/>
  <c r="BN309" i="8" s="1"/>
  <c r="BM283" i="8"/>
  <c r="BN283" i="8" s="1"/>
  <c r="BM185" i="8"/>
  <c r="BM148" i="8"/>
  <c r="BN148" i="8" s="1"/>
  <c r="BM133" i="8"/>
  <c r="BN133" i="8" s="1"/>
  <c r="BM145" i="8"/>
  <c r="BN145" i="8" s="1"/>
  <c r="BM1575" i="8"/>
  <c r="BO1575" i="8" s="1"/>
  <c r="BM1302" i="8"/>
  <c r="BO1302" i="8" s="1"/>
  <c r="BM321" i="8"/>
  <c r="BN321" i="8" s="1"/>
  <c r="BM162" i="8"/>
  <c r="BN162" i="8" s="1"/>
  <c r="BM12" i="8"/>
  <c r="BN12" i="8" s="1"/>
  <c r="BM24" i="8"/>
  <c r="BO24" i="8" s="1"/>
  <c r="BM551" i="8"/>
  <c r="BN551" i="8" s="1"/>
  <c r="BM116" i="8"/>
  <c r="BN116" i="8" s="1"/>
  <c r="BM1464" i="8"/>
  <c r="BO1464" i="8" s="1"/>
  <c r="BM1024" i="8"/>
  <c r="BN1024" i="8" s="1"/>
  <c r="BM745" i="8"/>
  <c r="BN745" i="8" s="1"/>
  <c r="BM612" i="8"/>
  <c r="BN612" i="8" s="1"/>
  <c r="BM1580" i="8"/>
  <c r="BO1580" i="8" s="1"/>
  <c r="BM871" i="8"/>
  <c r="BN871" i="8" s="1"/>
  <c r="BM677" i="8"/>
  <c r="BN677" i="8" s="1"/>
  <c r="BM912" i="8"/>
  <c r="BN912" i="8" s="1"/>
  <c r="BM746" i="8"/>
  <c r="BO746" i="8" s="1"/>
  <c r="BM661" i="8"/>
  <c r="BO661" i="8" s="1"/>
  <c r="BM499" i="8"/>
  <c r="BN499" i="8" s="1"/>
  <c r="BM902" i="8"/>
  <c r="BN902" i="8" s="1"/>
  <c r="BM819" i="8"/>
  <c r="BO819" i="8" s="1"/>
  <c r="BM525" i="8"/>
  <c r="BN525" i="8" s="1"/>
  <c r="BM345" i="8"/>
  <c r="BO345" i="8" s="1"/>
  <c r="BM404" i="8"/>
  <c r="BO404" i="8" s="1"/>
  <c r="BM791" i="8"/>
  <c r="BO791" i="8" s="1"/>
  <c r="BM379" i="8"/>
  <c r="BO379" i="8" s="1"/>
  <c r="BM527" i="8"/>
  <c r="BN527" i="8" s="1"/>
  <c r="BM769" i="8"/>
  <c r="BO769" i="8" s="1"/>
  <c r="BM140" i="8"/>
  <c r="BN140" i="8" s="1"/>
  <c r="BM1256" i="8"/>
  <c r="BN1256" i="8" s="1"/>
  <c r="BM1369" i="8"/>
  <c r="BN1369" i="8" s="1"/>
  <c r="BM1582" i="8"/>
  <c r="BO1582" i="8" s="1"/>
  <c r="BM1411" i="8"/>
  <c r="BN1411" i="8" s="1"/>
  <c r="BM1146" i="8"/>
  <c r="BO1146" i="8" s="1"/>
  <c r="BM879" i="8"/>
  <c r="BO879" i="8" s="1"/>
  <c r="BM350" i="8"/>
  <c r="BO350" i="8" s="1"/>
  <c r="BM425" i="8"/>
  <c r="BO425" i="8" s="1"/>
  <c r="BM675" i="8"/>
  <c r="BN675" i="8" s="1"/>
  <c r="BM617" i="8"/>
  <c r="BO617" i="8" s="1"/>
  <c r="BM1176" i="8"/>
  <c r="BM279" i="8"/>
  <c r="BN279" i="8" s="1"/>
  <c r="BM142" i="8"/>
  <c r="BN142" i="8" s="1"/>
  <c r="BM165" i="8"/>
  <c r="BO165" i="8" s="1"/>
  <c r="BM138" i="8"/>
  <c r="BO138" i="8" s="1"/>
  <c r="BM1172" i="8"/>
  <c r="BO1172" i="8" s="1"/>
  <c r="BM841" i="8"/>
  <c r="BO841" i="8" s="1"/>
  <c r="BM259" i="8"/>
  <c r="BO259" i="8" s="1"/>
  <c r="BM158" i="8"/>
  <c r="BN158" i="8" s="1"/>
  <c r="BM9" i="8"/>
  <c r="BO9" i="8" s="1"/>
  <c r="BM1378" i="8"/>
  <c r="BN1378" i="8" s="1"/>
  <c r="BM122" i="8"/>
  <c r="BN122" i="8" s="1"/>
  <c r="BM115" i="8"/>
  <c r="BN115" i="8" s="1"/>
  <c r="BM1063" i="8"/>
  <c r="BO1063" i="8" s="1"/>
  <c r="BM98" i="8"/>
  <c r="BN98" i="8" s="1"/>
  <c r="BM188" i="8"/>
  <c r="BO188" i="8" s="1"/>
  <c r="BM1263" i="8"/>
  <c r="BO1263" i="8" s="1"/>
  <c r="BM1107" i="8"/>
  <c r="BO1107" i="8" s="1"/>
  <c r="BM977" i="8"/>
  <c r="BN977" i="8" s="1"/>
  <c r="BM610" i="8"/>
  <c r="BN610" i="8" s="1"/>
  <c r="BM436" i="8"/>
  <c r="BO436" i="8" s="1"/>
  <c r="BM475" i="8"/>
  <c r="BN475" i="8" s="1"/>
  <c r="BM1003" i="8"/>
  <c r="BN1003" i="8" s="1"/>
  <c r="BM659" i="8"/>
  <c r="BO659" i="8" s="1"/>
  <c r="BM479" i="8"/>
  <c r="BO479" i="8" s="1"/>
  <c r="BM923" i="8"/>
  <c r="BO923" i="8" s="1"/>
  <c r="BM501" i="8"/>
  <c r="BO501" i="8" s="1"/>
  <c r="BM339" i="8"/>
  <c r="BO339" i="8" s="1"/>
  <c r="BM439" i="8"/>
  <c r="BO439" i="8" s="1"/>
  <c r="BM1124" i="8"/>
  <c r="BO1124" i="8" s="1"/>
  <c r="BM385" i="8"/>
  <c r="BO385" i="8" s="1"/>
  <c r="BM134" i="8"/>
  <c r="BO134" i="8" s="1"/>
  <c r="BM150" i="8"/>
  <c r="BN150" i="8" s="1"/>
  <c r="BM312" i="8"/>
  <c r="BN312" i="8" s="1"/>
  <c r="BM191" i="8"/>
  <c r="BN191" i="8" s="1"/>
  <c r="BO452" i="8"/>
  <c r="BM360" i="8"/>
  <c r="BO360" i="8" s="1"/>
  <c r="BM471" i="8"/>
  <c r="BN471" i="8" s="1"/>
  <c r="BM401" i="8"/>
  <c r="BN401" i="8" s="1"/>
  <c r="BM417" i="8"/>
  <c r="BO417" i="8" s="1"/>
  <c r="BM1025" i="8"/>
  <c r="BO1025" i="8" s="1"/>
  <c r="BM1609" i="8"/>
  <c r="BN1609" i="8" s="1"/>
  <c r="BM1423" i="8"/>
  <c r="BO1423" i="8" s="1"/>
  <c r="BM1069" i="8"/>
  <c r="BN1069" i="8" s="1"/>
  <c r="BM1297" i="8"/>
  <c r="BN1297" i="8" s="1"/>
  <c r="BM1100" i="8"/>
  <c r="BN1100" i="8" s="1"/>
  <c r="BM1131" i="8"/>
  <c r="BO1131" i="8" s="1"/>
  <c r="BM1140" i="8"/>
  <c r="BO1140" i="8" s="1"/>
  <c r="BM941" i="8"/>
  <c r="BO941" i="8" s="1"/>
  <c r="BM662" i="8"/>
  <c r="BO662" i="8" s="1"/>
  <c r="BM623" i="8"/>
  <c r="BN623" i="8" s="1"/>
  <c r="BM566" i="8"/>
  <c r="BO566" i="8" s="1"/>
  <c r="BM1530" i="8"/>
  <c r="BN1530" i="8" s="1"/>
  <c r="BM1511" i="8"/>
  <c r="BO1511" i="8" s="1"/>
  <c r="BM1479" i="8"/>
  <c r="BN1479" i="8" s="1"/>
  <c r="BM1385" i="8"/>
  <c r="BN1385" i="8" s="1"/>
  <c r="BM1309" i="8"/>
  <c r="BO1309" i="8" s="1"/>
  <c r="BM1281" i="8"/>
  <c r="BN1281" i="8" s="1"/>
  <c r="BM1101" i="8"/>
  <c r="BO1101" i="8" s="1"/>
  <c r="BM1205" i="8"/>
  <c r="BO1205" i="8" s="1"/>
  <c r="BM1014" i="8"/>
  <c r="BO1014" i="8" s="1"/>
  <c r="BM1126" i="8"/>
  <c r="BN1126" i="8" s="1"/>
  <c r="BM936" i="8"/>
  <c r="BN936" i="8" s="1"/>
  <c r="BM983" i="8"/>
  <c r="BO983" i="8" s="1"/>
  <c r="BM852" i="8"/>
  <c r="BO852" i="8" s="1"/>
  <c r="BM327" i="8"/>
  <c r="BN327" i="8" s="1"/>
  <c r="BM1512" i="8"/>
  <c r="BO1512" i="8" s="1"/>
  <c r="BM1460" i="8"/>
  <c r="BN1460" i="8" s="1"/>
  <c r="BM1480" i="8"/>
  <c r="BN1480" i="8" s="1"/>
  <c r="BM1422" i="8"/>
  <c r="BO1422" i="8" s="1"/>
  <c r="BM1427" i="8"/>
  <c r="BO1427" i="8" s="1"/>
  <c r="BM1431" i="8"/>
  <c r="BO1431" i="8" s="1"/>
  <c r="BM1438" i="8"/>
  <c r="BO1438" i="8" s="1"/>
  <c r="BM1357" i="8"/>
  <c r="BN1357" i="8" s="1"/>
  <c r="BM1325" i="8"/>
  <c r="BO1325" i="8" s="1"/>
  <c r="BM1352" i="8"/>
  <c r="BO1352" i="8" s="1"/>
  <c r="BM1330" i="8"/>
  <c r="BO1330" i="8" s="1"/>
  <c r="BM1341" i="8"/>
  <c r="BN1341" i="8" s="1"/>
  <c r="BM1279" i="8"/>
  <c r="BN1279" i="8" s="1"/>
  <c r="BM1225" i="8"/>
  <c r="BN1225" i="8" s="1"/>
  <c r="BM1059" i="8"/>
  <c r="BO1059" i="8" s="1"/>
  <c r="BM1303" i="8"/>
  <c r="BN1303" i="8" s="1"/>
  <c r="BM1346" i="8"/>
  <c r="BN1346" i="8" s="1"/>
  <c r="BM1233" i="8"/>
  <c r="BN1233" i="8" s="1"/>
  <c r="BM1073" i="8"/>
  <c r="BO1073" i="8" s="1"/>
  <c r="BM1062" i="8"/>
  <c r="BO1062" i="8" s="1"/>
  <c r="BO1156" i="8"/>
  <c r="BM1006" i="8"/>
  <c r="BN1006" i="8" s="1"/>
  <c r="BM1110" i="8"/>
  <c r="BO1110" i="8" s="1"/>
  <c r="BM917" i="8"/>
  <c r="BM1123" i="8"/>
  <c r="BO1123" i="8" s="1"/>
  <c r="BM1142" i="8"/>
  <c r="BO1142" i="8" s="1"/>
  <c r="BM915" i="8"/>
  <c r="BN915" i="8" s="1"/>
  <c r="BM1000" i="8"/>
  <c r="BO1000" i="8" s="1"/>
  <c r="BM920" i="8"/>
  <c r="BO920" i="8" s="1"/>
  <c r="BM1033" i="8"/>
  <c r="BO1033" i="8" s="1"/>
  <c r="BM803" i="8"/>
  <c r="BN803" i="8" s="1"/>
  <c r="BM978" i="8"/>
  <c r="BO978" i="8" s="1"/>
  <c r="BM922" i="8"/>
  <c r="BO922" i="8" s="1"/>
  <c r="BM939" i="8"/>
  <c r="BN939" i="8" s="1"/>
  <c r="BM845" i="8"/>
  <c r="BO845" i="8" s="1"/>
  <c r="BM763" i="8"/>
  <c r="BO763" i="8" s="1"/>
  <c r="BM811" i="8"/>
  <c r="BO811" i="8" s="1"/>
  <c r="BM743" i="8"/>
  <c r="BO743" i="8" s="1"/>
  <c r="BM854" i="8"/>
  <c r="BO854" i="8" s="1"/>
  <c r="BM767" i="8"/>
  <c r="BN767" i="8" s="1"/>
  <c r="BM676" i="8"/>
  <c r="BO676" i="8" s="1"/>
  <c r="BM717" i="8"/>
  <c r="BO717" i="8" s="1"/>
  <c r="BM654" i="8"/>
  <c r="BO654" i="8" s="1"/>
  <c r="BM673" i="8"/>
  <c r="BO673" i="8" s="1"/>
  <c r="BM684" i="8"/>
  <c r="BO684" i="8" s="1"/>
  <c r="BM489" i="8"/>
  <c r="BO489" i="8" s="1"/>
  <c r="BM575" i="8"/>
  <c r="BN575" i="8" s="1"/>
  <c r="BM504" i="8"/>
  <c r="BO504" i="8" s="1"/>
  <c r="BM482" i="8"/>
  <c r="BN482" i="8" s="1"/>
  <c r="BM577" i="8"/>
  <c r="BN577" i="8" s="1"/>
  <c r="BM335" i="8"/>
  <c r="BO335" i="8" s="1"/>
  <c r="BM399" i="8"/>
  <c r="BN399" i="8" s="1"/>
  <c r="BM435" i="8"/>
  <c r="BM332" i="8"/>
  <c r="BO332" i="8" s="1"/>
  <c r="BM387" i="8"/>
  <c r="BN387" i="8" s="1"/>
  <c r="BM420" i="8"/>
  <c r="BN420" i="8" s="1"/>
  <c r="BM278" i="8"/>
  <c r="BO278" i="8" s="1"/>
  <c r="BM216" i="8"/>
  <c r="BM197" i="8"/>
  <c r="BN197" i="8" s="1"/>
  <c r="BM167" i="8"/>
  <c r="BO167" i="8" s="1"/>
  <c r="BM114" i="8"/>
  <c r="BN114" i="8" s="1"/>
  <c r="BM35" i="8"/>
  <c r="BN35" i="8" s="1"/>
  <c r="BM120" i="8"/>
  <c r="BO120" i="8" s="1"/>
  <c r="BM47" i="8"/>
  <c r="BM113" i="8"/>
  <c r="BN113" i="8" s="1"/>
  <c r="BM94" i="8"/>
  <c r="BN94" i="8" s="1"/>
  <c r="BM14" i="8"/>
  <c r="BO14" i="8" s="1"/>
  <c r="BM23" i="8"/>
  <c r="BM1275" i="8"/>
  <c r="BN1275" i="8" s="1"/>
  <c r="BM840" i="8"/>
  <c r="BN840" i="8" s="1"/>
  <c r="BM1398" i="8"/>
  <c r="BO1398" i="8" s="1"/>
  <c r="BM1292" i="8"/>
  <c r="BO1292" i="8" s="1"/>
  <c r="BM20" i="8"/>
  <c r="BO20" i="8" s="1"/>
  <c r="BM1380" i="8"/>
  <c r="BN1380" i="8" s="1"/>
  <c r="BM1298" i="8"/>
  <c r="BO1298" i="8" s="1"/>
  <c r="BM210" i="8"/>
  <c r="BO210" i="8" s="1"/>
  <c r="BM1132" i="8"/>
  <c r="BN1132" i="8" s="1"/>
  <c r="BM265" i="8"/>
  <c r="BN265" i="8" s="1"/>
  <c r="BM154" i="8"/>
  <c r="BN154" i="8" s="1"/>
  <c r="BM1410" i="8"/>
  <c r="BN1410" i="8" s="1"/>
  <c r="BM1258" i="8"/>
  <c r="BO1258" i="8" s="1"/>
  <c r="BM1115" i="8"/>
  <c r="BO1115" i="8" s="1"/>
  <c r="BM1524" i="8"/>
  <c r="BM1516" i="8"/>
  <c r="BN1516" i="8" s="1"/>
  <c r="BM972" i="8"/>
  <c r="BN972" i="8" s="1"/>
  <c r="BM1574" i="8"/>
  <c r="BO1574" i="8" s="1"/>
  <c r="BM1593" i="8"/>
  <c r="BO1593" i="8" s="1"/>
  <c r="BM464" i="8"/>
  <c r="BN464" i="8" s="1"/>
  <c r="BM930" i="8"/>
  <c r="BO930" i="8" s="1"/>
  <c r="BM330" i="8"/>
  <c r="BO330" i="8" s="1"/>
  <c r="BM273" i="8"/>
  <c r="BO273" i="8" s="1"/>
  <c r="BM314" i="8"/>
  <c r="BO314" i="8" s="1"/>
  <c r="BM277" i="8"/>
  <c r="BN277" i="8" s="1"/>
  <c r="BM1095" i="8"/>
  <c r="BO1095" i="8" s="1"/>
  <c r="BM1472" i="8"/>
  <c r="BO1472" i="8" s="1"/>
  <c r="BM1329" i="8"/>
  <c r="BO1329" i="8" s="1"/>
  <c r="BM1070" i="8"/>
  <c r="BN1070" i="8" s="1"/>
  <c r="BM938" i="8"/>
  <c r="BN938" i="8" s="1"/>
  <c r="BM801" i="8"/>
  <c r="BO801" i="8" s="1"/>
  <c r="BM738" i="8"/>
  <c r="BO738" i="8" s="1"/>
  <c r="BM503" i="8"/>
  <c r="BO503" i="8" s="1"/>
  <c r="BM535" i="8"/>
  <c r="BO535" i="8" s="1"/>
  <c r="BM520" i="8"/>
  <c r="BO520" i="8" s="1"/>
  <c r="BM397" i="8"/>
  <c r="BN397" i="8" s="1"/>
  <c r="BM484" i="8"/>
  <c r="BO484" i="8" s="1"/>
  <c r="BM1430" i="8"/>
  <c r="BN1430" i="8" s="1"/>
  <c r="BM1271" i="8"/>
  <c r="BN1271" i="8" s="1"/>
  <c r="BM1204" i="8"/>
  <c r="BN1204" i="8" s="1"/>
  <c r="BM1086" i="8"/>
  <c r="BN1086" i="8" s="1"/>
  <c r="BM1013" i="8"/>
  <c r="BM1008" i="8"/>
  <c r="BO1008" i="8" s="1"/>
  <c r="BM1001" i="8"/>
  <c r="BO1001" i="8" s="1"/>
  <c r="BM822" i="8"/>
  <c r="BO822" i="8" s="1"/>
  <c r="BM681" i="8"/>
  <c r="BN681" i="8" s="1"/>
  <c r="BM382" i="8"/>
  <c r="BO382" i="8" s="1"/>
  <c r="BM375" i="8"/>
  <c r="BN375" i="8" s="1"/>
  <c r="BM478" i="8"/>
  <c r="BO478" i="8" s="1"/>
  <c r="BM1590" i="8"/>
  <c r="BO1590" i="8" s="1"/>
  <c r="BM1432" i="8"/>
  <c r="BO1432" i="8" s="1"/>
  <c r="BM1347" i="8"/>
  <c r="BO1347" i="8" s="1"/>
  <c r="BM1326" i="8"/>
  <c r="BO1326" i="8" s="1"/>
  <c r="BM1377" i="8"/>
  <c r="BM1368" i="8"/>
  <c r="BN1368" i="8" s="1"/>
  <c r="BM1328" i="8"/>
  <c r="BN1328" i="8" s="1"/>
  <c r="BM1354" i="8"/>
  <c r="BO1354" i="8" s="1"/>
  <c r="BM1216" i="8"/>
  <c r="BM1318" i="8"/>
  <c r="BO1318" i="8" s="1"/>
  <c r="BM1260" i="8"/>
  <c r="BN1260" i="8" s="1"/>
  <c r="BM1237" i="8"/>
  <c r="BO1237" i="8" s="1"/>
  <c r="BM1169" i="8"/>
  <c r="BO1169" i="8" s="1"/>
  <c r="BM1093" i="8"/>
  <c r="BO1093" i="8" s="1"/>
  <c r="BM1288" i="8"/>
  <c r="BN1288" i="8" s="1"/>
  <c r="BM1244" i="8"/>
  <c r="BN1244" i="8" s="1"/>
  <c r="BM1170" i="8"/>
  <c r="BO1170" i="8" s="1"/>
  <c r="BM1054" i="8"/>
  <c r="BN1054" i="8" s="1"/>
  <c r="BM1122" i="8"/>
  <c r="BO1122" i="8" s="1"/>
  <c r="BM1064" i="8"/>
  <c r="BO1064" i="8" s="1"/>
  <c r="BM1136" i="8"/>
  <c r="BN1136" i="8" s="1"/>
  <c r="BM1099" i="8"/>
  <c r="BN1099" i="8" s="1"/>
  <c r="BM1029" i="8"/>
  <c r="BO1029" i="8" s="1"/>
  <c r="BM1121" i="8"/>
  <c r="BN1121" i="8" s="1"/>
  <c r="BM1128" i="8"/>
  <c r="BN1128" i="8" s="1"/>
  <c r="BM911" i="8"/>
  <c r="BO911" i="8" s="1"/>
  <c r="BM934" i="8"/>
  <c r="BM1010" i="8"/>
  <c r="BO1010" i="8" s="1"/>
  <c r="BM903" i="8"/>
  <c r="BN903" i="8" s="1"/>
  <c r="BM1016" i="8"/>
  <c r="BO1016" i="8" s="1"/>
  <c r="BM910" i="8"/>
  <c r="BO910" i="8" s="1"/>
  <c r="BM802" i="8"/>
  <c r="BO802" i="8" s="1"/>
  <c r="BM935" i="8"/>
  <c r="BO935" i="8" s="1"/>
  <c r="BM947" i="8"/>
  <c r="BN947" i="8" s="1"/>
  <c r="BM891" i="8"/>
  <c r="BO891" i="8" s="1"/>
  <c r="BM806" i="8"/>
  <c r="BN806" i="8" s="1"/>
  <c r="BN645" i="8"/>
  <c r="BM678" i="8"/>
  <c r="BN678" i="8" s="1"/>
  <c r="BM498" i="8"/>
  <c r="BO498" i="8" s="1"/>
  <c r="BM666" i="8"/>
  <c r="BO666" i="8" s="1"/>
  <c r="BM574" i="8"/>
  <c r="BN574" i="8" s="1"/>
  <c r="BM604" i="8"/>
  <c r="BO604" i="8" s="1"/>
  <c r="BM571" i="8"/>
  <c r="BO571" i="8" s="1"/>
  <c r="BM486" i="8"/>
  <c r="BO486" i="8" s="1"/>
  <c r="BM438" i="8"/>
  <c r="BN438" i="8" s="1"/>
  <c r="BM406" i="8"/>
  <c r="BO406" i="8" s="1"/>
  <c r="BM366" i="8"/>
  <c r="BO366" i="8" s="1"/>
  <c r="BM331" i="8"/>
  <c r="BO331" i="8" s="1"/>
  <c r="BM393" i="8"/>
  <c r="BO393" i="8" s="1"/>
  <c r="BM427" i="8"/>
  <c r="BN427" i="8" s="1"/>
  <c r="BM371" i="8"/>
  <c r="BN371" i="8" s="1"/>
  <c r="BM424" i="8"/>
  <c r="BN424" i="8" s="1"/>
  <c r="BM405" i="8"/>
  <c r="BO405" i="8" s="1"/>
  <c r="BM333" i="8"/>
  <c r="BN333" i="8" s="1"/>
  <c r="BM274" i="8"/>
  <c r="BO274" i="8" s="1"/>
  <c r="BM184" i="8"/>
  <c r="BO184" i="8" s="1"/>
  <c r="BM270" i="8"/>
  <c r="BO270" i="8" s="1"/>
  <c r="BM282" i="8"/>
  <c r="BO282" i="8" s="1"/>
  <c r="BM207" i="8"/>
  <c r="BO207" i="8" s="1"/>
  <c r="BM130" i="8"/>
  <c r="BO130" i="8" s="1"/>
  <c r="BM132" i="8"/>
  <c r="BN132" i="8" s="1"/>
  <c r="BM22" i="8"/>
  <c r="BO22" i="8" s="1"/>
  <c r="BM866" i="8"/>
  <c r="BN866" i="8" s="1"/>
  <c r="BM969" i="8"/>
  <c r="BO969" i="8" s="1"/>
  <c r="BM362" i="8"/>
  <c r="BO362" i="8" s="1"/>
  <c r="BM1166" i="8"/>
  <c r="BN1166" i="8" s="1"/>
  <c r="BM99" i="8"/>
  <c r="BO99" i="8" s="1"/>
  <c r="BM798" i="8"/>
  <c r="BO798" i="8" s="1"/>
  <c r="BM1418" i="8"/>
  <c r="BN1418" i="8" s="1"/>
  <c r="BM1155" i="8"/>
  <c r="BN1155" i="8" s="1"/>
  <c r="BM1284" i="8"/>
  <c r="BN1284" i="8" s="1"/>
  <c r="BM1171" i="8"/>
  <c r="BN1171" i="8" s="1"/>
  <c r="BM208" i="8"/>
  <c r="BO208" i="8" s="1"/>
  <c r="BM1097" i="8"/>
  <c r="BO1097" i="8" s="1"/>
  <c r="BM1306" i="8"/>
  <c r="BN1306" i="8" s="1"/>
  <c r="BM1374" i="8"/>
  <c r="BO1374" i="8" s="1"/>
  <c r="BM1569" i="8"/>
  <c r="BO1569" i="8" s="1"/>
  <c r="BM494" i="8"/>
  <c r="BO494" i="8" s="1"/>
  <c r="BM1526" i="8"/>
  <c r="BO1526" i="8" s="1"/>
  <c r="BM1387" i="8"/>
  <c r="BO1387" i="8" s="1"/>
  <c r="BM1335" i="8"/>
  <c r="BO1335" i="8" s="1"/>
  <c r="BM1227" i="8"/>
  <c r="BN1227" i="8" s="1"/>
  <c r="BM1221" i="8"/>
  <c r="BN1221" i="8" s="1"/>
  <c r="BM1057" i="8"/>
  <c r="BO1057" i="8" s="1"/>
  <c r="BM1009" i="8"/>
  <c r="BO1009" i="8" s="1"/>
  <c r="BM1005" i="8"/>
  <c r="BO1005" i="8" s="1"/>
  <c r="BM880" i="8"/>
  <c r="BO880" i="8" s="1"/>
  <c r="BM683" i="8"/>
  <c r="BO683" i="8" s="1"/>
  <c r="BM667" i="8"/>
  <c r="BN667" i="8" s="1"/>
  <c r="BM564" i="8"/>
  <c r="BN564" i="8" s="1"/>
  <c r="BM337" i="8"/>
  <c r="BO337" i="8" s="1"/>
  <c r="BM315" i="8"/>
  <c r="BN315" i="8" s="1"/>
  <c r="BM1481" i="8"/>
  <c r="BN1481" i="8" s="1"/>
  <c r="BM954" i="8"/>
  <c r="BO954" i="8" s="1"/>
  <c r="BM686" i="8"/>
  <c r="BO686" i="8" s="1"/>
  <c r="BM731" i="8"/>
  <c r="BO731" i="8" s="1"/>
  <c r="BM658" i="8"/>
  <c r="BN658" i="8" s="1"/>
  <c r="BM510" i="8"/>
  <c r="BO510" i="8" s="1"/>
  <c r="BM389" i="8"/>
  <c r="BO389" i="8" s="1"/>
  <c r="BM1547" i="8"/>
  <c r="BN1547" i="8" s="1"/>
  <c r="BM1539" i="8"/>
  <c r="BO1539" i="8" s="1"/>
  <c r="BM1508" i="8"/>
  <c r="BO1508" i="8" s="1"/>
  <c r="BM1588" i="8"/>
  <c r="BN1588" i="8" s="1"/>
  <c r="BM1596" i="8"/>
  <c r="BO1596" i="8" s="1"/>
  <c r="BM1484" i="8"/>
  <c r="BO1484" i="8" s="1"/>
  <c r="BN1407" i="8"/>
  <c r="BM1406" i="8"/>
  <c r="BN1406" i="8" s="1"/>
  <c r="BM1396" i="8"/>
  <c r="BN1396" i="8" s="1"/>
  <c r="BM1382" i="8"/>
  <c r="BN1382" i="8" s="1"/>
  <c r="BM1321" i="8"/>
  <c r="BO1321" i="8" s="1"/>
  <c r="BM1367" i="8"/>
  <c r="BO1367" i="8" s="1"/>
  <c r="BM1348" i="8"/>
  <c r="BM1215" i="8"/>
  <c r="BM1333" i="8"/>
  <c r="BO1333" i="8" s="1"/>
  <c r="BM1276" i="8"/>
  <c r="BN1276" i="8" s="1"/>
  <c r="BM1339" i="8"/>
  <c r="BO1339" i="8" s="1"/>
  <c r="BM1295" i="8"/>
  <c r="BO1295" i="8" s="1"/>
  <c r="BM1245" i="8"/>
  <c r="BO1245" i="8" s="1"/>
  <c r="BM1235" i="8"/>
  <c r="BO1235" i="8" s="1"/>
  <c r="BM1196" i="8"/>
  <c r="BM1085" i="8"/>
  <c r="BO1085" i="8" s="1"/>
  <c r="BM1289" i="8"/>
  <c r="BN1289" i="8" s="1"/>
  <c r="BM1212" i="8"/>
  <c r="BN1212" i="8" s="1"/>
  <c r="BM1360" i="8"/>
  <c r="BO1360" i="8" s="1"/>
  <c r="BM1153" i="8"/>
  <c r="BN1153" i="8" s="1"/>
  <c r="BM1120" i="8"/>
  <c r="BN1120" i="8" s="1"/>
  <c r="BM1048" i="8"/>
  <c r="BN1048" i="8" s="1"/>
  <c r="BM1102" i="8"/>
  <c r="BN1102" i="8" s="1"/>
  <c r="BM1154" i="8"/>
  <c r="BO1154" i="8" s="1"/>
  <c r="BM1092" i="8"/>
  <c r="BO1092" i="8" s="1"/>
  <c r="BM909" i="8"/>
  <c r="BO909" i="8" s="1"/>
  <c r="BM1112" i="8"/>
  <c r="BM893" i="8"/>
  <c r="BO893" i="8" s="1"/>
  <c r="BM928" i="8"/>
  <c r="BO928" i="8" s="1"/>
  <c r="BM1002" i="8"/>
  <c r="BO1002" i="8" s="1"/>
  <c r="BM898" i="8"/>
  <c r="BO898" i="8" s="1"/>
  <c r="BM859" i="8"/>
  <c r="BN859" i="8" s="1"/>
  <c r="BM914" i="8"/>
  <c r="BN914" i="8" s="1"/>
  <c r="BM943" i="8"/>
  <c r="BO943" i="8" s="1"/>
  <c r="BM955" i="8"/>
  <c r="BN955" i="8" s="1"/>
  <c r="BM869" i="8"/>
  <c r="BN869" i="8" s="1"/>
  <c r="BM747" i="8"/>
  <c r="BN747" i="8" s="1"/>
  <c r="BM872" i="8"/>
  <c r="BN872" i="8" s="1"/>
  <c r="BM885" i="8"/>
  <c r="BO885" i="8" s="1"/>
  <c r="BM756" i="8"/>
  <c r="BN756" i="8" s="1"/>
  <c r="BM764" i="8"/>
  <c r="BO764" i="8" s="1"/>
  <c r="BM834" i="8"/>
  <c r="BO834" i="8" s="1"/>
  <c r="BM759" i="8"/>
  <c r="BN759" i="8" s="1"/>
  <c r="BM665" i="8"/>
  <c r="BN665" i="8" s="1"/>
  <c r="BM513" i="8"/>
  <c r="BM699" i="8"/>
  <c r="BN699" i="8" s="1"/>
  <c r="BM660" i="8"/>
  <c r="BO660" i="8" s="1"/>
  <c r="BM567" i="8"/>
  <c r="BN567" i="8" s="1"/>
  <c r="BM569" i="8"/>
  <c r="BO569" i="8" s="1"/>
  <c r="BM533" i="8"/>
  <c r="BO533" i="8" s="1"/>
  <c r="BM547" i="8"/>
  <c r="BO547" i="8" s="1"/>
  <c r="BM618" i="8"/>
  <c r="BO618" i="8" s="1"/>
  <c r="BM476" i="8"/>
  <c r="BO476" i="8" s="1"/>
  <c r="BM441" i="8"/>
  <c r="BO441" i="8" s="1"/>
  <c r="BM437" i="8"/>
  <c r="BM415" i="8"/>
  <c r="BO415" i="8" s="1"/>
  <c r="BM367" i="8"/>
  <c r="BO367" i="8" s="1"/>
  <c r="BM407" i="8"/>
  <c r="BO407" i="8" s="1"/>
  <c r="BM403" i="8"/>
  <c r="BO403" i="8" s="1"/>
  <c r="BM280" i="8"/>
  <c r="BO280" i="8" s="1"/>
  <c r="BM225" i="8"/>
  <c r="BM214" i="8"/>
  <c r="BO214" i="8" s="1"/>
  <c r="BM190" i="8"/>
  <c r="BN190" i="8" s="1"/>
  <c r="BM55" i="8"/>
  <c r="BO55" i="8" s="1"/>
  <c r="BM152" i="8"/>
  <c r="BO152" i="8" s="1"/>
  <c r="BM91" i="8"/>
  <c r="BO91" i="8" s="1"/>
  <c r="BM166" i="8"/>
  <c r="BO166" i="8" s="1"/>
  <c r="BM7" i="8"/>
  <c r="BO7" i="8" s="1"/>
  <c r="BM843" i="8"/>
  <c r="BO843" i="8" s="1"/>
  <c r="BM883" i="8"/>
  <c r="BM1089" i="8"/>
  <c r="BO1089" i="8" s="1"/>
  <c r="BM719" i="8"/>
  <c r="BO719" i="8" s="1"/>
  <c r="BM700" i="8"/>
  <c r="BO700" i="8" s="1"/>
  <c r="BM209" i="8"/>
  <c r="BO209" i="8" s="1"/>
  <c r="BM497" i="8"/>
  <c r="BM155" i="8"/>
  <c r="BO155" i="8" s="1"/>
  <c r="BM63" i="8"/>
  <c r="BN63" i="8" s="1"/>
  <c r="BM68" i="8"/>
  <c r="BO68" i="8" s="1"/>
  <c r="BM27" i="8"/>
  <c r="BN27" i="8" s="1"/>
  <c r="BM1477" i="8"/>
  <c r="BO1477" i="8" s="1"/>
  <c r="BM215" i="8"/>
  <c r="BN215" i="8" s="1"/>
  <c r="BM722" i="8"/>
  <c r="BN722" i="8" s="1"/>
  <c r="BM1129" i="8"/>
  <c r="BO1129" i="8" s="1"/>
  <c r="BM26" i="8"/>
  <c r="BO26" i="8" s="1"/>
  <c r="BM1323" i="8"/>
  <c r="BO1323" i="8" s="1"/>
  <c r="BM32" i="8"/>
  <c r="BO32" i="8" s="1"/>
  <c r="BM206" i="8"/>
  <c r="BN206" i="8" s="1"/>
  <c r="BM1068" i="8"/>
  <c r="BN1068" i="8" s="1"/>
  <c r="BM519" i="8"/>
  <c r="BM1558" i="8"/>
  <c r="BO1558" i="8" s="1"/>
  <c r="BM1274" i="8"/>
  <c r="BO1274" i="8" s="1"/>
  <c r="BM1307" i="8"/>
  <c r="BN1307" i="8" s="1"/>
  <c r="BM1037" i="8"/>
  <c r="BO1037" i="8" s="1"/>
  <c r="BM493" i="8"/>
  <c r="BN493" i="8" s="1"/>
  <c r="BM212" i="8"/>
  <c r="BM1351" i="8"/>
  <c r="BO1351" i="8" s="1"/>
  <c r="BM1210" i="8"/>
  <c r="BO1210" i="8" s="1"/>
  <c r="BM1088" i="8"/>
  <c r="BO1088" i="8" s="1"/>
  <c r="BM1138" i="8"/>
  <c r="BO1138" i="8" s="1"/>
  <c r="BM926" i="8"/>
  <c r="BO926" i="8" s="1"/>
  <c r="BM771" i="8"/>
  <c r="BN771" i="8" s="1"/>
  <c r="BM620" i="8"/>
  <c r="BO620" i="8" s="1"/>
  <c r="BM491" i="8"/>
  <c r="BO491" i="8" s="1"/>
  <c r="BM416" i="8"/>
  <c r="BO416" i="8" s="1"/>
  <c r="BM1610" i="8"/>
  <c r="BN1610" i="8" s="1"/>
  <c r="BM1592" i="8"/>
  <c r="BO1592" i="8" s="1"/>
  <c r="BM1514" i="8"/>
  <c r="BO1514" i="8" s="1"/>
  <c r="BM1537" i="8"/>
  <c r="BN1537" i="8" s="1"/>
  <c r="BM1521" i="8"/>
  <c r="BO1521" i="8" s="1"/>
  <c r="BM1538" i="8"/>
  <c r="BO1538" i="8" s="1"/>
  <c r="BM1532" i="8"/>
  <c r="BO1532" i="8" s="1"/>
  <c r="BM1449" i="8"/>
  <c r="BN1449" i="8" s="1"/>
  <c r="BM1358" i="8"/>
  <c r="BO1358" i="8" s="1"/>
  <c r="BM1364" i="8"/>
  <c r="BO1364" i="8" s="1"/>
  <c r="BM1213" i="8"/>
  <c r="BN1213" i="8" s="1"/>
  <c r="BM1301" i="8"/>
  <c r="BO1301" i="8" s="1"/>
  <c r="BM1243" i="8"/>
  <c r="BO1243" i="8" s="1"/>
  <c r="BM1214" i="8"/>
  <c r="BO1214" i="8" s="1"/>
  <c r="BM1218" i="8"/>
  <c r="BN1218" i="8" s="1"/>
  <c r="BM1197" i="8"/>
  <c r="BN1197" i="8" s="1"/>
  <c r="BM1334" i="8"/>
  <c r="BO1334" i="8" s="1"/>
  <c r="BM1098" i="8"/>
  <c r="BO1098" i="8" s="1"/>
  <c r="BM1148" i="8"/>
  <c r="BO1148" i="8" s="1"/>
  <c r="BM1105" i="8"/>
  <c r="BO1105" i="8" s="1"/>
  <c r="BM1165" i="8"/>
  <c r="BM1038" i="8"/>
  <c r="BO1038" i="8" s="1"/>
  <c r="BM1152" i="8"/>
  <c r="BO1152" i="8" s="1"/>
  <c r="BM1080" i="8"/>
  <c r="BO1080" i="8" s="1"/>
  <c r="BM907" i="8"/>
  <c r="BN907" i="8" s="1"/>
  <c r="BM957" i="8"/>
  <c r="BO957" i="8" s="1"/>
  <c r="BM950" i="8"/>
  <c r="BO950" i="8" s="1"/>
  <c r="BM825" i="8"/>
  <c r="BO825" i="8" s="1"/>
  <c r="BM963" i="8"/>
  <c r="BO963" i="8" s="1"/>
  <c r="BM901" i="8"/>
  <c r="BN901" i="8" s="1"/>
  <c r="BM858" i="8"/>
  <c r="BO858" i="8" s="1"/>
  <c r="BM895" i="8"/>
  <c r="BN895" i="8" s="1"/>
  <c r="BM951" i="8"/>
  <c r="BO951" i="8" s="1"/>
  <c r="BM820" i="8"/>
  <c r="BO820" i="8" s="1"/>
  <c r="BM790" i="8"/>
  <c r="BO790" i="8" s="1"/>
  <c r="BM850" i="8"/>
  <c r="BO850" i="8" s="1"/>
  <c r="BM753" i="8"/>
  <c r="BO753" i="8" s="1"/>
  <c r="BM737" i="8"/>
  <c r="BO737" i="8" s="1"/>
  <c r="BM689" i="8"/>
  <c r="BO689" i="8" s="1"/>
  <c r="BM640" i="8"/>
  <c r="BN640" i="8" s="1"/>
  <c r="BM739" i="8"/>
  <c r="BO739" i="8" s="1"/>
  <c r="BM653" i="8"/>
  <c r="BO653" i="8" s="1"/>
  <c r="BM583" i="8"/>
  <c r="BN583" i="8" s="1"/>
  <c r="BM563" i="8"/>
  <c r="BO563" i="8" s="1"/>
  <c r="BM537" i="8"/>
  <c r="BO537" i="8" s="1"/>
  <c r="BM517" i="8"/>
  <c r="BO517" i="8" s="1"/>
  <c r="BM616" i="8"/>
  <c r="BO616" i="8" s="1"/>
  <c r="BM614" i="8"/>
  <c r="BO614" i="8" s="1"/>
  <c r="BM430" i="8"/>
  <c r="BO430" i="8" s="1"/>
  <c r="BM398" i="8"/>
  <c r="BO398" i="8" s="1"/>
  <c r="BM457" i="8"/>
  <c r="BO457" i="8" s="1"/>
  <c r="BM388" i="8"/>
  <c r="BN388" i="8" s="1"/>
  <c r="BM431" i="8"/>
  <c r="BN431" i="8" s="1"/>
  <c r="BM429" i="8"/>
  <c r="BN429" i="8" s="1"/>
  <c r="BM391" i="8"/>
  <c r="BN391" i="8" s="1"/>
  <c r="BM358" i="8"/>
  <c r="BO358" i="8" s="1"/>
  <c r="BM396" i="8"/>
  <c r="BO396" i="8" s="1"/>
  <c r="BM383" i="8"/>
  <c r="BN383" i="8" s="1"/>
  <c r="BM179" i="8"/>
  <c r="BO179" i="8" s="1"/>
  <c r="BM126" i="8"/>
  <c r="BO126" i="8" s="1"/>
  <c r="BM1168" i="8"/>
  <c r="BO1168" i="8" s="1"/>
  <c r="BM1296" i="8"/>
  <c r="BO1296" i="8" s="1"/>
  <c r="BM1383" i="8"/>
  <c r="BN1383" i="8" s="1"/>
  <c r="BM451" i="8"/>
  <c r="BO451" i="8" s="1"/>
  <c r="BM1312" i="8"/>
  <c r="BM600" i="8"/>
  <c r="BN600" i="8" s="1"/>
  <c r="BM1011" i="8"/>
  <c r="BO1011" i="8" s="1"/>
  <c r="BM100" i="8"/>
  <c r="BO100" i="8" s="1"/>
  <c r="BM376" i="8"/>
  <c r="BN376" i="8" s="1"/>
  <c r="BM1311" i="8"/>
  <c r="BO1311" i="8" s="1"/>
  <c r="BM1549" i="8"/>
  <c r="BO1549" i="8" s="1"/>
  <c r="BM1535" i="8"/>
  <c r="BO1535" i="8" s="1"/>
  <c r="BM1428" i="8"/>
  <c r="BN1428" i="8" s="1"/>
  <c r="BM1363" i="8"/>
  <c r="BN1363" i="8" s="1"/>
  <c r="BM1338" i="8"/>
  <c r="BN1338" i="8" s="1"/>
  <c r="BM1261" i="8"/>
  <c r="BN1261" i="8" s="1"/>
  <c r="BM1081" i="8"/>
  <c r="BN1081" i="8" s="1"/>
  <c r="BM1157" i="8"/>
  <c r="BN1157" i="8" s="1"/>
  <c r="BM1012" i="8"/>
  <c r="BO1012" i="8" s="1"/>
  <c r="BM958" i="8"/>
  <c r="BN958" i="8" s="1"/>
  <c r="BM619" i="8"/>
  <c r="BO619" i="8" s="1"/>
  <c r="BM433" i="8"/>
  <c r="BO433" i="8" s="1"/>
  <c r="BM355" i="8"/>
  <c r="BO355" i="8" s="1"/>
  <c r="BM340" i="8"/>
  <c r="BO340" i="8" s="1"/>
  <c r="BM213" i="8"/>
  <c r="BO213" i="8" s="1"/>
  <c r="BM182" i="8"/>
  <c r="BO182" i="8" s="1"/>
  <c r="BM1541" i="8"/>
  <c r="BN1541" i="8" s="1"/>
  <c r="BM1483" i="8"/>
  <c r="BO1483" i="8" s="1"/>
  <c r="BM1386" i="8"/>
  <c r="BO1386" i="8" s="1"/>
  <c r="BM1361" i="8"/>
  <c r="BN1361" i="8" s="1"/>
  <c r="BM1290" i="8"/>
  <c r="BN1290" i="8" s="1"/>
  <c r="BM1336" i="8"/>
  <c r="BN1336" i="8" s="1"/>
  <c r="BM1280" i="8"/>
  <c r="BN1280" i="8" s="1"/>
  <c r="BM1286" i="8"/>
  <c r="BO1286" i="8" s="1"/>
  <c r="BM1077" i="8"/>
  <c r="BN1077" i="8" s="1"/>
  <c r="BM1119" i="8"/>
  <c r="BO1119" i="8" s="1"/>
  <c r="BM1049" i="8"/>
  <c r="BO1049" i="8" s="1"/>
  <c r="BM809" i="8"/>
  <c r="BN809" i="8" s="1"/>
  <c r="BM709" i="8"/>
  <c r="BO709" i="8" s="1"/>
  <c r="BM622" i="8"/>
  <c r="BO622" i="8" s="1"/>
  <c r="BM588" i="8"/>
  <c r="BO588" i="8" s="1"/>
  <c r="BM414" i="8"/>
  <c r="BO414" i="8" s="1"/>
  <c r="BM325" i="8"/>
  <c r="BN325" i="8" s="1"/>
  <c r="BM334" i="8"/>
  <c r="BN334" i="8" s="1"/>
  <c r="BM428" i="8"/>
  <c r="BO428" i="8" s="1"/>
  <c r="BM1470" i="8"/>
  <c r="BO1470" i="8" s="1"/>
  <c r="BM1437" i="8"/>
  <c r="BO1437" i="8" s="1"/>
  <c r="BM1606" i="8"/>
  <c r="BN1606" i="8" s="1"/>
  <c r="BM1525" i="8"/>
  <c r="BN1525" i="8" s="1"/>
  <c r="BM1563" i="8"/>
  <c r="BN1563" i="8" s="1"/>
  <c r="BM1536" i="8"/>
  <c r="BO1536" i="8" s="1"/>
  <c r="BM1504" i="8"/>
  <c r="BN1504" i="8" s="1"/>
  <c r="BM1482" i="8"/>
  <c r="BO1482" i="8" s="1"/>
  <c r="BM1373" i="8"/>
  <c r="BO1373" i="8" s="1"/>
  <c r="BM1529" i="8"/>
  <c r="BN1529" i="8" s="1"/>
  <c r="BM1548" i="8"/>
  <c r="BN1548" i="8" s="1"/>
  <c r="BM1469" i="8"/>
  <c r="BO1469" i="8" s="1"/>
  <c r="BM1393" i="8"/>
  <c r="BO1393" i="8" s="1"/>
  <c r="BM1343" i="8"/>
  <c r="BN1343" i="8" s="1"/>
  <c r="BM1603" i="8"/>
  <c r="BO1603" i="8" s="1"/>
  <c r="BM1560" i="8"/>
  <c r="BO1560" i="8" s="1"/>
  <c r="BM1540" i="8"/>
  <c r="BO1540" i="8" s="1"/>
  <c r="BM1601" i="8"/>
  <c r="BN1601" i="8" s="1"/>
  <c r="BM1531" i="8"/>
  <c r="BN1531" i="8" s="1"/>
  <c r="BM1485" i="8"/>
  <c r="BN1485" i="8" s="1"/>
  <c r="BM1494" i="8"/>
  <c r="BO1494" i="8" s="1"/>
  <c r="BM1474" i="8"/>
  <c r="BO1474" i="8" s="1"/>
  <c r="BM1476" i="8"/>
  <c r="BO1476" i="8" s="1"/>
  <c r="BM1478" i="8"/>
  <c r="BO1478" i="8" s="1"/>
  <c r="BM1487" i="8"/>
  <c r="BO1487" i="8" s="1"/>
  <c r="BM1429" i="8"/>
  <c r="BO1429" i="8" s="1"/>
  <c r="BM1534" i="8"/>
  <c r="BN1534" i="8" s="1"/>
  <c r="BM1491" i="8"/>
  <c r="BO1491" i="8" s="1"/>
  <c r="BM1384" i="8"/>
  <c r="BO1384" i="8" s="1"/>
  <c r="BM1390" i="8"/>
  <c r="BM1337" i="8"/>
  <c r="BN1337" i="8" s="1"/>
  <c r="BM1313" i="8"/>
  <c r="BN1313" i="8" s="1"/>
  <c r="BM1287" i="8"/>
  <c r="BN1287" i="8" s="1"/>
  <c r="BM1370" i="8"/>
  <c r="BO1370" i="8" s="1"/>
  <c r="BM1344" i="8"/>
  <c r="BN1344" i="8" s="1"/>
  <c r="BM1207" i="8"/>
  <c r="BO1207" i="8" s="1"/>
  <c r="BM1349" i="8"/>
  <c r="BN1349" i="8" s="1"/>
  <c r="BM1331" i="8"/>
  <c r="BO1331" i="8" s="1"/>
  <c r="BM1285" i="8"/>
  <c r="BN1285" i="8" s="1"/>
  <c r="BM1249" i="8"/>
  <c r="BO1249" i="8" s="1"/>
  <c r="BM1206" i="8"/>
  <c r="BN1206" i="8" s="1"/>
  <c r="BM1291" i="8"/>
  <c r="BO1291" i="8" s="1"/>
  <c r="BM1322" i="8"/>
  <c r="BN1322" i="8" s="1"/>
  <c r="BM1232" i="8"/>
  <c r="BO1232" i="8" s="1"/>
  <c r="BM1135" i="8"/>
  <c r="BO1135" i="8" s="1"/>
  <c r="BM1075" i="8"/>
  <c r="BN1075" i="8" s="1"/>
  <c r="BM1310" i="8"/>
  <c r="BN1310" i="8" s="1"/>
  <c r="BM1314" i="8"/>
  <c r="BO1314" i="8" s="1"/>
  <c r="BM1091" i="8"/>
  <c r="BO1091" i="8" s="1"/>
  <c r="BM1035" i="8"/>
  <c r="BO1035" i="8" s="1"/>
  <c r="BM1139" i="8"/>
  <c r="BN1139" i="8" s="1"/>
  <c r="BM1163" i="8"/>
  <c r="BO1163" i="8" s="1"/>
  <c r="BM1083" i="8"/>
  <c r="BN1083" i="8" s="1"/>
  <c r="BM1026" i="8"/>
  <c r="BO1026" i="8" s="1"/>
  <c r="BM1144" i="8"/>
  <c r="BO1144" i="8" s="1"/>
  <c r="BM1072" i="8"/>
  <c r="BO1072" i="8" s="1"/>
  <c r="BM933" i="8"/>
  <c r="BO933" i="8" s="1"/>
  <c r="BM1094" i="8"/>
  <c r="BO1094" i="8" s="1"/>
  <c r="BM1175" i="8"/>
  <c r="BN1175" i="8" s="1"/>
  <c r="BM960" i="8"/>
  <c r="BO960" i="8" s="1"/>
  <c r="BM952" i="8"/>
  <c r="BN952" i="8" s="1"/>
  <c r="BM946" i="8"/>
  <c r="BN946" i="8" s="1"/>
  <c r="BM1020" i="8"/>
  <c r="BN1020" i="8" s="1"/>
  <c r="BM931" i="8"/>
  <c r="BO931" i="8" s="1"/>
  <c r="BM899" i="8"/>
  <c r="BO899" i="8" s="1"/>
  <c r="BM814" i="8"/>
  <c r="BO814" i="8" s="1"/>
  <c r="BM890" i="8"/>
  <c r="BO890" i="8" s="1"/>
  <c r="BM804" i="8"/>
  <c r="BN804" i="8" s="1"/>
  <c r="BM772" i="8"/>
  <c r="BO772" i="8" s="1"/>
  <c r="BM793" i="8"/>
  <c r="BN793" i="8" s="1"/>
  <c r="BM812" i="8"/>
  <c r="BM749" i="8"/>
  <c r="BN749" i="8" s="1"/>
  <c r="BM751" i="8"/>
  <c r="BN751" i="8" s="1"/>
  <c r="BM668" i="8"/>
  <c r="BN668" i="8" s="1"/>
  <c r="BM736" i="8"/>
  <c r="BO736" i="8" s="1"/>
  <c r="BM682" i="8"/>
  <c r="BN682" i="8" s="1"/>
  <c r="BM735" i="8"/>
  <c r="BO735" i="8" s="1"/>
  <c r="BM651" i="8"/>
  <c r="BN651" i="8" s="1"/>
  <c r="BM473" i="8"/>
  <c r="BN473" i="8" s="1"/>
  <c r="BM599" i="8"/>
  <c r="BO599" i="8" s="1"/>
  <c r="BM518" i="8"/>
  <c r="BN518" i="8" s="1"/>
  <c r="BM364" i="8"/>
  <c r="BN364" i="8" s="1"/>
  <c r="BM481" i="8"/>
  <c r="BN481" i="8" s="1"/>
  <c r="BM458" i="8"/>
  <c r="BO458" i="8" s="1"/>
  <c r="BM423" i="8"/>
  <c r="BO423" i="8" s="1"/>
  <c r="BM359" i="8"/>
  <c r="BO359" i="8" s="1"/>
  <c r="BM462" i="8"/>
  <c r="BO462" i="8" s="1"/>
  <c r="BM380" i="8"/>
  <c r="BO380" i="8" s="1"/>
  <c r="BM443" i="8"/>
  <c r="BN443" i="8" s="1"/>
  <c r="BM377" i="8"/>
  <c r="BN377" i="8" s="1"/>
  <c r="BM275" i="8"/>
  <c r="BO275" i="8" s="1"/>
  <c r="BM186" i="8"/>
  <c r="BN186" i="8" s="1"/>
  <c r="BM136" i="8"/>
  <c r="BN136" i="8" s="1"/>
  <c r="BM131" i="8"/>
  <c r="BN131" i="8" s="1"/>
  <c r="BM123" i="8"/>
  <c r="BN123" i="8" s="1"/>
  <c r="BM104" i="8"/>
  <c r="BO104" i="8" s="1"/>
  <c r="BM8" i="8"/>
  <c r="BO8" i="8" s="1"/>
  <c r="BM1141" i="8"/>
  <c r="BN1141" i="8" s="1"/>
  <c r="BM1283" i="8"/>
  <c r="BO1283" i="8" s="1"/>
  <c r="BM511" i="8"/>
  <c r="BN511" i="8" s="1"/>
  <c r="BM262" i="8"/>
  <c r="BN262" i="8" s="1"/>
  <c r="BM370" i="8"/>
  <c r="BN370" i="8" s="1"/>
  <c r="BM1173" i="8"/>
  <c r="BO1173" i="8" s="1"/>
  <c r="BM373" i="8"/>
  <c r="BN373" i="8" s="1"/>
  <c r="BM392" i="8"/>
  <c r="BN392" i="8" s="1"/>
  <c r="BM1047" i="8"/>
  <c r="BO1047" i="8" s="1"/>
  <c r="BM1067" i="8"/>
  <c r="BN1067" i="8" s="1"/>
  <c r="BM882" i="8"/>
  <c r="BO882" i="8" s="1"/>
  <c r="BM857" i="8"/>
  <c r="BO857" i="8" s="1"/>
  <c r="BM440" i="8"/>
  <c r="BO440" i="8" s="1"/>
  <c r="BM271" i="8"/>
  <c r="BN271" i="8" s="1"/>
  <c r="BM1332" i="8"/>
  <c r="BO1332" i="8" s="1"/>
  <c r="BM1187" i="8"/>
  <c r="BN1187" i="8" s="1"/>
  <c r="BM1257" i="8"/>
  <c r="BN1257" i="8" s="1"/>
  <c r="BM1150" i="8"/>
  <c r="BN1150" i="8" s="1"/>
  <c r="BM944" i="8"/>
  <c r="BO944" i="8" s="1"/>
  <c r="BM849" i="8"/>
  <c r="BO849" i="8" s="1"/>
  <c r="BM770" i="8"/>
  <c r="BN770" i="8" s="1"/>
  <c r="BM855" i="8"/>
  <c r="BO855" i="8" s="1"/>
  <c r="BM512" i="8"/>
  <c r="BN512" i="8" s="1"/>
  <c r="BM492" i="8"/>
  <c r="BO492" i="8" s="1"/>
  <c r="BM1566" i="8"/>
  <c r="BN1566" i="8" s="1"/>
  <c r="BM1545" i="8"/>
  <c r="BN1545" i="8" s="1"/>
  <c r="BM1496" i="8"/>
  <c r="BN1496" i="8" s="1"/>
  <c r="BM1533" i="8"/>
  <c r="BO1533" i="8" s="1"/>
  <c r="BM1419" i="8"/>
  <c r="BN1419" i="8" s="1"/>
  <c r="BM1565" i="8"/>
  <c r="BO1565" i="8" s="1"/>
  <c r="BM1513" i="8"/>
  <c r="BN1513" i="8" s="1"/>
  <c r="BM1605" i="8"/>
  <c r="BO1605" i="8" s="1"/>
  <c r="BM1473" i="8"/>
  <c r="BN1473" i="8" s="1"/>
  <c r="BM1492" i="8"/>
  <c r="BN1492" i="8" s="1"/>
  <c r="BM1394" i="8"/>
  <c r="BN1394" i="8" s="1"/>
  <c r="BM1317" i="8"/>
  <c r="BN1317" i="8" s="1"/>
  <c r="BM1571" i="8"/>
  <c r="BN1571" i="8" s="1"/>
  <c r="BM1543" i="8"/>
  <c r="BO1543" i="8" s="1"/>
  <c r="BM1546" i="8"/>
  <c r="BO1546" i="8" s="1"/>
  <c r="BM1468" i="8"/>
  <c r="BO1468" i="8" s="1"/>
  <c r="BM1425" i="8"/>
  <c r="BO1425" i="8" s="1"/>
  <c r="BM1506" i="8"/>
  <c r="BO1506" i="8" s="1"/>
  <c r="BM1489" i="8"/>
  <c r="BN1489" i="8" s="1"/>
  <c r="BM1391" i="8"/>
  <c r="BO1391" i="8" s="1"/>
  <c r="BM1490" i="8"/>
  <c r="BO1490" i="8" s="1"/>
  <c r="BM1376" i="8"/>
  <c r="BO1376" i="8" s="1"/>
  <c r="BM1420" i="8"/>
  <c r="BO1420" i="8" s="1"/>
  <c r="BM1486" i="8"/>
  <c r="BN1486" i="8" s="1"/>
  <c r="BM1308" i="8"/>
  <c r="BN1308" i="8" s="1"/>
  <c r="BM1340" i="8"/>
  <c r="BO1340" i="8" s="1"/>
  <c r="BM1362" i="8"/>
  <c r="BO1362" i="8" s="1"/>
  <c r="BM1324" i="8"/>
  <c r="BO1324" i="8" s="1"/>
  <c r="BM1359" i="8"/>
  <c r="BN1359" i="8" s="1"/>
  <c r="BM1293" i="8"/>
  <c r="BO1293" i="8" s="1"/>
  <c r="BM1174" i="8"/>
  <c r="BO1174" i="8" s="1"/>
  <c r="BM1236" i="8"/>
  <c r="BO1236" i="8" s="1"/>
  <c r="BM1209" i="8"/>
  <c r="BN1209" i="8" s="1"/>
  <c r="BM1252" i="8"/>
  <c r="BO1252" i="8" s="1"/>
  <c r="BM1127" i="8"/>
  <c r="BN1127" i="8" s="1"/>
  <c r="BM1248" i="8"/>
  <c r="BO1248" i="8" s="1"/>
  <c r="BM1208" i="8"/>
  <c r="BN1208" i="8" s="1"/>
  <c r="BM1084" i="8"/>
  <c r="BN1084" i="8" s="1"/>
  <c r="BM1125" i="8"/>
  <c r="BO1125" i="8" s="1"/>
  <c r="BM1030" i="8"/>
  <c r="BO1030" i="8" s="1"/>
  <c r="BM1161" i="8"/>
  <c r="BO1161" i="8" s="1"/>
  <c r="BM1078" i="8"/>
  <c r="BO1078" i="8" s="1"/>
  <c r="BM1022" i="8"/>
  <c r="BN1022" i="8" s="1"/>
  <c r="BM1021" i="8"/>
  <c r="BO1021" i="8" s="1"/>
  <c r="BM1133" i="8"/>
  <c r="BO1133" i="8" s="1"/>
  <c r="BM1051" i="8"/>
  <c r="BN1051" i="8" s="1"/>
  <c r="BM1061" i="8"/>
  <c r="BO1061" i="8" s="1"/>
  <c r="BM1164" i="8"/>
  <c r="BN1164" i="8" s="1"/>
  <c r="BM959" i="8"/>
  <c r="BO959" i="8" s="1"/>
  <c r="BM942" i="8"/>
  <c r="BO942" i="8" s="1"/>
  <c r="BM918" i="8"/>
  <c r="BO918" i="8" s="1"/>
  <c r="BM847" i="8"/>
  <c r="BO847" i="8" s="1"/>
  <c r="BM817" i="8"/>
  <c r="BO817" i="8" s="1"/>
  <c r="BM1018" i="8"/>
  <c r="BN1018" i="8" s="1"/>
  <c r="BM846" i="8"/>
  <c r="BO846" i="8" s="1"/>
  <c r="BM1015" i="8"/>
  <c r="BN1015" i="8" s="1"/>
  <c r="BM927" i="8"/>
  <c r="BO927" i="8" s="1"/>
  <c r="BM896" i="8"/>
  <c r="BO896" i="8" s="1"/>
  <c r="BM761" i="8"/>
  <c r="BN761" i="8" s="1"/>
  <c r="BM670" i="8"/>
  <c r="BO670" i="8" s="1"/>
  <c r="BM832" i="8"/>
  <c r="BO832" i="8" s="1"/>
  <c r="BM788" i="8"/>
  <c r="BN788" i="8" s="1"/>
  <c r="BM621" i="8"/>
  <c r="BN621" i="8" s="1"/>
  <c r="BM730" i="8"/>
  <c r="BO730" i="8" s="1"/>
  <c r="BM685" i="8"/>
  <c r="BN685" i="8" s="1"/>
  <c r="BM729" i="8"/>
  <c r="BN729" i="8" s="1"/>
  <c r="BM669" i="8"/>
  <c r="BO669" i="8" s="1"/>
  <c r="BM521" i="8"/>
  <c r="BN521" i="8" s="1"/>
  <c r="BM516" i="8"/>
  <c r="BO516" i="8" s="1"/>
  <c r="BM472" i="8"/>
  <c r="BN472" i="8" s="1"/>
  <c r="BM523" i="8"/>
  <c r="BO523" i="8" s="1"/>
  <c r="BM602" i="8"/>
  <c r="BN602" i="8" s="1"/>
  <c r="BM470" i="8"/>
  <c r="BN470" i="8" s="1"/>
  <c r="BM579" i="8"/>
  <c r="BO579" i="8" s="1"/>
  <c r="BM531" i="8"/>
  <c r="BO531" i="8" s="1"/>
  <c r="BM529" i="8"/>
  <c r="BO529" i="8" s="1"/>
  <c r="BM572" i="8"/>
  <c r="BO572" i="8" s="1"/>
  <c r="BM422" i="8"/>
  <c r="BN422" i="8" s="1"/>
  <c r="BM390" i="8"/>
  <c r="BN390" i="8" s="1"/>
  <c r="BM372" i="8"/>
  <c r="BN372" i="8" s="1"/>
  <c r="BM408" i="8"/>
  <c r="BN408" i="8" s="1"/>
  <c r="BM365" i="8"/>
  <c r="BN365" i="8" s="1"/>
  <c r="BM353" i="8"/>
  <c r="BO353" i="8" s="1"/>
  <c r="BM413" i="8"/>
  <c r="BN413" i="8" s="1"/>
  <c r="BM356" i="8"/>
  <c r="BN356" i="8" s="1"/>
  <c r="BM267" i="8"/>
  <c r="BN267" i="8" s="1"/>
  <c r="BM268" i="8"/>
  <c r="BO268" i="8" s="1"/>
  <c r="BM269" i="8"/>
  <c r="BO269" i="8" s="1"/>
  <c r="BM203" i="8"/>
  <c r="BO203" i="8" s="1"/>
  <c r="BM261" i="8"/>
  <c r="BO261" i="8" s="1"/>
  <c r="BM171" i="8"/>
  <c r="BO171" i="8" s="1"/>
  <c r="BM62" i="8"/>
  <c r="BN62" i="8" s="1"/>
  <c r="BM146" i="8"/>
  <c r="BM86" i="8"/>
  <c r="BN86" i="8" s="1"/>
  <c r="BM153" i="8"/>
  <c r="BO153" i="8" s="1"/>
  <c r="BM31" i="8"/>
  <c r="BN31" i="8" s="1"/>
  <c r="BM1551" i="8"/>
  <c r="BN1551" i="8" s="1"/>
  <c r="BM1104" i="8"/>
  <c r="BN1104" i="8" s="1"/>
  <c r="BM1550" i="8"/>
  <c r="BO1550" i="8" s="1"/>
  <c r="BM1167" i="8"/>
  <c r="BO1167" i="8" s="1"/>
  <c r="BM1381" i="8"/>
  <c r="BO1381" i="8" s="1"/>
  <c r="BM807" i="8"/>
  <c r="BN807" i="8" s="1"/>
  <c r="BM295" i="8"/>
  <c r="BO295" i="8" s="1"/>
  <c r="BM108" i="8"/>
  <c r="BN108" i="8" s="1"/>
  <c r="BN590" i="8"/>
  <c r="BO590" i="8"/>
  <c r="BN794" i="8"/>
  <c r="BO794" i="8"/>
  <c r="BO348" i="8"/>
  <c r="BN348" i="8"/>
  <c r="BN89" i="8"/>
  <c r="BO89" i="8"/>
  <c r="BO118" i="8"/>
  <c r="BN118" i="8"/>
  <c r="BO21" i="8"/>
  <c r="BN21" i="8"/>
  <c r="BN1458" i="8"/>
  <c r="BK1369" i="8"/>
  <c r="BL1241" i="8"/>
  <c r="BG1263" i="8"/>
  <c r="BL1228" i="8"/>
  <c r="BK980" i="8"/>
  <c r="BO887" i="8"/>
  <c r="BG993" i="8"/>
  <c r="BL828" i="8"/>
  <c r="BK798" i="8"/>
  <c r="BL598" i="8"/>
  <c r="BG191" i="8"/>
  <c r="BG215" i="8"/>
  <c r="BL156" i="8"/>
  <c r="BL117" i="8"/>
  <c r="BL65" i="8"/>
  <c r="BM65" i="8" s="1"/>
  <c r="BN65" i="8" s="1"/>
  <c r="BG63" i="8"/>
  <c r="BK352" i="8"/>
  <c r="BL352" i="8" s="1"/>
  <c r="BN110" i="8"/>
  <c r="BL1570" i="8"/>
  <c r="BG1580" i="8"/>
  <c r="BG1410" i="8"/>
  <c r="BO1045" i="8"/>
  <c r="BL989" i="8"/>
  <c r="BM989" i="8" s="1"/>
  <c r="BN989" i="8" s="1"/>
  <c r="BL642" i="8"/>
  <c r="BK488" i="8"/>
  <c r="BL488" i="8" s="1"/>
  <c r="BG448" i="8"/>
  <c r="BL303" i="8"/>
  <c r="BG223" i="8"/>
  <c r="BL195" i="8"/>
  <c r="BG99" i="8"/>
  <c r="BL74" i="8"/>
  <c r="BG600" i="8"/>
  <c r="BL245" i="8"/>
  <c r="BO1458" i="8"/>
  <c r="BG1418" i="8"/>
  <c r="BL1184" i="8"/>
  <c r="BM1184" i="8" s="1"/>
  <c r="BN1184" i="8" s="1"/>
  <c r="BK1256" i="8"/>
  <c r="BG722" i="8"/>
  <c r="BO637" i="8"/>
  <c r="BO603" i="8"/>
  <c r="BO465" i="8"/>
  <c r="BG208" i="8"/>
  <c r="BG89" i="8"/>
  <c r="BG118" i="8"/>
  <c r="BN887" i="8"/>
  <c r="BG1551" i="8"/>
  <c r="BG1550" i="8"/>
  <c r="BL967" i="8"/>
  <c r="BL607" i="8"/>
  <c r="BM607" i="8" s="1"/>
  <c r="BK452" i="8"/>
  <c r="BO357" i="8"/>
  <c r="BN452" i="8"/>
  <c r="BL290" i="8"/>
  <c r="BL299" i="8"/>
  <c r="BG317" i="8"/>
  <c r="BG79" i="8"/>
  <c r="BG100" i="8"/>
  <c r="BG69" i="8"/>
  <c r="BL28" i="8"/>
  <c r="BM28" i="8" s="1"/>
  <c r="BL1413" i="8"/>
  <c r="BO258" i="8"/>
  <c r="BN111" i="8"/>
  <c r="BL157" i="8"/>
  <c r="BL995" i="8"/>
  <c r="BL982" i="8"/>
  <c r="BM982" i="8" s="1"/>
  <c r="BG794" i="8"/>
  <c r="BG590" i="8"/>
  <c r="BL447" i="8"/>
  <c r="BL286" i="8"/>
  <c r="BG265" i="8"/>
  <c r="BL88" i="8"/>
  <c r="BM88" i="8" s="1"/>
  <c r="BO88" i="8" s="1"/>
  <c r="BG21" i="8"/>
  <c r="BO865" i="8"/>
  <c r="BO241" i="8"/>
  <c r="BG1455" i="8"/>
  <c r="BK1583" i="8"/>
  <c r="BG1582" i="8"/>
  <c r="BN1583" i="8"/>
  <c r="BL1454" i="8"/>
  <c r="BL456" i="8"/>
  <c r="BG83" i="8"/>
  <c r="BN507" i="8"/>
  <c r="BO507" i="8"/>
  <c r="BO374" i="8"/>
  <c r="BN374" i="8"/>
  <c r="BO395" i="8"/>
  <c r="BN395" i="8"/>
  <c r="BN342" i="8"/>
  <c r="BO342" i="8"/>
  <c r="BN3" i="8"/>
  <c r="BO3" i="8"/>
  <c r="BN652" i="8"/>
  <c r="BO652" i="8"/>
  <c r="BO347" i="8"/>
  <c r="BN347" i="8"/>
  <c r="BN1103" i="8"/>
  <c r="BO1103" i="8"/>
  <c r="BN323" i="8"/>
  <c r="BO323" i="8"/>
  <c r="BN266" i="8"/>
  <c r="BO266" i="8"/>
  <c r="BO831" i="8"/>
  <c r="BN831" i="8"/>
  <c r="BN204" i="8"/>
  <c r="BO204" i="8"/>
  <c r="BO1397" i="8"/>
  <c r="BN1397" i="8"/>
  <c r="BG2" i="8"/>
  <c r="BG259" i="8"/>
  <c r="BL311" i="8"/>
  <c r="BG227" i="8"/>
  <c r="BL301" i="8"/>
  <c r="BM301" i="8" s="1"/>
  <c r="BG26" i="8"/>
  <c r="BG84" i="8"/>
  <c r="BL72" i="8"/>
  <c r="BM72" i="8" s="1"/>
  <c r="BL30" i="8"/>
  <c r="BM30" i="8" s="1"/>
  <c r="BK336" i="8"/>
  <c r="BL336" i="8" s="1"/>
  <c r="BG1202" i="8"/>
  <c r="BL1202" i="8"/>
  <c r="BM1202" i="8" s="1"/>
  <c r="BL838" i="8"/>
  <c r="BM838" i="8" s="1"/>
  <c r="BL981" i="8"/>
  <c r="BM981" i="8" s="1"/>
  <c r="BL976" i="8"/>
  <c r="BM976" i="8" s="1"/>
  <c r="BG840" i="8"/>
  <c r="BL711" i="8"/>
  <c r="BM711" i="8" s="1"/>
  <c r="BL543" i="8"/>
  <c r="BG451" i="8"/>
  <c r="BG241" i="8"/>
  <c r="BL287" i="8"/>
  <c r="BG206" i="8"/>
  <c r="BG262" i="8"/>
  <c r="BL255" i="8"/>
  <c r="BM255" i="8" s="1"/>
  <c r="BG154" i="8"/>
  <c r="BG116" i="8"/>
  <c r="BG110" i="8"/>
  <c r="BL52" i="8"/>
  <c r="BG20" i="8"/>
  <c r="BG32" i="8"/>
  <c r="BG865" i="8"/>
  <c r="BN1561" i="8"/>
  <c r="BL1564" i="8"/>
  <c r="BL1522" i="8"/>
  <c r="BK1457" i="8"/>
  <c r="BL1517" i="8"/>
  <c r="BG1398" i="8"/>
  <c r="BL1412" i="8"/>
  <c r="BL1229" i="8"/>
  <c r="BG1104" i="8"/>
  <c r="BL860" i="8"/>
  <c r="BL707" i="8"/>
  <c r="BN603" i="8"/>
  <c r="BG612" i="8"/>
  <c r="BN419" i="8"/>
  <c r="BG323" i="8"/>
  <c r="BG297" i="8"/>
  <c r="BG122" i="8"/>
  <c r="BG77" i="8"/>
  <c r="BL82" i="8"/>
  <c r="BG24" i="8"/>
  <c r="BL29" i="8"/>
  <c r="BG12" i="8"/>
  <c r="BL1465" i="8"/>
  <c r="BM1465" i="8" s="1"/>
  <c r="BG1448" i="8"/>
  <c r="BL1448" i="8"/>
  <c r="BG1574" i="8"/>
  <c r="BG1397" i="8"/>
  <c r="BL1372" i="8"/>
  <c r="BG977" i="8"/>
  <c r="BL961" i="8"/>
  <c r="BO993" i="8"/>
  <c r="BG831" i="8"/>
  <c r="BL580" i="8"/>
  <c r="BG541" i="8"/>
  <c r="BL601" i="8"/>
  <c r="BM601" i="8" s="1"/>
  <c r="BO419" i="8"/>
  <c r="BG450" i="8"/>
  <c r="BG204" i="8"/>
  <c r="BG321" i="8"/>
  <c r="BL293" i="8"/>
  <c r="BG115" i="8"/>
  <c r="BL37" i="8"/>
  <c r="BG162" i="8"/>
  <c r="BL93" i="8"/>
  <c r="BM93" i="8" s="1"/>
  <c r="BG34" i="8"/>
  <c r="BL4" i="8"/>
  <c r="BL17" i="8"/>
  <c r="BM17" i="8" s="1"/>
  <c r="BK1561" i="8"/>
  <c r="BK400" i="8"/>
  <c r="BL400" i="8" s="1"/>
  <c r="BL1457" i="8"/>
  <c r="BG1447" i="8"/>
  <c r="BL1447" i="8"/>
  <c r="BO1561" i="8"/>
  <c r="BK1516" i="8"/>
  <c r="BL1452" i="8"/>
  <c r="BL1267" i="8"/>
  <c r="BM1267" i="8" s="1"/>
  <c r="BO1267" i="8" s="1"/>
  <c r="BG972" i="8"/>
  <c r="BG610" i="8"/>
  <c r="BN465" i="8"/>
  <c r="BN357" i="8"/>
  <c r="BG319" i="8"/>
  <c r="BG49" i="8"/>
  <c r="BG92" i="8"/>
  <c r="BG1446" i="8"/>
  <c r="BL1446" i="8"/>
  <c r="BM1446" i="8" s="1"/>
  <c r="BO111" i="8"/>
  <c r="BL1589" i="8"/>
  <c r="BL1191" i="8"/>
  <c r="BM1191" i="8" s="1"/>
  <c r="BL1182" i="8"/>
  <c r="BG866" i="8"/>
  <c r="BG700" i="8"/>
  <c r="BL585" i="8"/>
  <c r="BM585" i="8" s="1"/>
  <c r="BN585" i="8" s="1"/>
  <c r="BG273" i="8"/>
  <c r="BL159" i="8"/>
  <c r="BG59" i="8"/>
  <c r="BG1445" i="8"/>
  <c r="BL1445" i="8"/>
  <c r="BM1445" i="8" s="1"/>
  <c r="BO226" i="8"/>
  <c r="BN226" i="8"/>
  <c r="BN161" i="8"/>
  <c r="BO161" i="8"/>
  <c r="BO11" i="8"/>
  <c r="BN11" i="8"/>
  <c r="BN85" i="8"/>
  <c r="BO85" i="8"/>
  <c r="BO297" i="8"/>
  <c r="BN297" i="8"/>
  <c r="BN59" i="8"/>
  <c r="BO59" i="8"/>
  <c r="BO272" i="8"/>
  <c r="BN272" i="8"/>
  <c r="BO217" i="8"/>
  <c r="BN217" i="8"/>
  <c r="BN320" i="8"/>
  <c r="BO320" i="8"/>
  <c r="BG9" i="8"/>
  <c r="BG272" i="8"/>
  <c r="BG155" i="8"/>
  <c r="BG217" i="8"/>
  <c r="BG161" i="8"/>
  <c r="BG158" i="8"/>
  <c r="BG11" i="8"/>
  <c r="BG320" i="8"/>
  <c r="BL119" i="8"/>
  <c r="BG85" i="8"/>
  <c r="BG611" i="8"/>
  <c r="BL611" i="8"/>
  <c r="BN1134" i="8"/>
  <c r="BO1134" i="8"/>
  <c r="BO906" i="8"/>
  <c r="BN906" i="8"/>
  <c r="BO674" i="8"/>
  <c r="BN674" i="8"/>
  <c r="BO713" i="8"/>
  <c r="BN713" i="8"/>
  <c r="BL1220" i="8"/>
  <c r="BM1220" i="8" s="1"/>
  <c r="BG1220" i="8"/>
  <c r="BG703" i="8"/>
  <c r="BL703" i="8"/>
  <c r="BL449" i="8"/>
  <c r="BM449" i="8" s="1"/>
  <c r="BG449" i="8"/>
  <c r="BO1402" i="8"/>
  <c r="BN1402" i="8"/>
  <c r="BN1395" i="8"/>
  <c r="BO1395" i="8"/>
  <c r="BO1130" i="8"/>
  <c r="BN1130" i="8"/>
  <c r="BO1053" i="8"/>
  <c r="BN1053" i="8"/>
  <c r="BN919" i="8"/>
  <c r="BO919" i="8"/>
  <c r="BN752" i="8"/>
  <c r="BO752" i="8"/>
  <c r="BN624" i="8"/>
  <c r="BO624" i="8"/>
  <c r="BN381" i="8"/>
  <c r="BO381" i="8"/>
  <c r="BL205" i="8"/>
  <c r="BM205" i="8" s="1"/>
  <c r="BN92" i="8"/>
  <c r="BO92" i="8"/>
  <c r="BG1405" i="8"/>
  <c r="BL1405" i="8"/>
  <c r="BG991" i="8"/>
  <c r="BL991" i="8"/>
  <c r="BG54" i="8"/>
  <c r="BL54" i="8"/>
  <c r="BO421" i="8"/>
  <c r="BN421" i="8"/>
  <c r="BO227" i="8"/>
  <c r="BN227" i="8"/>
  <c r="BO202" i="8"/>
  <c r="BN202" i="8"/>
  <c r="BL1040" i="8"/>
  <c r="BM1040" i="8" s="1"/>
  <c r="BG1040" i="8"/>
  <c r="BL220" i="8"/>
  <c r="BM220" i="8" s="1"/>
  <c r="BG220" i="8"/>
  <c r="BO1240" i="8"/>
  <c r="BN1240" i="8"/>
  <c r="BO515" i="8"/>
  <c r="BN515" i="8"/>
  <c r="BO644" i="8"/>
  <c r="BN644" i="8"/>
  <c r="BO409" i="8"/>
  <c r="BN409" i="8"/>
  <c r="BG209" i="8"/>
  <c r="BN49" i="8"/>
  <c r="BO49" i="8"/>
  <c r="BL124" i="8"/>
  <c r="BM124" i="8" s="1"/>
  <c r="BG124" i="8"/>
  <c r="BL90" i="8"/>
  <c r="BM90" i="8" s="1"/>
  <c r="BG90" i="8"/>
  <c r="BO1519" i="8"/>
  <c r="BN1519" i="8"/>
  <c r="BN732" i="8"/>
  <c r="BO732" i="8"/>
  <c r="BN223" i="8"/>
  <c r="BO223" i="8"/>
  <c r="BO194" i="8"/>
  <c r="BN194" i="8"/>
  <c r="BL797" i="8"/>
  <c r="BG797" i="8"/>
  <c r="BO1198" i="8"/>
  <c r="BN1198" i="8"/>
  <c r="BN657" i="8"/>
  <c r="BO657" i="8"/>
  <c r="BO480" i="8"/>
  <c r="BN480" i="8"/>
  <c r="BO448" i="8"/>
  <c r="BN448" i="8"/>
  <c r="BN129" i="8"/>
  <c r="BO129" i="8"/>
  <c r="BL105" i="8"/>
  <c r="BM105" i="8" s="1"/>
  <c r="BG105" i="8"/>
  <c r="BL42" i="8"/>
  <c r="BM42" i="8" s="1"/>
  <c r="BG42" i="8"/>
  <c r="BL459" i="8"/>
  <c r="BG459" i="8"/>
  <c r="BO1159" i="8"/>
  <c r="BN1159" i="8"/>
  <c r="BN84" i="8"/>
  <c r="BO84" i="8"/>
  <c r="BO1065" i="8"/>
  <c r="BN1065" i="8"/>
  <c r="BO949" i="8"/>
  <c r="BN949" i="8"/>
  <c r="BO984" i="8"/>
  <c r="BN984" i="8"/>
  <c r="BL830" i="8"/>
  <c r="BG830" i="8"/>
  <c r="BL264" i="8"/>
  <c r="BM264" i="8" s="1"/>
  <c r="BG264" i="8"/>
  <c r="BN808" i="8"/>
  <c r="BO808" i="8"/>
  <c r="BN1224" i="8"/>
  <c r="BO1224" i="8"/>
  <c r="BO506" i="8"/>
  <c r="BN506" i="8"/>
  <c r="BO412" i="8"/>
  <c r="BN412" i="8"/>
  <c r="BL298" i="8"/>
  <c r="BM298" i="8" s="1"/>
  <c r="BL128" i="8"/>
  <c r="BO144" i="8"/>
  <c r="BN144" i="8"/>
  <c r="BN160" i="8"/>
  <c r="BO160" i="8"/>
  <c r="BO1350" i="8"/>
  <c r="BN1350" i="8"/>
  <c r="BO904" i="8"/>
  <c r="BN904" i="8"/>
  <c r="BO344" i="8"/>
  <c r="BN344" i="8"/>
  <c r="BO1090" i="8"/>
  <c r="BN1090" i="8"/>
  <c r="BO925" i="8"/>
  <c r="BN925" i="8"/>
  <c r="BN198" i="8"/>
  <c r="BO198" i="8"/>
  <c r="BL589" i="8"/>
  <c r="BM589" i="8" s="1"/>
  <c r="BG589" i="8"/>
  <c r="BO1488" i="8"/>
  <c r="BN1488" i="8"/>
  <c r="BO1259" i="8"/>
  <c r="BN1259" i="8"/>
  <c r="BO1118" i="8"/>
  <c r="BN1118" i="8"/>
  <c r="BO1056" i="8"/>
  <c r="BN1056" i="8"/>
  <c r="BO1023" i="8"/>
  <c r="BN1023" i="8"/>
  <c r="BO450" i="8"/>
  <c r="BN450" i="8"/>
  <c r="BN508" i="8"/>
  <c r="BO508" i="8"/>
  <c r="BN326" i="8"/>
  <c r="BO326" i="8"/>
  <c r="BK1602" i="8"/>
  <c r="BL1602" i="8"/>
  <c r="BL1608" i="8"/>
  <c r="BK1608" i="8"/>
  <c r="BK1585" i="8"/>
  <c r="BL1467" i="8"/>
  <c r="BM1467" i="8" s="1"/>
  <c r="BG1467" i="8"/>
  <c r="BO1436" i="8"/>
  <c r="BN1436" i="8"/>
  <c r="BG1450" i="8"/>
  <c r="BL1450" i="8"/>
  <c r="BM1450" i="8" s="1"/>
  <c r="BL1226" i="8"/>
  <c r="BK1226" i="8"/>
  <c r="BK1158" i="8"/>
  <c r="BL1158" i="8" s="1"/>
  <c r="BK1111" i="8"/>
  <c r="BL1111" i="8" s="1"/>
  <c r="BK1071" i="8"/>
  <c r="BL1071" i="8" s="1"/>
  <c r="BK1076" i="8"/>
  <c r="BL1076" i="8" s="1"/>
  <c r="BK924" i="8"/>
  <c r="BL924" i="8" s="1"/>
  <c r="BK1036" i="8"/>
  <c r="BL1036" i="8" s="1"/>
  <c r="BK937" i="8"/>
  <c r="BL937" i="8" s="1"/>
  <c r="BK905" i="8"/>
  <c r="BL905" i="8" s="1"/>
  <c r="BK892" i="8"/>
  <c r="BL892" i="8" s="1"/>
  <c r="BK816" i="8"/>
  <c r="BL816" i="8" s="1"/>
  <c r="BN993" i="8"/>
  <c r="BK875" i="8"/>
  <c r="BL875" i="8" s="1"/>
  <c r="BL862" i="8"/>
  <c r="BM862" i="8" s="1"/>
  <c r="BG862" i="8"/>
  <c r="BL774" i="8"/>
  <c r="BM774" i="8" s="1"/>
  <c r="BG774" i="8"/>
  <c r="BN865" i="8"/>
  <c r="BL784" i="8"/>
  <c r="BM784" i="8" s="1"/>
  <c r="BG784" i="8"/>
  <c r="BK672" i="8"/>
  <c r="BL672" i="8" s="1"/>
  <c r="BL777" i="8"/>
  <c r="BM777" i="8" s="1"/>
  <c r="BG777" i="8"/>
  <c r="BG726" i="8"/>
  <c r="BL726" i="8"/>
  <c r="BM726" i="8" s="1"/>
  <c r="BK663" i="8"/>
  <c r="BL663" i="8" s="1"/>
  <c r="BL634" i="8"/>
  <c r="BM634" i="8" s="1"/>
  <c r="BG634" i="8"/>
  <c r="BL626" i="8"/>
  <c r="BM626" i="8" s="1"/>
  <c r="BG626" i="8"/>
  <c r="BK534" i="8"/>
  <c r="BL534" i="8" s="1"/>
  <c r="BL592" i="8"/>
  <c r="BM592" i="8" s="1"/>
  <c r="BG592" i="8"/>
  <c r="BO558" i="8"/>
  <c r="BN558" i="8"/>
  <c r="BK558" i="8"/>
  <c r="BO540" i="8"/>
  <c r="BN540" i="8"/>
  <c r="BK540" i="8"/>
  <c r="BK483" i="8"/>
  <c r="BL483" i="8" s="1"/>
  <c r="BK434" i="8"/>
  <c r="BL434" i="8" s="1"/>
  <c r="BK402" i="8"/>
  <c r="BL402" i="8" s="1"/>
  <c r="BK343" i="8"/>
  <c r="BL343" i="8" s="1"/>
  <c r="BG445" i="8"/>
  <c r="BL445" i="8"/>
  <c r="BM445" i="8" s="1"/>
  <c r="BK319" i="8"/>
  <c r="BN319" i="8"/>
  <c r="BO319" i="8"/>
  <c r="BL244" i="8"/>
  <c r="BM244" i="8" s="1"/>
  <c r="BG244" i="8"/>
  <c r="BL175" i="8"/>
  <c r="BM175" i="8" s="1"/>
  <c r="BG175" i="8"/>
  <c r="BL235" i="8"/>
  <c r="BM235" i="8" s="1"/>
  <c r="BG235" i="8"/>
  <c r="BN317" i="8"/>
  <c r="BO317" i="8"/>
  <c r="BN83" i="8"/>
  <c r="BO83" i="8"/>
  <c r="BL43" i="8"/>
  <c r="BM43" i="8" s="1"/>
  <c r="BG43" i="8"/>
  <c r="BG64" i="8"/>
  <c r="BL64" i="8"/>
  <c r="BM64" i="8" s="1"/>
  <c r="BL45" i="8"/>
  <c r="BM45" i="8" s="1"/>
  <c r="BG45" i="8"/>
  <c r="BL1597" i="8"/>
  <c r="BK1597" i="8"/>
  <c r="BL1585" i="8"/>
  <c r="BG1585" i="8"/>
  <c r="BL1556" i="8"/>
  <c r="BK1556" i="8"/>
  <c r="BG1462" i="8"/>
  <c r="BL1462" i="8"/>
  <c r="BM1462" i="8" s="1"/>
  <c r="BL1392" i="8"/>
  <c r="BK1392" i="8"/>
  <c r="BK1117" i="8"/>
  <c r="BL1117" i="8" s="1"/>
  <c r="BL1246" i="8"/>
  <c r="BK1246" i="8"/>
  <c r="BK1151" i="8"/>
  <c r="BL1151" i="8" s="1"/>
  <c r="BK1060" i="8"/>
  <c r="BL1060" i="8" s="1"/>
  <c r="BK916" i="8"/>
  <c r="BL916" i="8" s="1"/>
  <c r="BK897" i="8"/>
  <c r="BL897" i="8" s="1"/>
  <c r="BK1034" i="8"/>
  <c r="BL1034" i="8" s="1"/>
  <c r="BK766" i="8"/>
  <c r="BL766" i="8" s="1"/>
  <c r="BK851" i="8"/>
  <c r="BL851" i="8" s="1"/>
  <c r="BK789" i="8"/>
  <c r="BL789" i="8" s="1"/>
  <c r="BK900" i="8"/>
  <c r="BL900" i="8" s="1"/>
  <c r="BK870" i="8"/>
  <c r="BL870" i="8" s="1"/>
  <c r="BK823" i="8"/>
  <c r="BL823" i="8" s="1"/>
  <c r="BK741" i="8"/>
  <c r="BL741" i="8" s="1"/>
  <c r="BK664" i="8"/>
  <c r="BL664" i="8" s="1"/>
  <c r="BG725" i="8"/>
  <c r="BL725" i="8"/>
  <c r="BM725" i="8" s="1"/>
  <c r="BL786" i="8"/>
  <c r="BM786" i="8" s="1"/>
  <c r="BG786" i="8"/>
  <c r="BL833" i="8"/>
  <c r="BM833" i="8" s="1"/>
  <c r="BG833" i="8"/>
  <c r="BK655" i="8"/>
  <c r="BL655" i="8" s="1"/>
  <c r="BL633" i="8"/>
  <c r="BM633" i="8" s="1"/>
  <c r="BG633" i="8"/>
  <c r="BL625" i="8"/>
  <c r="BM625" i="8" s="1"/>
  <c r="BG625" i="8"/>
  <c r="BK532" i="8"/>
  <c r="BL532" i="8" s="1"/>
  <c r="BL591" i="8"/>
  <c r="BM591" i="8" s="1"/>
  <c r="BG591" i="8"/>
  <c r="BL556" i="8"/>
  <c r="BM556" i="8" s="1"/>
  <c r="BG556" i="8"/>
  <c r="BK539" i="8"/>
  <c r="BK487" i="8"/>
  <c r="BL487" i="8" s="1"/>
  <c r="BK474" i="8"/>
  <c r="BL474" i="8" s="1"/>
  <c r="BK485" i="8"/>
  <c r="BL485" i="8" s="1"/>
  <c r="BK346" i="8"/>
  <c r="BL346" i="8" s="1"/>
  <c r="BG444" i="8"/>
  <c r="BL444" i="8"/>
  <c r="BM444" i="8" s="1"/>
  <c r="BL318" i="8"/>
  <c r="BM318" i="8" s="1"/>
  <c r="BG318" i="8"/>
  <c r="BK311" i="8"/>
  <c r="BL174" i="8"/>
  <c r="BM174" i="8" s="1"/>
  <c r="BG174" i="8"/>
  <c r="BK151" i="8"/>
  <c r="BL151" i="8" s="1"/>
  <c r="BN258" i="8"/>
  <c r="BL234" i="8"/>
  <c r="BM234" i="8" s="1"/>
  <c r="BG234" i="8"/>
  <c r="BL170" i="8"/>
  <c r="BM170" i="8" s="1"/>
  <c r="BG170" i="8"/>
  <c r="BG308" i="8"/>
  <c r="BL308" i="8"/>
  <c r="BM308" i="8" s="1"/>
  <c r="BN71" i="8"/>
  <c r="BO71" i="8"/>
  <c r="BO39" i="8"/>
  <c r="BN39" i="8"/>
  <c r="BL163" i="8"/>
  <c r="BM163" i="8" s="1"/>
  <c r="BG163" i="8"/>
  <c r="BL61" i="8"/>
  <c r="BM61" i="8" s="1"/>
  <c r="BG61" i="8"/>
  <c r="BG18" i="8"/>
  <c r="BL18" i="8"/>
  <c r="BM18" i="8" s="1"/>
  <c r="BO2" i="8"/>
  <c r="BL1498" i="8"/>
  <c r="BK1498" i="8"/>
  <c r="BL1461" i="8"/>
  <c r="BM1461" i="8" s="1"/>
  <c r="BG1461" i="8"/>
  <c r="BO1455" i="8"/>
  <c r="BN1455" i="8"/>
  <c r="BK1109" i="8"/>
  <c r="BL1109" i="8" s="1"/>
  <c r="BK1114" i="8"/>
  <c r="BL1114" i="8" s="1"/>
  <c r="BL1222" i="8"/>
  <c r="BK1222" i="8"/>
  <c r="BK1149" i="8"/>
  <c r="BL1149" i="8" s="1"/>
  <c r="BG1269" i="8"/>
  <c r="BL1269" i="8"/>
  <c r="BM1269" i="8" s="1"/>
  <c r="BL1044" i="8"/>
  <c r="BM1044" i="8" s="1"/>
  <c r="BG1044" i="8"/>
  <c r="BK908" i="8"/>
  <c r="BL908" i="8" s="1"/>
  <c r="BK929" i="8"/>
  <c r="BL929" i="8" s="1"/>
  <c r="BK884" i="8"/>
  <c r="BL884" i="8" s="1"/>
  <c r="BK758" i="8"/>
  <c r="BL758" i="8" s="1"/>
  <c r="BK821" i="8"/>
  <c r="BL821" i="8" s="1"/>
  <c r="BK853" i="8"/>
  <c r="BL853" i="8" s="1"/>
  <c r="BK815" i="8"/>
  <c r="BL815" i="8" s="1"/>
  <c r="BL835" i="8"/>
  <c r="BM835" i="8" s="1"/>
  <c r="BG835" i="8"/>
  <c r="BL775" i="8"/>
  <c r="BM775" i="8" s="1"/>
  <c r="BG775" i="8"/>
  <c r="BK740" i="8"/>
  <c r="BL740" i="8" s="1"/>
  <c r="BK656" i="8"/>
  <c r="BL656" i="8" s="1"/>
  <c r="BG724" i="8"/>
  <c r="BL724" i="8"/>
  <c r="BM724" i="8" s="1"/>
  <c r="BL779" i="8"/>
  <c r="BM779" i="8" s="1"/>
  <c r="BG779" i="8"/>
  <c r="BL632" i="8"/>
  <c r="BM632" i="8" s="1"/>
  <c r="BG632" i="8"/>
  <c r="BL781" i="8"/>
  <c r="BM781" i="8" s="1"/>
  <c r="BG781" i="8"/>
  <c r="BK505" i="8"/>
  <c r="BL505" i="8" s="1"/>
  <c r="BK573" i="8"/>
  <c r="BL573" i="8" s="1"/>
  <c r="BK530" i="8"/>
  <c r="BL530" i="8" s="1"/>
  <c r="BK615" i="8"/>
  <c r="BL615" i="8" s="1"/>
  <c r="BK578" i="8"/>
  <c r="BL578" i="8" s="1"/>
  <c r="BL555" i="8"/>
  <c r="BM555" i="8" s="1"/>
  <c r="BG555" i="8"/>
  <c r="BK538" i="8"/>
  <c r="BK477" i="8"/>
  <c r="BL477" i="8" s="1"/>
  <c r="BK469" i="8"/>
  <c r="BL469" i="8" s="1"/>
  <c r="BK426" i="8"/>
  <c r="BL426" i="8" s="1"/>
  <c r="BK394" i="8"/>
  <c r="BL394" i="8" s="1"/>
  <c r="BK281" i="8"/>
  <c r="BL281" i="8" s="1"/>
  <c r="BK149" i="8"/>
  <c r="BL149" i="8" s="1"/>
  <c r="BL233" i="8"/>
  <c r="BM233" i="8" s="1"/>
  <c r="BG233" i="8"/>
  <c r="BG304" i="8"/>
  <c r="BL304" i="8"/>
  <c r="BM304" i="8" s="1"/>
  <c r="BL176" i="8"/>
  <c r="BM176" i="8" s="1"/>
  <c r="BG176" i="8"/>
  <c r="BL44" i="8"/>
  <c r="BM44" i="8" s="1"/>
  <c r="BG44" i="8"/>
  <c r="BG60" i="8"/>
  <c r="BL60" i="8"/>
  <c r="BM60" i="8" s="1"/>
  <c r="BN75" i="8"/>
  <c r="BO75" i="8"/>
  <c r="BL40" i="8"/>
  <c r="BM40" i="8" s="1"/>
  <c r="BG40" i="8"/>
  <c r="BG5" i="8"/>
  <c r="BL5" i="8"/>
  <c r="BM5" i="8" s="1"/>
  <c r="BL1388" i="8"/>
  <c r="BK1388" i="8"/>
  <c r="BG1199" i="8"/>
  <c r="BL1199" i="8"/>
  <c r="BM1199" i="8" s="1"/>
  <c r="BL1254" i="8"/>
  <c r="BK1254" i="8"/>
  <c r="BL1250" i="8"/>
  <c r="BK1250" i="8"/>
  <c r="BL1188" i="8"/>
  <c r="BM1188" i="8" s="1"/>
  <c r="BG1188" i="8"/>
  <c r="BK1082" i="8"/>
  <c r="BL1082" i="8" s="1"/>
  <c r="BK1147" i="8"/>
  <c r="BL1147" i="8" s="1"/>
  <c r="BK1007" i="8"/>
  <c r="BL1007" i="8" s="1"/>
  <c r="BK894" i="8"/>
  <c r="BL894" i="8" s="1"/>
  <c r="BK848" i="8"/>
  <c r="BL848" i="8" s="1"/>
  <c r="BK760" i="8"/>
  <c r="BL760" i="8" s="1"/>
  <c r="BL785" i="8"/>
  <c r="BM785" i="8" s="1"/>
  <c r="BG785" i="8"/>
  <c r="BG650" i="8"/>
  <c r="BL650" i="8"/>
  <c r="BM650" i="8" s="1"/>
  <c r="BL778" i="8"/>
  <c r="BM778" i="8" s="1"/>
  <c r="BG778" i="8"/>
  <c r="BG799" i="8"/>
  <c r="BL799" i="8"/>
  <c r="BM799" i="8" s="1"/>
  <c r="BL631" i="8"/>
  <c r="BM631" i="8" s="1"/>
  <c r="BG631" i="8"/>
  <c r="BK565" i="8"/>
  <c r="BL565" i="8" s="1"/>
  <c r="BK528" i="8"/>
  <c r="BL528" i="8" s="1"/>
  <c r="BL597" i="8"/>
  <c r="BM597" i="8" s="1"/>
  <c r="BG597" i="8"/>
  <c r="BK570" i="8"/>
  <c r="BL570" i="8" s="1"/>
  <c r="BL554" i="8"/>
  <c r="BM554" i="8" s="1"/>
  <c r="BG554" i="8"/>
  <c r="BK502" i="8"/>
  <c r="BL502" i="8" s="1"/>
  <c r="BK338" i="8"/>
  <c r="BL338" i="8" s="1"/>
  <c r="BK316" i="8"/>
  <c r="BL316" i="8" s="1"/>
  <c r="BO248" i="8"/>
  <c r="BN248" i="8"/>
  <c r="BK248" i="8"/>
  <c r="BL177" i="8"/>
  <c r="BM177" i="8" s="1"/>
  <c r="BG177" i="8"/>
  <c r="BG307" i="8"/>
  <c r="BL307" i="8"/>
  <c r="BM307" i="8" s="1"/>
  <c r="BK147" i="8"/>
  <c r="BL147" i="8" s="1"/>
  <c r="BL232" i="8"/>
  <c r="BM232" i="8" s="1"/>
  <c r="BG232" i="8"/>
  <c r="BL164" i="8"/>
  <c r="BM164" i="8" s="1"/>
  <c r="BG164" i="8"/>
  <c r="BG300" i="8"/>
  <c r="BL300" i="8"/>
  <c r="BM300" i="8" s="1"/>
  <c r="BN241" i="8"/>
  <c r="BL173" i="8"/>
  <c r="BM173" i="8" s="1"/>
  <c r="BG173" i="8"/>
  <c r="BN77" i="8"/>
  <c r="BO77" i="8"/>
  <c r="BO1584" i="8"/>
  <c r="BN1584" i="8"/>
  <c r="BK1584" i="8"/>
  <c r="BK1598" i="8"/>
  <c r="BL1598" i="8"/>
  <c r="BL1573" i="8"/>
  <c r="BM1573" i="8" s="1"/>
  <c r="BG1573" i="8"/>
  <c r="BL1459" i="8"/>
  <c r="BM1459" i="8" s="1"/>
  <c r="BG1459" i="8"/>
  <c r="BO1434" i="8"/>
  <c r="BN1434" i="8"/>
  <c r="BL1408" i="8"/>
  <c r="BM1408" i="8" s="1"/>
  <c r="BG1408" i="8"/>
  <c r="BG1186" i="8"/>
  <c r="BL1186" i="8"/>
  <c r="BM1186" i="8" s="1"/>
  <c r="BO1416" i="8"/>
  <c r="BN1416" i="8"/>
  <c r="BK1074" i="8"/>
  <c r="BL1074" i="8" s="1"/>
  <c r="BK1055" i="8"/>
  <c r="BL1055" i="8" s="1"/>
  <c r="BK1145" i="8"/>
  <c r="BL1145" i="8" s="1"/>
  <c r="BL1046" i="8"/>
  <c r="BM1046" i="8" s="1"/>
  <c r="BG1046" i="8"/>
  <c r="BK999" i="8"/>
  <c r="BL999" i="8" s="1"/>
  <c r="BK956" i="8"/>
  <c r="BL956" i="8" s="1"/>
  <c r="BK921" i="8"/>
  <c r="BL921" i="8" s="1"/>
  <c r="BL975" i="8"/>
  <c r="BM975" i="8" s="1"/>
  <c r="BG975" i="8"/>
  <c r="BK873" i="8"/>
  <c r="BL873" i="8" s="1"/>
  <c r="BK888" i="8"/>
  <c r="BL888" i="8" s="1"/>
  <c r="BK813" i="8"/>
  <c r="BL813" i="8" s="1"/>
  <c r="BK881" i="8"/>
  <c r="BL881" i="8" s="1"/>
  <c r="BK874" i="8"/>
  <c r="BL874" i="8" s="1"/>
  <c r="BK757" i="8"/>
  <c r="BL757" i="8" s="1"/>
  <c r="BL776" i="8"/>
  <c r="BM776" i="8" s="1"/>
  <c r="BG776" i="8"/>
  <c r="BG649" i="8"/>
  <c r="BL649" i="8"/>
  <c r="BM649" i="8" s="1"/>
  <c r="BK792" i="8"/>
  <c r="BL792" i="8" s="1"/>
  <c r="BK762" i="8"/>
  <c r="BL762" i="8" s="1"/>
  <c r="BL630" i="8"/>
  <c r="BM630" i="8" s="1"/>
  <c r="BG630" i="8"/>
  <c r="BK576" i="8"/>
  <c r="BL576" i="8" s="1"/>
  <c r="BL638" i="8"/>
  <c r="BM638" i="8" s="1"/>
  <c r="BG638" i="8"/>
  <c r="BK526" i="8"/>
  <c r="BL526" i="8" s="1"/>
  <c r="BL596" i="8"/>
  <c r="BM596" i="8" s="1"/>
  <c r="BG596" i="8"/>
  <c r="BK562" i="8"/>
  <c r="BL562" i="8" s="1"/>
  <c r="BO544" i="8"/>
  <c r="BN544" i="8"/>
  <c r="BK544" i="8"/>
  <c r="BK467" i="8"/>
  <c r="BL467" i="8" s="1"/>
  <c r="BK418" i="8"/>
  <c r="BL418" i="8" s="1"/>
  <c r="BK386" i="8"/>
  <c r="BL386" i="8" s="1"/>
  <c r="BL240" i="8"/>
  <c r="BM240" i="8" s="1"/>
  <c r="BG240" i="8"/>
  <c r="BK135" i="8"/>
  <c r="BL135" i="8" s="1"/>
  <c r="BL242" i="8"/>
  <c r="BM242" i="8" s="1"/>
  <c r="BG242" i="8"/>
  <c r="BL231" i="8"/>
  <c r="BM231" i="8" s="1"/>
  <c r="BG231" i="8"/>
  <c r="BG296" i="8"/>
  <c r="BL296" i="8"/>
  <c r="BM296" i="8" s="1"/>
  <c r="BK143" i="8"/>
  <c r="BL143" i="8" s="1"/>
  <c r="BL243" i="8"/>
  <c r="BM243" i="8" s="1"/>
  <c r="BG243" i="8"/>
  <c r="BN79" i="8"/>
  <c r="BO79" i="8"/>
  <c r="BL25" i="8"/>
  <c r="BM25" i="8" s="1"/>
  <c r="BG25" i="8"/>
  <c r="BN97" i="8"/>
  <c r="BO97" i="8"/>
  <c r="BO110" i="8"/>
  <c r="BL57" i="8"/>
  <c r="BM57" i="8" s="1"/>
  <c r="BG57" i="8"/>
  <c r="BL1499" i="8"/>
  <c r="BK1499" i="8"/>
  <c r="BL1466" i="8"/>
  <c r="BM1466" i="8" s="1"/>
  <c r="BG1466" i="8"/>
  <c r="BL1507" i="8"/>
  <c r="BK1507" i="8"/>
  <c r="BO1439" i="8"/>
  <c r="BN1439" i="8"/>
  <c r="BK1058" i="8"/>
  <c r="BL1058" i="8" s="1"/>
  <c r="BL1238" i="8"/>
  <c r="BK1238" i="8"/>
  <c r="BK1143" i="8"/>
  <c r="BL1143" i="8" s="1"/>
  <c r="BK948" i="8"/>
  <c r="BL948" i="8" s="1"/>
  <c r="BL974" i="8"/>
  <c r="BM974" i="8" s="1"/>
  <c r="BG974" i="8"/>
  <c r="BK886" i="8"/>
  <c r="BL886" i="8" s="1"/>
  <c r="BK878" i="8"/>
  <c r="BL878" i="8" s="1"/>
  <c r="BK826" i="8"/>
  <c r="BL826" i="8" s="1"/>
  <c r="BK773" i="8"/>
  <c r="BL773" i="8" s="1"/>
  <c r="BK796" i="8"/>
  <c r="BK742" i="8"/>
  <c r="BL742" i="8" s="1"/>
  <c r="BG648" i="8"/>
  <c r="BL648" i="8"/>
  <c r="BM648" i="8" s="1"/>
  <c r="BG837" i="8"/>
  <c r="BL837" i="8"/>
  <c r="BM837" i="8" s="1"/>
  <c r="BK733" i="8"/>
  <c r="BL733" i="8" s="1"/>
  <c r="BL780" i="8"/>
  <c r="BM780" i="8" s="1"/>
  <c r="BG780" i="8"/>
  <c r="BL629" i="8"/>
  <c r="BM629" i="8" s="1"/>
  <c r="BG629" i="8"/>
  <c r="BL639" i="8"/>
  <c r="BM639" i="8" s="1"/>
  <c r="BG639" i="8"/>
  <c r="BK568" i="8"/>
  <c r="BL568" i="8" s="1"/>
  <c r="BK524" i="8"/>
  <c r="BL524" i="8" s="1"/>
  <c r="BL595" i="8"/>
  <c r="BM595" i="8" s="1"/>
  <c r="BG595" i="8"/>
  <c r="BK561" i="8"/>
  <c r="BK543" i="8"/>
  <c r="BK466" i="8"/>
  <c r="BL466" i="8" s="1"/>
  <c r="BK490" i="8"/>
  <c r="BL490" i="8" s="1"/>
  <c r="BK351" i="8"/>
  <c r="BL351" i="8" s="1"/>
  <c r="BL169" i="8"/>
  <c r="BM169" i="8" s="1"/>
  <c r="BG169" i="8"/>
  <c r="BL187" i="8"/>
  <c r="BM187" i="8" s="1"/>
  <c r="BG187" i="8"/>
  <c r="BL238" i="8"/>
  <c r="BM238" i="8" s="1"/>
  <c r="BG238" i="8"/>
  <c r="BL230" i="8"/>
  <c r="BM230" i="8" s="1"/>
  <c r="BG230" i="8"/>
  <c r="BG292" i="8"/>
  <c r="BL292" i="8"/>
  <c r="BM292" i="8" s="1"/>
  <c r="BK141" i="8"/>
  <c r="BL141" i="8" s="1"/>
  <c r="BL239" i="8"/>
  <c r="BM239" i="8" s="1"/>
  <c r="BG239" i="8"/>
  <c r="BL168" i="8"/>
  <c r="BM168" i="8" s="1"/>
  <c r="BG168" i="8"/>
  <c r="BO34" i="8"/>
  <c r="BN34" i="8"/>
  <c r="BL1581" i="8"/>
  <c r="BM1581" i="8" s="1"/>
  <c r="BG1581" i="8"/>
  <c r="BO1527" i="8"/>
  <c r="BN1527" i="8"/>
  <c r="BK1586" i="8"/>
  <c r="BK1579" i="8"/>
  <c r="BL1264" i="8"/>
  <c r="BM1264" i="8" s="1"/>
  <c r="BG1264" i="8"/>
  <c r="BK1162" i="8"/>
  <c r="BL1162" i="8" s="1"/>
  <c r="BL1242" i="8"/>
  <c r="BK1242" i="8"/>
  <c r="BK1079" i="8"/>
  <c r="BL1079" i="8" s="1"/>
  <c r="BK1031" i="8"/>
  <c r="BL1031" i="8" s="1"/>
  <c r="BK1116" i="8"/>
  <c r="BL1116" i="8" s="1"/>
  <c r="BO1189" i="8"/>
  <c r="BN1189" i="8"/>
  <c r="BK1189" i="8"/>
  <c r="BL1042" i="8"/>
  <c r="BM1042" i="8" s="1"/>
  <c r="BG1042" i="8"/>
  <c r="BK940" i="8"/>
  <c r="BL940" i="8" s="1"/>
  <c r="BN1045" i="8"/>
  <c r="BK953" i="8"/>
  <c r="BL953" i="8" s="1"/>
  <c r="BK913" i="8"/>
  <c r="BL913" i="8" s="1"/>
  <c r="BL973" i="8"/>
  <c r="BM973" i="8" s="1"/>
  <c r="BG973" i="8"/>
  <c r="BK877" i="8"/>
  <c r="BL877" i="8" s="1"/>
  <c r="BK818" i="8"/>
  <c r="BL818" i="8" s="1"/>
  <c r="BK889" i="8"/>
  <c r="BL889" i="8" s="1"/>
  <c r="BK765" i="8"/>
  <c r="BL765" i="8" s="1"/>
  <c r="BL864" i="8"/>
  <c r="BM864" i="8" s="1"/>
  <c r="BG864" i="8"/>
  <c r="BK750" i="8"/>
  <c r="BL750" i="8" s="1"/>
  <c r="BL796" i="8"/>
  <c r="BG796" i="8"/>
  <c r="BK734" i="8"/>
  <c r="BL734" i="8" s="1"/>
  <c r="BG728" i="8"/>
  <c r="BL728" i="8"/>
  <c r="BM728" i="8" s="1"/>
  <c r="BG647" i="8"/>
  <c r="BL647" i="8"/>
  <c r="BM647" i="8" s="1"/>
  <c r="BL787" i="8"/>
  <c r="BM787" i="8" s="1"/>
  <c r="BG787" i="8"/>
  <c r="BK768" i="8"/>
  <c r="BL768" i="8" s="1"/>
  <c r="BK679" i="8"/>
  <c r="BL679" i="8" s="1"/>
  <c r="BL636" i="8"/>
  <c r="BM636" i="8" s="1"/>
  <c r="BG636" i="8"/>
  <c r="BL628" i="8"/>
  <c r="BM628" i="8" s="1"/>
  <c r="BG628" i="8"/>
  <c r="BK613" i="8"/>
  <c r="BL613" i="8" s="1"/>
  <c r="BK522" i="8"/>
  <c r="BL522" i="8" s="1"/>
  <c r="BL594" i="8"/>
  <c r="BM594" i="8" s="1"/>
  <c r="BG594" i="8"/>
  <c r="BO560" i="8"/>
  <c r="BN560" i="8"/>
  <c r="BK560" i="8"/>
  <c r="BK542" i="8"/>
  <c r="BL463" i="8"/>
  <c r="BM463" i="8" s="1"/>
  <c r="BG463" i="8"/>
  <c r="BK442" i="8"/>
  <c r="BL442" i="8" s="1"/>
  <c r="BK410" i="8"/>
  <c r="BL410" i="8" s="1"/>
  <c r="BK378" i="8"/>
  <c r="BL378" i="8" s="1"/>
  <c r="BK284" i="8"/>
  <c r="BL284" i="8" s="1"/>
  <c r="BL180" i="8"/>
  <c r="BM180" i="8" s="1"/>
  <c r="BG180" i="8"/>
  <c r="BL183" i="8"/>
  <c r="BM183" i="8" s="1"/>
  <c r="BG183" i="8"/>
  <c r="BL237" i="8"/>
  <c r="BM237" i="8" s="1"/>
  <c r="BG237" i="8"/>
  <c r="BL229" i="8"/>
  <c r="BM229" i="8" s="1"/>
  <c r="BG229" i="8"/>
  <c r="BG288" i="8"/>
  <c r="BL288" i="8"/>
  <c r="BM288" i="8" s="1"/>
  <c r="BK139" i="8"/>
  <c r="BL139" i="8" s="1"/>
  <c r="BL51" i="8"/>
  <c r="BM51" i="8" s="1"/>
  <c r="BG51" i="8"/>
  <c r="BL33" i="8"/>
  <c r="BM33" i="8" s="1"/>
  <c r="BG33" i="8"/>
  <c r="BN81" i="8"/>
  <c r="BO81" i="8"/>
  <c r="BN69" i="8"/>
  <c r="BO69" i="8"/>
  <c r="BG6" i="8"/>
  <c r="BL6" i="8"/>
  <c r="BM6" i="8" s="1"/>
  <c r="BK1604" i="8"/>
  <c r="BL1604" i="8"/>
  <c r="BL1586" i="8"/>
  <c r="BG1586" i="8"/>
  <c r="BL1503" i="8"/>
  <c r="BK1503" i="8"/>
  <c r="BL1579" i="8"/>
  <c r="BG1579" i="8"/>
  <c r="BG1451" i="8"/>
  <c r="BL1451" i="8"/>
  <c r="BM1451" i="8" s="1"/>
  <c r="BL1230" i="8"/>
  <c r="BK1230" i="8"/>
  <c r="BK1160" i="8"/>
  <c r="BL1160" i="8" s="1"/>
  <c r="BL1278" i="8"/>
  <c r="BM1278" i="8" s="1"/>
  <c r="BG1278" i="8"/>
  <c r="BK1108" i="8"/>
  <c r="BL1108" i="8" s="1"/>
  <c r="BK1113" i="8"/>
  <c r="BL1113" i="8" s="1"/>
  <c r="BL1043" i="8"/>
  <c r="BM1043" i="8" s="1"/>
  <c r="BG1043" i="8"/>
  <c r="BG1106" i="8"/>
  <c r="BL1106" i="8"/>
  <c r="BM1106" i="8" s="1"/>
  <c r="BK932" i="8"/>
  <c r="BL932" i="8" s="1"/>
  <c r="BL1039" i="8"/>
  <c r="BM1039" i="8" s="1"/>
  <c r="BG1039" i="8"/>
  <c r="BK1004" i="8"/>
  <c r="BL1004" i="8" s="1"/>
  <c r="BK945" i="8"/>
  <c r="BL945" i="8" s="1"/>
  <c r="BK824" i="8"/>
  <c r="BL824" i="8" s="1"/>
  <c r="BK876" i="8"/>
  <c r="BL876" i="8" s="1"/>
  <c r="BK810" i="8"/>
  <c r="BL810" i="8" s="1"/>
  <c r="BL863" i="8"/>
  <c r="BM863" i="8" s="1"/>
  <c r="BG863" i="8"/>
  <c r="BK680" i="8"/>
  <c r="BL680" i="8" s="1"/>
  <c r="BG836" i="8"/>
  <c r="BL836" i="8"/>
  <c r="BM836" i="8" s="1"/>
  <c r="BG727" i="8"/>
  <c r="BL727" i="8"/>
  <c r="BM727" i="8" s="1"/>
  <c r="BK671" i="8"/>
  <c r="BL671" i="8" s="1"/>
  <c r="BL635" i="8"/>
  <c r="BM635" i="8" s="1"/>
  <c r="BG635" i="8"/>
  <c r="BL627" i="8"/>
  <c r="BM627" i="8" s="1"/>
  <c r="BG627" i="8"/>
  <c r="BK514" i="8"/>
  <c r="BL514" i="8" s="1"/>
  <c r="BK536" i="8"/>
  <c r="BL536" i="8" s="1"/>
  <c r="BL593" i="8"/>
  <c r="BM593" i="8" s="1"/>
  <c r="BG593" i="8"/>
  <c r="BO559" i="8"/>
  <c r="BN559" i="8"/>
  <c r="BK559" i="8"/>
  <c r="BO541" i="8"/>
  <c r="BN541" i="8"/>
  <c r="BK541" i="8"/>
  <c r="BK354" i="8"/>
  <c r="BL354" i="8" s="1"/>
  <c r="BK276" i="8"/>
  <c r="BL276" i="8" s="1"/>
  <c r="BL172" i="8"/>
  <c r="BM172" i="8" s="1"/>
  <c r="BG172" i="8"/>
  <c r="BL236" i="8"/>
  <c r="BM236" i="8" s="1"/>
  <c r="BG236" i="8"/>
  <c r="BL178" i="8"/>
  <c r="BM178" i="8" s="1"/>
  <c r="BG178" i="8"/>
  <c r="BK137" i="8"/>
  <c r="BL137" i="8" s="1"/>
  <c r="BL48" i="8"/>
  <c r="BM48" i="8" s="1"/>
  <c r="BG48" i="8"/>
  <c r="BN542" i="8" l="1"/>
  <c r="BO980" i="8"/>
  <c r="BN19" i="8"/>
  <c r="BO429" i="8"/>
  <c r="BO73" i="8"/>
  <c r="BN501" i="8"/>
  <c r="BO561" i="8"/>
  <c r="BO1567" i="8"/>
  <c r="BN189" i="8"/>
  <c r="BN503" i="8"/>
  <c r="BO842" i="8"/>
  <c r="BN385" i="8"/>
  <c r="BN1590" i="8"/>
  <c r="BN701" i="8"/>
  <c r="BN709" i="8"/>
  <c r="BO518" i="8"/>
  <c r="BO1227" i="8"/>
  <c r="BO859" i="8"/>
  <c r="BO327" i="8"/>
  <c r="BN1207" i="8"/>
  <c r="BN731" i="8"/>
  <c r="BN1140" i="8"/>
  <c r="BN683" i="8"/>
  <c r="BN182" i="8"/>
  <c r="BO1480" i="8"/>
  <c r="BO1541" i="8"/>
  <c r="BO218" i="8"/>
  <c r="BO1213" i="8"/>
  <c r="BN1115" i="8"/>
  <c r="BN451" i="8"/>
  <c r="BN616" i="8"/>
  <c r="BN440" i="8"/>
  <c r="BN1373" i="8"/>
  <c r="BN772" i="8"/>
  <c r="BN1352" i="8"/>
  <c r="BO866" i="8"/>
  <c r="BN103" i="8"/>
  <c r="BO577" i="8"/>
  <c r="BN1482" i="8"/>
  <c r="BN1381" i="8"/>
  <c r="BO977" i="8"/>
  <c r="BO745" i="8"/>
  <c r="BO321" i="8"/>
  <c r="BN380" i="8"/>
  <c r="BN1146" i="8"/>
  <c r="BN179" i="8"/>
  <c r="BN476" i="8"/>
  <c r="BN1347" i="8"/>
  <c r="BO142" i="8"/>
  <c r="BO612" i="8"/>
  <c r="BN1178" i="8"/>
  <c r="BO1260" i="8"/>
  <c r="BO499" i="8"/>
  <c r="BO1518" i="8"/>
  <c r="BN1518" i="8"/>
  <c r="BO312" i="8"/>
  <c r="BN941" i="8"/>
  <c r="BO279" i="8"/>
  <c r="BO1054" i="8"/>
  <c r="BN9" i="8"/>
  <c r="BN1314" i="8"/>
  <c r="BO1609" i="8"/>
  <c r="BN923" i="8"/>
  <c r="BN1239" i="8"/>
  <c r="BN1107" i="8"/>
  <c r="BN379" i="8"/>
  <c r="BO936" i="8"/>
  <c r="BN1123" i="8"/>
  <c r="BO375" i="8"/>
  <c r="BN1057" i="8"/>
  <c r="BO101" i="8"/>
  <c r="BN1041" i="8"/>
  <c r="BN355" i="8"/>
  <c r="BO1200" i="8"/>
  <c r="BN951" i="8"/>
  <c r="BN1193" i="8"/>
  <c r="BO401" i="8"/>
  <c r="BO771" i="8"/>
  <c r="BN841" i="8"/>
  <c r="BN1605" i="8"/>
  <c r="BN1424" i="8"/>
  <c r="BO1003" i="8"/>
  <c r="BN1393" i="8"/>
  <c r="BN504" i="8"/>
  <c r="BN719" i="8"/>
  <c r="BN1144" i="8"/>
  <c r="BO675" i="8"/>
  <c r="BN569" i="8"/>
  <c r="BN1291" i="8"/>
  <c r="BO640" i="8"/>
  <c r="BN359" i="8"/>
  <c r="BO1531" i="8"/>
  <c r="BN1415" i="8"/>
  <c r="BN537" i="8"/>
  <c r="BN120" i="8"/>
  <c r="BO1537" i="8"/>
  <c r="BN1444" i="8"/>
  <c r="BO76" i="8"/>
  <c r="BN847" i="8"/>
  <c r="BN1325" i="8"/>
  <c r="BO677" i="8"/>
  <c r="BO1421" i="8"/>
  <c r="BN1421" i="8"/>
  <c r="BN643" i="8"/>
  <c r="BO643" i="8"/>
  <c r="BN273" i="8"/>
  <c r="BN1148" i="8"/>
  <c r="BN1029" i="8"/>
  <c r="BN55" i="8"/>
  <c r="BN14" i="8"/>
  <c r="BO747" i="8"/>
  <c r="BO493" i="8"/>
  <c r="BN910" i="8"/>
  <c r="BO665" i="8"/>
  <c r="BO446" i="8"/>
  <c r="BN950" i="8"/>
  <c r="BO1525" i="8"/>
  <c r="BO397" i="8"/>
  <c r="BO1120" i="8"/>
  <c r="BO371" i="8"/>
  <c r="BN1001" i="8"/>
  <c r="BN1235" i="8"/>
  <c r="BO215" i="8"/>
  <c r="BN820" i="8"/>
  <c r="BO123" i="8"/>
  <c r="BO443" i="8"/>
  <c r="BN928" i="8"/>
  <c r="BN152" i="8"/>
  <c r="BO1070" i="8"/>
  <c r="BO391" i="8"/>
  <c r="BN548" i="8"/>
  <c r="BO1428" i="8"/>
  <c r="BN1124" i="8"/>
  <c r="BO1048" i="8"/>
  <c r="BO424" i="8"/>
  <c r="BN1059" i="8"/>
  <c r="BO1297" i="8"/>
  <c r="BN1110" i="8"/>
  <c r="BN1607" i="8"/>
  <c r="BN280" i="8"/>
  <c r="BN425" i="8"/>
  <c r="BN618" i="8"/>
  <c r="BN857" i="8"/>
  <c r="BN332" i="8"/>
  <c r="BO1244" i="8"/>
  <c r="BO1121" i="8"/>
  <c r="BO1183" i="8"/>
  <c r="BN1183" i="8"/>
  <c r="BN535" i="8"/>
  <c r="BO162" i="8"/>
  <c r="BO482" i="8"/>
  <c r="BN1008" i="8"/>
  <c r="BN566" i="8"/>
  <c r="BO310" i="8"/>
  <c r="BO94" i="8"/>
  <c r="BO1328" i="8"/>
  <c r="BN209" i="8"/>
  <c r="BN790" i="8"/>
  <c r="BO148" i="8"/>
  <c r="BN491" i="8"/>
  <c r="BO133" i="8"/>
  <c r="BN520" i="8"/>
  <c r="BN1101" i="8"/>
  <c r="BO221" i="8"/>
  <c r="BN1105" i="8"/>
  <c r="BN1484" i="8"/>
  <c r="BN814" i="8"/>
  <c r="BN1266" i="8"/>
  <c r="BN1374" i="8"/>
  <c r="BN1237" i="8"/>
  <c r="BN1438" i="8"/>
  <c r="BO722" i="8"/>
  <c r="BN1443" i="8"/>
  <c r="BO621" i="8"/>
  <c r="BN1514" i="8"/>
  <c r="BO206" i="8"/>
  <c r="BN825" i="8"/>
  <c r="BN1318" i="8"/>
  <c r="BN1532" i="8"/>
  <c r="BO667" i="8"/>
  <c r="BN414" i="8"/>
  <c r="BO1102" i="8"/>
  <c r="BN811" i="8"/>
  <c r="BN1214" i="8"/>
  <c r="BN257" i="8"/>
  <c r="BN622" i="8"/>
  <c r="BN1142" i="8"/>
  <c r="BO1485" i="8"/>
  <c r="BO756" i="8"/>
  <c r="BN1011" i="8"/>
  <c r="BN417" i="8"/>
  <c r="BN1506" i="8"/>
  <c r="BN1274" i="8"/>
  <c r="BN479" i="8"/>
  <c r="BN964" i="8"/>
  <c r="BO158" i="8"/>
  <c r="BN1125" i="8"/>
  <c r="BN764" i="8"/>
  <c r="BO575" i="8"/>
  <c r="BO1547" i="8"/>
  <c r="BO914" i="8"/>
  <c r="BO315" i="8"/>
  <c r="BO1218" i="8"/>
  <c r="BO70" i="8"/>
  <c r="BN1501" i="8"/>
  <c r="BO567" i="8"/>
  <c r="BN660" i="8"/>
  <c r="BO1369" i="8"/>
  <c r="BO1404" i="8"/>
  <c r="BN659" i="8"/>
  <c r="BN398" i="8"/>
  <c r="BO972" i="8"/>
  <c r="BO901" i="8"/>
  <c r="BO1449" i="8"/>
  <c r="BO767" i="8"/>
  <c r="BN846" i="8"/>
  <c r="BN617" i="8"/>
  <c r="BO1346" i="8"/>
  <c r="BO420" i="8"/>
  <c r="BN834" i="8"/>
  <c r="BN822" i="8"/>
  <c r="BN171" i="8"/>
  <c r="BN571" i="8"/>
  <c r="BN1009" i="8"/>
  <c r="BO1610" i="8"/>
  <c r="BN1536" i="8"/>
  <c r="BO35" i="8"/>
  <c r="BN188" i="8"/>
  <c r="BN314" i="8"/>
  <c r="BO803" i="8"/>
  <c r="BN270" i="8"/>
  <c r="BO938" i="8"/>
  <c r="BO1479" i="8"/>
  <c r="BO1275" i="8"/>
  <c r="BO903" i="8"/>
  <c r="BO1190" i="8"/>
  <c r="BN1190" i="8"/>
  <c r="BO1599" i="8"/>
  <c r="BN1599" i="8"/>
  <c r="BO1555" i="8"/>
  <c r="BN1555" i="8"/>
  <c r="BO646" i="8"/>
  <c r="BN646" i="8"/>
  <c r="BN849" i="8"/>
  <c r="BO1356" i="8"/>
  <c r="BN1247" i="8"/>
  <c r="BN911" i="8"/>
  <c r="BN1163" i="8"/>
  <c r="BN1331" i="8"/>
  <c r="BN415" i="8"/>
  <c r="BN944" i="8"/>
  <c r="BN423" i="8"/>
  <c r="BN539" i="8"/>
  <c r="BO1153" i="8"/>
  <c r="BN1321" i="8"/>
  <c r="BN1014" i="8"/>
  <c r="BO1481" i="8"/>
  <c r="BO1530" i="8"/>
  <c r="BO695" i="8"/>
  <c r="BO1513" i="8"/>
  <c r="BO86" i="8"/>
  <c r="BN1135" i="8"/>
  <c r="BN1422" i="8"/>
  <c r="BN1546" i="8"/>
  <c r="BN498" i="8"/>
  <c r="BN199" i="8"/>
  <c r="BN737" i="8"/>
  <c r="BO1022" i="8"/>
  <c r="BO464" i="8"/>
  <c r="BO431" i="8"/>
  <c r="BN909" i="8"/>
  <c r="BN345" i="8"/>
  <c r="BN1152" i="8"/>
  <c r="BN1122" i="8"/>
  <c r="BN935" i="8"/>
  <c r="BN1342" i="8"/>
  <c r="BN1508" i="8"/>
  <c r="BN673" i="8"/>
  <c r="BN1245" i="8"/>
  <c r="BN486" i="8"/>
  <c r="BO1279" i="8"/>
  <c r="BO807" i="8"/>
  <c r="BO53" i="8"/>
  <c r="BN926" i="8"/>
  <c r="BN305" i="8"/>
  <c r="BN1468" i="8"/>
  <c r="BN15" i="8"/>
  <c r="BN1293" i="8"/>
  <c r="BN1386" i="8"/>
  <c r="BN251" i="8"/>
  <c r="BO471" i="8"/>
  <c r="BO1256" i="8"/>
  <c r="BN960" i="8"/>
  <c r="BO372" i="8"/>
  <c r="BO759" i="8"/>
  <c r="BO958" i="8"/>
  <c r="BO1175" i="8"/>
  <c r="BO1100" i="8"/>
  <c r="BN893" i="8"/>
  <c r="BN1399" i="8"/>
  <c r="BO729" i="8"/>
  <c r="BO1545" i="8"/>
  <c r="BN588" i="8"/>
  <c r="BO1410" i="8"/>
  <c r="BO63" i="8"/>
  <c r="BN1119" i="8"/>
  <c r="BO1486" i="8"/>
  <c r="BO685" i="8"/>
  <c r="BN943" i="8"/>
  <c r="BN1592" i="8"/>
  <c r="BN1425" i="8"/>
  <c r="BN269" i="8"/>
  <c r="BO955" i="8"/>
  <c r="BN1253" i="8"/>
  <c r="BN1334" i="8"/>
  <c r="BN1539" i="8"/>
  <c r="BO1588" i="8"/>
  <c r="BO1548" i="8"/>
  <c r="BN666" i="8"/>
  <c r="BN1258" i="8"/>
  <c r="BN192" i="8"/>
  <c r="BO1368" i="8"/>
  <c r="BN263" i="8"/>
  <c r="BN478" i="8"/>
  <c r="BN1420" i="8"/>
  <c r="BN523" i="8"/>
  <c r="BO1086" i="8"/>
  <c r="BO1563" i="8"/>
  <c r="BO869" i="8"/>
  <c r="BN969" i="8"/>
  <c r="BN8" i="8"/>
  <c r="BO325" i="8"/>
  <c r="BN563" i="8"/>
  <c r="BO473" i="8"/>
  <c r="BO1104" i="8"/>
  <c r="BN1223" i="8"/>
  <c r="BO946" i="8"/>
  <c r="BO1212" i="8"/>
  <c r="BO511" i="8"/>
  <c r="BN68" i="8"/>
  <c r="BN1429" i="8"/>
  <c r="BN289" i="8"/>
  <c r="BO289" i="8"/>
  <c r="BO585" i="8"/>
  <c r="BO1606" i="8"/>
  <c r="BN899" i="8"/>
  <c r="BN1252" i="8"/>
  <c r="BN1283" i="8"/>
  <c r="BO699" i="8"/>
  <c r="BN441" i="8"/>
  <c r="BN1185" i="8"/>
  <c r="BO1180" i="8"/>
  <c r="BN1180" i="8"/>
  <c r="BO306" i="8"/>
  <c r="BN306" i="8"/>
  <c r="BO609" i="8"/>
  <c r="BN609" i="8"/>
  <c r="BN66" i="8"/>
  <c r="BO66" i="8"/>
  <c r="BN13" i="8"/>
  <c r="BO13" i="8"/>
  <c r="BO586" i="8"/>
  <c r="BN396" i="8"/>
  <c r="BN22" i="8"/>
  <c r="BN337" i="8"/>
  <c r="BN1138" i="8"/>
  <c r="BN1490" i="8"/>
  <c r="BN1272" i="8"/>
  <c r="BO399" i="8"/>
  <c r="BN1553" i="8"/>
  <c r="BN1309" i="8"/>
  <c r="BN1364" i="8"/>
  <c r="BN738" i="8"/>
  <c r="BN963" i="8"/>
  <c r="BO1206" i="8"/>
  <c r="BN138" i="8"/>
  <c r="BN736" i="8"/>
  <c r="BO62" i="8"/>
  <c r="BN350" i="8"/>
  <c r="BO140" i="8"/>
  <c r="BO678" i="8"/>
  <c r="BN67" i="8"/>
  <c r="BO1287" i="8"/>
  <c r="BN1033" i="8"/>
  <c r="BO16" i="8"/>
  <c r="BN1078" i="8"/>
  <c r="BN1533" i="8"/>
  <c r="BN275" i="8"/>
  <c r="BO749" i="8"/>
  <c r="BN1332" i="8"/>
  <c r="BO1375" i="8"/>
  <c r="BO770" i="8"/>
  <c r="BN1549" i="8"/>
  <c r="BN1324" i="8"/>
  <c r="BO804" i="8"/>
  <c r="BN256" i="8"/>
  <c r="BO1201" i="8"/>
  <c r="BN1417" i="8"/>
  <c r="BO78" i="8"/>
  <c r="BN389" i="8"/>
  <c r="BN942" i="8"/>
  <c r="BN1326" i="8"/>
  <c r="BO12" i="8"/>
  <c r="BN988" i="8"/>
  <c r="BO1128" i="8"/>
  <c r="BN850" i="8"/>
  <c r="BO952" i="8"/>
  <c r="BN927" i="8"/>
  <c r="BO1164" i="8"/>
  <c r="BN430" i="8"/>
  <c r="BN1173" i="8"/>
  <c r="BN744" i="8"/>
  <c r="BO1192" i="8"/>
  <c r="BN1192" i="8"/>
  <c r="BN1333" i="8"/>
  <c r="BN1026" i="8"/>
  <c r="BN126" i="8"/>
  <c r="BN219" i="8"/>
  <c r="BN403" i="8"/>
  <c r="BN743" i="8"/>
  <c r="BN819" i="8"/>
  <c r="BO610" i="8"/>
  <c r="BO427" i="8"/>
  <c r="BO102" i="8"/>
  <c r="BN1476" i="8"/>
  <c r="BN1170" i="8"/>
  <c r="BN653" i="8"/>
  <c r="BO1155" i="8"/>
  <c r="BO962" i="8"/>
  <c r="BN962" i="8"/>
  <c r="BN291" i="8"/>
  <c r="BO1285" i="8"/>
  <c r="BN791" i="8"/>
  <c r="BN1301" i="8"/>
  <c r="BN654" i="8"/>
  <c r="BN1345" i="8"/>
  <c r="BN693" i="8"/>
  <c r="BO136" i="8"/>
  <c r="BN1010" i="8"/>
  <c r="BN155" i="8"/>
  <c r="BO10" i="8"/>
  <c r="BO1203" i="8"/>
  <c r="BO1357" i="8"/>
  <c r="BN1456" i="8"/>
  <c r="BN362" i="8"/>
  <c r="BN207" i="8"/>
  <c r="BO947" i="8"/>
  <c r="BO265" i="8"/>
  <c r="BO365" i="8"/>
  <c r="BN531" i="8"/>
  <c r="BO1051" i="8"/>
  <c r="BN166" i="8"/>
  <c r="BN1169" i="8"/>
  <c r="BO197" i="8"/>
  <c r="BO122" i="8"/>
  <c r="BO868" i="8"/>
  <c r="BO809" i="8"/>
  <c r="BO1430" i="8"/>
  <c r="BN1030" i="8"/>
  <c r="BN1469" i="8"/>
  <c r="BN689" i="8"/>
  <c r="BO549" i="8"/>
  <c r="BO1099" i="8"/>
  <c r="BO966" i="8"/>
  <c r="BO968" i="8"/>
  <c r="BN1512" i="8"/>
  <c r="BN1544" i="8"/>
  <c r="BO912" i="8"/>
  <c r="BN763" i="8"/>
  <c r="BN1582" i="8"/>
  <c r="BO1419" i="8"/>
  <c r="BO246" i="8"/>
  <c r="BO387" i="8"/>
  <c r="BO334" i="8"/>
  <c r="BN746" i="8"/>
  <c r="BO1006" i="8"/>
  <c r="BO115" i="8"/>
  <c r="BN990" i="8"/>
  <c r="BN599" i="8"/>
  <c r="BO623" i="8"/>
  <c r="BN717" i="8"/>
  <c r="BN404" i="8"/>
  <c r="BO1225" i="8"/>
  <c r="BN971" i="8"/>
  <c r="BN584" i="8"/>
  <c r="BN1093" i="8"/>
  <c r="BN686" i="8"/>
  <c r="BO521" i="8"/>
  <c r="BN492" i="8"/>
  <c r="BN620" i="8"/>
  <c r="BO181" i="8"/>
  <c r="BO1406" i="8"/>
  <c r="BN1560" i="8"/>
  <c r="BN954" i="8"/>
  <c r="BN1049" i="8"/>
  <c r="BN1335" i="8"/>
  <c r="BN1521" i="8"/>
  <c r="BN547" i="8"/>
  <c r="BO1136" i="8"/>
  <c r="BO472" i="8"/>
  <c r="BO1313" i="8"/>
  <c r="BN7" i="8"/>
  <c r="BN406" i="8"/>
  <c r="BN1094" i="8"/>
  <c r="BO1150" i="8"/>
  <c r="BO277" i="8"/>
  <c r="BO191" i="8"/>
  <c r="BN1389" i="8"/>
  <c r="BN26" i="8"/>
  <c r="BN920" i="8"/>
  <c r="BN1232" i="8"/>
  <c r="BN1292" i="8"/>
  <c r="BN1351" i="8"/>
  <c r="BN1172" i="8"/>
  <c r="BN1362" i="8"/>
  <c r="BO681" i="8"/>
  <c r="BO65" i="8"/>
  <c r="BO154" i="8"/>
  <c r="BN88" i="8"/>
  <c r="BN1535" i="8"/>
  <c r="BN933" i="8"/>
  <c r="BO1276" i="8"/>
  <c r="BN801" i="8"/>
  <c r="BN340" i="8"/>
  <c r="BN1080" i="8"/>
  <c r="BN50" i="8"/>
  <c r="BO1380" i="8"/>
  <c r="BO641" i="8"/>
  <c r="BO600" i="8"/>
  <c r="BN167" i="8"/>
  <c r="BN295" i="8"/>
  <c r="BN845" i="8"/>
  <c r="BN428" i="8"/>
  <c r="BN1558" i="8"/>
  <c r="BN457" i="8"/>
  <c r="BO116" i="8"/>
  <c r="BO872" i="8"/>
  <c r="BN1061" i="8"/>
  <c r="BN852" i="8"/>
  <c r="BO867" i="8"/>
  <c r="BN1478" i="8"/>
  <c r="BN1540" i="8"/>
  <c r="BN1575" i="8"/>
  <c r="BO333" i="8"/>
  <c r="BN1133" i="8"/>
  <c r="BN407" i="8"/>
  <c r="BN1085" i="8"/>
  <c r="BO1141" i="8"/>
  <c r="BN104" i="8"/>
  <c r="BO413" i="8"/>
  <c r="BO56" i="8"/>
  <c r="BN56" i="8"/>
  <c r="BO453" i="8"/>
  <c r="BN453" i="8"/>
  <c r="BO986" i="8"/>
  <c r="BN986" i="8"/>
  <c r="BO1194" i="8"/>
  <c r="BN1194" i="8"/>
  <c r="BO1542" i="8"/>
  <c r="BN1542" i="8"/>
  <c r="BN36" i="8"/>
  <c r="BO36" i="8"/>
  <c r="BN1515" i="8"/>
  <c r="BO1515" i="8"/>
  <c r="BO253" i="8"/>
  <c r="BN253" i="8"/>
  <c r="BO250" i="8"/>
  <c r="BN250" i="8"/>
  <c r="BN127" i="8"/>
  <c r="BO127" i="8"/>
  <c r="BN38" i="8"/>
  <c r="BO38" i="8"/>
  <c r="BN285" i="8"/>
  <c r="BO285" i="8"/>
  <c r="BN882" i="8"/>
  <c r="BO1587" i="8"/>
  <c r="BN517" i="8"/>
  <c r="BO1516" i="8"/>
  <c r="BO114" i="8"/>
  <c r="BN125" i="8"/>
  <c r="BO902" i="8"/>
  <c r="BN121" i="8"/>
  <c r="BN855" i="8"/>
  <c r="BO1290" i="8"/>
  <c r="BN978" i="8"/>
  <c r="BO283" i="8"/>
  <c r="BO574" i="8"/>
  <c r="BO1271" i="8"/>
  <c r="BO1385" i="8"/>
  <c r="BN1092" i="8"/>
  <c r="BN366" i="8"/>
  <c r="BN1072" i="8"/>
  <c r="BO309" i="8"/>
  <c r="BN1603" i="8"/>
  <c r="BN802" i="8"/>
  <c r="BN1005" i="8"/>
  <c r="BO475" i="8"/>
  <c r="BO1396" i="8"/>
  <c r="BN579" i="8"/>
  <c r="BO1208" i="8"/>
  <c r="BN1565" i="8"/>
  <c r="BN294" i="8"/>
  <c r="BO262" i="8"/>
  <c r="BO460" i="8"/>
  <c r="BN1286" i="8"/>
  <c r="BN100" i="8"/>
  <c r="BN1538" i="8"/>
  <c r="BN1089" i="8"/>
  <c r="BO658" i="8"/>
  <c r="BN208" i="8"/>
  <c r="BN891" i="8"/>
  <c r="BO1500" i="8"/>
  <c r="BN339" i="8"/>
  <c r="BN331" i="8"/>
  <c r="BO1184" i="8"/>
  <c r="BN1580" i="8"/>
  <c r="BN1370" i="8"/>
  <c r="BN458" i="8"/>
  <c r="BO587" i="8"/>
  <c r="BO1157" i="8"/>
  <c r="BN1037" i="8"/>
  <c r="BO1382" i="8"/>
  <c r="BN1340" i="8"/>
  <c r="BO1018" i="8"/>
  <c r="BN32" i="8"/>
  <c r="BO915" i="8"/>
  <c r="BO551" i="8"/>
  <c r="BO1510" i="8"/>
  <c r="BN1409" i="8"/>
  <c r="BO1132" i="8"/>
  <c r="BO1020" i="8"/>
  <c r="BO1551" i="8"/>
  <c r="BN249" i="8"/>
  <c r="BN533" i="8"/>
  <c r="BN879" i="8"/>
  <c r="BN898" i="8"/>
  <c r="BN416" i="8"/>
  <c r="BN1161" i="8"/>
  <c r="BN930" i="8"/>
  <c r="BO98" i="8"/>
  <c r="BN1339" i="8"/>
  <c r="BN1474" i="8"/>
  <c r="BN1354" i="8"/>
  <c r="BO1166" i="8"/>
  <c r="BN510" i="8"/>
  <c r="BN885" i="8"/>
  <c r="BN983" i="8"/>
  <c r="BO1307" i="8"/>
  <c r="BN1387" i="8"/>
  <c r="BN99" i="8"/>
  <c r="BN753" i="8"/>
  <c r="BN1427" i="8"/>
  <c r="BN1398" i="8"/>
  <c r="BO1289" i="8"/>
  <c r="BO1394" i="8"/>
  <c r="BO95" i="8"/>
  <c r="BN858" i="8"/>
  <c r="BN46" i="8"/>
  <c r="BO602" i="8"/>
  <c r="BN1371" i="8"/>
  <c r="BO1337" i="8"/>
  <c r="BO267" i="8"/>
  <c r="BO1403" i="8"/>
  <c r="BN538" i="8"/>
  <c r="BN1243" i="8"/>
  <c r="BN1210" i="8"/>
  <c r="BN1437" i="8"/>
  <c r="BO1139" i="8"/>
  <c r="BN1423" i="8"/>
  <c r="BO871" i="8"/>
  <c r="BN367" i="8"/>
  <c r="BN91" i="8"/>
  <c r="BN259" i="8"/>
  <c r="BO131" i="8"/>
  <c r="BN1262" i="8"/>
  <c r="BN1035" i="8"/>
  <c r="BN1391" i="8"/>
  <c r="BN1595" i="8"/>
  <c r="BO651" i="8"/>
  <c r="BO1077" i="8"/>
  <c r="BO1341" i="8"/>
  <c r="BN1523" i="8"/>
  <c r="BN1355" i="8"/>
  <c r="BN353" i="8"/>
  <c r="BN1012" i="8"/>
  <c r="BO1492" i="8"/>
  <c r="BN1330" i="8"/>
  <c r="BO1261" i="8"/>
  <c r="BO1280" i="8"/>
  <c r="BN1596" i="8"/>
  <c r="BO113" i="8"/>
  <c r="BO1322" i="8"/>
  <c r="BO112" i="8"/>
  <c r="BN130" i="8"/>
  <c r="BN662" i="8"/>
  <c r="BN854" i="8"/>
  <c r="BO1257" i="8"/>
  <c r="BN1021" i="8"/>
  <c r="BO895" i="8"/>
  <c r="BN684" i="8"/>
  <c r="BO190" i="8"/>
  <c r="BO1171" i="8"/>
  <c r="BO788" i="8"/>
  <c r="BO1084" i="8"/>
  <c r="BO605" i="8"/>
  <c r="BN87" i="8"/>
  <c r="BN931" i="8"/>
  <c r="BO1310" i="8"/>
  <c r="BO1338" i="8"/>
  <c r="BO583" i="8"/>
  <c r="BN1574" i="8"/>
  <c r="BO196" i="8"/>
  <c r="BN211" i="8"/>
  <c r="BN581" i="8"/>
  <c r="BN705" i="8"/>
  <c r="BN1543" i="8"/>
  <c r="BN274" i="8"/>
  <c r="BN922" i="8"/>
  <c r="BN1295" i="8"/>
  <c r="BO751" i="8"/>
  <c r="BN1472" i="8"/>
  <c r="BO254" i="8"/>
  <c r="BN382" i="8"/>
  <c r="BN1154" i="8"/>
  <c r="BN1329" i="8"/>
  <c r="BN687" i="8"/>
  <c r="BO470" i="8"/>
  <c r="BN1098" i="8"/>
  <c r="BN1366" i="8"/>
  <c r="BN184" i="8"/>
  <c r="BN278" i="8"/>
  <c r="BN769" i="8"/>
  <c r="BN1236" i="8"/>
  <c r="BO527" i="8"/>
  <c r="BO1233" i="8"/>
  <c r="BO1349" i="8"/>
  <c r="BN1557" i="8"/>
  <c r="BO840" i="8"/>
  <c r="BN210" i="8"/>
  <c r="BN41" i="8"/>
  <c r="BN918" i="8"/>
  <c r="BN439" i="8"/>
  <c r="BO1361" i="8"/>
  <c r="BN1568" i="8"/>
  <c r="BO1197" i="8"/>
  <c r="BO806" i="8"/>
  <c r="BN1248" i="8"/>
  <c r="BO989" i="8"/>
  <c r="BN1526" i="8"/>
  <c r="BN1073" i="8"/>
  <c r="BO1284" i="8"/>
  <c r="BO1209" i="8"/>
  <c r="BN200" i="8"/>
  <c r="BO1306" i="8"/>
  <c r="BN322" i="8"/>
  <c r="BO322" i="8"/>
  <c r="BO812" i="8"/>
  <c r="BN812" i="8"/>
  <c r="BO1112" i="8"/>
  <c r="BN1112" i="8"/>
  <c r="BN1377" i="8"/>
  <c r="BO1377" i="8"/>
  <c r="BN185" i="8"/>
  <c r="BO185" i="8"/>
  <c r="BN224" i="8"/>
  <c r="BO224" i="8"/>
  <c r="BN436" i="8"/>
  <c r="BO383" i="8"/>
  <c r="BN1205" i="8"/>
  <c r="BN832" i="8"/>
  <c r="BO1473" i="8"/>
  <c r="BO302" i="8"/>
  <c r="BO682" i="8"/>
  <c r="BN1520" i="8"/>
  <c r="BO1520" i="8"/>
  <c r="BO225" i="8"/>
  <c r="BN225" i="8"/>
  <c r="BO1418" i="8"/>
  <c r="BN23" i="8"/>
  <c r="BO23" i="8"/>
  <c r="BO455" i="8"/>
  <c r="BO145" i="8"/>
  <c r="BN1497" i="8"/>
  <c r="BO1497" i="8"/>
  <c r="BN1367" i="8"/>
  <c r="BO939" i="8"/>
  <c r="BO1179" i="8"/>
  <c r="BO1594" i="8"/>
  <c r="BN214" i="8"/>
  <c r="BO1591" i="8"/>
  <c r="BN1013" i="8"/>
  <c r="BO1013" i="8"/>
  <c r="BN20" i="8"/>
  <c r="BN516" i="8"/>
  <c r="BN261" i="8"/>
  <c r="BO260" i="8"/>
  <c r="BN1168" i="8"/>
  <c r="BO795" i="8"/>
  <c r="BO934" i="8"/>
  <c r="BN934" i="8"/>
  <c r="BN134" i="8"/>
  <c r="BN1511" i="8"/>
  <c r="BO146" i="8"/>
  <c r="BN146" i="8"/>
  <c r="BN216" i="8"/>
  <c r="BO216" i="8"/>
  <c r="BN433" i="8"/>
  <c r="BN484" i="8"/>
  <c r="BN1593" i="8"/>
  <c r="BO373" i="8"/>
  <c r="BO364" i="8"/>
  <c r="BO883" i="8"/>
  <c r="BN883" i="8"/>
  <c r="BN529" i="8"/>
  <c r="BN606" i="8"/>
  <c r="BO606" i="8"/>
  <c r="BO1502" i="8"/>
  <c r="BN1502" i="8"/>
  <c r="BO1390" i="8"/>
  <c r="BN1390" i="8"/>
  <c r="BN1312" i="8"/>
  <c r="BO1312" i="8"/>
  <c r="BN1414" i="8"/>
  <c r="BO1414" i="8"/>
  <c r="BN335" i="8"/>
  <c r="BN282" i="8"/>
  <c r="BO1344" i="8"/>
  <c r="BO497" i="8"/>
  <c r="BN497" i="8"/>
  <c r="BN1348" i="8"/>
  <c r="BO1348" i="8"/>
  <c r="BO1067" i="8"/>
  <c r="BO1400" i="8"/>
  <c r="BN1038" i="8"/>
  <c r="BO1401" i="8"/>
  <c r="BN1401" i="8"/>
  <c r="BO390" i="8"/>
  <c r="BO761" i="8"/>
  <c r="BN1181" i="8"/>
  <c r="BN1384" i="8"/>
  <c r="BN965" i="8"/>
  <c r="BO27" i="8"/>
  <c r="BN1063" i="8"/>
  <c r="BN676" i="8"/>
  <c r="BN153" i="8"/>
  <c r="BN268" i="8"/>
  <c r="BO422" i="8"/>
  <c r="BN896" i="8"/>
  <c r="BO1195" i="8"/>
  <c r="BN1047" i="8"/>
  <c r="BN1311" i="8"/>
  <c r="BN1129" i="8"/>
  <c r="BN1064" i="8"/>
  <c r="BO252" i="8"/>
  <c r="BN252" i="8"/>
  <c r="BN1550" i="8"/>
  <c r="BO715" i="8"/>
  <c r="BO1534" i="8"/>
  <c r="BN1296" i="8"/>
  <c r="BM1579" i="8"/>
  <c r="BO1579" i="8" s="1"/>
  <c r="BM299" i="8"/>
  <c r="BO299" i="8" s="1"/>
  <c r="BM956" i="8"/>
  <c r="BO956" i="8" s="1"/>
  <c r="BM394" i="8"/>
  <c r="BO394" i="8" s="1"/>
  <c r="BN1002" i="8"/>
  <c r="BM311" i="8"/>
  <c r="BN311" i="8" s="1"/>
  <c r="BM1071" i="8"/>
  <c r="BN1071" i="8" s="1"/>
  <c r="BM824" i="8"/>
  <c r="BO824" i="8" s="1"/>
  <c r="BM1145" i="8"/>
  <c r="BO1145" i="8" s="1"/>
  <c r="BM1250" i="8"/>
  <c r="BO1250" i="8" s="1"/>
  <c r="BM908" i="8"/>
  <c r="BN908" i="8" s="1"/>
  <c r="BM1522" i="8"/>
  <c r="BO1522" i="8" s="1"/>
  <c r="BM894" i="8"/>
  <c r="BN894" i="8" s="1"/>
  <c r="BM929" i="8"/>
  <c r="BN929" i="8" s="1"/>
  <c r="BM1392" i="8"/>
  <c r="BN1392" i="8" s="1"/>
  <c r="BM924" i="8"/>
  <c r="BO924" i="8" s="1"/>
  <c r="BM878" i="8"/>
  <c r="BN878" i="8" s="1"/>
  <c r="BM945" i="8"/>
  <c r="BO945" i="8" s="1"/>
  <c r="BM913" i="8"/>
  <c r="BO913" i="8" s="1"/>
  <c r="BM886" i="8"/>
  <c r="BO886" i="8" s="1"/>
  <c r="BM386" i="8"/>
  <c r="BO386" i="8" s="1"/>
  <c r="BM999" i="8"/>
  <c r="BN999" i="8" s="1"/>
  <c r="BN1572" i="8"/>
  <c r="BN461" i="8"/>
  <c r="BM664" i="8"/>
  <c r="BO664" i="8" s="1"/>
  <c r="BM1452" i="8"/>
  <c r="BN1452" i="8" s="1"/>
  <c r="BN462" i="8"/>
  <c r="BM29" i="8"/>
  <c r="BN29" i="8" s="1"/>
  <c r="BM52" i="8"/>
  <c r="BN52" i="8" s="1"/>
  <c r="BM543" i="8"/>
  <c r="BN543" i="8" s="1"/>
  <c r="BN1167" i="8"/>
  <c r="BO408" i="8"/>
  <c r="BN730" i="8"/>
  <c r="BN959" i="8"/>
  <c r="BO1127" i="8"/>
  <c r="BN1376" i="8"/>
  <c r="BO1317" i="8"/>
  <c r="BO1566" i="8"/>
  <c r="BO546" i="8"/>
  <c r="BO370" i="8"/>
  <c r="BO186" i="8"/>
  <c r="BN735" i="8"/>
  <c r="BO992" i="8"/>
  <c r="BO1075" i="8"/>
  <c r="BO1601" i="8"/>
  <c r="BN1509" i="8"/>
  <c r="BO1363" i="8"/>
  <c r="BO1383" i="8"/>
  <c r="BO388" i="8"/>
  <c r="BN614" i="8"/>
  <c r="BN697" i="8"/>
  <c r="BN1569" i="8"/>
  <c r="BN435" i="8"/>
  <c r="BO435" i="8"/>
  <c r="BN360" i="8"/>
  <c r="BM1004" i="8"/>
  <c r="BN1004" i="8" s="1"/>
  <c r="BM1113" i="8"/>
  <c r="BN1113" i="8" s="1"/>
  <c r="BM410" i="8"/>
  <c r="BO410" i="8" s="1"/>
  <c r="BN489" i="8"/>
  <c r="BM750" i="8"/>
  <c r="BO750" i="8" s="1"/>
  <c r="BM889" i="8"/>
  <c r="BN889" i="8" s="1"/>
  <c r="BN1016" i="8"/>
  <c r="BM953" i="8"/>
  <c r="BN953" i="8" s="1"/>
  <c r="BN1091" i="8"/>
  <c r="BM1031" i="8"/>
  <c r="BO1031" i="8" s="1"/>
  <c r="BN1249" i="8"/>
  <c r="BM490" i="8"/>
  <c r="BO490" i="8" s="1"/>
  <c r="BM524" i="8"/>
  <c r="BO524" i="8" s="1"/>
  <c r="BM733" i="8"/>
  <c r="BN733" i="8" s="1"/>
  <c r="BM742" i="8"/>
  <c r="BN742" i="8" s="1"/>
  <c r="BM1238" i="8"/>
  <c r="BO1238" i="8" s="1"/>
  <c r="BM1499" i="8"/>
  <c r="BN1499" i="8" s="1"/>
  <c r="BM418" i="8"/>
  <c r="BN418" i="8" s="1"/>
  <c r="BM562" i="8"/>
  <c r="BN562" i="8" s="1"/>
  <c r="BM888" i="8"/>
  <c r="BO888" i="8" s="1"/>
  <c r="BM1074" i="8"/>
  <c r="BN1074" i="8" s="1"/>
  <c r="BM1598" i="8"/>
  <c r="BO1598" i="8" s="1"/>
  <c r="BM316" i="8"/>
  <c r="BN316" i="8" s="1"/>
  <c r="BM1082" i="8"/>
  <c r="BN1082" i="8" s="1"/>
  <c r="BM1254" i="8"/>
  <c r="BN1254" i="8" s="1"/>
  <c r="BN1600" i="8"/>
  <c r="BM821" i="8"/>
  <c r="BO821" i="8" s="1"/>
  <c r="BM487" i="8"/>
  <c r="BN487" i="8" s="1"/>
  <c r="BM851" i="8"/>
  <c r="BO851" i="8" s="1"/>
  <c r="BM1246" i="8"/>
  <c r="BO1246" i="8" s="1"/>
  <c r="BM875" i="8"/>
  <c r="BO875" i="8" s="1"/>
  <c r="BM816" i="8"/>
  <c r="BN816" i="8" s="1"/>
  <c r="BM905" i="8"/>
  <c r="BN905" i="8" s="1"/>
  <c r="BO1529" i="8"/>
  <c r="BM459" i="8"/>
  <c r="BN459" i="8" s="1"/>
  <c r="BN1267" i="8"/>
  <c r="BM1405" i="8"/>
  <c r="BO1405" i="8" s="1"/>
  <c r="BN1470" i="8"/>
  <c r="BO1083" i="8"/>
  <c r="BM1589" i="8"/>
  <c r="BO1589" i="8" s="1"/>
  <c r="BM580" i="8"/>
  <c r="BO580" i="8" s="1"/>
  <c r="BM287" i="8"/>
  <c r="BN287" i="8" s="1"/>
  <c r="BN669" i="8"/>
  <c r="BN1298" i="8"/>
  <c r="BM195" i="8"/>
  <c r="BO195" i="8" s="1"/>
  <c r="BM1570" i="8"/>
  <c r="BN1570" i="8" s="1"/>
  <c r="BM828" i="8"/>
  <c r="BN828" i="8" s="1"/>
  <c r="BO564" i="8"/>
  <c r="BO438" i="8"/>
  <c r="BN1062" i="8"/>
  <c r="BN1431" i="8"/>
  <c r="BO1126" i="8"/>
  <c r="BO525" i="8"/>
  <c r="BN24" i="8"/>
  <c r="BM505" i="8"/>
  <c r="BN505" i="8" s="1"/>
  <c r="BM897" i="8"/>
  <c r="BN897" i="8" s="1"/>
  <c r="BM663" i="8"/>
  <c r="BN663" i="8" s="1"/>
  <c r="BN513" i="8"/>
  <c r="BO513" i="8"/>
  <c r="BM568" i="8"/>
  <c r="BO568" i="8" s="1"/>
  <c r="BO1411" i="8"/>
  <c r="BN661" i="8"/>
  <c r="BM1230" i="8"/>
  <c r="BO1230" i="8" s="1"/>
  <c r="BM378" i="8"/>
  <c r="BO378" i="8" s="1"/>
  <c r="BM1116" i="8"/>
  <c r="BO1116" i="8" s="1"/>
  <c r="BM1055" i="8"/>
  <c r="BO1055" i="8" s="1"/>
  <c r="BM789" i="8"/>
  <c r="BN789" i="8" s="1"/>
  <c r="BM1111" i="8"/>
  <c r="BO1111" i="8" s="1"/>
  <c r="BO1015" i="8"/>
  <c r="BO271" i="8"/>
  <c r="BO150" i="8"/>
  <c r="BN1453" i="8"/>
  <c r="BM1564" i="8"/>
  <c r="BO1564" i="8" s="1"/>
  <c r="BM1413" i="8"/>
  <c r="BN1413" i="8" s="1"/>
  <c r="BO108" i="8"/>
  <c r="BO356" i="8"/>
  <c r="BO582" i="8"/>
  <c r="BO1489" i="8"/>
  <c r="BO1496" i="8"/>
  <c r="BO1187" i="8"/>
  <c r="BN1559" i="8"/>
  <c r="BN96" i="8"/>
  <c r="BO545" i="8"/>
  <c r="BO985" i="8"/>
  <c r="BN1483" i="8"/>
  <c r="BO1081" i="8"/>
  <c r="BO608" i="8"/>
  <c r="BO519" i="8"/>
  <c r="BN519" i="8"/>
  <c r="BM680" i="8"/>
  <c r="BN680" i="8" s="1"/>
  <c r="BM1108" i="8"/>
  <c r="BO1108" i="8" s="1"/>
  <c r="BM1586" i="8"/>
  <c r="BN1586" i="8" s="1"/>
  <c r="BM442" i="8"/>
  <c r="BO442" i="8" s="1"/>
  <c r="BM522" i="8"/>
  <c r="BO522" i="8" s="1"/>
  <c r="BN957" i="8"/>
  <c r="BM1079" i="8"/>
  <c r="BO1079" i="8" s="1"/>
  <c r="BM466" i="8"/>
  <c r="BO466" i="8" s="1"/>
  <c r="BN691" i="8"/>
  <c r="BM762" i="8"/>
  <c r="BO762" i="8" s="1"/>
  <c r="BM757" i="8"/>
  <c r="BO757" i="8" s="1"/>
  <c r="BO907" i="8"/>
  <c r="BM502" i="8"/>
  <c r="BO502" i="8" s="1"/>
  <c r="BM760" i="8"/>
  <c r="BO760" i="8" s="1"/>
  <c r="BM281" i="8"/>
  <c r="BO281" i="8" s="1"/>
  <c r="BM469" i="8"/>
  <c r="BN469" i="8" s="1"/>
  <c r="BM578" i="8"/>
  <c r="BO578" i="8" s="1"/>
  <c r="BM1222" i="8"/>
  <c r="BN1222" i="8" s="1"/>
  <c r="BM741" i="8"/>
  <c r="BO741" i="8" s="1"/>
  <c r="BM1117" i="8"/>
  <c r="BN1117" i="8" s="1"/>
  <c r="BM343" i="8"/>
  <c r="BO343" i="8" s="1"/>
  <c r="BM483" i="8"/>
  <c r="BO483" i="8" s="1"/>
  <c r="BM937" i="8"/>
  <c r="BO937" i="8" s="1"/>
  <c r="BN670" i="8"/>
  <c r="BM128" i="8"/>
  <c r="BN128" i="8" s="1"/>
  <c r="BM119" i="8"/>
  <c r="BN119" i="8" s="1"/>
  <c r="BN890" i="8"/>
  <c r="BN700" i="8"/>
  <c r="BM4" i="8"/>
  <c r="BO4" i="8" s="1"/>
  <c r="BM82" i="8"/>
  <c r="BN82" i="8" s="1"/>
  <c r="BM1412" i="8"/>
  <c r="BO1412" i="8" s="1"/>
  <c r="BN358" i="8"/>
  <c r="BO80" i="8"/>
  <c r="BN739" i="8"/>
  <c r="BN1215" i="8"/>
  <c r="BO1215" i="8"/>
  <c r="BO1524" i="8"/>
  <c r="BN1524" i="8"/>
  <c r="BM141" i="8"/>
  <c r="BO141" i="8" s="1"/>
  <c r="BM1149" i="8"/>
  <c r="BO1149" i="8" s="1"/>
  <c r="BM474" i="8"/>
  <c r="BO474" i="8" s="1"/>
  <c r="BM1060" i="8"/>
  <c r="BN1060" i="8" s="1"/>
  <c r="BM1457" i="8"/>
  <c r="BN1457" i="8" s="1"/>
  <c r="BM961" i="8"/>
  <c r="BN961" i="8" s="1"/>
  <c r="BM707" i="8"/>
  <c r="BN707" i="8" s="1"/>
  <c r="BM351" i="8"/>
  <c r="BO351" i="8" s="1"/>
  <c r="BM576" i="8"/>
  <c r="BO576" i="8" s="1"/>
  <c r="BM1147" i="8"/>
  <c r="BO1147" i="8" s="1"/>
  <c r="BM815" i="8"/>
  <c r="BO815" i="8" s="1"/>
  <c r="BM900" i="8"/>
  <c r="BN900" i="8" s="1"/>
  <c r="BM991" i="8"/>
  <c r="BN991" i="8" s="1"/>
  <c r="BN454" i="8"/>
  <c r="BN1131" i="8"/>
  <c r="BM400" i="8"/>
  <c r="BN400" i="8" s="1"/>
  <c r="BM456" i="8"/>
  <c r="BO456" i="8" s="1"/>
  <c r="BM290" i="8"/>
  <c r="BN290" i="8" s="1"/>
  <c r="BM642" i="8"/>
  <c r="BO642" i="8" s="1"/>
  <c r="BO132" i="8"/>
  <c r="BN405" i="8"/>
  <c r="BN844" i="8"/>
  <c r="BO844" i="8"/>
  <c r="BO1303" i="8"/>
  <c r="BO1460" i="8"/>
  <c r="BO1281" i="8"/>
  <c r="BN1302" i="8"/>
  <c r="BM514" i="8"/>
  <c r="BN514" i="8" s="1"/>
  <c r="BM765" i="8"/>
  <c r="BO765" i="8" s="1"/>
  <c r="BM813" i="8"/>
  <c r="BO813" i="8" s="1"/>
  <c r="BM534" i="8"/>
  <c r="BN534" i="8" s="1"/>
  <c r="BN1491" i="8"/>
  <c r="BM336" i="8"/>
  <c r="BO336" i="8" s="1"/>
  <c r="BO1268" i="8"/>
  <c r="BM156" i="8"/>
  <c r="BO156" i="8" s="1"/>
  <c r="BN817" i="8"/>
  <c r="BN1174" i="8"/>
  <c r="BO1571" i="8"/>
  <c r="BO377" i="8"/>
  <c r="BO668" i="8"/>
  <c r="BN1487" i="8"/>
  <c r="BN619" i="8"/>
  <c r="BO58" i="8"/>
  <c r="BM679" i="8"/>
  <c r="BN679" i="8" s="1"/>
  <c r="BM1058" i="8"/>
  <c r="BN1058" i="8" s="1"/>
  <c r="BM143" i="8"/>
  <c r="BO143" i="8" s="1"/>
  <c r="BM135" i="8"/>
  <c r="BO135" i="8" s="1"/>
  <c r="BM792" i="8"/>
  <c r="BN792" i="8" s="1"/>
  <c r="BM873" i="8"/>
  <c r="BN873" i="8" s="1"/>
  <c r="BM528" i="8"/>
  <c r="BO528" i="8" s="1"/>
  <c r="BM848" i="8"/>
  <c r="BO848" i="8" s="1"/>
  <c r="BM1388" i="8"/>
  <c r="BO1388" i="8" s="1"/>
  <c r="BM615" i="8"/>
  <c r="BN615" i="8" s="1"/>
  <c r="BM758" i="8"/>
  <c r="BO758" i="8" s="1"/>
  <c r="BM1114" i="8"/>
  <c r="BO1114" i="8" s="1"/>
  <c r="BM151" i="8"/>
  <c r="BO151" i="8" s="1"/>
  <c r="BM346" i="8"/>
  <c r="BN346" i="8" s="1"/>
  <c r="BM532" i="8"/>
  <c r="BN532" i="8" s="1"/>
  <c r="BM766" i="8"/>
  <c r="BN766" i="8" s="1"/>
  <c r="BM1597" i="8"/>
  <c r="BO1597" i="8" s="1"/>
  <c r="BM1036" i="8"/>
  <c r="BN1036" i="8" s="1"/>
  <c r="BM1076" i="8"/>
  <c r="BO1076" i="8" s="1"/>
  <c r="BM1158" i="8"/>
  <c r="BN1158" i="8" s="1"/>
  <c r="BM1608" i="8"/>
  <c r="BO1608" i="8" s="1"/>
  <c r="BO1353" i="8"/>
  <c r="BN1494" i="8"/>
  <c r="BM703" i="8"/>
  <c r="BN703" i="8" s="1"/>
  <c r="BN213" i="8"/>
  <c r="BO1504" i="8"/>
  <c r="BN1088" i="8"/>
  <c r="BM1448" i="8"/>
  <c r="BO1448" i="8" s="1"/>
  <c r="BM995" i="8"/>
  <c r="BN995" i="8" s="1"/>
  <c r="BM245" i="8"/>
  <c r="BN245" i="8" s="1"/>
  <c r="BM303" i="8"/>
  <c r="BN303" i="8" s="1"/>
  <c r="BO1216" i="8"/>
  <c r="BN1216" i="8"/>
  <c r="BO1024" i="8"/>
  <c r="BM876" i="8"/>
  <c r="BO876" i="8" s="1"/>
  <c r="BM921" i="8"/>
  <c r="BO921" i="8" s="1"/>
  <c r="BM1585" i="8"/>
  <c r="BO1585" i="8" s="1"/>
  <c r="BO1196" i="8"/>
  <c r="BN1196" i="8"/>
  <c r="BM536" i="8"/>
  <c r="BN536" i="8" s="1"/>
  <c r="BM1143" i="8"/>
  <c r="BO1143" i="8" s="1"/>
  <c r="BM1151" i="8"/>
  <c r="BO1151" i="8" s="1"/>
  <c r="BM74" i="8"/>
  <c r="BN74" i="8" s="1"/>
  <c r="BM117" i="8"/>
  <c r="BO117" i="8" s="1"/>
  <c r="BN1165" i="8"/>
  <c r="BO1165" i="8"/>
  <c r="BM1007" i="8"/>
  <c r="BN1007" i="8" s="1"/>
  <c r="BM853" i="8"/>
  <c r="BO853" i="8" s="1"/>
  <c r="BM293" i="8"/>
  <c r="BO293" i="8" s="1"/>
  <c r="BM860" i="8"/>
  <c r="BO860" i="8" s="1"/>
  <c r="BN203" i="8"/>
  <c r="BO1308" i="8"/>
  <c r="BO512" i="8"/>
  <c r="BO392" i="8"/>
  <c r="BO1336" i="8"/>
  <c r="BO376" i="8"/>
  <c r="BO979" i="8"/>
  <c r="BM137" i="8"/>
  <c r="BO137" i="8" s="1"/>
  <c r="BM932" i="8"/>
  <c r="BO932" i="8" s="1"/>
  <c r="BN572" i="8"/>
  <c r="BM940" i="8"/>
  <c r="BO940" i="8" s="1"/>
  <c r="BM1242" i="8"/>
  <c r="BO1242" i="8" s="1"/>
  <c r="BM948" i="8"/>
  <c r="BO948" i="8" s="1"/>
  <c r="BM530" i="8"/>
  <c r="BO530" i="8" s="1"/>
  <c r="BM1109" i="8"/>
  <c r="BN1109" i="8" s="1"/>
  <c r="BN1263" i="8"/>
  <c r="BM1556" i="8"/>
  <c r="BO1556" i="8" s="1"/>
  <c r="BM402" i="8"/>
  <c r="BN402" i="8" s="1"/>
  <c r="BM672" i="8"/>
  <c r="BO672" i="8" s="1"/>
  <c r="BM892" i="8"/>
  <c r="BO892" i="8" s="1"/>
  <c r="BO1343" i="8"/>
  <c r="BM1602" i="8"/>
  <c r="BN1602" i="8" s="1"/>
  <c r="BN1000" i="8"/>
  <c r="BO1554" i="8"/>
  <c r="BM797" i="8"/>
  <c r="BN797" i="8" s="1"/>
  <c r="BO1204" i="8"/>
  <c r="BN1358" i="8"/>
  <c r="BM1182" i="8"/>
  <c r="BN1182" i="8" s="1"/>
  <c r="BM1447" i="8"/>
  <c r="BO1447" i="8" s="1"/>
  <c r="BO1288" i="8"/>
  <c r="BM286" i="8"/>
  <c r="BN286" i="8" s="1"/>
  <c r="BM352" i="8"/>
  <c r="BN352" i="8" s="1"/>
  <c r="BN212" i="8"/>
  <c r="BO212" i="8"/>
  <c r="BN437" i="8"/>
  <c r="BO437" i="8"/>
  <c r="BN393" i="8"/>
  <c r="BN47" i="8"/>
  <c r="BO47" i="8"/>
  <c r="BN917" i="8"/>
  <c r="BO917" i="8"/>
  <c r="BM826" i="8"/>
  <c r="BN826" i="8" s="1"/>
  <c r="BM881" i="8"/>
  <c r="BO881" i="8" s="1"/>
  <c r="BM338" i="8"/>
  <c r="BN338" i="8" s="1"/>
  <c r="BM870" i="8"/>
  <c r="BO870" i="8" s="1"/>
  <c r="BM37" i="8"/>
  <c r="BN37" i="8" s="1"/>
  <c r="BM1229" i="8"/>
  <c r="BN1229" i="8" s="1"/>
  <c r="BM488" i="8"/>
  <c r="BN488" i="8" s="1"/>
  <c r="BN843" i="8"/>
  <c r="BM916" i="8"/>
  <c r="BO916" i="8" s="1"/>
  <c r="BN880" i="8"/>
  <c r="BN1323" i="8"/>
  <c r="BM967" i="8"/>
  <c r="BO967" i="8" s="1"/>
  <c r="BM1241" i="8"/>
  <c r="BO1241" i="8" s="1"/>
  <c r="BM1503" i="8"/>
  <c r="BO1503" i="8" s="1"/>
  <c r="BM796" i="8"/>
  <c r="BO796" i="8" s="1"/>
  <c r="BO481" i="8"/>
  <c r="BM570" i="8"/>
  <c r="BN570" i="8" s="1"/>
  <c r="BM426" i="8"/>
  <c r="BN426" i="8" s="1"/>
  <c r="BM655" i="8"/>
  <c r="BO655" i="8" s="1"/>
  <c r="BO1359" i="8"/>
  <c r="BO31" i="8"/>
  <c r="BN997" i="8"/>
  <c r="BO987" i="8"/>
  <c r="BO793" i="8"/>
  <c r="BM1604" i="8"/>
  <c r="BN1604" i="8" s="1"/>
  <c r="BM284" i="8"/>
  <c r="BO284" i="8" s="1"/>
  <c r="BM613" i="8"/>
  <c r="BN613" i="8" s="1"/>
  <c r="BM276" i="8"/>
  <c r="BO276" i="8" s="1"/>
  <c r="BM139" i="8"/>
  <c r="BN139" i="8" s="1"/>
  <c r="BM818" i="8"/>
  <c r="BN818" i="8" s="1"/>
  <c r="BN1360" i="8"/>
  <c r="BN1265" i="8"/>
  <c r="BM467" i="8"/>
  <c r="BN467" i="8" s="1"/>
  <c r="BM526" i="8"/>
  <c r="BO526" i="8" s="1"/>
  <c r="BM565" i="8"/>
  <c r="BN565" i="8" s="1"/>
  <c r="BM477" i="8"/>
  <c r="BN477" i="8" s="1"/>
  <c r="BM656" i="8"/>
  <c r="BO656" i="8" s="1"/>
  <c r="BM884" i="8"/>
  <c r="BO884" i="8" s="1"/>
  <c r="BM485" i="8"/>
  <c r="BN485" i="8" s="1"/>
  <c r="BM1034" i="8"/>
  <c r="BO1034" i="8" s="1"/>
  <c r="BM354" i="8"/>
  <c r="BO354" i="8" s="1"/>
  <c r="BM671" i="8"/>
  <c r="BO671" i="8" s="1"/>
  <c r="BM810" i="8"/>
  <c r="BO810" i="8" s="1"/>
  <c r="BM1160" i="8"/>
  <c r="BO1160" i="8" s="1"/>
  <c r="BM768" i="8"/>
  <c r="BN768" i="8" s="1"/>
  <c r="BM734" i="8"/>
  <c r="BO734" i="8" s="1"/>
  <c r="BM877" i="8"/>
  <c r="BN877" i="8" s="1"/>
  <c r="BM1162" i="8"/>
  <c r="BN1162" i="8" s="1"/>
  <c r="BN721" i="8"/>
  <c r="BM773" i="8"/>
  <c r="BO773" i="8" s="1"/>
  <c r="BM1507" i="8"/>
  <c r="BN1507" i="8" s="1"/>
  <c r="BM874" i="8"/>
  <c r="BO874" i="8" s="1"/>
  <c r="BM147" i="8"/>
  <c r="BO147" i="8" s="1"/>
  <c r="BM149" i="8"/>
  <c r="BN149" i="8" s="1"/>
  <c r="BM573" i="8"/>
  <c r="BO573" i="8" s="1"/>
  <c r="BM740" i="8"/>
  <c r="BN740" i="8" s="1"/>
  <c r="BM1498" i="8"/>
  <c r="BO1498" i="8" s="1"/>
  <c r="BM823" i="8"/>
  <c r="BN823" i="8" s="1"/>
  <c r="BM434" i="8"/>
  <c r="BO434" i="8" s="1"/>
  <c r="BM1226" i="8"/>
  <c r="BO1226" i="8" s="1"/>
  <c r="BM830" i="8"/>
  <c r="BN830" i="8" s="1"/>
  <c r="BM54" i="8"/>
  <c r="BN54" i="8" s="1"/>
  <c r="BM611" i="8"/>
  <c r="BN611" i="8" s="1"/>
  <c r="BM159" i="8"/>
  <c r="BO159" i="8" s="1"/>
  <c r="BM1372" i="8"/>
  <c r="BO1372" i="8" s="1"/>
  <c r="BM1517" i="8"/>
  <c r="BN1517" i="8" s="1"/>
  <c r="BM1454" i="8"/>
  <c r="BN1454" i="8" s="1"/>
  <c r="BM447" i="8"/>
  <c r="BN447" i="8" s="1"/>
  <c r="BO1176" i="8"/>
  <c r="BN1176" i="8"/>
  <c r="BO1221" i="8"/>
  <c r="BN798" i="8"/>
  <c r="BN604" i="8"/>
  <c r="BO228" i="8"/>
  <c r="BN1464" i="8"/>
  <c r="BO1068" i="8"/>
  <c r="BN1477" i="8"/>
  <c r="BN1432" i="8"/>
  <c r="BN1095" i="8"/>
  <c r="BN330" i="8"/>
  <c r="BO839" i="8"/>
  <c r="BO1378" i="8"/>
  <c r="BN165" i="8"/>
  <c r="BM157" i="8"/>
  <c r="BO157" i="8" s="1"/>
  <c r="BM598" i="8"/>
  <c r="BN598" i="8" s="1"/>
  <c r="BM1228" i="8"/>
  <c r="BN1228" i="8" s="1"/>
  <c r="BN494" i="8"/>
  <c r="BN1097" i="8"/>
  <c r="BO201" i="8"/>
  <c r="BO1069" i="8"/>
  <c r="BN1025" i="8"/>
  <c r="BO607" i="8"/>
  <c r="BN607" i="8"/>
  <c r="BO982" i="8"/>
  <c r="BN982" i="8"/>
  <c r="BN28" i="8"/>
  <c r="BO28" i="8"/>
  <c r="BO30" i="8"/>
  <c r="BN30" i="8"/>
  <c r="BO17" i="8"/>
  <c r="BN17" i="8"/>
  <c r="BN93" i="8"/>
  <c r="BO93" i="8"/>
  <c r="BN711" i="8"/>
  <c r="BO711" i="8"/>
  <c r="BN72" i="8"/>
  <c r="BO72" i="8"/>
  <c r="BN1202" i="8"/>
  <c r="BO1202" i="8"/>
  <c r="BO1191" i="8"/>
  <c r="BN1191" i="8"/>
  <c r="BN838" i="8"/>
  <c r="BO838" i="8"/>
  <c r="BO1445" i="8"/>
  <c r="BN1445" i="8"/>
  <c r="BN1446" i="8"/>
  <c r="BO1446" i="8"/>
  <c r="BO601" i="8"/>
  <c r="BN601" i="8"/>
  <c r="BO1465" i="8"/>
  <c r="BN1465" i="8"/>
  <c r="BN976" i="8"/>
  <c r="BO976" i="8"/>
  <c r="BO255" i="8"/>
  <c r="BN255" i="8"/>
  <c r="BO981" i="8"/>
  <c r="BN981" i="8"/>
  <c r="BO301" i="8"/>
  <c r="BN301" i="8"/>
  <c r="BO1040" i="8"/>
  <c r="BN1040" i="8"/>
  <c r="BO298" i="8"/>
  <c r="BN298" i="8"/>
  <c r="BO264" i="8"/>
  <c r="BN264" i="8"/>
  <c r="BO42" i="8"/>
  <c r="BN42" i="8"/>
  <c r="BN90" i="8"/>
  <c r="BO90" i="8"/>
  <c r="BN105" i="8"/>
  <c r="BO105" i="8"/>
  <c r="BO449" i="8"/>
  <c r="BN449" i="8"/>
  <c r="BN589" i="8"/>
  <c r="BO589" i="8"/>
  <c r="BO124" i="8"/>
  <c r="BN124" i="8"/>
  <c r="BO205" i="8"/>
  <c r="BN205" i="8"/>
  <c r="BO220" i="8"/>
  <c r="BN220" i="8"/>
  <c r="BN1220" i="8"/>
  <c r="BO1220" i="8"/>
  <c r="BO51" i="8"/>
  <c r="BN51" i="8"/>
  <c r="BO463" i="8"/>
  <c r="BN463" i="8"/>
  <c r="BO647" i="8"/>
  <c r="BN647" i="8"/>
  <c r="BN595" i="8"/>
  <c r="BO595" i="8"/>
  <c r="BO639" i="8"/>
  <c r="BN639" i="8"/>
  <c r="BN974" i="8"/>
  <c r="BO974" i="8"/>
  <c r="BN25" i="8"/>
  <c r="BO25" i="8"/>
  <c r="BN776" i="8"/>
  <c r="BO776" i="8"/>
  <c r="BN975" i="8"/>
  <c r="BO975" i="8"/>
  <c r="BN300" i="8"/>
  <c r="BO300" i="8"/>
  <c r="BN554" i="8"/>
  <c r="BO554" i="8"/>
  <c r="BN785" i="8"/>
  <c r="BO785" i="8"/>
  <c r="BO1188" i="8"/>
  <c r="BN1188" i="8"/>
  <c r="BO44" i="8"/>
  <c r="BN44" i="8"/>
  <c r="BO163" i="8"/>
  <c r="BN163" i="8"/>
  <c r="BO308" i="8"/>
  <c r="BN308" i="8"/>
  <c r="BO556" i="8"/>
  <c r="BN556" i="8"/>
  <c r="BO625" i="8"/>
  <c r="BN625" i="8"/>
  <c r="BO235" i="8"/>
  <c r="BN235" i="8"/>
  <c r="BN229" i="8"/>
  <c r="BO229" i="8"/>
  <c r="BO292" i="8"/>
  <c r="BN292" i="8"/>
  <c r="BO187" i="8"/>
  <c r="BN187" i="8"/>
  <c r="BO57" i="8"/>
  <c r="BN57" i="8"/>
  <c r="BO296" i="8"/>
  <c r="BN296" i="8"/>
  <c r="BO307" i="8"/>
  <c r="BN307" i="8"/>
  <c r="BO799" i="8"/>
  <c r="BN799" i="8"/>
  <c r="BN5" i="8"/>
  <c r="BO5" i="8"/>
  <c r="BN779" i="8"/>
  <c r="BO779" i="8"/>
  <c r="BN318" i="8"/>
  <c r="BO318" i="8"/>
  <c r="BN786" i="8"/>
  <c r="BO786" i="8"/>
  <c r="BN64" i="8"/>
  <c r="BO64" i="8"/>
  <c r="BN774" i="8"/>
  <c r="BO774" i="8"/>
  <c r="BN48" i="8"/>
  <c r="BO48" i="8"/>
  <c r="BN236" i="8"/>
  <c r="BO236" i="8"/>
  <c r="BO727" i="8"/>
  <c r="BN727" i="8"/>
  <c r="BN863" i="8"/>
  <c r="BO863" i="8"/>
  <c r="BO1043" i="8"/>
  <c r="BN1043" i="8"/>
  <c r="BO1278" i="8"/>
  <c r="BN1278" i="8"/>
  <c r="BN180" i="8"/>
  <c r="BO180" i="8"/>
  <c r="BN594" i="8"/>
  <c r="BO594" i="8"/>
  <c r="BO728" i="8"/>
  <c r="BN728" i="8"/>
  <c r="BN864" i="8"/>
  <c r="BO864" i="8"/>
  <c r="BN973" i="8"/>
  <c r="BO973" i="8"/>
  <c r="BN1042" i="8"/>
  <c r="BO1042" i="8"/>
  <c r="BN596" i="8"/>
  <c r="BO596" i="8"/>
  <c r="BN176" i="8"/>
  <c r="BO176" i="8"/>
  <c r="BO724" i="8"/>
  <c r="BN724" i="8"/>
  <c r="BN61" i="8"/>
  <c r="BO61" i="8"/>
  <c r="BO444" i="8"/>
  <c r="BN444" i="8"/>
  <c r="BO591" i="8"/>
  <c r="BN591" i="8"/>
  <c r="BN633" i="8"/>
  <c r="BO633" i="8"/>
  <c r="BO725" i="8"/>
  <c r="BN725" i="8"/>
  <c r="BO445" i="8"/>
  <c r="BN445" i="8"/>
  <c r="BO1039" i="8"/>
  <c r="BN1039" i="8"/>
  <c r="BN237" i="8"/>
  <c r="BO237" i="8"/>
  <c r="BO1581" i="8"/>
  <c r="BN1581" i="8"/>
  <c r="BO168" i="8"/>
  <c r="BN168" i="8"/>
  <c r="BN1046" i="8"/>
  <c r="BO1046" i="8"/>
  <c r="BO1459" i="8"/>
  <c r="BN1459" i="8"/>
  <c r="BN164" i="8"/>
  <c r="BO164" i="8"/>
  <c r="BN60" i="8"/>
  <c r="BO60" i="8"/>
  <c r="BO304" i="8"/>
  <c r="BN304" i="8"/>
  <c r="BN781" i="8"/>
  <c r="BO781" i="8"/>
  <c r="BO775" i="8"/>
  <c r="BN775" i="8"/>
  <c r="BO1044" i="8"/>
  <c r="BN1044" i="8"/>
  <c r="BO170" i="8"/>
  <c r="BN170" i="8"/>
  <c r="BO175" i="8"/>
  <c r="BN175" i="8"/>
  <c r="BO726" i="8"/>
  <c r="BN726" i="8"/>
  <c r="BN178" i="8"/>
  <c r="BO178" i="8"/>
  <c r="BO172" i="8"/>
  <c r="BN172" i="8"/>
  <c r="BN593" i="8"/>
  <c r="BO593" i="8"/>
  <c r="BO627" i="8"/>
  <c r="BN627" i="8"/>
  <c r="BO836" i="8"/>
  <c r="BN836" i="8"/>
  <c r="BO6" i="8"/>
  <c r="BN6" i="8"/>
  <c r="BO169" i="8"/>
  <c r="BN169" i="8"/>
  <c r="BO837" i="8"/>
  <c r="BN837" i="8"/>
  <c r="BO243" i="8"/>
  <c r="BN243" i="8"/>
  <c r="BN231" i="8"/>
  <c r="BO231" i="8"/>
  <c r="BO630" i="8"/>
  <c r="BN630" i="8"/>
  <c r="BN649" i="8"/>
  <c r="BO649" i="8"/>
  <c r="BO1186" i="8"/>
  <c r="BN1186" i="8"/>
  <c r="BO177" i="8"/>
  <c r="BN177" i="8"/>
  <c r="BO778" i="8"/>
  <c r="BN778" i="8"/>
  <c r="BO40" i="8"/>
  <c r="BN40" i="8"/>
  <c r="BO174" i="8"/>
  <c r="BN174" i="8"/>
  <c r="BO1462" i="8"/>
  <c r="BN1462" i="8"/>
  <c r="BO626" i="8"/>
  <c r="BN626" i="8"/>
  <c r="BN784" i="8"/>
  <c r="BO784" i="8"/>
  <c r="BO1451" i="8"/>
  <c r="BN1451" i="8"/>
  <c r="BN628" i="8"/>
  <c r="BO628" i="8"/>
  <c r="BO239" i="8"/>
  <c r="BN239" i="8"/>
  <c r="BN230" i="8"/>
  <c r="BO230" i="8"/>
  <c r="BO629" i="8"/>
  <c r="BN629" i="8"/>
  <c r="BO240" i="8"/>
  <c r="BN240" i="8"/>
  <c r="BO173" i="8"/>
  <c r="BN173" i="8"/>
  <c r="BN232" i="8"/>
  <c r="BO232" i="8"/>
  <c r="BN597" i="8"/>
  <c r="BO597" i="8"/>
  <c r="BN650" i="8"/>
  <c r="BO650" i="8"/>
  <c r="BN632" i="8"/>
  <c r="BO632" i="8"/>
  <c r="BO835" i="8"/>
  <c r="BN835" i="8"/>
  <c r="BN1461" i="8"/>
  <c r="BO1461" i="8"/>
  <c r="BN234" i="8"/>
  <c r="BO234" i="8"/>
  <c r="BO43" i="8"/>
  <c r="BN43" i="8"/>
  <c r="BN592" i="8"/>
  <c r="BO592" i="8"/>
  <c r="BO862" i="8"/>
  <c r="BN862" i="8"/>
  <c r="BN1467" i="8"/>
  <c r="BO1467" i="8"/>
  <c r="BN635" i="8"/>
  <c r="BO635" i="8"/>
  <c r="BN33" i="8"/>
  <c r="BO33" i="8"/>
  <c r="BO288" i="8"/>
  <c r="BN288" i="8"/>
  <c r="BO1264" i="8"/>
  <c r="BN1264" i="8"/>
  <c r="BN648" i="8"/>
  <c r="BO648" i="8"/>
  <c r="BO242" i="8"/>
  <c r="BN242" i="8"/>
  <c r="BO1573" i="8"/>
  <c r="BN1573" i="8"/>
  <c r="BN233" i="8"/>
  <c r="BO233" i="8"/>
  <c r="BO1269" i="8"/>
  <c r="BN1269" i="8"/>
  <c r="BN45" i="8"/>
  <c r="BO45" i="8"/>
  <c r="BO244" i="8"/>
  <c r="BN244" i="8"/>
  <c r="BN634" i="8"/>
  <c r="BO634" i="8"/>
  <c r="BN777" i="8"/>
  <c r="BO777" i="8"/>
  <c r="BO1106" i="8"/>
  <c r="BN1106" i="8"/>
  <c r="BO183" i="8"/>
  <c r="BN183" i="8"/>
  <c r="BN636" i="8"/>
  <c r="BO636" i="8"/>
  <c r="BN787" i="8"/>
  <c r="BO787" i="8"/>
  <c r="BN238" i="8"/>
  <c r="BO238" i="8"/>
  <c r="BN780" i="8"/>
  <c r="BO780" i="8"/>
  <c r="BN1466" i="8"/>
  <c r="BO1466" i="8"/>
  <c r="BO638" i="8"/>
  <c r="BN638" i="8"/>
  <c r="BO1408" i="8"/>
  <c r="BN1408" i="8"/>
  <c r="BO631" i="8"/>
  <c r="BN631" i="8"/>
  <c r="BO1199" i="8"/>
  <c r="BN1199" i="8"/>
  <c r="BN555" i="8"/>
  <c r="BO555" i="8"/>
  <c r="BO18" i="8"/>
  <c r="BN18" i="8"/>
  <c r="BO833" i="8"/>
  <c r="BN833" i="8"/>
  <c r="BN1450" i="8"/>
  <c r="BO1450" i="8"/>
  <c r="BO789" i="8" l="1"/>
  <c r="BN1108" i="8"/>
  <c r="BN821" i="8"/>
  <c r="BN410" i="8"/>
  <c r="BN1250" i="8"/>
  <c r="BN945" i="8"/>
  <c r="BN1143" i="8"/>
  <c r="BN1388" i="8"/>
  <c r="BO1222" i="8"/>
  <c r="BO908" i="8"/>
  <c r="BN888" i="8"/>
  <c r="BN568" i="8"/>
  <c r="BN765" i="8"/>
  <c r="BN956" i="8"/>
  <c r="BO487" i="8"/>
  <c r="BN884" i="8"/>
  <c r="BN1597" i="8"/>
  <c r="BN815" i="8"/>
  <c r="BO1499" i="8"/>
  <c r="BN948" i="8"/>
  <c r="BN1238" i="8"/>
  <c r="BN466" i="8"/>
  <c r="BN351" i="8"/>
  <c r="BN281" i="8"/>
  <c r="BN937" i="8"/>
  <c r="BO1074" i="8"/>
  <c r="BN1585" i="8"/>
  <c r="BN524" i="8"/>
  <c r="BN386" i="8"/>
  <c r="BN875" i="8"/>
  <c r="BN1598" i="8"/>
  <c r="BN135" i="8"/>
  <c r="BO999" i="8"/>
  <c r="BN1522" i="8"/>
  <c r="BN758" i="8"/>
  <c r="BO316" i="8"/>
  <c r="BN750" i="8"/>
  <c r="BO894" i="8"/>
  <c r="BN483" i="8"/>
  <c r="BO703" i="8"/>
  <c r="BO352" i="8"/>
  <c r="BO426" i="8"/>
  <c r="BN1226" i="8"/>
  <c r="BN1160" i="8"/>
  <c r="BN526" i="8"/>
  <c r="BO346" i="8"/>
  <c r="BO532" i="8"/>
  <c r="BO878" i="8"/>
  <c r="BN1031" i="8"/>
  <c r="BO1007" i="8"/>
  <c r="BN1242" i="8"/>
  <c r="BN1447" i="8"/>
  <c r="BN760" i="8"/>
  <c r="BN1079" i="8"/>
  <c r="BN1147" i="8"/>
  <c r="BN141" i="8"/>
  <c r="BN940" i="8"/>
  <c r="BN151" i="8"/>
  <c r="BN1116" i="8"/>
  <c r="BO1004" i="8"/>
  <c r="BO311" i="8"/>
  <c r="BO733" i="8"/>
  <c r="BO830" i="8"/>
  <c r="BN664" i="8"/>
  <c r="BO402" i="8"/>
  <c r="BN881" i="8"/>
  <c r="BN672" i="8"/>
  <c r="BO534" i="8"/>
  <c r="BO680" i="8"/>
  <c r="BO953" i="8"/>
  <c r="BO37" i="8"/>
  <c r="BO792" i="8"/>
  <c r="BN924" i="8"/>
  <c r="BN1055" i="8"/>
  <c r="BN773" i="8"/>
  <c r="BN656" i="8"/>
  <c r="BN580" i="8"/>
  <c r="BN578" i="8"/>
  <c r="BN1564" i="8"/>
  <c r="BO905" i="8"/>
  <c r="BN642" i="8"/>
  <c r="BN522" i="8"/>
  <c r="BO816" i="8"/>
  <c r="BN1151" i="8"/>
  <c r="BO1082" i="8"/>
  <c r="BO505" i="8"/>
  <c r="BN655" i="8"/>
  <c r="BO1182" i="8"/>
  <c r="BN528" i="8"/>
  <c r="BO418" i="8"/>
  <c r="BN502" i="8"/>
  <c r="BO52" i="8"/>
  <c r="BO514" i="8"/>
  <c r="BN343" i="8"/>
  <c r="BN1230" i="8"/>
  <c r="BO1254" i="8"/>
  <c r="BN886" i="8"/>
  <c r="BN490" i="8"/>
  <c r="BN293" i="8"/>
  <c r="BO613" i="8"/>
  <c r="BN1076" i="8"/>
  <c r="BN1114" i="8"/>
  <c r="BN853" i="8"/>
  <c r="BO1507" i="8"/>
  <c r="BN824" i="8"/>
  <c r="BN757" i="8"/>
  <c r="BN762" i="8"/>
  <c r="BN573" i="8"/>
  <c r="BN4" i="8"/>
  <c r="BO477" i="8"/>
  <c r="BO797" i="8"/>
  <c r="BN932" i="8"/>
  <c r="BN913" i="8"/>
  <c r="BN1145" i="8"/>
  <c r="BN741" i="8"/>
  <c r="BO742" i="8"/>
  <c r="BO570" i="8"/>
  <c r="BO1158" i="8"/>
  <c r="BO766" i="8"/>
  <c r="BN456" i="8"/>
  <c r="BO663" i="8"/>
  <c r="BO562" i="8"/>
  <c r="BO1113" i="8"/>
  <c r="BO823" i="8"/>
  <c r="BO1602" i="8"/>
  <c r="BN434" i="8"/>
  <c r="BN1579" i="8"/>
  <c r="BN870" i="8"/>
  <c r="BO929" i="8"/>
  <c r="BN813" i="8"/>
  <c r="BO1109" i="8"/>
  <c r="BO873" i="8"/>
  <c r="BO400" i="8"/>
  <c r="BO897" i="8"/>
  <c r="BN378" i="8"/>
  <c r="BO447" i="8"/>
  <c r="BO615" i="8"/>
  <c r="BN921" i="8"/>
  <c r="BO900" i="8"/>
  <c r="BN284" i="8"/>
  <c r="BO1452" i="8"/>
  <c r="BN916" i="8"/>
  <c r="BN851" i="8"/>
  <c r="BO889" i="8"/>
  <c r="BO1060" i="8"/>
  <c r="BN474" i="8"/>
  <c r="BN1405" i="8"/>
  <c r="BO1058" i="8"/>
  <c r="BO119" i="8"/>
  <c r="BO740" i="8"/>
  <c r="BO1229" i="8"/>
  <c r="BO1036" i="8"/>
  <c r="BN848" i="8"/>
  <c r="BO1392" i="8"/>
  <c r="BN143" i="8"/>
  <c r="BN1556" i="8"/>
  <c r="BN1149" i="8"/>
  <c r="BO338" i="8"/>
  <c r="BO1517" i="8"/>
  <c r="BN147" i="8"/>
  <c r="BO1162" i="8"/>
  <c r="BO286" i="8"/>
  <c r="BN892" i="8"/>
  <c r="BN860" i="8"/>
  <c r="BO536" i="8"/>
  <c r="BN876" i="8"/>
  <c r="BO679" i="8"/>
  <c r="BN576" i="8"/>
  <c r="BO1457" i="8"/>
  <c r="BN1412" i="8"/>
  <c r="BO1117" i="8"/>
  <c r="BO469" i="8"/>
  <c r="BN442" i="8"/>
  <c r="BO459" i="8"/>
  <c r="BO1071" i="8"/>
  <c r="BN1498" i="8"/>
  <c r="BO488" i="8"/>
  <c r="BN117" i="8"/>
  <c r="BN1608" i="8"/>
  <c r="BO290" i="8"/>
  <c r="BO991" i="8"/>
  <c r="BN796" i="8"/>
  <c r="BN1034" i="8"/>
  <c r="BN1372" i="8"/>
  <c r="BN874" i="8"/>
  <c r="BN156" i="8"/>
  <c r="BN276" i="8"/>
  <c r="BO54" i="8"/>
  <c r="BN967" i="8"/>
  <c r="BO1570" i="8"/>
  <c r="BN157" i="8"/>
  <c r="BN159" i="8"/>
  <c r="BO826" i="8"/>
  <c r="BO707" i="8"/>
  <c r="BO1413" i="8"/>
  <c r="BN1111" i="8"/>
  <c r="BN530" i="8"/>
  <c r="BN137" i="8"/>
  <c r="BN734" i="8"/>
  <c r="BO611" i="8"/>
  <c r="BO149" i="8"/>
  <c r="BO245" i="8"/>
  <c r="BO961" i="8"/>
  <c r="BN810" i="8"/>
  <c r="BN1589" i="8"/>
  <c r="BO877" i="8"/>
  <c r="BO485" i="8"/>
  <c r="BO565" i="8"/>
  <c r="BO818" i="8"/>
  <c r="BO995" i="8"/>
  <c r="BN336" i="8"/>
  <c r="BO82" i="8"/>
  <c r="BO128" i="8"/>
  <c r="BO1586" i="8"/>
  <c r="BN195" i="8"/>
  <c r="BN1246" i="8"/>
  <c r="BO543" i="8"/>
  <c r="BN394" i="8"/>
  <c r="BO1454" i="8"/>
  <c r="BO74" i="8"/>
  <c r="BO1604" i="8"/>
  <c r="BO1228" i="8"/>
  <c r="BN671" i="8"/>
  <c r="BO139" i="8"/>
  <c r="BN1503" i="8"/>
  <c r="BN1448" i="8"/>
  <c r="BO598" i="8"/>
  <c r="BO768" i="8"/>
  <c r="BN354" i="8"/>
  <c r="BO467" i="8"/>
  <c r="BN1241" i="8"/>
  <c r="BO303" i="8"/>
  <c r="BO828" i="8"/>
  <c r="BO287" i="8"/>
  <c r="BO29" i="8"/>
  <c r="BN299" i="8"/>
</calcChain>
</file>

<file path=xl/sharedStrings.xml><?xml version="1.0" encoding="utf-8"?>
<sst xmlns="http://schemas.openxmlformats.org/spreadsheetml/2006/main" count="54115" uniqueCount="1075">
  <si>
    <t>author_year</t>
  </si>
  <si>
    <t>publication_title</t>
  </si>
  <si>
    <t>paper_type</t>
  </si>
  <si>
    <t>type_of_climate</t>
  </si>
  <si>
    <t>measurement_name</t>
  </si>
  <si>
    <t>measurement_unit</t>
  </si>
  <si>
    <t>number_of_replicates</t>
  </si>
  <si>
    <t>feedstock</t>
  </si>
  <si>
    <t>temp</t>
  </si>
  <si>
    <t>application_rate</t>
  </si>
  <si>
    <t>fertilizer_app_rate</t>
  </si>
  <si>
    <t>manure_app_rate</t>
  </si>
  <si>
    <t>compost_app_rate</t>
  </si>
  <si>
    <t>soil_texture</t>
  </si>
  <si>
    <t>soil_sample_depth_min</t>
  </si>
  <si>
    <t>soil_sample_depth_max</t>
  </si>
  <si>
    <t>NPK_before_biochar_after_all</t>
  </si>
  <si>
    <t>manure_before_biochar_after_all</t>
  </si>
  <si>
    <t>irrigated_all</t>
  </si>
  <si>
    <t>tillage_all</t>
  </si>
  <si>
    <t>treatment_mean</t>
  </si>
  <si>
    <t>control_mean</t>
  </si>
  <si>
    <t>rr</t>
  </si>
  <si>
    <t>lnrr</t>
  </si>
  <si>
    <t>treatment_n</t>
  </si>
  <si>
    <t>control_n</t>
  </si>
  <si>
    <t>treatment_se</t>
  </si>
  <si>
    <t>control_se</t>
  </si>
  <si>
    <t>treatment_sd</t>
  </si>
  <si>
    <t>control_sd</t>
  </si>
  <si>
    <t>v_from_sd_and_n</t>
  </si>
  <si>
    <t>standard_error</t>
  </si>
  <si>
    <t>significant</t>
  </si>
  <si>
    <t>p_value</t>
  </si>
  <si>
    <t>z_from_p</t>
  </si>
  <si>
    <t>v_from_z_from_p</t>
  </si>
  <si>
    <t>v</t>
  </si>
  <si>
    <t>se</t>
  </si>
  <si>
    <t>ci_lower_limit</t>
  </si>
  <si>
    <t>ci_upper_limit</t>
  </si>
  <si>
    <t>Gao_2020</t>
  </si>
  <si>
    <t>Biochar alters nitrogen and phosphorus dynamics in a western rangeland ecosystem</t>
  </si>
  <si>
    <t>Low</t>
  </si>
  <si>
    <t>Peer reviewed</t>
  </si>
  <si>
    <t>USA</t>
  </si>
  <si>
    <t>Temperate continental</t>
  </si>
  <si>
    <t>NA</t>
  </si>
  <si>
    <t>Total N</t>
  </si>
  <si>
    <t>g/kg</t>
  </si>
  <si>
    <t>No</t>
  </si>
  <si>
    <t>Yes</t>
  </si>
  <si>
    <t>Wood</t>
  </si>
  <si>
    <t>Sandy clay loam</t>
  </si>
  <si>
    <t>Nitrate nitrogen rate</t>
  </si>
  <si>
    <t>Soil mineral nitrogen</t>
  </si>
  <si>
    <t>Nitrification</t>
  </si>
  <si>
    <t>g/kg/h</t>
  </si>
  <si>
    <t>Lan_2018</t>
  </si>
  <si>
    <t>High pyrolysis temperature biochars reduce nitrogen availability and nitrous oxide emissions from an acid soil</t>
  </si>
  <si>
    <t>South East Quensland</t>
  </si>
  <si>
    <t>Australia</t>
  </si>
  <si>
    <t>N uptake</t>
  </si>
  <si>
    <t>mg/pot</t>
  </si>
  <si>
    <t>Pine chips</t>
  </si>
  <si>
    <t>Sandy loam</t>
  </si>
  <si>
    <t>Plant N</t>
  </si>
  <si>
    <t>Biomass</t>
  </si>
  <si>
    <t>Biomass production</t>
  </si>
  <si>
    <t>g/pot</t>
  </si>
  <si>
    <t>Nitrous Oxide emission</t>
  </si>
  <si>
    <t>N2O emission</t>
  </si>
  <si>
    <t>kg/ha</t>
  </si>
  <si>
    <t>Ma_2019</t>
  </si>
  <si>
    <t>Effect of Biochar and Irrigation on Soybean-Rhizobium Symbiotic Performance and Soil Enzymatic Activity in Field Rhizosphere</t>
  </si>
  <si>
    <t>Müncheberg</t>
  </si>
  <si>
    <t>Germany</t>
  </si>
  <si>
    <t>Black cherry</t>
  </si>
  <si>
    <t>450</t>
  </si>
  <si>
    <t>Sandy soil</t>
  </si>
  <si>
    <t>P uptake</t>
  </si>
  <si>
    <t>K uptake</t>
  </si>
  <si>
    <t>Yield</t>
  </si>
  <si>
    <t>Food crop yield</t>
  </si>
  <si>
    <t>t/ha</t>
  </si>
  <si>
    <t>Available P</t>
  </si>
  <si>
    <t>mg/kg</t>
  </si>
  <si>
    <t>Available K</t>
  </si>
  <si>
    <t>cmol/kg</t>
  </si>
  <si>
    <t>Niu_2017</t>
  </si>
  <si>
    <t>Yield-scaled N2O emissions were effectively reduced by biochar amendment of sandy loam soil under maize - wheat rotation in the North China Plain</t>
  </si>
  <si>
    <t>Henan</t>
  </si>
  <si>
    <t>China</t>
  </si>
  <si>
    <t>Semiarid, sub-humid monsoon</t>
  </si>
  <si>
    <t>Maize straw</t>
  </si>
  <si>
    <t>Oladele_2019</t>
  </si>
  <si>
    <t>Effect of biochar amendment on soil enzymatic activities, carboxylate secretions and upland rice performance in a sandy clay loam Alfisol of Southwest Nigeria</t>
  </si>
  <si>
    <t>Akure</t>
  </si>
  <si>
    <t>Nigeria</t>
  </si>
  <si>
    <t>Tropical</t>
  </si>
  <si>
    <t>Available N</t>
  </si>
  <si>
    <t>Rice husks</t>
  </si>
  <si>
    <t>Zhang_2020</t>
  </si>
  <si>
    <t>Biochar addition combined with daily fertigation improves overall soil T quality and enhances water-fertilizer productivity of cucumber in alkaline soils of a semi-arid region</t>
  </si>
  <si>
    <t>Ningxia</t>
  </si>
  <si>
    <t>Semiarid temperate</t>
  </si>
  <si>
    <t>Palm bunches</t>
  </si>
  <si>
    <t>Total P</t>
  </si>
  <si>
    <t>Moreno-Barriga_2017</t>
  </si>
  <si>
    <t>Use of Piptatherum miliaceum for the phytomanagement of biochar amended Technosols derived from pyritic tailings to enhance soil aggregation and reduce metal(loid) mobility</t>
  </si>
  <si>
    <t>Cartagena-La Unión</t>
  </si>
  <si>
    <t>Spain</t>
  </si>
  <si>
    <t>Semiarid Mediterranean</t>
  </si>
  <si>
    <t>Pig manure</t>
  </si>
  <si>
    <t>Niu_2018</t>
  </si>
  <si>
    <t>Effect of biochar and nitrapyrin on nitrous oxide and nitric oxide emissions from a sandy loam soil cropped to maize</t>
  </si>
  <si>
    <t>Solaiman_2020</t>
  </si>
  <si>
    <t>Poultry Litter Biochar Increases Mycorrhizal Colonisation, Soil Fertility and Cucumber Yield in a Fertigation System on Sandy Soil</t>
  </si>
  <si>
    <t>Geraldton</t>
  </si>
  <si>
    <t>Mediterranean</t>
  </si>
  <si>
    <t>P concentration</t>
  </si>
  <si>
    <t>Poultry manure</t>
  </si>
  <si>
    <t>K concentration</t>
  </si>
  <si>
    <t>N concentration</t>
  </si>
  <si>
    <t>Manirakiza_2020</t>
  </si>
  <si>
    <t>Effects of compost and biochar amendments on soil fertility and crop growth in a calcareous soil</t>
  </si>
  <si>
    <t>Konya</t>
  </si>
  <si>
    <t>Turkey</t>
  </si>
  <si>
    <t>Tree residues</t>
  </si>
  <si>
    <t>Speratti_2017</t>
  </si>
  <si>
    <t>Biochar effects on maize growth and soil water retention in a Brazilian Cerrado Arenosol</t>
  </si>
  <si>
    <t xml:space="preserve">Dissertation </t>
  </si>
  <si>
    <t>Mato Grosso</t>
  </si>
  <si>
    <t xml:space="preserve">Brazil </t>
  </si>
  <si>
    <t>Cotton husks</t>
  </si>
  <si>
    <t>Swine manure</t>
  </si>
  <si>
    <t>Sawmill residue</t>
  </si>
  <si>
    <t>Sugarcane filtercake</t>
  </si>
  <si>
    <t>Maize growth as influenced by agricultural waste biochars applied at varying rates in a Cerrado region (Brazil) Arenosol</t>
  </si>
  <si>
    <t>Semi-humid</t>
  </si>
  <si>
    <t>NUE</t>
  </si>
  <si>
    <t>g/mg</t>
  </si>
  <si>
    <t>g</t>
  </si>
  <si>
    <t>Dissolved organic carbon and nitrate in leachate as affected by
biochar derived from agricultural waste materials: the influence of feedstock and pyrolysis temperature</t>
  </si>
  <si>
    <t>mg/L</t>
  </si>
  <si>
    <t>Zhang_2015</t>
  </si>
  <si>
    <t xml:space="preserve"> Annual accounting of net greenhouse gas balance response to biochar addition in a coastal saline bioenergy cropping system in China</t>
  </si>
  <si>
    <t>Jiangsu</t>
  </si>
  <si>
    <t xml:space="preserve">Hardwood </t>
  </si>
  <si>
    <t>Kannan_2020</t>
  </si>
  <si>
    <t>Applying both biochar and phosphobacteria enhances Vigna mungo L. growth and yield in acid soils by increasing soil pH, moisture content, microbial growth and P availability</t>
  </si>
  <si>
    <t>Tamil Nadu</t>
  </si>
  <si>
    <t>India</t>
  </si>
  <si>
    <t>Red gram stalk</t>
  </si>
  <si>
    <t>Australian acacia</t>
  </si>
  <si>
    <t>Drake_2015</t>
  </si>
  <si>
    <t>Biochar application during reforestation alters species present and soil chemistry</t>
  </si>
  <si>
    <t>Milltown</t>
  </si>
  <si>
    <t xml:space="preserve">Australia </t>
  </si>
  <si>
    <t>Blue Gum fines</t>
  </si>
  <si>
    <t>Minimay</t>
  </si>
  <si>
    <t>Nhill</t>
  </si>
  <si>
    <t>Kimetu_2008</t>
  </si>
  <si>
    <t>Reversibility of Soil Productivity Decline with Organic Matter of Differing Quality Alonga Degradation Gradient</t>
  </si>
  <si>
    <t xml:space="preserve">Western Kenya </t>
  </si>
  <si>
    <t>Kenya</t>
  </si>
  <si>
    <t>Eucalyptus saligna trees</t>
  </si>
  <si>
    <t>Novak_2018</t>
  </si>
  <si>
    <t xml:space="preserve">Concentration and Release of Phosphorus and Potassium from Lignocellulosic- and Manure-based Biochars for Fertilizer Reuse </t>
  </si>
  <si>
    <t>South Carolina</t>
  </si>
  <si>
    <t xml:space="preserve">Pine chip </t>
  </si>
  <si>
    <t>Poultry litter</t>
  </si>
  <si>
    <t>Oladele_2018</t>
  </si>
  <si>
    <t>Influence of rice husk biochar and inorganic fertilizer on soil nutrients T availability and rain-fed rice yield in two contrasting soils</t>
  </si>
  <si>
    <t>Rice husk</t>
  </si>
  <si>
    <t>Akungba</t>
  </si>
  <si>
    <t>Shahzad_2018</t>
  </si>
  <si>
    <t>Wheat Productivity and Economic Implications of Biochar and Inorganic Nitrogen Application</t>
  </si>
  <si>
    <t xml:space="preserve">Multan </t>
  </si>
  <si>
    <t>Pakistan</t>
  </si>
  <si>
    <t>Arid climate</t>
  </si>
  <si>
    <t>Green waste</t>
  </si>
  <si>
    <t>Sun_2017</t>
  </si>
  <si>
    <t>Contrasting effects of biochar on N2O emission and N uptake at different N fertilizer levels on a temperate sandy loam</t>
  </si>
  <si>
    <t>Berge</t>
  </si>
  <si>
    <t xml:space="preserve">Germany </t>
  </si>
  <si>
    <t xml:space="preserve">Temperate </t>
  </si>
  <si>
    <t xml:space="preserve">Wood chips </t>
  </si>
  <si>
    <t>Zhou_2020</t>
  </si>
  <si>
    <t xml:space="preserve">Biochar prepared from maize straw and molasses fermentation wastewater: application for soil improvement </t>
  </si>
  <si>
    <t>Beijing</t>
  </si>
  <si>
    <t>Adekiya_2018</t>
  </si>
  <si>
    <t>Biochar and poultry manure effects on soil properties and radish (Raphanus sativus L.) yield</t>
  </si>
  <si>
    <t>Kwara</t>
  </si>
  <si>
    <t>Adekiya_2020</t>
  </si>
  <si>
    <t>Biochar, poultry manure and NPK fertilizer: sole and combine application effects on soil properties and ginger (Zingiber officinale Roscoe) performance in a tropical Alfisol</t>
  </si>
  <si>
    <t xml:space="preserve">Ondo </t>
  </si>
  <si>
    <t>Agbna_2017</t>
  </si>
  <si>
    <t>Effects of deficit irrigation and biochar addition on the growth, yield, and quality of tomato</t>
  </si>
  <si>
    <t>Nanjing</t>
  </si>
  <si>
    <t>Humid subtropical</t>
  </si>
  <si>
    <t>Wheat straw</t>
  </si>
  <si>
    <t>Effect of Biochar on Soil Properties, Soil Loss, and Cocoyam Yield on a Tropical Sandy Loam Alfisol</t>
  </si>
  <si>
    <t>Basri_2013</t>
  </si>
  <si>
    <t>Effects of Mixed Organic and Inorganic Fertilizers Application on Soil Properties and the Growth of Kenaf (Hibiscus cannabinus L.) Cultivated on Bris Soils</t>
  </si>
  <si>
    <t xml:space="preserve">Serdang </t>
  </si>
  <si>
    <t>Malaysia</t>
  </si>
  <si>
    <t>Palm oil bunch</t>
  </si>
  <si>
    <t>Frimpong_2021</t>
  </si>
  <si>
    <t xml:space="preserve">One-time application of biochar influenced crop yield across three cropping cycles on tropical sandy loam soil in Ghana </t>
  </si>
  <si>
    <t>Cape Coast</t>
  </si>
  <si>
    <t>Ghana</t>
  </si>
  <si>
    <t xml:space="preserve">Shoot N </t>
  </si>
  <si>
    <t xml:space="preserve">Corn cob </t>
  </si>
  <si>
    <t xml:space="preserve">Shoot P </t>
  </si>
  <si>
    <t>Shoot K</t>
  </si>
  <si>
    <t>Gonzaga_2019</t>
  </si>
  <si>
    <t>Nitrogen and phosphorus uptake efficiency in Indian mustard cultivated during three growth cycles in a copper contaminated soil treated with biochar</t>
  </si>
  <si>
    <t xml:space="preserve">Northeast Brazil </t>
  </si>
  <si>
    <t xml:space="preserve">Coconut shell </t>
  </si>
  <si>
    <t>Orange bagasse</t>
  </si>
  <si>
    <t>Sewage sludge</t>
  </si>
  <si>
    <t>Li_2019</t>
  </si>
  <si>
    <t xml:space="preserve">Three-Year Field Observation of Biochar-Mediated Changes in Soil Organic Carbon and Microbial Activity </t>
  </si>
  <si>
    <t xml:space="preserve">Subtropical marine </t>
  </si>
  <si>
    <t>Corn straw</t>
  </si>
  <si>
    <t>Liao_2020</t>
  </si>
  <si>
    <t>Four-year continuous residual effects of biochar application to a sandy loam T soil on crop yield and N2O and NO emissions under maize-wheat rotation</t>
  </si>
  <si>
    <t>Subhumid monsoon</t>
  </si>
  <si>
    <t>Manolikaki &amp; Diamadopoulos_2016</t>
  </si>
  <si>
    <t>Ryegrass yield and nutrient status after biochar application in two Mediterranean soils</t>
  </si>
  <si>
    <t>Kallergiana</t>
  </si>
  <si>
    <t>Greece</t>
  </si>
  <si>
    <t xml:space="preserve">Rice husk </t>
  </si>
  <si>
    <t>Grape pomace</t>
  </si>
  <si>
    <t>Palviainen_2018</t>
  </si>
  <si>
    <t xml:space="preserve"> Effects of biochar on carbon and nitrogen fluxes in boreal forest soil</t>
  </si>
  <si>
    <t>University repository</t>
  </si>
  <si>
    <t>Juupajoki</t>
  </si>
  <si>
    <t>Finland</t>
  </si>
  <si>
    <t xml:space="preserve">N Mineralization </t>
  </si>
  <si>
    <t>µg N/g C</t>
  </si>
  <si>
    <t>Coarse sand</t>
  </si>
  <si>
    <t>Persson_2020</t>
  </si>
  <si>
    <t>Impacts of organic soil amendments on forage grass production under different soil conditions</t>
  </si>
  <si>
    <t xml:space="preserve">Saerheim </t>
  </si>
  <si>
    <t>Norway</t>
  </si>
  <si>
    <t>Wood based</t>
  </si>
  <si>
    <t>Adekiya_2019</t>
  </si>
  <si>
    <t>Effects of biochar and poultry manure on soil characteristics and the yield of radish</t>
  </si>
  <si>
    <t xml:space="preserve">Nigeria </t>
  </si>
  <si>
    <t>Calamai_2020</t>
  </si>
  <si>
    <t>Short-Term Effects of Organic Amendments on Soil Properties and Maize (Zea maize L.) Growth</t>
  </si>
  <si>
    <t>Florence</t>
  </si>
  <si>
    <t xml:space="preserve">Italy </t>
  </si>
  <si>
    <t xml:space="preserve">Solid digestate </t>
  </si>
  <si>
    <t xml:space="preserve">N content </t>
  </si>
  <si>
    <t>P content</t>
  </si>
  <si>
    <t xml:space="preserve">K content </t>
  </si>
  <si>
    <t>Sánchez-García_2020</t>
  </si>
  <si>
    <t>N2O emissions during Brassica oleracea cultivation: Interaction of biochar with mineral and organic fertilization</t>
  </si>
  <si>
    <t xml:space="preserve">Murcia </t>
  </si>
  <si>
    <t>Semi-arid Mediterranean</t>
  </si>
  <si>
    <t>g/plant</t>
  </si>
  <si>
    <t xml:space="preserve">Olive tree pruning </t>
  </si>
  <si>
    <t>Zolfi-Bavariani_2016</t>
  </si>
  <si>
    <t>Influence of poultry manure–derived biochars on nutrients bioavailability and chemical properties of a calcareous soil</t>
  </si>
  <si>
    <t xml:space="preserve">Bushehr </t>
  </si>
  <si>
    <t>Iran</t>
  </si>
  <si>
    <t xml:space="preserve">Coarse loamy </t>
  </si>
  <si>
    <t>Agbede &amp; Adekiya_2020</t>
  </si>
  <si>
    <t>Influence of Biochar on Soil Physicochemical Properties, Erosion Potential, and Maize (Zea mays L.) Grain Yield under Sandy Soil Condition</t>
  </si>
  <si>
    <t xml:space="preserve">Sandy soil </t>
  </si>
  <si>
    <t>Alves_2021</t>
  </si>
  <si>
    <t xml:space="preserve">Biochar Amendment Effects on Microstructure Resistance of a Sandy Loam Soil Under Oscillatory Stress </t>
  </si>
  <si>
    <t>Rio Grande do Sul</t>
  </si>
  <si>
    <t>Rice straw</t>
  </si>
  <si>
    <t>439000 mg/dm3</t>
  </si>
  <si>
    <t xml:space="preserve">Soybean </t>
  </si>
  <si>
    <t>691000 mg/dm3</t>
  </si>
  <si>
    <t>Butphu_2020</t>
  </si>
  <si>
    <t>Eucalyptus biochar application enhances Ca uptake of upland rice, soil available P, exchangeable K, yield, and N use efficiency of sugarcane in a crop rotation system</t>
  </si>
  <si>
    <t xml:space="preserve">Khon Kaen </t>
  </si>
  <si>
    <t>Thailand</t>
  </si>
  <si>
    <t>Eucalyptus trees</t>
  </si>
  <si>
    <t>Cayuela_2010</t>
  </si>
  <si>
    <t>Bioenergy by-products as soil amendments? Implications for carbon sequestration and greenhouse gas emissions</t>
  </si>
  <si>
    <t xml:space="preserve">Wageningen </t>
  </si>
  <si>
    <t xml:space="preserve">Netherlands </t>
  </si>
  <si>
    <t>Foster_2016</t>
  </si>
  <si>
    <t>Biochar and manure amendments impact soil nutrients and microbial enzymatic activities in a semi-arid irrigated maize cropping system</t>
  </si>
  <si>
    <t>Fort Collins</t>
  </si>
  <si>
    <t xml:space="preserve">Semi-arid </t>
  </si>
  <si>
    <t xml:space="preserve">Pine wood </t>
  </si>
  <si>
    <t>Futa_2020</t>
  </si>
  <si>
    <t>Effect of Natural Aging of Biochar on Soil Enzymatic Activity and Physicochemical Properties in Long-Term Field Experiment</t>
  </si>
  <si>
    <t>Bezek</t>
  </si>
  <si>
    <t>Poland</t>
  </si>
  <si>
    <t>Loamy sand</t>
  </si>
  <si>
    <t>Effects of long-term biochar and biochar-based fertilizer application on brown earth soil bacterial communities</t>
  </si>
  <si>
    <t>Liaoning</t>
  </si>
  <si>
    <t xml:space="preserve">Corn stalk </t>
  </si>
  <si>
    <t>Total K</t>
  </si>
  <si>
    <t>Houben_2013</t>
  </si>
  <si>
    <t>Beneficial effects of biochar application to contaminated soils on the bioavailability of Cd, Pb and Zn and the biomass production of rapeseed (Brassica napus L.)</t>
  </si>
  <si>
    <t>Namur</t>
  </si>
  <si>
    <t>Belgium</t>
  </si>
  <si>
    <t>Miscanthus straw</t>
  </si>
  <si>
    <t>Shoot P</t>
  </si>
  <si>
    <t>Liu_2019</t>
  </si>
  <si>
    <t xml:space="preserve">Impact of biochar amendment on the abundance and structure of diazotrophic community in an alkaline soil </t>
  </si>
  <si>
    <t>Anhui</t>
  </si>
  <si>
    <t>Temperate</t>
  </si>
  <si>
    <t>Singh Mavi_2018</t>
  </si>
  <si>
    <t>Interactive effects of rice-residue biochar and N-fertilizer on soil functions and crop biomass in contrasting soils</t>
  </si>
  <si>
    <t>Ludhiana</t>
  </si>
  <si>
    <t>Sub-tropical &amp; semi-arid</t>
  </si>
  <si>
    <t xml:space="preserve">Available N </t>
  </si>
  <si>
    <t xml:space="preserve">Available P </t>
  </si>
  <si>
    <t>Mokarram-Kashtiban_2019</t>
  </si>
  <si>
    <t xml:space="preserve">Biochar improves the morphological, physiological and biochemical properties of white willow seedlings in heavy metal-contaminated soil </t>
  </si>
  <si>
    <t>Mazandaran</t>
  </si>
  <si>
    <t>Hornbeam biomass</t>
  </si>
  <si>
    <t>Sun_2020</t>
  </si>
  <si>
    <t>Effects of Soft Rock and Biochar Applications on Millet (Setaria italica L.) Crop Performance in Sandy Soil</t>
  </si>
  <si>
    <t>Shaanxi</t>
  </si>
  <si>
    <t>Temperate monsoon</t>
  </si>
  <si>
    <t xml:space="preserve">Crop straw </t>
  </si>
  <si>
    <t>Xie_2013</t>
  </si>
  <si>
    <t xml:space="preserve">Impact of biochar application on nitrogen nutrition of rice, greenhouse-gas emissions and soil organic carbon dynamics in two paddy soils of China </t>
  </si>
  <si>
    <t>Xiaoji</t>
  </si>
  <si>
    <t>Xu_2015</t>
  </si>
  <si>
    <t xml:space="preserve">
Effect of biochar amendment on yield and photosynthesis of peanut on two types of soils</t>
  </si>
  <si>
    <t>Sunshine coas</t>
  </si>
  <si>
    <t xml:space="preserve">Peanut shell </t>
  </si>
  <si>
    <t>Akolgo_2020</t>
  </si>
  <si>
    <t>Biochar as a Soil Amendment Tool: Effects on Soil Properties and Yield of Maize and Cabbage in Brong-Ahafo Region, Ghana</t>
  </si>
  <si>
    <t xml:space="preserve">Ahafo </t>
  </si>
  <si>
    <t xml:space="preserve">Topical Savanna </t>
  </si>
  <si>
    <t>Sawdust</t>
  </si>
  <si>
    <t>Diatta_2016</t>
  </si>
  <si>
    <t>Effects of Biochar Application on soil Fertility and Pearl Millet (Pennisetum glaucum L.) Yield</t>
  </si>
  <si>
    <t>Master thesis</t>
  </si>
  <si>
    <t xml:space="preserve">Virginia </t>
  </si>
  <si>
    <t xml:space="preserve">Temperate humid </t>
  </si>
  <si>
    <t>Available Ammonium</t>
  </si>
  <si>
    <t>µg/cm2</t>
  </si>
  <si>
    <t>Available Nitrate nitrogen</t>
  </si>
  <si>
    <t xml:space="preserve">Fatick </t>
  </si>
  <si>
    <t>Senegal</t>
  </si>
  <si>
    <t>Sahelo Sudanian &amp; coastal</t>
  </si>
  <si>
    <t>Eucalyptus wood</t>
  </si>
  <si>
    <t>Thammasom_2016</t>
  </si>
  <si>
    <t>Biochar and rice straw have different effects on soil productivity, greenhouse gas emission and carbon sequestration in Northeast Thailand paddy soil</t>
  </si>
  <si>
    <t xml:space="preserve">Thailand </t>
  </si>
  <si>
    <t>Benefits of organic manure combined with biochar amendments to cotton root growth and yield under continuous cropping systems
in Xinjiang, China</t>
  </si>
  <si>
    <t>Xinjiang</t>
  </si>
  <si>
    <t>Cotton straw</t>
  </si>
  <si>
    <t xml:space="preserve">Total K </t>
  </si>
  <si>
    <t>Shar_2021</t>
  </si>
  <si>
    <t>Contrasting effects of maize straw, coal fly ash and their biochars on nutrient mineralization, enzyme activities and CO2 emissions sandy loess soil</t>
  </si>
  <si>
    <t>Agbede_2020</t>
  </si>
  <si>
    <t>Effects of biochar and poultry manure on soil properties, growth, quality, and yield of cocoyam (Xanthosoma sagittifolium Schott) in degraded tropical sandy soil</t>
  </si>
  <si>
    <t xml:space="preserve">
Effect of sewage sludge and sugarcane bagasse biochar on soil properties and sugar beet production</t>
  </si>
  <si>
    <t>Montes Claros</t>
  </si>
  <si>
    <t>Tropical dry</t>
  </si>
  <si>
    <t>Sewage sludge &amp; sugarcane bagasse</t>
  </si>
  <si>
    <t>Buecker_2016</t>
  </si>
  <si>
    <t>Leachate Composition of Temperate Agricultural Soils in Response to Biochar Application</t>
  </si>
  <si>
    <t>Eschenau</t>
  </si>
  <si>
    <t>Austria</t>
  </si>
  <si>
    <t>Wood pruning</t>
  </si>
  <si>
    <t>Dissolved P</t>
  </si>
  <si>
    <t>Dissolved K</t>
  </si>
  <si>
    <t>Gonzaga_2021</t>
  </si>
  <si>
    <t>Nitrogen and phosphorus availability in the rhizosphere of maize plants cultivated in biochar amended soil</t>
  </si>
  <si>
    <t>g N /plant</t>
  </si>
  <si>
    <t>PUE</t>
  </si>
  <si>
    <t>g P /plant</t>
  </si>
  <si>
    <t>Long-term effects of biochar addition and straw return on N2O fluxes and the related functional gene abundances under wheat-maize rotation system in the North China Plain</t>
  </si>
  <si>
    <t xml:space="preserve">Shandong </t>
  </si>
  <si>
    <t>Temperate continental monsoon</t>
  </si>
  <si>
    <t>Nitrous oxide emission</t>
  </si>
  <si>
    <t>Mensah_2018</t>
  </si>
  <si>
    <t>Biochar and/or Compost Applications Improve Soil Properties, Growth, and Yield of Maize Grown in Acidic Rainforest and Coastal Savannah Soils in Ghana</t>
  </si>
  <si>
    <t>Cape coast</t>
  </si>
  <si>
    <t>Corncobs</t>
  </si>
  <si>
    <t>Aiyinase</t>
  </si>
  <si>
    <t>Moradi_2019</t>
  </si>
  <si>
    <t>Soil nutrients status affected by simple and enriched biochar application under salinity conditions</t>
  </si>
  <si>
    <t xml:space="preserve">Grape pruning </t>
  </si>
  <si>
    <t>Sarma_2017</t>
  </si>
  <si>
    <t>Organic amendments: Effect on carbon mineralization and crop productivity in acidic soil</t>
  </si>
  <si>
    <t xml:space="preserve">Assam </t>
  </si>
  <si>
    <t xml:space="preserve">India </t>
  </si>
  <si>
    <t>μmol/g/ha</t>
  </si>
  <si>
    <t>Tammeorg_2014</t>
  </si>
  <si>
    <t>Biochar application to a fertile sandy clay loam in boreal conditions: effects on soil properties and yield formation of wheat, turnip rape and faba bean</t>
  </si>
  <si>
    <t>Helsinki</t>
  </si>
  <si>
    <t>Boreal climate</t>
  </si>
  <si>
    <t>g/m3</t>
  </si>
  <si>
    <t xml:space="preserve">Available K </t>
  </si>
  <si>
    <t>Thers_2020</t>
  </si>
  <si>
    <t>Nitrous oxide emissions from oilseed rape cultivation were unaffected by flash pyrolysis biochar of different type, rate and field ageing</t>
  </si>
  <si>
    <t>Jutland</t>
  </si>
  <si>
    <t>Denmark</t>
  </si>
  <si>
    <t>Manure</t>
  </si>
  <si>
    <t>Zhang_2013</t>
  </si>
  <si>
    <t xml:space="preserve">
Impact of biochar on nitrate accumulation in an alkaline soil</t>
  </si>
  <si>
    <t>Impact of biochar on nitrate accumulation in an alkaline soil</t>
  </si>
  <si>
    <t>Zheng_2017</t>
  </si>
  <si>
    <t>Biochar compound fertilizer increases nitrogen productivity and economic benefits but decreases carbon emission of maize production</t>
  </si>
  <si>
    <t>Semi humid temperate continental</t>
  </si>
  <si>
    <t>Wisnubroto_2015</t>
  </si>
  <si>
    <t>Investigation on the effect of biochar addition and the use of pasture species with different rooting systems on soil fertility and carbon storage</t>
  </si>
  <si>
    <t>Horowhenua</t>
  </si>
  <si>
    <t>New Zealand</t>
  </si>
  <si>
    <t>Biosolid</t>
  </si>
  <si>
    <t>Biosolid and green waste</t>
  </si>
  <si>
    <t>mg/g</t>
  </si>
  <si>
    <t>μg/mL</t>
  </si>
  <si>
    <t xml:space="preserve">
Effects of biochar and poultry manure on soil properties, growth, yield and quality of cocoyam (Xanthosoma sagittifolium Schott) grown in sandy soil</t>
  </si>
  <si>
    <t>Ondo</t>
  </si>
  <si>
    <t>%</t>
  </si>
  <si>
    <t>Angst_2013</t>
  </si>
  <si>
    <t xml:space="preserve">
Biochar Diminishes Nitrous Oxide and Nitrate Leaching from Diverse Nutrient Sources</t>
  </si>
  <si>
    <t>Edinburgh</t>
  </si>
  <si>
    <t>Scotland</t>
  </si>
  <si>
    <t>Sycamore tree</t>
  </si>
  <si>
    <t>66 mg</t>
  </si>
  <si>
    <t>Biochar Diminishes Nitrous Oxide and Nitrate Leaching from Diverse Nutrient Sources</t>
  </si>
  <si>
    <t>Ndor_2015</t>
  </si>
  <si>
    <t>Effect of Biochar Soil Amendment on Soil Properties and Yield of Sesame Varieties in Lafia, Nigeria</t>
  </si>
  <si>
    <t>Lafia</t>
  </si>
  <si>
    <t>Chen_2018</t>
  </si>
  <si>
    <t>Biochar amendment changes temperature sensitivity of soil respiration and composition of microbial communities 3 years after incorporation in an organic carbon-poor dry cropland soil</t>
  </si>
  <si>
    <t>Shandong</t>
  </si>
  <si>
    <t>Semi-humid temperate</t>
  </si>
  <si>
    <t>Jing_2019</t>
  </si>
  <si>
    <t>Potentially hazardous element accumulation in rice tissues and their availability in soil systems after biochar amendments</t>
  </si>
  <si>
    <t xml:space="preserve">Hunan </t>
  </si>
  <si>
    <t>Gao_2017</t>
  </si>
  <si>
    <t xml:space="preserve">
Soil biochemical properties and crop productivity following application of locally produced biochar at organic farms on Waldron Island, WA</t>
  </si>
  <si>
    <t>Waldron Island</t>
  </si>
  <si>
    <t>Dennis_2013</t>
  </si>
  <si>
    <t>Evaluating the agronomic benefits of biochar amended soils in an organic system: Results from a field study at the UBC Farm, Vancouver.</t>
  </si>
  <si>
    <t>Grey literature</t>
  </si>
  <si>
    <t>Vancouver</t>
  </si>
  <si>
    <t>Canada</t>
  </si>
  <si>
    <t>Coastal temperate</t>
  </si>
  <si>
    <t>Softwood</t>
  </si>
  <si>
    <t>Biochar provided limited benefits for rice yield and greenhouse gas mitigation six years following an amendment in a fertile rice paddy</t>
  </si>
  <si>
    <t>Sichuan</t>
  </si>
  <si>
    <t>Kannan_2021</t>
  </si>
  <si>
    <t>Short-term effects of biochar on soil properties and wheat yield formation with meat bone meal and inorganic fertiliser on a boreal loamy sand</t>
  </si>
  <si>
    <t xml:space="preserve">Finland </t>
  </si>
  <si>
    <t>Kalu_2021</t>
  </si>
  <si>
    <t xml:space="preserve">
Effects of two wood-based biochars on the fate of added fertilizer nitrogen—a 15N tracing study</t>
  </si>
  <si>
    <t>Southwestern Finland</t>
  </si>
  <si>
    <t>μg/L</t>
  </si>
  <si>
    <t>Effects of two wood-based biochars on the fate of added fertilizer nitrogen—a 15N tracing study</t>
  </si>
  <si>
    <t>μg/pot</t>
  </si>
  <si>
    <t>Azeem_2019</t>
  </si>
  <si>
    <t xml:space="preserve">Biochar improves soil quality and N2-fixation and reduces net ecosystem CO2 exchange in a dryland legume-cereal cropping system
 </t>
  </si>
  <si>
    <t>Rawalpindi</t>
  </si>
  <si>
    <t>Subtropical continental</t>
  </si>
  <si>
    <t>Bagasse</t>
  </si>
  <si>
    <t>Shoot N</t>
  </si>
  <si>
    <t>Fatima_2021</t>
  </si>
  <si>
    <t>Higher biochar rate strongly reduced decomposition of soil organic matter to enhance C and N sequestration in nutrient-poor alkaline calcareous soil</t>
  </si>
  <si>
    <t>Faisalabad</t>
  </si>
  <si>
    <t>Subtropical monsoon</t>
  </si>
  <si>
    <t>Song_2020</t>
  </si>
  <si>
    <t>Combined biochar and nitrogen fertilizer change soil enzyme and microbial activities in a 2-year field trial</t>
  </si>
  <si>
    <t>Warm temperate, sub-humid monsoon</t>
  </si>
  <si>
    <t>soil_dry_weight</t>
  </si>
  <si>
    <t>soil_bulk_density</t>
  </si>
  <si>
    <t>pot_volume</t>
  </si>
  <si>
    <t>pot_dimensions</t>
  </si>
  <si>
    <t>2.5% w/w</t>
  </si>
  <si>
    <t>3 kg</t>
  </si>
  <si>
    <t>1.4 g/cm3</t>
  </si>
  <si>
    <t>15/22 cm</t>
  </si>
  <si>
    <t>mg/m2</t>
  </si>
  <si>
    <t>µg/g</t>
  </si>
  <si>
    <t>1.63 g/cm3</t>
  </si>
  <si>
    <t>1.42 g/cm3</t>
  </si>
  <si>
    <t>2 kg</t>
  </si>
  <si>
    <t>2200 cm3</t>
  </si>
  <si>
    <t>µg/kg</t>
  </si>
  <si>
    <t>1% w/w</t>
  </si>
  <si>
    <t>2 litre</t>
  </si>
  <si>
    <t>2% w/w</t>
  </si>
  <si>
    <t>4% w/w</t>
  </si>
  <si>
    <t>8 kg</t>
  </si>
  <si>
    <t>9 litre</t>
  </si>
  <si>
    <t>24.5/30//22.7</t>
  </si>
  <si>
    <t>1.28 g/cm3</t>
  </si>
  <si>
    <t>1.39 g/cm3</t>
  </si>
  <si>
    <t>1.06 g/cm3</t>
  </si>
  <si>
    <t>1.5 g/cm3</t>
  </si>
  <si>
    <t>10 / 16 cm</t>
  </si>
  <si>
    <t>1.20 g/cm3</t>
  </si>
  <si>
    <t>kg/kg</t>
  </si>
  <si>
    <t>Mg/ha</t>
  </si>
  <si>
    <t>3% w/w</t>
  </si>
  <si>
    <t>5% w/w</t>
  </si>
  <si>
    <t>10% w/w</t>
  </si>
  <si>
    <t>1.49 Mg/m3</t>
  </si>
  <si>
    <t>1.30 g/cm3</t>
  </si>
  <si>
    <t>1.57 Mg/m3</t>
  </si>
  <si>
    <t>20 kg</t>
  </si>
  <si>
    <t>35 / 35</t>
  </si>
  <si>
    <t>ppm</t>
  </si>
  <si>
    <t>3.5 kg</t>
  </si>
  <si>
    <t>5 litre</t>
  </si>
  <si>
    <t>1.41 g/cm3</t>
  </si>
  <si>
    <t>800 g</t>
  </si>
  <si>
    <t>12.5 / 10.5</t>
  </si>
  <si>
    <t>5000 cm3</t>
  </si>
  <si>
    <t>20 cm</t>
  </si>
  <si>
    <t>1.09 g/cm3</t>
  </si>
  <si>
    <t>mmol/kg</t>
  </si>
  <si>
    <t>400 g</t>
  </si>
  <si>
    <t>1.58 Mg/m3</t>
  </si>
  <si>
    <t>500 g</t>
  </si>
  <si>
    <t>1.62 Mg/m3</t>
  </si>
  <si>
    <t>0.0015 m3</t>
  </si>
  <si>
    <t>1 litre</t>
  </si>
  <si>
    <t>1.3 g/cm3</t>
  </si>
  <si>
    <t>2400 g</t>
  </si>
  <si>
    <t xml:space="preserve">16 /22 </t>
  </si>
  <si>
    <t>0.018 m3</t>
  </si>
  <si>
    <t>0.284 / 0.284</t>
  </si>
  <si>
    <t>1.37 g/cm3</t>
  </si>
  <si>
    <t>2,5 % w/w</t>
  </si>
  <si>
    <t>10 / 20 cm</t>
  </si>
  <si>
    <t>5 % w/w</t>
  </si>
  <si>
    <t>kg/hm2</t>
  </si>
  <si>
    <t>5.4 kg</t>
  </si>
  <si>
    <t>1.2 g/cm3</t>
  </si>
  <si>
    <t>200/150/250</t>
  </si>
  <si>
    <t>kg/m2</t>
  </si>
  <si>
    <t>kg/m3</t>
  </si>
  <si>
    <t>10 kg</t>
  </si>
  <si>
    <t xml:space="preserve">30 /30 </t>
  </si>
  <si>
    <t>meq/100g</t>
  </si>
  <si>
    <t>1.45 g/cm3</t>
  </si>
  <si>
    <t>2,5% v/v</t>
  </si>
  <si>
    <t>4 dm3</t>
  </si>
  <si>
    <t>5% v/v</t>
  </si>
  <si>
    <t>7,5% v/v</t>
  </si>
  <si>
    <t>10% v/v</t>
  </si>
  <si>
    <t>17.3 litre</t>
  </si>
  <si>
    <t>0.235 / 0.4</t>
  </si>
  <si>
    <t>30 litre</t>
  </si>
  <si>
    <t>29.5/17.5/50</t>
  </si>
  <si>
    <t>1.51 g/cm3</t>
  </si>
  <si>
    <t>10.34 kg</t>
  </si>
  <si>
    <t>1.1 g/cm3</t>
  </si>
  <si>
    <t>9.4 m3</t>
  </si>
  <si>
    <t>1.1 Mg/m3</t>
  </si>
  <si>
    <t>1.23 g/cm3</t>
  </si>
  <si>
    <t>1.44 g/cm3</t>
  </si>
  <si>
    <t>g/ha</t>
  </si>
  <si>
    <t>1.52 g/cm3</t>
  </si>
  <si>
    <t>6.2 kg</t>
  </si>
  <si>
    <t>1.17 g/cm3</t>
  </si>
  <si>
    <t>15 / 30</t>
  </si>
  <si>
    <t>11 / 35 cm</t>
  </si>
  <si>
    <t>1.68 g/ cm3</t>
  </si>
  <si>
    <t>1.56 g/cm3</t>
  </si>
  <si>
    <t>1.27 g/cm3</t>
  </si>
  <si>
    <t>0.95 g/cm3</t>
  </si>
  <si>
    <t>1.39 Mg/m3</t>
  </si>
  <si>
    <t>1.11 g/cm3</t>
  </si>
  <si>
    <t>100 g</t>
  </si>
  <si>
    <t>9 / 6 cm</t>
  </si>
  <si>
    <t>1.46 g/cm3</t>
  </si>
  <si>
    <t>1000 g</t>
  </si>
  <si>
    <t>1.6 M/m3</t>
  </si>
  <si>
    <t>1.5 litre</t>
  </si>
  <si>
    <t>3 / 10 cm</t>
  </si>
  <si>
    <t>Effect of sewage sludge and sugarcane bagasse biochar on soil properties and sugar beet production</t>
  </si>
  <si>
    <t>continent</t>
  </si>
  <si>
    <t>North America</t>
  </si>
  <si>
    <t>Oceania</t>
  </si>
  <si>
    <t>Europe</t>
  </si>
  <si>
    <t>Asia</t>
  </si>
  <si>
    <t>Africa</t>
  </si>
  <si>
    <t>South America</t>
  </si>
  <si>
    <t xml:space="preserve">Oceania </t>
  </si>
  <si>
    <t xml:space="preserve">North America </t>
  </si>
  <si>
    <t>measurement_n</t>
  </si>
  <si>
    <t>experiment_cond</t>
  </si>
  <si>
    <t>Field</t>
  </si>
  <si>
    <t>Lab</t>
  </si>
  <si>
    <t>Greenhouse</t>
  </si>
  <si>
    <t>duration_exp</t>
  </si>
  <si>
    <t>C_content</t>
  </si>
  <si>
    <t>temp_group</t>
  </si>
  <si>
    <t>applic_rate_inpercentage</t>
  </si>
  <si>
    <t>Medium</t>
  </si>
  <si>
    <t>High</t>
  </si>
  <si>
    <t>388</t>
  </si>
  <si>
    <t>fertilizer_app</t>
  </si>
  <si>
    <t>manure_app</t>
  </si>
  <si>
    <t>compost_app</t>
  </si>
  <si>
    <t>Nystrom_2015</t>
  </si>
  <si>
    <t>BIOCHAR EFFECT ON SOIL PHYSICAL AND CHEMICAL PROPERTIES AND BERMUDAGRASS GROWTH</t>
  </si>
  <si>
    <t>Texas</t>
  </si>
  <si>
    <t>Sorghum</t>
  </si>
  <si>
    <t>1.59 g/cm3</t>
  </si>
  <si>
    <t>14.9 / 66</t>
  </si>
  <si>
    <t xml:space="preserve"> No</t>
  </si>
  <si>
    <t>Potential CEC</t>
  </si>
  <si>
    <t>Soil ammonium</t>
  </si>
  <si>
    <t>Soil ammonium concentration</t>
  </si>
  <si>
    <t xml:space="preserve">Soil ammonium </t>
  </si>
  <si>
    <t>Exchangeable ammonium</t>
  </si>
  <si>
    <t>µg N/g C/d</t>
  </si>
  <si>
    <t>Ammonification rate</t>
  </si>
  <si>
    <t>Extractable ammonium</t>
  </si>
  <si>
    <t xml:space="preserve">Soil ammonium content </t>
  </si>
  <si>
    <t xml:space="preserve">Soil Nitric Nitrogen </t>
  </si>
  <si>
    <t xml:space="preserve">Exchangeable K </t>
  </si>
  <si>
    <t>Extractable P concentration</t>
  </si>
  <si>
    <t>Extractable K concentration</t>
  </si>
  <si>
    <t>Available P content</t>
  </si>
  <si>
    <t>Effects of biochar and poultry manure on soil properties, growth, yield and quality of cocoyam (Xanthosoma sagittifolium Schott) grown in sandy soil</t>
  </si>
  <si>
    <t>Leached Nitrate nitrogen</t>
  </si>
  <si>
    <t xml:space="preserve">Leached Nitrate nitrogen </t>
  </si>
  <si>
    <t xml:space="preserve">Leached Ammonium </t>
  </si>
  <si>
    <t>PO43–P leaching</t>
  </si>
  <si>
    <t>Leached Ammonium</t>
  </si>
  <si>
    <t>Cumulative Ammonium leaching</t>
  </si>
  <si>
    <t>Cumulative Nitrate nitrogen leaching</t>
  </si>
  <si>
    <t>4.4*4.4 m2</t>
  </si>
  <si>
    <t>g/kg/s</t>
  </si>
  <si>
    <t>Soil Nitrate nitrogen</t>
  </si>
  <si>
    <t xml:space="preserve">Soil Nitrate nitrogen </t>
  </si>
  <si>
    <t>g N/kg C</t>
  </si>
  <si>
    <t>g N/kg C/d</t>
  </si>
  <si>
    <t>Plant nutrient level</t>
  </si>
  <si>
    <t>Nutrient use efficiency</t>
  </si>
  <si>
    <t>Soil NPK availability</t>
  </si>
  <si>
    <t>Soil total NPK</t>
  </si>
  <si>
    <t>Plant P content</t>
  </si>
  <si>
    <t xml:space="preserve">Plant K content </t>
  </si>
  <si>
    <t>P_measurement_method</t>
  </si>
  <si>
    <t>Mehlich 3 extraction</t>
  </si>
  <si>
    <t>Bray 1 method</t>
  </si>
  <si>
    <t>Sodium bicarbonate method</t>
  </si>
  <si>
    <t>Bray and Kurtz No. 1 method (Olsen)</t>
  </si>
  <si>
    <t>Mehlich-1 extraction method</t>
  </si>
  <si>
    <t xml:space="preserve"> Bray-1 extraction</t>
  </si>
  <si>
    <t xml:space="preserve">Bray and Kurtz procedure </t>
  </si>
  <si>
    <t>Olsen P extraction method</t>
  </si>
  <si>
    <t>Mehlich-1 solution</t>
  </si>
  <si>
    <t>Bray II extraction</t>
  </si>
  <si>
    <t>Sodium bicarbonate</t>
  </si>
  <si>
    <t xml:space="preserve"> Mehlich 3 extraction</t>
  </si>
  <si>
    <t>Effect of biochar amendment on yield and photosynthesis of peanut on two types of soils</t>
  </si>
  <si>
    <t>Bray 1 acid method</t>
  </si>
  <si>
    <t>Acetic  acid  extraction</t>
  </si>
  <si>
    <t>0.05-mol L−1 HCl and 0.025-mol L−1 (1/2 H2SO4) solutions and measured by spectrophotometer</t>
  </si>
  <si>
    <t>Soil biochemical properties and crop productivity following application of locally produced biochar at organic farms on Waldron Island, WA</t>
  </si>
  <si>
    <t>Biologically based P (BBP) method</t>
  </si>
  <si>
    <t xml:space="preserve"> Bray and Kurtz No. 1 method</t>
  </si>
  <si>
    <t>Effective CEC</t>
  </si>
  <si>
    <t>Strong acid extration</t>
  </si>
  <si>
    <t xml:space="preserve">1% citric acid </t>
  </si>
  <si>
    <t>ammonium lactate</t>
  </si>
  <si>
    <t xml:space="preserve"> perchloric acid digestion</t>
  </si>
  <si>
    <t>Acid ammonium acetate</t>
  </si>
  <si>
    <t>Soil_pH</t>
  </si>
  <si>
    <t>Biochar_pH</t>
  </si>
  <si>
    <t>6.7</t>
  </si>
  <si>
    <t>0</t>
  </si>
  <si>
    <t>5.5</t>
  </si>
  <si>
    <t>10.1</t>
  </si>
  <si>
    <t>4.7</t>
  </si>
  <si>
    <t>6.5</t>
  </si>
  <si>
    <t>7.1</t>
  </si>
  <si>
    <t>7.62</t>
  </si>
  <si>
    <t>5.6</t>
  </si>
  <si>
    <t>10</t>
  </si>
  <si>
    <t>9.9</t>
  </si>
  <si>
    <t>6.9</t>
  </si>
  <si>
    <t>8.1</t>
  </si>
  <si>
    <t>7.8</t>
  </si>
  <si>
    <t>6.18</t>
  </si>
  <si>
    <t>8.2</t>
  </si>
  <si>
    <t>9.6</t>
  </si>
  <si>
    <t>5.65</t>
  </si>
  <si>
    <t>9.05</t>
  </si>
  <si>
    <t>9.3</t>
  </si>
  <si>
    <t>6.57</t>
  </si>
  <si>
    <t>10.24</t>
  </si>
  <si>
    <t>10.04</t>
  </si>
  <si>
    <t>8.34</t>
  </si>
  <si>
    <t>7.25</t>
  </si>
  <si>
    <t>5.72</t>
  </si>
  <si>
    <t>9.34</t>
  </si>
  <si>
    <t>5.93</t>
  </si>
  <si>
    <t>4.8</t>
  </si>
  <si>
    <t>10.4</t>
  </si>
  <si>
    <t>9.4</t>
  </si>
  <si>
    <t>8.7</t>
  </si>
  <si>
    <t>9.2</t>
  </si>
  <si>
    <t>5.61</t>
  </si>
  <si>
    <t>7.56</t>
  </si>
  <si>
    <t>5</t>
  </si>
  <si>
    <t>7.98</t>
  </si>
  <si>
    <t>7</t>
  </si>
  <si>
    <t>8.3</t>
  </si>
  <si>
    <t>5.3</t>
  </si>
  <si>
    <t>7.6</t>
  </si>
  <si>
    <t>6.6</t>
  </si>
  <si>
    <t>10.8</t>
  </si>
  <si>
    <t>6.85</t>
  </si>
  <si>
    <t>8.05</t>
  </si>
  <si>
    <t>6.21</t>
  </si>
  <si>
    <t>5.8</t>
  </si>
  <si>
    <t>8.25</t>
  </si>
  <si>
    <t>6.68</t>
  </si>
  <si>
    <t>8.07</t>
  </si>
  <si>
    <t>7.63</t>
  </si>
  <si>
    <t>6</t>
  </si>
  <si>
    <t>5.69</t>
  </si>
  <si>
    <t>7.12</t>
  </si>
  <si>
    <t>10.3</t>
  </si>
  <si>
    <t>8.17</t>
  </si>
  <si>
    <t>10.62</t>
  </si>
  <si>
    <t>5.4</t>
  </si>
  <si>
    <t>Dissolved organic carbon and nitrate in leachate as affected by biochar derived from agricultural waste materials: the influence of feedstock and pyrolysis temperature</t>
  </si>
  <si>
    <t>4.9</t>
  </si>
  <si>
    <t>6.26</t>
  </si>
  <si>
    <t>8.41</t>
  </si>
  <si>
    <t>10.02</t>
  </si>
  <si>
    <t>7.61</t>
  </si>
  <si>
    <t>5.98</t>
  </si>
  <si>
    <t>8.12</t>
  </si>
  <si>
    <t>8.85</t>
  </si>
  <si>
    <t>5.38</t>
  </si>
  <si>
    <t>6.41</t>
  </si>
  <si>
    <t>10.2</t>
  </si>
  <si>
    <t>3.7</t>
  </si>
  <si>
    <t>8.77</t>
  </si>
  <si>
    <t>8.68</t>
  </si>
  <si>
    <t>8.95</t>
  </si>
  <si>
    <t>7.7</t>
  </si>
  <si>
    <t>6.27</t>
  </si>
  <si>
    <t>9.31</t>
  </si>
  <si>
    <t>3.14</t>
  </si>
  <si>
    <t>7.4</t>
  </si>
  <si>
    <t>10.5</t>
  </si>
  <si>
    <t>6.10</t>
  </si>
  <si>
    <t>8.63</t>
  </si>
  <si>
    <t>3.8</t>
  </si>
  <si>
    <t>6.88</t>
  </si>
  <si>
    <t>8.15</t>
  </si>
  <si>
    <t>8.45</t>
  </si>
  <si>
    <t>8.48</t>
  </si>
  <si>
    <t>8.02</t>
  </si>
  <si>
    <t>7.15</t>
  </si>
  <si>
    <t>10.07</t>
  </si>
  <si>
    <t>10.12</t>
  </si>
  <si>
    <t>4.3</t>
  </si>
  <si>
    <t>7.9</t>
  </si>
  <si>
    <t>7.20</t>
  </si>
  <si>
    <t>7.30</t>
  </si>
  <si>
    <t>9.98</t>
  </si>
  <si>
    <t>4.90</t>
  </si>
  <si>
    <t>4.65</t>
  </si>
  <si>
    <t>8.50</t>
  </si>
  <si>
    <t>7.3</t>
  </si>
  <si>
    <t>8.6</t>
  </si>
  <si>
    <t>9.7</t>
  </si>
  <si>
    <t>8.9</t>
  </si>
  <si>
    <t>8.8</t>
  </si>
  <si>
    <t>8.4</t>
  </si>
  <si>
    <t>11.1</t>
  </si>
  <si>
    <t>4.64</t>
  </si>
  <si>
    <t>10.6</t>
  </si>
  <si>
    <t>6.3</t>
  </si>
  <si>
    <t>9.1</t>
  </si>
  <si>
    <t>9</t>
  </si>
  <si>
    <t>6.01</t>
  </si>
  <si>
    <t>5.7</t>
  </si>
  <si>
    <t>6.75</t>
  </si>
  <si>
    <t>7.5</t>
  </si>
  <si>
    <t>7.05</t>
  </si>
  <si>
    <t>9.52</t>
  </si>
  <si>
    <t>2.82</t>
  </si>
  <si>
    <t>10.52</t>
  </si>
  <si>
    <t>8.81</t>
  </si>
  <si>
    <t>P_measured_original</t>
  </si>
  <si>
    <t xml:space="preserve">Acetic acid  </t>
  </si>
  <si>
    <t>Acid NH4 acetate</t>
  </si>
  <si>
    <t>Biologically based P</t>
  </si>
  <si>
    <t>Bray 1</t>
  </si>
  <si>
    <t>Mehlich 3</t>
  </si>
  <si>
    <t xml:space="preserve">Mehlich 1 </t>
  </si>
  <si>
    <t xml:space="preserve">Olsen P </t>
  </si>
  <si>
    <t>Strong acid</t>
  </si>
  <si>
    <t>Montana</t>
  </si>
  <si>
    <t>region</t>
  </si>
  <si>
    <t>46.5</t>
  </si>
  <si>
    <t>117</t>
  </si>
  <si>
    <t>234</t>
  </si>
  <si>
    <t>225</t>
  </si>
  <si>
    <t>0.18</t>
  </si>
  <si>
    <t>Mineral N leaching</t>
  </si>
  <si>
    <t>47.0202° N</t>
  </si>
  <si>
    <t xml:space="preserve"> 113.1331° W</t>
  </si>
  <si>
    <t>27°43'28" S</t>
  </si>
  <si>
    <t xml:space="preserve"> 153°1'15" E</t>
  </si>
  <si>
    <t>52.516074◦ N</t>
  </si>
  <si>
    <t xml:space="preserve"> 14.114823◦ E</t>
  </si>
  <si>
    <t>35°00ʹN</t>
  </si>
  <si>
    <t xml:space="preserve"> 114°24ʹE</t>
  </si>
  <si>
    <t>38.4712° N</t>
  </si>
  <si>
    <t xml:space="preserve"> 106.2587° E</t>
  </si>
  <si>
    <t>37°35′38′′ N</t>
  </si>
  <si>
    <t xml:space="preserve"> 0°53′11′′ W</t>
  </si>
  <si>
    <t>35°00′ N</t>
  </si>
  <si>
    <t xml:space="preserve"> 114°24′ E </t>
  </si>
  <si>
    <t>29◦19′ N</t>
  </si>
  <si>
    <t xml:space="preserve">  115◦44′ E </t>
  </si>
  <si>
    <t>37.72 N</t>
  </si>
  <si>
    <t xml:space="preserve"> 33.55 E </t>
  </si>
  <si>
    <t>15°13'55.2"S</t>
  </si>
  <si>
    <t xml:space="preserve"> 54°57'43</t>
  </si>
  <si>
    <t>33° 190 N</t>
  </si>
  <si>
    <t xml:space="preserve"> 120° 450 E</t>
  </si>
  <si>
    <t>10.16 ◦N</t>
  </si>
  <si>
    <t xml:space="preserve"> 78.78 ◦E</t>
  </si>
  <si>
    <t>36.691 S</t>
  </si>
  <si>
    <t xml:space="preserve"> 141.27 E</t>
  </si>
  <si>
    <t>36.26 S</t>
  </si>
  <si>
    <t xml:space="preserve"> 141.56 E</t>
  </si>
  <si>
    <t>33.8361° N</t>
  </si>
  <si>
    <t xml:space="preserve"> 81.1637° W</t>
  </si>
  <si>
    <t>7°20 N</t>
  </si>
  <si>
    <t xml:space="preserve"> 5°30E</t>
  </si>
  <si>
    <t>7°28 N</t>
  </si>
  <si>
    <t xml:space="preserve"> 5°44E</t>
  </si>
  <si>
    <t>30°16 ́N</t>
  </si>
  <si>
    <t xml:space="preserve"> 71°30 ́E</t>
  </si>
  <si>
    <t>52°63′N</t>
  </si>
  <si>
    <t xml:space="preserve"> 12°80′E</t>
  </si>
  <si>
    <t>39.9042° N</t>
  </si>
  <si>
    <t xml:space="preserve"> 116.4074° E</t>
  </si>
  <si>
    <t>8° 9ʹN</t>
  </si>
  <si>
    <t xml:space="preserve"> 5° 61ʹE</t>
  </si>
  <si>
    <t xml:space="preserve">7°12`N </t>
  </si>
  <si>
    <t xml:space="preserve"> 5°32`E</t>
  </si>
  <si>
    <t>31°57′N</t>
  </si>
  <si>
    <t xml:space="preserve"> 118°50′E</t>
  </si>
  <si>
    <t xml:space="preserve"> 7°12′N</t>
  </si>
  <si>
    <t xml:space="preserve"> 5°35′E</t>
  </si>
  <si>
    <t>2° 58’54” N</t>
  </si>
  <si>
    <t xml:space="preserve"> 101° 42’51” E </t>
  </si>
  <si>
    <t>5°070 54.200 N</t>
  </si>
  <si>
    <t xml:space="preserve"> 1°170 41.700 W</t>
  </si>
  <si>
    <t>32°35' N</t>
  </si>
  <si>
    <t xml:space="preserve"> 119°42' E</t>
  </si>
  <si>
    <t xml:space="preserve"> 114°24′ E</t>
  </si>
  <si>
    <t>35°29′21.01′′N</t>
  </si>
  <si>
    <t xml:space="preserve"> 23°40′24.23′′E</t>
  </si>
  <si>
    <t>61° 48 ́ N</t>
  </si>
  <si>
    <t xml:space="preserve"> 24° 18' E</t>
  </si>
  <si>
    <t>58°46′N</t>
  </si>
  <si>
    <t xml:space="preserve"> 5°39′E</t>
  </si>
  <si>
    <t>51°57’ N</t>
  </si>
  <si>
    <t xml:space="preserve"> 20°9’ E</t>
  </si>
  <si>
    <t>8° 9′N</t>
  </si>
  <si>
    <t xml:space="preserve"> 5° 61′E</t>
  </si>
  <si>
    <t>43◦47’07"N</t>
  </si>
  <si>
    <t xml:space="preserve"> 11◦13’07"W</t>
  </si>
  <si>
    <t>38 ̊01′15′′N</t>
  </si>
  <si>
    <t xml:space="preserve"> 1 ̊09′56′′W</t>
  </si>
  <si>
    <t>29 ̊16′N</t>
  </si>
  <si>
    <t xml:space="preserve"> 51 ̊31′E</t>
  </si>
  <si>
    <t>7°12ʹN</t>
  </si>
  <si>
    <t xml:space="preserve"> 5°35ʹE</t>
  </si>
  <si>
    <t>29.3646° S</t>
  </si>
  <si>
    <t xml:space="preserve"> 51.6658° W</t>
  </si>
  <si>
    <t>16.210982 N</t>
  </si>
  <si>
    <t xml:space="preserve"> 102.815315 E</t>
  </si>
  <si>
    <t>511590 N</t>
  </si>
  <si>
    <t xml:space="preserve"> 51390 E </t>
  </si>
  <si>
    <t>40.59° N</t>
  </si>
  <si>
    <t xml:space="preserve"> 105.14° W</t>
  </si>
  <si>
    <t>51 19 N</t>
  </si>
  <si>
    <t xml:space="preserve"> 23 25 E</t>
  </si>
  <si>
    <t>40◦ 48′ N</t>
  </si>
  <si>
    <t xml:space="preserve"> 123◦ 33′ E</t>
  </si>
  <si>
    <t>50°30'03''N</t>
  </si>
  <si>
    <t xml:space="preserve"> 5°02'56''E</t>
  </si>
  <si>
    <t>34°04′N</t>
  </si>
  <si>
    <t xml:space="preserve"> 116°93′E</t>
  </si>
  <si>
    <t>30°56′ N</t>
  </si>
  <si>
    <t xml:space="preserve"> 75° 52′ E</t>
  </si>
  <si>
    <t>36.3994° N</t>
  </si>
  <si>
    <t xml:space="preserve"> 52.1912° E</t>
  </si>
  <si>
    <t>38◦19′49”N</t>
  </si>
  <si>
    <t xml:space="preserve"> 109◦42′42”E</t>
  </si>
  <si>
    <t>119°42′E</t>
  </si>
  <si>
    <t xml:space="preserve"> 32°35′N</t>
  </si>
  <si>
    <t>26.72° S</t>
  </si>
  <si>
    <t xml:space="preserve"> 153.08° E</t>
  </si>
  <si>
    <t>7.3349°̊N</t>
  </si>
  <si>
    <t xml:space="preserve"> 2.3113°W</t>
  </si>
  <si>
    <t>37°11'47.3"N</t>
  </si>
  <si>
    <t xml:space="preserve"> 80°34'49.7"W</t>
  </si>
  <si>
    <t>14°21′29″N</t>
  </si>
  <si>
    <t xml:space="preserve"> 16°35′08W</t>
  </si>
  <si>
    <t>16°32' 48.08''N</t>
  </si>
  <si>
    <t xml:space="preserve"> 102° 51' 15.10''E</t>
  </si>
  <si>
    <t>86 °00′E</t>
  </si>
  <si>
    <t xml:space="preserve"> 44 °33′N</t>
  </si>
  <si>
    <t>34.2649° N</t>
  </si>
  <si>
    <t xml:space="preserve"> 108.9542° E</t>
  </si>
  <si>
    <t>7°12'N</t>
  </si>
  <si>
    <t xml:space="preserve"> 5°35'E</t>
  </si>
  <si>
    <t>16°54′ 14.99′′ S</t>
  </si>
  <si>
    <t xml:space="preserve"> 43° 57′ 41.28′′</t>
  </si>
  <si>
    <t>47.5162° N</t>
  </si>
  <si>
    <t xml:space="preserve"> 14.5501° E</t>
  </si>
  <si>
    <t>36°58′N</t>
  </si>
  <si>
    <t xml:space="preserve"> 117°59′E</t>
  </si>
  <si>
    <t>5.1315° N</t>
  </si>
  <si>
    <t xml:space="preserve"> 1.2795° W</t>
  </si>
  <si>
    <t>5.0474° N</t>
  </si>
  <si>
    <t xml:space="preserve"> 2.4728° W</t>
  </si>
  <si>
    <t>35.7219° N</t>
  </si>
  <si>
    <t xml:space="preserve"> 51.3347° E</t>
  </si>
  <si>
    <t>26°14'N</t>
  </si>
  <si>
    <t xml:space="preserve"> 94°50' E</t>
  </si>
  <si>
    <t>55°28′25′′N</t>
  </si>
  <si>
    <t xml:space="preserve"> 9°06′20′′E</t>
  </si>
  <si>
    <t>36°57' N</t>
  </si>
  <si>
    <t xml:space="preserve"> 117°58' E</t>
  </si>
  <si>
    <t>35° 09'N</t>
  </si>
  <si>
    <t xml:space="preserve"> 113° 51'E</t>
  </si>
  <si>
    <t>33° 40'S</t>
  </si>
  <si>
    <t xml:space="preserve"> 12° 175'E</t>
  </si>
  <si>
    <t xml:space="preserve">  5°35ʹE</t>
  </si>
  <si>
    <t>55.9533° N</t>
  </si>
  <si>
    <t xml:space="preserve"> 3.1883° W</t>
  </si>
  <si>
    <t>08.33 N</t>
  </si>
  <si>
    <t xml:space="preserve"> 08.32 E</t>
  </si>
  <si>
    <t>36° 10′ N</t>
  </si>
  <si>
    <t xml:space="preserve"> 117° 09′ E</t>
  </si>
  <si>
    <t>28° 26′ N</t>
  </si>
  <si>
    <t xml:space="preserve"> 113° 3′ E</t>
  </si>
  <si>
    <t>48.7005° N</t>
  </si>
  <si>
    <t xml:space="preserve"> 123.0281° W</t>
  </si>
  <si>
    <t>49.2827° N</t>
  </si>
  <si>
    <t xml:space="preserve"> 123.1207° W</t>
  </si>
  <si>
    <t>10.16°N</t>
  </si>
  <si>
    <t xml:space="preserve"> 78.78°E</t>
  </si>
  <si>
    <t>61°00′18.5′′N</t>
  </si>
  <si>
    <t xml:space="preserve"> 22°46′01.7′′E</t>
  </si>
  <si>
    <t>33.5651° N</t>
  </si>
  <si>
    <t xml:space="preserve"> 73.0169° E</t>
  </si>
  <si>
    <t>31.4329° N</t>
  </si>
  <si>
    <t xml:space="preserve"> 73.0671° E</t>
  </si>
  <si>
    <t>34° 47' 02''N</t>
  </si>
  <si>
    <t xml:space="preserve"> 113° 39' 25''E</t>
  </si>
  <si>
    <t>31.9686° N</t>
  </si>
  <si>
    <t xml:space="preserve"> 99.9018° W</t>
  </si>
  <si>
    <t>7°20′N</t>
  </si>
  <si>
    <t xml:space="preserve"> 5°30′E</t>
  </si>
  <si>
    <t>34°94'23'' E</t>
  </si>
  <si>
    <t xml:space="preserve"> 00°13'44'' N</t>
  </si>
  <si>
    <t>10° 55ʹ 46”S</t>
  </si>
  <si>
    <t xml:space="preserve"> 37° 06ʹ 13”N</t>
  </si>
  <si>
    <t xml:space="preserve"> 37° 06’ 13” W</t>
  </si>
  <si>
    <t>10° 55’ 46” S</t>
  </si>
  <si>
    <t xml:space="preserve">60° 13.43’N </t>
  </si>
  <si>
    <t>25° 1.67′ E</t>
  </si>
  <si>
    <t>60° 13.43’N</t>
  </si>
  <si>
    <t>31°03′ N</t>
  </si>
  <si>
    <t>104°10′ E</t>
  </si>
  <si>
    <t xml:space="preserve">60°13′42′′ N </t>
  </si>
  <si>
    <t>25°2′34′′ E</t>
  </si>
  <si>
    <t xml:space="preserve">Loamy soil </t>
  </si>
  <si>
    <t>control</t>
  </si>
  <si>
    <t>Control no amendment</t>
  </si>
  <si>
    <t>Control with fertilizer &amp; manure</t>
  </si>
  <si>
    <t>Control with fertilizer</t>
  </si>
  <si>
    <t>Control with manure</t>
  </si>
  <si>
    <t>Control with fertilizer &amp; compost</t>
  </si>
  <si>
    <t>Control with compost</t>
  </si>
  <si>
    <t>biochar</t>
  </si>
  <si>
    <t>Biochar with fertilizer &amp; manure</t>
  </si>
  <si>
    <t>Biochar alone</t>
  </si>
  <si>
    <t>Biochar with fertilizer &amp; compost</t>
  </si>
  <si>
    <t>Biochar with fertilizer</t>
  </si>
  <si>
    <t>Biochar with manure</t>
  </si>
  <si>
    <t>Biochar with compost</t>
  </si>
  <si>
    <t>Average_precipitation</t>
  </si>
  <si>
    <t>Annual_temperature</t>
  </si>
  <si>
    <t>Column descriptions</t>
  </si>
  <si>
    <t xml:space="preserve">author_year - First name of the first author of the article and the year of publication </t>
  </si>
  <si>
    <t xml:space="preserve">publication_title - the title of the article </t>
  </si>
  <si>
    <t>paper_type - the type of articles, if it is published in peer-reviewed journals or gray literature such as: protocols, dissertations, university repositories and master theses</t>
  </si>
  <si>
    <t xml:space="preserve">country </t>
  </si>
  <si>
    <t>region - it is the name of the district, village, or city in which the experiment was conducted</t>
  </si>
  <si>
    <t xml:space="preserve">country - the name of the country where the experiment was conducted </t>
  </si>
  <si>
    <t xml:space="preserve">continent - the name of the continent where the experiment was conducted </t>
  </si>
  <si>
    <t xml:space="preserve">type of climate - the long term pattern of climate in the experimental region or country </t>
  </si>
  <si>
    <t>annual temperature - the approximate average/mean of the maximum and minimum temperatures of the hottest and the coldest months of the year in the experimental region or country .</t>
  </si>
  <si>
    <t xml:space="preserve">annual precipitation - the sum of rainfall and the assumed water equivalent of snowfall for a given year in the experimental region or country </t>
  </si>
  <si>
    <t>Latitude</t>
  </si>
  <si>
    <t>Longitude</t>
  </si>
  <si>
    <t xml:space="preserve">Latitude - the latitude of the experimental region/village/ city </t>
  </si>
  <si>
    <t xml:space="preserve">Longitude - the longitude of the experimental region/village/city </t>
  </si>
  <si>
    <t xml:space="preserve">P measurement method - Phosphorus measurment method used in the lab experiments </t>
  </si>
  <si>
    <t>measurement name - the name of the measurements related to the nutrient cycle and the interest of this study</t>
  </si>
  <si>
    <t xml:space="preserve">measurement_n - the name of grouped measurements related to nutrient cycle </t>
  </si>
  <si>
    <t xml:space="preserve">measurement unit - the unit of measurement </t>
  </si>
  <si>
    <t>measurement_unit_converted</t>
  </si>
  <si>
    <t xml:space="preserve">measurement unit converted - the unit of measurements are converted based on the grouped measurements </t>
  </si>
  <si>
    <t xml:space="preserve">number_of_replicates - the number of replicates for both control and treatment </t>
  </si>
  <si>
    <t>experiment_cond - experimental condition on which the experiment was based</t>
  </si>
  <si>
    <t xml:space="preserve">duration_exp - the duration of the experiment </t>
  </si>
  <si>
    <t xml:space="preserve">feedstock - the type of feedstock used for biochar </t>
  </si>
  <si>
    <t xml:space="preserve">temp - pyrolysis temperature used for biochar production </t>
  </si>
  <si>
    <t xml:space="preserve">temp_group - grouped pyrolysis temperature based on the level of temperature: "high", "medium", "low </t>
  </si>
  <si>
    <t xml:space="preserve">C_content - Cabron content of the biochar </t>
  </si>
  <si>
    <t xml:space="preserve">application_rate - application rate of biochar during the experiment </t>
  </si>
  <si>
    <t>applic_rate_inpercentage - biochar application rate in percentage</t>
  </si>
  <si>
    <t xml:space="preserve">fertilizer_app - if fertilizer is applied with biochar or not </t>
  </si>
  <si>
    <t xml:space="preserve">fertilizer_app_rate -the rate of fertilizer application with biochar  </t>
  </si>
  <si>
    <t xml:space="preserve">manure_app - if manure is applied with biochar or not </t>
  </si>
  <si>
    <t xml:space="preserve">manure_app_rate -the rate of manure application with biochar  </t>
  </si>
  <si>
    <t xml:space="preserve">compost_app - if compost is applied with biochar or not </t>
  </si>
  <si>
    <t xml:space="preserve">compost_app_rate -the rate of compost application with biochar  </t>
  </si>
  <si>
    <t xml:space="preserve">Biochar_pH - the pH level of the biochar </t>
  </si>
  <si>
    <t xml:space="preserve">Soil_pH - the pH level of the soil </t>
  </si>
  <si>
    <t>soil texture - texture of soil categorized based on USDA categorization</t>
  </si>
  <si>
    <t xml:space="preserve">soil_sample_depth_min - minimum depth of the soil used for the experiment </t>
  </si>
  <si>
    <t xml:space="preserve">soil_sample_depth_max - maximum depth of the soil used for the experiment </t>
  </si>
  <si>
    <t xml:space="preserve">soil_dry_weight - dry weight of the soil used in the experiment </t>
  </si>
  <si>
    <t xml:space="preserve">soil_bulk_density - soil bulk density </t>
  </si>
  <si>
    <t xml:space="preserve">pot_volume - volume of the pot used in the experiments </t>
  </si>
  <si>
    <t xml:space="preserve">pot_dimensions - dimesions of the pot </t>
  </si>
  <si>
    <t xml:space="preserve">NPK_before_biochar_after_all - NPK fertilizer applied before and after the experiment for both control and treatment </t>
  </si>
  <si>
    <t xml:space="preserve">manure_before_biochar_after_all - manure - manure applied before and after the experiment for both control and treatment </t>
  </si>
  <si>
    <t xml:space="preserve">irrigated_all - application of irrigation before and after the experiment for both control and treatment </t>
  </si>
  <si>
    <t xml:space="preserve">tillage_all - tillage application before and after the experiment for both control and treatment </t>
  </si>
  <si>
    <t xml:space="preserve">control - type of control </t>
  </si>
  <si>
    <t xml:space="preserve">biochar - type of treatment </t>
  </si>
  <si>
    <t xml:space="preserve">treatment_mean - mean value of the treatment </t>
  </si>
  <si>
    <t xml:space="preserve">control_mean - mean value of the control </t>
  </si>
  <si>
    <t>rr - response ratio (treatment over control)</t>
  </si>
  <si>
    <t xml:space="preserve">lnrr - transformation of response ratio to log value </t>
  </si>
  <si>
    <t xml:space="preserve">treatment_n - sample size of treatment </t>
  </si>
  <si>
    <t xml:space="preserve">control_n - sample size of control </t>
  </si>
  <si>
    <t xml:space="preserve">treatment_se - standard error of mean value of treatment </t>
  </si>
  <si>
    <t xml:space="preserve">control_se - standard error of mean value of control </t>
  </si>
  <si>
    <t xml:space="preserve">treatment_sd - standard deviation of mean value of treatment </t>
  </si>
  <si>
    <t xml:space="preserve">control_sd - standard deviation of mean value of control </t>
  </si>
  <si>
    <t xml:space="preserve">v_from_sd_and_n - variance calculated based on standard deviation and sample size </t>
  </si>
  <si>
    <t>standard_error - standard error calculated based on the variance</t>
  </si>
  <si>
    <t xml:space="preserve">p_value -  statistical p (probability) value given in the paper </t>
  </si>
  <si>
    <t xml:space="preserve">z_from_p - z value calculated based on p value </t>
  </si>
  <si>
    <t>v_from_z_from_p - variance calculated based on z value which is based on p value</t>
  </si>
  <si>
    <t xml:space="preserve">v - variance based on v_from_sd_and_n and in case it is not given then it is based on v_from_z_from_p </t>
  </si>
  <si>
    <t xml:space="preserve">se - standard error based on variance </t>
  </si>
  <si>
    <t xml:space="preserve">ci_lower_limit - lower limit of confidence interval </t>
  </si>
  <si>
    <t xml:space="preserve">ci_upper_limit - upper limit of confidence interval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</si>
</sst>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0"/>
    <numFmt numFmtId="165" formatCode="0.000"/>
    <numFmt numFmtId="166" formatCode="0.000000000"/>
    <numFmt numFmtId="167" formatCode="#,##0.000000000"/>
    <numFmt numFmtId="168" formatCode="0.00000"/>
    <numFmt numFmtId="169" formatCode="0.0000000"/>
    <numFmt numFmtId="170" formatCode="0.000000000000"/>
    <numFmt numFmtId="171" formatCode="0.000000000000000000"/>
  </numFmts>
  <fonts count="5">
    <font>
      <sz val="12"/>
      <color theme="1"/>
      <name val="Calibri"/>
      <family val="2"/>
      <scheme val="minor"/>
    </font>
    <font>
      <b/>
      <sz val="12"/>
      <color theme="1"/>
      <name val="Calibri (Body)_x0000_"/>
    </font>
    <font>
      <sz val="12"/>
      <color theme="1"/>
      <name val="Calibri (Body)_x0000_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168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171" fontId="1" fillId="0" borderId="0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166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4" fontId="2" fillId="0" borderId="0" xfId="0" applyNumberFormat="1" applyFont="1" applyFill="1" applyAlignment="1">
      <alignment horizontal="center"/>
    </xf>
    <xf numFmtId="166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7" fontId="2" fillId="0" borderId="0" xfId="0" applyNumberFormat="1" applyFont="1" applyFill="1" applyAlignment="1">
      <alignment horizontal="center"/>
    </xf>
    <xf numFmtId="165" fontId="2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171" fontId="2" fillId="0" borderId="0" xfId="0" applyNumberFormat="1" applyFont="1" applyFill="1" applyAlignment="1">
      <alignment horizontal="center"/>
    </xf>
    <xf numFmtId="169" fontId="2" fillId="0" borderId="0" xfId="0" applyNumberFormat="1" applyFont="1" applyFill="1" applyAlignment="1">
      <alignment horizontal="center"/>
    </xf>
    <xf numFmtId="170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168" fontId="2" fillId="0" borderId="0" xfId="0" applyNumberFormat="1" applyFont="1" applyFill="1" applyAlignment="1">
      <alignment horizontal="center"/>
    </xf>
    <xf numFmtId="0" fontId="3" fillId="0" borderId="0" xfId="0" applyFont="1"/>
    <xf numFmtId="0" fontId="0" fillId="0" borderId="0" xfId="0" applyFont="1" applyAlignment="1"/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6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Body)_x0000_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Body)_x0000_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0" formatCode="General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0" formatCode="General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0" formatCode="General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166" formatCode="0.00000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165" formatCode="0.00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167" formatCode="#,##0.00000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164" formatCode="0.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166" formatCode="0.00000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2" formatCode="0.0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164" formatCode="0.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Body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Body)_x0000_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30" formatCode="@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30" formatCode="@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30" formatCode="@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30" formatCode="@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30" formatCode="@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30" formatCode="@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30" formatCode="@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30" formatCode="@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30" formatCode="@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Body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rgb="FFD8D8D8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Body)_x0000_"/>
        <scheme val="minor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 (Body)_x0000_"/>
      </font>
      <numFmt numFmtId="0" formatCode="General"/>
      <fill>
        <patternFill patternType="none">
          <fgColor rgb="FF000000"/>
          <bgColor auto="1"/>
        </patternFill>
      </fill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Body)_x0000_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D0402DC-222D-F741-8ECB-904AC56CB122}" name="Table1347456" displayName="Table1347456" ref="A1:BO1610" totalsRowShown="0" headerRowDxfId="68" dataDxfId="67">
  <tableColumns count="67">
    <tableColumn id="1" xr3:uid="{D482CDB7-8E37-254F-8A16-DAA6FC26BC6A}" name="author_year" dataDxfId="66"/>
    <tableColumn id="3" xr3:uid="{1948674E-C95A-A749-9461-C5D09F569496}" name="publication_title" dataDxfId="65"/>
    <tableColumn id="20" xr3:uid="{7040BF35-92B5-CA44-A6C0-A6A437CA1047}" name="paper_type" dataDxfId="64"/>
    <tableColumn id="4" xr3:uid="{3C4E656C-416A-5740-BD65-62D4756CD8D3}" name="region" dataDxfId="63"/>
    <tableColumn id="5" xr3:uid="{E2E493B1-A08C-F64C-B1FB-31AB51F82A85}" name="country " dataDxfId="62"/>
    <tableColumn id="64" xr3:uid="{C5A821C9-CE08-B74B-A7B4-29BEAB1367EF}" name="continent" dataDxfId="61"/>
    <tableColumn id="32" xr3:uid="{92A63858-0E4E-BF49-BF1C-25FE81BDCC13}" name="type_of_climate" dataDxfId="60"/>
    <tableColumn id="16" xr3:uid="{AF604B03-69E1-004C-A083-217AF9621EC6}" name="Annual_temperature" dataDxfId="59"/>
    <tableColumn id="37" xr3:uid="{283514B0-98FB-0343-9707-A52E05ECDF9B}" name="Average_precipitation" dataDxfId="58"/>
    <tableColumn id="33" xr3:uid="{D9C3D1DF-FF54-7F45-8FF8-9A7606DD3574}" name="P_measured_original" dataDxfId="57"/>
    <tableColumn id="7" xr3:uid="{8680D5F1-214B-BF4C-8E28-1355275EF3F6}" name="Latitude" dataDxfId="1"/>
    <tableColumn id="2" xr3:uid="{7D4028B6-1A3E-5546-8FCB-7C6CAF13754B}" name="Longitude" dataDxfId="0"/>
    <tableColumn id="21" xr3:uid="{3B7DE063-C5E3-B741-9B1A-46A10AEF5A5A}" name="P_measurement_method" dataDxfId="56"/>
    <tableColumn id="45" xr3:uid="{6EA98849-49A5-7F47-A0AE-E08CA6598E9A}" name="measurement_name" dataDxfId="55"/>
    <tableColumn id="44" xr3:uid="{40E7B795-D1EA-EA48-9EE3-F6DC4BC776D2}" name="measurement_n" dataDxfId="54"/>
    <tableColumn id="11" xr3:uid="{F77331BC-DD4F-9740-BD4F-0768AFD2CAAE}" name="measurement_unit" dataDxfId="53"/>
    <tableColumn id="34" xr3:uid="{1A79A3E0-AA74-3048-87C2-DCD847E3DD3F}" name="measurement_unit_converted" dataDxfId="52"/>
    <tableColumn id="62" xr3:uid="{46B1B0AE-FEB7-9A4E-9C8E-B3D76AD8A33F}" name="number_of_replicates" dataDxfId="51"/>
    <tableColumn id="76" xr3:uid="{48112474-D991-4843-B686-FA03AA94A084}" name="experiment_cond" dataDxfId="50"/>
    <tableColumn id="13" xr3:uid="{A047220A-7BA4-8946-BA04-F71F76E9CE00}" name="duration_exp" dataDxfId="49"/>
    <tableColumn id="15" xr3:uid="{D5A415DA-1AD6-8748-9430-F77372A2854F}" name="feedstock" dataDxfId="48"/>
    <tableColumn id="12" xr3:uid="{97405F2B-36CA-6C45-ADF3-B178553112A7}" name="temp" dataDxfId="47"/>
    <tableColumn id="79" xr3:uid="{C7DA1606-CA80-8949-B38B-D323F6E674B1}" name="temp_group" dataDxfId="46"/>
    <tableColumn id="10" xr3:uid="{015F511D-04B8-C741-8B78-551357461B18}" name="C_content" dataDxfId="45"/>
    <tableColumn id="9" xr3:uid="{9B932403-C717-6D41-A07E-77ABA6ACC86C}" name="application_rate" dataDxfId="44"/>
    <tableColumn id="80" xr3:uid="{5F36F9D4-9D74-E147-83B5-C466CB2137D5}" name="applic_rate_inpercentage" dataDxfId="43"/>
    <tableColumn id="81" xr3:uid="{B4D47E9A-BFEB-0042-8A2C-3FC1CFF7799F}" name="fertilizer_app" dataDxfId="42"/>
    <tableColumn id="17" xr3:uid="{54E45F77-1253-774B-B058-0EA26ED68644}" name="fertilizer_app_rate" dataDxfId="41"/>
    <tableColumn id="82" xr3:uid="{19F5DF8A-06EB-5344-A762-41AE49D2FDCC}" name="manure_app" dataDxfId="40"/>
    <tableColumn id="28" xr3:uid="{417E8A03-9D34-C241-97F3-E94EC900D71F}" name="manure_app_rate" dataDxfId="39"/>
    <tableColumn id="84" xr3:uid="{57CF52C4-F2CF-F44C-969A-9D81F810E44E}" name="compost_app" dataDxfId="38"/>
    <tableColumn id="42" xr3:uid="{7BEF1736-5FF4-264D-8E22-F2EE5F427A51}" name="compost_app_rate" dataDxfId="37"/>
    <tableColumn id="40" xr3:uid="{9EF128CE-670B-1344-B711-AB1FEA03274E}" name="Biochar_pH" dataDxfId="36"/>
    <tableColumn id="35" xr3:uid="{478C7C74-87E1-8B47-9AD2-5FBDA631B87C}" name="Soil_pH" dataDxfId="35"/>
    <tableColumn id="14" xr3:uid="{EE493464-7230-184D-867F-2D673D519D23}" name="soil_texture" dataDxfId="34"/>
    <tableColumn id="29" xr3:uid="{9FA9E5FE-634B-5346-8257-E36864888008}" name="soil_sample_depth_min" dataDxfId="33"/>
    <tableColumn id="30" xr3:uid="{45FDA5E2-E1DD-A245-8155-213CF93B2E5A}" name="soil_sample_depth_max" dataDxfId="32"/>
    <tableColumn id="92" xr3:uid="{5C69ECA6-4F5E-8444-A4B2-3CC2515A2BE5}" name="soil_dry_weight" dataDxfId="31"/>
    <tableColumn id="91" xr3:uid="{5C9B4300-F0B1-7C4C-A86E-65098C62BBC1}" name="soil_bulk_density" dataDxfId="30"/>
    <tableColumn id="89" xr3:uid="{E58A2CF1-932E-B84E-9D4B-64BB81044DFE}" name="pot_volume" dataDxfId="29"/>
    <tableColumn id="85" xr3:uid="{15EB56AD-93A1-E542-8BF5-750DA1162E30}" name="pot_dimensions" dataDxfId="28"/>
    <tableColumn id="77" xr3:uid="{1CF7E0A1-87DC-454F-B1FA-5C4B0350FC96}" name="NPK_before_biochar_after_all" dataDxfId="27"/>
    <tableColumn id="19" xr3:uid="{1C168D18-296C-804D-ACEB-04066D4F8839}" name="manure_before_biochar_after_all" dataDxfId="26"/>
    <tableColumn id="83" xr3:uid="{51CA8C80-88E6-2744-9284-F0EFB62129CC}" name="irrigated_all" dataDxfId="25"/>
    <tableColumn id="86" xr3:uid="{4EB99E0E-5B2D-B04D-8417-CDEB5AA03D7D}" name="tillage_all" dataDxfId="24"/>
    <tableColumn id="50" xr3:uid="{E600A77D-1E22-FB43-8E04-1EBC976E3377}" name="control" dataDxfId="23"/>
    <tableColumn id="51" xr3:uid="{2EC5583D-BDED-E143-88D4-AF8D71E8F308}" name="biochar" dataDxfId="22"/>
    <tableColumn id="46" xr3:uid="{329E9B87-6B47-3A43-8EBB-7B1A0A46C17D}" name="treatment_mean" dataDxfId="21"/>
    <tableColumn id="47" xr3:uid="{30DE0E33-C880-974B-819E-0CF6D5A45ECA}" name="control_mean" dataDxfId="20"/>
    <tableColumn id="52" xr3:uid="{8BF34A23-AC03-BE40-9E1B-D7B39CD0B836}" name="rr" dataDxfId="19">
      <calculatedColumnFormula>Table1347456[[#This Row],[treatment_mean]]/Table1347456[[#This Row],[control_mean]]</calculatedColumnFormula>
    </tableColumn>
    <tableColumn id="53" xr3:uid="{E0F2448A-8390-C849-9A38-59BEDD2E93E2}" name="lnrr" dataDxfId="18">
      <calculatedColumnFormula>LN(Table1347456[[#This Row],[rr]])</calculatedColumnFormula>
    </tableColumn>
    <tableColumn id="54" xr3:uid="{61713A11-DCD2-F44A-8DE8-CC28FF653165}" name="treatment_n" dataDxfId="17"/>
    <tableColumn id="55" xr3:uid="{389EDBBD-C51F-E84F-B134-2762F77AED58}" name="control_n" dataDxfId="16"/>
    <tableColumn id="56" xr3:uid="{1E6A594E-BFE2-A347-8724-58210DD7B75A}" name="treatment_se" dataDxfId="15"/>
    <tableColumn id="57" xr3:uid="{46CF42C3-8754-7246-A2CC-ED20D984AD46}" name="control_se" dataDxfId="14"/>
    <tableColumn id="58" xr3:uid="{D95AAB1D-0277-3B44-9EB0-CCD2B2102DD3}" name="treatment_sd" dataDxfId="13">
      <calculatedColumnFormula>Table1347456[[#This Row],[treatment_se]]*SQRT(Table1347456[[#This Row],[treatment_n]])</calculatedColumnFormula>
    </tableColumn>
    <tableColumn id="59" xr3:uid="{B95518D1-5AD0-6645-88D0-52BEA6911B92}" name="control_sd" dataDxfId="12">
      <calculatedColumnFormula>Table1347456[[#This Row],[control_se]]*SQRT(Table1347456[[#This Row],[control_n]])</calculatedColumnFormula>
    </tableColumn>
    <tableColumn id="60" xr3:uid="{9C20EF49-610E-0141-AE90-FBDAF4283BDF}" name="v_from_sd_and_n" dataDxfId="11">
      <calculatedColumnFormula>Table1347456[[#This Row],[treatment_sd]]^2/(Table1347456[[#This Row],[treatment_n]]*(Table1347456[[#This Row],[treatment_mean]]^2))+Table1347456[[#This Row],[control_sd]]^2/(Table1347456[[#This Row],[control_n]]*(Table1347456[[#This Row],[control_mean]]^2))</calculatedColumnFormula>
    </tableColumn>
    <tableColumn id="6" xr3:uid="{C0FEAF86-A2D4-C84C-B26E-53D56563F2EB}" name="standard_error" dataDxfId="10">
      <calculatedColumnFormula>SQRT(Table1347456[[#This Row],[v_from_sd_and_n]])</calculatedColumnFormula>
    </tableColumn>
    <tableColumn id="65" xr3:uid="{9AFB9747-E704-9B4A-9D7E-AA4BDCD81C0F}" name="significant" dataDxfId="9"/>
    <tableColumn id="66" xr3:uid="{6DC4FA4E-4598-9C48-AA7A-6999EFB266F2}" name="p_value" dataDxfId="8"/>
    <tableColumn id="67" xr3:uid="{A9C40F1D-BA2A-BA43-876E-32AA1EF8664A}" name="z_from_p" dataDxfId="7">
      <calculatedColumnFormula>ABS(_xlfn.NORM.S.INV(Table1347456[[#This Row],[p_value]]/2))</calculatedColumnFormula>
    </tableColumn>
    <tableColumn id="68" xr3:uid="{390250AA-FB9D-BC47-8B38-52CF6BC63506}" name="v_from_z_from_p" dataDxfId="6">
      <calculatedColumnFormula>(Table1347456[[#This Row],[lnrr]]/Table1347456[[#This Row],[z_from_p]])^2</calculatedColumnFormula>
    </tableColumn>
    <tableColumn id="31" xr3:uid="{0B702295-9054-674A-9AEE-D2E72910CBEA}" name="v" dataDxfId="5">
      <calculatedColumnFormula>Table1347456[[#This Row],[v_from_sd_and_n]]</calculatedColumnFormula>
    </tableColumn>
    <tableColumn id="71" xr3:uid="{D1968C69-CDC3-1C40-B4DE-3785F4EE80B5}" name="se" dataDxfId="4">
      <calculatedColumnFormula>SQRT(Table1347456[[#This Row],[v]])</calculatedColumnFormula>
    </tableColumn>
    <tableColumn id="72" xr3:uid="{B34BFAA2-4EAE-8143-A311-5AF4B242E6DA}" name="ci_lower_limit" dataDxfId="3">
      <calculatedColumnFormula>Table1347456[[#This Row],[lnrr]]-(1.96*Table1347456[[#This Row],[se]])</calculatedColumnFormula>
    </tableColumn>
    <tableColumn id="73" xr3:uid="{CA1E1049-A97C-0A4D-B0BD-920A727D733E}" name="ci_upper_limit" dataDxfId="2">
      <calculatedColumnFormula>Table1347456[[#This Row],[lnrr]]+(1.96 * Table1347456[[#This Row],[se]])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9A5A5-6453-2348-8916-B5A093E3E771}">
  <dimension ref="A2:A67"/>
  <sheetViews>
    <sheetView tabSelected="1" workbookViewId="0">
      <selection activeCell="I52" sqref="I52"/>
    </sheetView>
  </sheetViews>
  <sheetFormatPr baseColWidth="10" defaultRowHeight="16"/>
  <sheetData>
    <row r="2" spans="1:1" s="28" customFormat="1" ht="15.75" customHeight="1">
      <c r="A2" s="27" t="s">
        <v>1005</v>
      </c>
    </row>
    <row r="3" spans="1:1" s="28" customFormat="1" ht="15.75" customHeight="1">
      <c r="A3" s="29" t="s">
        <v>1006</v>
      </c>
    </row>
    <row r="4" spans="1:1" s="28" customFormat="1" ht="15.75" customHeight="1">
      <c r="A4" s="29" t="s">
        <v>1007</v>
      </c>
    </row>
    <row r="5" spans="1:1" s="28" customFormat="1" ht="15.75" customHeight="1">
      <c r="A5" s="29" t="s">
        <v>1008</v>
      </c>
    </row>
    <row r="6" spans="1:1" s="28" customFormat="1" ht="15.75" customHeight="1">
      <c r="A6" s="29" t="s">
        <v>1010</v>
      </c>
    </row>
    <row r="7" spans="1:1" s="28" customFormat="1" ht="15.75" customHeight="1">
      <c r="A7" s="29" t="s">
        <v>1011</v>
      </c>
    </row>
    <row r="8" spans="1:1" s="28" customFormat="1" ht="15.75" customHeight="1">
      <c r="A8" s="29" t="s">
        <v>1012</v>
      </c>
    </row>
    <row r="9" spans="1:1" s="28" customFormat="1" ht="15.75" customHeight="1">
      <c r="A9" s="29" t="s">
        <v>1013</v>
      </c>
    </row>
    <row r="10" spans="1:1" s="28" customFormat="1" ht="15.75" customHeight="1">
      <c r="A10" s="29" t="s">
        <v>1014</v>
      </c>
    </row>
    <row r="11" spans="1:1">
      <c r="A11" s="29" t="s">
        <v>1015</v>
      </c>
    </row>
    <row r="12" spans="1:1">
      <c r="A12" s="29" t="s">
        <v>1018</v>
      </c>
    </row>
    <row r="13" spans="1:1">
      <c r="A13" s="29" t="s">
        <v>1019</v>
      </c>
    </row>
    <row r="14" spans="1:1">
      <c r="A14" s="29" t="s">
        <v>1020</v>
      </c>
    </row>
    <row r="15" spans="1:1">
      <c r="A15" s="29" t="s">
        <v>1021</v>
      </c>
    </row>
    <row r="16" spans="1:1">
      <c r="A16" s="29" t="s">
        <v>1022</v>
      </c>
    </row>
    <row r="17" spans="1:1">
      <c r="A17" s="29" t="s">
        <v>1023</v>
      </c>
    </row>
    <row r="18" spans="1:1">
      <c r="A18" s="29" t="s">
        <v>1025</v>
      </c>
    </row>
    <row r="19" spans="1:1">
      <c r="A19" s="29" t="s">
        <v>1026</v>
      </c>
    </row>
    <row r="20" spans="1:1">
      <c r="A20" s="29" t="s">
        <v>1027</v>
      </c>
    </row>
    <row r="21" spans="1:1">
      <c r="A21" s="29" t="s">
        <v>1028</v>
      </c>
    </row>
    <row r="22" spans="1:1">
      <c r="A22" s="29" t="s">
        <v>1029</v>
      </c>
    </row>
    <row r="23" spans="1:1">
      <c r="A23" s="29" t="s">
        <v>1030</v>
      </c>
    </row>
    <row r="24" spans="1:1">
      <c r="A24" s="29" t="s">
        <v>1031</v>
      </c>
    </row>
    <row r="25" spans="1:1">
      <c r="A25" s="29" t="s">
        <v>1032</v>
      </c>
    </row>
    <row r="26" spans="1:1">
      <c r="A26" s="29" t="s">
        <v>1033</v>
      </c>
    </row>
    <row r="27" spans="1:1">
      <c r="A27" s="29" t="s">
        <v>1034</v>
      </c>
    </row>
    <row r="28" spans="1:1">
      <c r="A28" s="29" t="s">
        <v>1035</v>
      </c>
    </row>
    <row r="29" spans="1:1">
      <c r="A29" s="29" t="s">
        <v>1036</v>
      </c>
    </row>
    <row r="30" spans="1:1">
      <c r="A30" s="29" t="s">
        <v>1037</v>
      </c>
    </row>
    <row r="31" spans="1:1">
      <c r="A31" s="29" t="s">
        <v>1038</v>
      </c>
    </row>
    <row r="32" spans="1:1">
      <c r="A32" s="29" t="s">
        <v>1039</v>
      </c>
    </row>
    <row r="33" spans="1:1">
      <c r="A33" s="29" t="s">
        <v>1040</v>
      </c>
    </row>
    <row r="34" spans="1:1">
      <c r="A34" s="29" t="s">
        <v>1041</v>
      </c>
    </row>
    <row r="35" spans="1:1">
      <c r="A35" s="29" t="s">
        <v>1042</v>
      </c>
    </row>
    <row r="36" spans="1:1">
      <c r="A36" s="29" t="s">
        <v>1043</v>
      </c>
    </row>
    <row r="37" spans="1:1">
      <c r="A37" t="s">
        <v>1045</v>
      </c>
    </row>
    <row r="38" spans="1:1">
      <c r="A38" t="s">
        <v>1044</v>
      </c>
    </row>
    <row r="39" spans="1:1">
      <c r="A39" t="s">
        <v>1046</v>
      </c>
    </row>
    <row r="40" spans="1:1">
      <c r="A40" t="s">
        <v>1047</v>
      </c>
    </row>
    <row r="41" spans="1:1">
      <c r="A41" t="s">
        <v>1048</v>
      </c>
    </row>
    <row r="42" spans="1:1">
      <c r="A42" t="s">
        <v>1049</v>
      </c>
    </row>
    <row r="43" spans="1:1">
      <c r="A43" t="s">
        <v>1050</v>
      </c>
    </row>
    <row r="44" spans="1:1">
      <c r="A44" t="s">
        <v>1051</v>
      </c>
    </row>
    <row r="45" spans="1:1">
      <c r="A45" t="s">
        <v>1052</v>
      </c>
    </row>
    <row r="46" spans="1:1">
      <c r="A46" t="s">
        <v>1053</v>
      </c>
    </row>
    <row r="47" spans="1:1">
      <c r="A47" t="s">
        <v>1054</v>
      </c>
    </row>
    <row r="48" spans="1:1">
      <c r="A48" t="s">
        <v>1055</v>
      </c>
    </row>
    <row r="49" spans="1:1">
      <c r="A49" t="s">
        <v>1056</v>
      </c>
    </row>
    <row r="50" spans="1:1">
      <c r="A50" t="s">
        <v>1057</v>
      </c>
    </row>
    <row r="51" spans="1:1">
      <c r="A51" t="s">
        <v>1058</v>
      </c>
    </row>
    <row r="52" spans="1:1">
      <c r="A52" t="s">
        <v>1059</v>
      </c>
    </row>
    <row r="53" spans="1:1">
      <c r="A53" t="s">
        <v>1060</v>
      </c>
    </row>
    <row r="54" spans="1:1">
      <c r="A54" t="s">
        <v>1061</v>
      </c>
    </row>
    <row r="55" spans="1:1">
      <c r="A55" t="s">
        <v>1062</v>
      </c>
    </row>
    <row r="56" spans="1:1">
      <c r="A56" t="s">
        <v>1063</v>
      </c>
    </row>
    <row r="57" spans="1:1">
      <c r="A57" t="s">
        <v>1064</v>
      </c>
    </row>
    <row r="58" spans="1:1">
      <c r="A58" t="s">
        <v>1065</v>
      </c>
    </row>
    <row r="59" spans="1:1">
      <c r="A59" t="s">
        <v>1066</v>
      </c>
    </row>
    <row r="60" spans="1:1">
      <c r="A60" t="s">
        <v>1067</v>
      </c>
    </row>
    <row r="61" spans="1:1">
      <c r="A61" t="s">
        <v>1068</v>
      </c>
    </row>
    <row r="62" spans="1:1">
      <c r="A62" t="s">
        <v>1069</v>
      </c>
    </row>
    <row r="63" spans="1:1">
      <c r="A63" t="s">
        <v>1070</v>
      </c>
    </row>
    <row r="64" spans="1:1">
      <c r="A64" t="s">
        <v>1071</v>
      </c>
    </row>
    <row r="65" spans="1:1">
      <c r="A65" t="s">
        <v>1072</v>
      </c>
    </row>
    <row r="66" spans="1:1">
      <c r="A66" t="s">
        <v>1073</v>
      </c>
    </row>
    <row r="67" spans="1:1">
      <c r="A67" t="s">
        <v>1074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D5DCC-CE63-DC47-BD2A-E0C8851A2779}">
  <dimension ref="A1:FY1610"/>
  <sheetViews>
    <sheetView zoomScale="110" zoomScaleNormal="110" workbookViewId="0">
      <pane ySplit="1" topLeftCell="A2" activePane="bottomLeft" state="frozen"/>
      <selection activeCell="N1" sqref="N1"/>
      <selection pane="bottomLeft" activeCell="BO1" sqref="BO1"/>
    </sheetView>
  </sheetViews>
  <sheetFormatPr baseColWidth="10" defaultColWidth="11.5" defaultRowHeight="16"/>
  <cols>
    <col min="1" max="1" width="19.1640625" style="13" customWidth="1" collapsed="1"/>
    <col min="2" max="2" width="55.33203125" style="13" customWidth="1" collapsed="1"/>
    <col min="3" max="3" width="21.5" style="13" customWidth="1"/>
    <col min="4" max="4" width="26" style="13" bestFit="1" customWidth="1" collapsed="1"/>
    <col min="5" max="6" width="20.6640625" style="13" customWidth="1" collapsed="1"/>
    <col min="7" max="8" width="20.6640625" style="13" customWidth="1"/>
    <col min="9" max="9" width="29.6640625" style="13" customWidth="1"/>
    <col min="10" max="10" width="29.6640625" style="13" hidden="1" customWidth="1"/>
    <col min="11" max="13" width="29.6640625" style="13" customWidth="1"/>
    <col min="14" max="16" width="23.6640625" style="13" customWidth="1"/>
    <col min="17" max="17" width="22" style="4" customWidth="1"/>
    <col min="18" max="18" width="13" style="4" customWidth="1"/>
    <col min="19" max="19" width="23.6640625" style="13" customWidth="1"/>
    <col min="20" max="20" width="16.6640625" style="13" customWidth="1"/>
    <col min="21" max="34" width="16.83203125" style="4" customWidth="1"/>
    <col min="35" max="37" width="24" style="13" customWidth="1"/>
    <col min="38" max="41" width="12.33203125" style="13" customWidth="1"/>
    <col min="42" max="42" width="26.1640625" style="13" bestFit="1" customWidth="1" collapsed="1"/>
    <col min="43" max="43" width="26.1640625" style="13" customWidth="1"/>
    <col min="44" max="44" width="24.1640625" style="13" customWidth="1" collapsed="1"/>
    <col min="45" max="46" width="19.83203125" style="13" customWidth="1"/>
    <col min="47" max="47" width="25.1640625" style="4" customWidth="1"/>
    <col min="48" max="48" width="22.6640625" style="14" customWidth="1"/>
    <col min="49" max="49" width="25.5" style="13" bestFit="1" customWidth="1" collapsed="1"/>
    <col min="50" max="50" width="12.6640625" style="13" customWidth="1"/>
    <col min="51" max="51" width="18.1640625" style="17" customWidth="1" collapsed="1"/>
    <col min="52" max="52" width="12.5" style="13" bestFit="1" customWidth="1" collapsed="1"/>
    <col min="53" max="53" width="23.1640625" style="13" customWidth="1"/>
    <col min="54" max="54" width="21.6640625" style="13" customWidth="1" collapsed="1"/>
    <col min="55" max="55" width="21.5" style="13" bestFit="1" customWidth="1" collapsed="1"/>
    <col min="56" max="56" width="17.83203125" style="13" customWidth="1" collapsed="1"/>
    <col min="57" max="57" width="28.33203125" style="13" customWidth="1" collapsed="1"/>
    <col min="58" max="58" width="29.6640625" style="22" customWidth="1"/>
    <col min="59" max="59" width="15.5" style="13" customWidth="1" collapsed="1"/>
    <col min="60" max="60" width="15.6640625" style="13" bestFit="1" customWidth="1" collapsed="1"/>
    <col min="61" max="61" width="20" style="13" bestFit="1" customWidth="1" collapsed="1"/>
    <col min="62" max="62" width="21" style="13" bestFit="1" customWidth="1" collapsed="1"/>
    <col min="63" max="63" width="21" style="13" customWidth="1"/>
    <col min="64" max="64" width="25.5" style="16" customWidth="1" collapsed="1"/>
    <col min="65" max="65" width="12.83203125" style="13" customWidth="1"/>
    <col min="66" max="66" width="16.1640625" style="13" bestFit="1" customWidth="1" collapsed="1"/>
    <col min="67" max="67" width="16.5" style="13" bestFit="1" customWidth="1" collapsed="1"/>
    <col min="68" max="81" width="11.5" style="13"/>
    <col min="82" max="82" width="11.5" style="13" collapsed="1"/>
    <col min="83" max="109" width="11.5" style="13"/>
    <col min="110" max="110" width="11.5" style="13" collapsed="1"/>
    <col min="111" max="130" width="11.5" style="13"/>
    <col min="131" max="131" width="11.5" style="13" collapsed="1"/>
    <col min="132" max="132" width="11.5" style="13"/>
    <col min="133" max="133" width="11.5" style="13" collapsed="1"/>
    <col min="134" max="134" width="11.5" style="13"/>
    <col min="135" max="135" width="11.5" style="13" collapsed="1"/>
    <col min="136" max="146" width="11.5" style="13"/>
    <col min="147" max="147" width="11.5" style="13" collapsed="1"/>
    <col min="148" max="156" width="11.5" style="13"/>
    <col min="157" max="157" width="11.5" style="13" collapsed="1"/>
    <col min="158" max="181" width="11.5" style="13"/>
    <col min="182" max="16384" width="11.5" style="13" collapsed="1"/>
  </cols>
  <sheetData>
    <row r="1" spans="1:67" s="1" customFormat="1">
      <c r="A1" s="2" t="s">
        <v>0</v>
      </c>
      <c r="B1" s="1" t="s">
        <v>1</v>
      </c>
      <c r="C1" s="1" t="s">
        <v>2</v>
      </c>
      <c r="D1" s="1" t="s">
        <v>806</v>
      </c>
      <c r="E1" s="1" t="s">
        <v>1009</v>
      </c>
      <c r="F1" s="1" t="s">
        <v>583</v>
      </c>
      <c r="G1" s="1" t="s">
        <v>3</v>
      </c>
      <c r="H1" s="1" t="s">
        <v>1004</v>
      </c>
      <c r="I1" s="1" t="s">
        <v>1003</v>
      </c>
      <c r="J1" s="1" t="s">
        <v>796</v>
      </c>
      <c r="K1" s="1" t="s">
        <v>1016</v>
      </c>
      <c r="L1" s="1" t="s">
        <v>1017</v>
      </c>
      <c r="M1" s="1" t="s">
        <v>648</v>
      </c>
      <c r="N1" s="3" t="s">
        <v>4</v>
      </c>
      <c r="O1" s="3" t="s">
        <v>592</v>
      </c>
      <c r="P1" s="3" t="s">
        <v>5</v>
      </c>
      <c r="Q1" s="1" t="s">
        <v>1024</v>
      </c>
      <c r="R1" s="1" t="s">
        <v>6</v>
      </c>
      <c r="S1" s="3" t="s">
        <v>593</v>
      </c>
      <c r="T1" s="1" t="s">
        <v>597</v>
      </c>
      <c r="U1" s="1" t="s">
        <v>7</v>
      </c>
      <c r="V1" s="1" t="s">
        <v>8</v>
      </c>
      <c r="W1" s="1" t="s">
        <v>599</v>
      </c>
      <c r="X1" s="1" t="s">
        <v>598</v>
      </c>
      <c r="Y1" s="1" t="s">
        <v>9</v>
      </c>
      <c r="Z1" s="1" t="s">
        <v>600</v>
      </c>
      <c r="AA1" s="1" t="s">
        <v>604</v>
      </c>
      <c r="AB1" s="1" t="s">
        <v>10</v>
      </c>
      <c r="AC1" s="1" t="s">
        <v>605</v>
      </c>
      <c r="AD1" s="1" t="s">
        <v>11</v>
      </c>
      <c r="AE1" s="1" t="s">
        <v>606</v>
      </c>
      <c r="AF1" s="1" t="s">
        <v>12</v>
      </c>
      <c r="AG1" s="1" t="s">
        <v>675</v>
      </c>
      <c r="AH1" s="1" t="s">
        <v>674</v>
      </c>
      <c r="AI1" s="4" t="s">
        <v>13</v>
      </c>
      <c r="AJ1" s="1" t="s">
        <v>14</v>
      </c>
      <c r="AK1" s="1" t="s">
        <v>15</v>
      </c>
      <c r="AL1" s="1" t="s">
        <v>474</v>
      </c>
      <c r="AM1" s="1" t="s">
        <v>475</v>
      </c>
      <c r="AN1" s="1" t="s">
        <v>476</v>
      </c>
      <c r="AO1" s="1" t="s">
        <v>477</v>
      </c>
      <c r="AP1" s="1" t="s">
        <v>16</v>
      </c>
      <c r="AQ1" s="1" t="s">
        <v>17</v>
      </c>
      <c r="AR1" s="1" t="s">
        <v>18</v>
      </c>
      <c r="AS1" s="1" t="s">
        <v>19</v>
      </c>
      <c r="AT1" s="1" t="s">
        <v>989</v>
      </c>
      <c r="AU1" s="1" t="s">
        <v>996</v>
      </c>
      <c r="AV1" s="3" t="s">
        <v>20</v>
      </c>
      <c r="AW1" s="5" t="s">
        <v>21</v>
      </c>
      <c r="AX1" s="6" t="s">
        <v>22</v>
      </c>
      <c r="AY1" s="7" t="s">
        <v>23</v>
      </c>
      <c r="AZ1" s="1" t="s">
        <v>24</v>
      </c>
      <c r="BA1" s="1" t="s">
        <v>25</v>
      </c>
      <c r="BB1" s="1" t="s">
        <v>26</v>
      </c>
      <c r="BC1" s="8" t="s">
        <v>27</v>
      </c>
      <c r="BD1" s="1" t="s">
        <v>28</v>
      </c>
      <c r="BE1" s="1" t="s">
        <v>29</v>
      </c>
      <c r="BF1" s="9" t="s">
        <v>30</v>
      </c>
      <c r="BG1" s="7" t="s">
        <v>31</v>
      </c>
      <c r="BH1" s="1" t="s">
        <v>32</v>
      </c>
      <c r="BI1" s="1" t="s">
        <v>33</v>
      </c>
      <c r="BJ1" s="1" t="s">
        <v>34</v>
      </c>
      <c r="BK1" s="10" t="s">
        <v>35</v>
      </c>
      <c r="BL1" s="11" t="s">
        <v>36</v>
      </c>
      <c r="BM1" s="12" t="s">
        <v>37</v>
      </c>
      <c r="BN1" s="12" t="s">
        <v>38</v>
      </c>
      <c r="BO1" s="12" t="s">
        <v>39</v>
      </c>
    </row>
    <row r="2" spans="1:67">
      <c r="A2" s="13" t="s">
        <v>40</v>
      </c>
      <c r="B2" s="13" t="s">
        <v>41</v>
      </c>
      <c r="C2" s="13" t="s">
        <v>43</v>
      </c>
      <c r="D2" s="13" t="s">
        <v>805</v>
      </c>
      <c r="E2" s="13" t="s">
        <v>44</v>
      </c>
      <c r="F2" s="13" t="s">
        <v>584</v>
      </c>
      <c r="G2" s="13" t="s">
        <v>45</v>
      </c>
      <c r="H2" s="13">
        <v>17</v>
      </c>
      <c r="I2" s="13">
        <v>28</v>
      </c>
      <c r="K2" s="13" t="s">
        <v>813</v>
      </c>
      <c r="L2" s="13" t="s">
        <v>814</v>
      </c>
      <c r="N2" s="13" t="s">
        <v>47</v>
      </c>
      <c r="O2" s="13" t="s">
        <v>645</v>
      </c>
      <c r="P2" s="13" t="s">
        <v>48</v>
      </c>
      <c r="Q2" s="13" t="s">
        <v>48</v>
      </c>
      <c r="R2" s="4">
        <v>3</v>
      </c>
      <c r="S2" s="13" t="s">
        <v>594</v>
      </c>
      <c r="T2" s="13">
        <v>150</v>
      </c>
      <c r="U2" s="4" t="s">
        <v>51</v>
      </c>
      <c r="V2" s="4">
        <v>500</v>
      </c>
      <c r="W2" s="4" t="s">
        <v>601</v>
      </c>
      <c r="X2" s="4">
        <v>595</v>
      </c>
      <c r="Y2" s="4">
        <v>20</v>
      </c>
      <c r="AA2" s="4" t="s">
        <v>49</v>
      </c>
      <c r="AB2" s="4">
        <v>0</v>
      </c>
      <c r="AC2" s="4" t="s">
        <v>49</v>
      </c>
      <c r="AD2" s="4">
        <v>0</v>
      </c>
      <c r="AE2" s="4" t="s">
        <v>49</v>
      </c>
      <c r="AF2" s="4">
        <v>0</v>
      </c>
      <c r="AG2" s="4" t="s">
        <v>702</v>
      </c>
      <c r="AH2" s="4" t="s">
        <v>701</v>
      </c>
      <c r="AI2" s="4" t="s">
        <v>52</v>
      </c>
      <c r="AJ2" s="13">
        <v>25</v>
      </c>
      <c r="AK2" s="13">
        <v>30</v>
      </c>
      <c r="AP2" s="13" t="s">
        <v>49</v>
      </c>
      <c r="AQ2" s="13" t="s">
        <v>49</v>
      </c>
      <c r="AR2" s="13" t="s">
        <v>50</v>
      </c>
      <c r="AS2" s="13" t="s">
        <v>49</v>
      </c>
      <c r="AT2" s="13" t="s">
        <v>990</v>
      </c>
      <c r="AU2" s="13" t="s">
        <v>998</v>
      </c>
      <c r="AV2" s="14">
        <v>4.5999999999999996</v>
      </c>
      <c r="AW2" s="14">
        <v>4.42</v>
      </c>
      <c r="AX2" s="14">
        <f>Table1347456[[#This Row],[treatment_mean]]/Table1347456[[#This Row],[control_mean]]</f>
        <v>1.0407239819004523</v>
      </c>
      <c r="AY2" s="14">
        <f>LN(Table1347456[[#This Row],[rr]])</f>
        <v>3.9916607405442422E-2</v>
      </c>
      <c r="AZ2" s="13">
        <v>3</v>
      </c>
      <c r="BA2" s="13">
        <v>3</v>
      </c>
      <c r="BB2" s="14">
        <v>0.28000000000000003</v>
      </c>
      <c r="BC2" s="14">
        <v>0.17499999999999999</v>
      </c>
      <c r="BD2" s="15">
        <f>Table1347456[[#This Row],[treatment_se]]*SQRT(Table1347456[[#This Row],[treatment_n]])</f>
        <v>0.48497422611928565</v>
      </c>
      <c r="BE2" s="14">
        <f>Table1347456[[#This Row],[control_se]]*SQRT(Table1347456[[#This Row],[control_n]])</f>
        <v>0.30310889132455349</v>
      </c>
      <c r="BF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5.2726906285040743E-3</v>
      </c>
      <c r="BG2" s="17">
        <f>SQRT(Table1347456[[#This Row],[v_from_sd_and_n]])</f>
        <v>7.2613295122202479E-2</v>
      </c>
      <c r="BH2" s="13" t="s">
        <v>50</v>
      </c>
      <c r="BI2" s="13">
        <v>0.05</v>
      </c>
      <c r="BJ2" s="18">
        <f>ABS(_xlfn.NORM.S.INV(Table1347456[[#This Row],[p_value]]/2))</f>
        <v>1.9599639845400538</v>
      </c>
      <c r="BK2" s="19">
        <f>(Table1347456[[#This Row],[lnrr]]/Table1347456[[#This Row],[z_from_p]])^2</f>
        <v>4.147735589867176E-4</v>
      </c>
      <c r="BL2" s="16">
        <f>Table1347456[[#This Row],[v_from_sd_and_n]]</f>
        <v>5.2726906285040743E-3</v>
      </c>
      <c r="BM2" s="20">
        <f>SQRT(Table1347456[[#This Row],[v]])</f>
        <v>7.2613295122202479E-2</v>
      </c>
      <c r="BN2" s="20">
        <f>(Table1347456[[#This Row],[lnrr]]-1.96*Table1347456[[#This Row],[se]])</f>
        <v>-0.10240545103407445</v>
      </c>
      <c r="BO2" s="20">
        <f>Table1347456[[#This Row],[lnrr]]+1.96*Table1347456[[#This Row],[se]]</f>
        <v>0.18223866584495929</v>
      </c>
    </row>
    <row r="3" spans="1:67">
      <c r="A3" s="13" t="s">
        <v>40</v>
      </c>
      <c r="B3" s="13" t="s">
        <v>41</v>
      </c>
      <c r="C3" s="13" t="s">
        <v>43</v>
      </c>
      <c r="D3" s="13" t="s">
        <v>805</v>
      </c>
      <c r="E3" s="13" t="s">
        <v>44</v>
      </c>
      <c r="F3" s="13" t="s">
        <v>584</v>
      </c>
      <c r="G3" s="13" t="s">
        <v>45</v>
      </c>
      <c r="H3" s="13">
        <v>17</v>
      </c>
      <c r="I3" s="13">
        <v>28</v>
      </c>
      <c r="K3" s="13" t="s">
        <v>813</v>
      </c>
      <c r="L3" s="13" t="s">
        <v>814</v>
      </c>
      <c r="N3" s="13" t="s">
        <v>47</v>
      </c>
      <c r="O3" s="13" t="s">
        <v>645</v>
      </c>
      <c r="P3" s="13" t="s">
        <v>48</v>
      </c>
      <c r="Q3" s="4" t="s">
        <v>48</v>
      </c>
      <c r="R3" s="4">
        <v>3</v>
      </c>
      <c r="S3" s="13" t="s">
        <v>594</v>
      </c>
      <c r="T3" s="13">
        <v>150</v>
      </c>
      <c r="U3" s="4" t="s">
        <v>51</v>
      </c>
      <c r="V3" s="4">
        <v>500</v>
      </c>
      <c r="W3" s="4" t="s">
        <v>601</v>
      </c>
      <c r="X3" s="4">
        <v>595</v>
      </c>
      <c r="Y3" s="4">
        <v>20</v>
      </c>
      <c r="AA3" s="4" t="s">
        <v>50</v>
      </c>
      <c r="AB3" s="4">
        <v>70</v>
      </c>
      <c r="AC3" s="4" t="s">
        <v>49</v>
      </c>
      <c r="AD3" s="4">
        <v>0</v>
      </c>
      <c r="AE3" s="4" t="s">
        <v>49</v>
      </c>
      <c r="AF3" s="4">
        <v>0</v>
      </c>
      <c r="AG3" s="4" t="s">
        <v>702</v>
      </c>
      <c r="AH3" s="4" t="s">
        <v>701</v>
      </c>
      <c r="AI3" s="13" t="s">
        <v>52</v>
      </c>
      <c r="AJ3" s="13">
        <v>25</v>
      </c>
      <c r="AK3" s="13">
        <v>30</v>
      </c>
      <c r="AP3" s="13" t="s">
        <v>49</v>
      </c>
      <c r="AQ3" s="13" t="s">
        <v>49</v>
      </c>
      <c r="AR3" s="13" t="s">
        <v>50</v>
      </c>
      <c r="AS3" s="13" t="s">
        <v>49</v>
      </c>
      <c r="AT3" s="13" t="s">
        <v>992</v>
      </c>
      <c r="AU3" s="4" t="s">
        <v>1000</v>
      </c>
      <c r="AV3" s="14">
        <v>5.2</v>
      </c>
      <c r="AW3" s="13">
        <v>5.13</v>
      </c>
      <c r="AX3" s="14">
        <f>Table1347456[[#This Row],[treatment_mean]]/Table1347456[[#This Row],[control_mean]]</f>
        <v>1.0136452241715401</v>
      </c>
      <c r="AY3" s="14">
        <f>LN(Table1347456[[#This Row],[rr]])</f>
        <v>1.3552966404703668E-2</v>
      </c>
      <c r="AZ3" s="13">
        <v>3</v>
      </c>
      <c r="BA3" s="21">
        <v>3</v>
      </c>
      <c r="BB3" s="14">
        <v>0.17</v>
      </c>
      <c r="BC3" s="15">
        <v>0.53</v>
      </c>
      <c r="BD3" s="14">
        <f>Table1347456[[#This Row],[treatment_se]]*SQRT(Table1347456[[#This Row],[treatment_n]])</f>
        <v>0.29444863728670917</v>
      </c>
      <c r="BE3" s="14">
        <f>Table1347456[[#This Row],[control_se]]*SQRT(Table1347456[[#This Row],[control_n]])</f>
        <v>0.91798692801150494</v>
      </c>
      <c r="BF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1.1742536550016761E-2</v>
      </c>
      <c r="BG3" s="17">
        <f>SQRT(Table1347456[[#This Row],[v_from_sd_and_n]])</f>
        <v>0.10836298514722063</v>
      </c>
      <c r="BH3" s="13" t="s">
        <v>50</v>
      </c>
      <c r="BI3" s="15">
        <v>0.05</v>
      </c>
      <c r="BJ3" s="18">
        <f>ABS(_xlfn.NORM.S.INV(Table1347456[[#This Row],[p_value]]/2))</f>
        <v>1.9599639845400538</v>
      </c>
      <c r="BK3" s="19">
        <f>(Table1347456[[#This Row],[lnrr]]/Table1347456[[#This Row],[z_from_p]])^2</f>
        <v>4.7815922788894053E-5</v>
      </c>
      <c r="BL3" s="16">
        <f>Table1347456[[#This Row],[v_from_sd_and_n]]</f>
        <v>1.1742536550016761E-2</v>
      </c>
      <c r="BM3" s="20">
        <f>SQRT(Table1347456[[#This Row],[v]])</f>
        <v>0.10836298514722063</v>
      </c>
      <c r="BN3" s="20">
        <f>(Table1347456[[#This Row],[lnrr]]-1.96*Table1347456[[#This Row],[se]])</f>
        <v>-0.19883848448384878</v>
      </c>
      <c r="BO3" s="20">
        <f>Table1347456[[#This Row],[lnrr]]+1.96*Table1347456[[#This Row],[se]]</f>
        <v>0.22594441729325609</v>
      </c>
    </row>
    <row r="4" spans="1:67">
      <c r="A4" s="13" t="s">
        <v>40</v>
      </c>
      <c r="B4" s="13" t="s">
        <v>41</v>
      </c>
      <c r="C4" s="13" t="s">
        <v>43</v>
      </c>
      <c r="D4" s="13" t="s">
        <v>805</v>
      </c>
      <c r="E4" s="13" t="s">
        <v>44</v>
      </c>
      <c r="F4" s="13" t="s">
        <v>584</v>
      </c>
      <c r="G4" s="13" t="s">
        <v>45</v>
      </c>
      <c r="H4" s="13">
        <v>17</v>
      </c>
      <c r="I4" s="13">
        <v>28</v>
      </c>
      <c r="K4" s="13" t="s">
        <v>813</v>
      </c>
      <c r="L4" s="13" t="s">
        <v>814</v>
      </c>
      <c r="N4" s="13" t="s">
        <v>53</v>
      </c>
      <c r="O4" s="13" t="s">
        <v>54</v>
      </c>
      <c r="P4" s="13" t="s">
        <v>85</v>
      </c>
      <c r="Q4" s="13" t="s">
        <v>48</v>
      </c>
      <c r="R4" s="4">
        <v>3</v>
      </c>
      <c r="S4" s="13" t="s">
        <v>594</v>
      </c>
      <c r="T4" s="13">
        <v>150</v>
      </c>
      <c r="U4" s="4" t="s">
        <v>51</v>
      </c>
      <c r="V4" s="4">
        <v>500</v>
      </c>
      <c r="W4" s="4" t="s">
        <v>601</v>
      </c>
      <c r="X4" s="4">
        <v>595</v>
      </c>
      <c r="Y4" s="4">
        <v>20</v>
      </c>
      <c r="AA4" s="4" t="s">
        <v>49</v>
      </c>
      <c r="AB4" s="4">
        <v>0</v>
      </c>
      <c r="AC4" s="4" t="s">
        <v>49</v>
      </c>
      <c r="AD4" s="4">
        <v>0</v>
      </c>
      <c r="AE4" s="4" t="s">
        <v>49</v>
      </c>
      <c r="AF4" s="4">
        <v>0</v>
      </c>
      <c r="AG4" s="4" t="s">
        <v>702</v>
      </c>
      <c r="AH4" s="4" t="s">
        <v>701</v>
      </c>
      <c r="AI4" s="4" t="s">
        <v>52</v>
      </c>
      <c r="AJ4" s="13">
        <v>25</v>
      </c>
      <c r="AK4" s="13">
        <v>30</v>
      </c>
      <c r="AP4" s="13" t="s">
        <v>49</v>
      </c>
      <c r="AQ4" s="13" t="s">
        <v>49</v>
      </c>
      <c r="AR4" s="13" t="s">
        <v>50</v>
      </c>
      <c r="AS4" s="13" t="s">
        <v>49</v>
      </c>
      <c r="AT4" s="13" t="s">
        <v>990</v>
      </c>
      <c r="AU4" s="13" t="s">
        <v>998</v>
      </c>
      <c r="AV4" s="14">
        <f>0.32/1000</f>
        <v>3.2000000000000003E-4</v>
      </c>
      <c r="AW4" s="14">
        <f>0.21/1000</f>
        <v>2.0999999999999998E-4</v>
      </c>
      <c r="AX4" s="14">
        <f>Table1347456[[#This Row],[treatment_mean]]/Table1347456[[#This Row],[control_mean]]</f>
        <v>1.5238095238095242</v>
      </c>
      <c r="AY4" s="14">
        <f>LN(Table1347456[[#This Row],[rr]])</f>
        <v>0.42121346507630381</v>
      </c>
      <c r="AZ4" s="13">
        <v>3</v>
      </c>
      <c r="BA4" s="13">
        <v>3</v>
      </c>
      <c r="BB4" s="14">
        <f>0.05/1000</f>
        <v>5.0000000000000002E-5</v>
      </c>
      <c r="BC4" s="14">
        <f>0.08/1000</f>
        <v>8.0000000000000007E-5</v>
      </c>
      <c r="BD4" s="15">
        <f>Table1347456[[#This Row],[treatment_se]]*SQRT(Table1347456[[#This Row],[treatment_n]])</f>
        <v>8.6602540378443864E-5</v>
      </c>
      <c r="BE4" s="14">
        <f>Table1347456[[#This Row],[control_se]]*SQRT(Table1347456[[#This Row],[control_n]])</f>
        <v>1.3856406460551019E-4</v>
      </c>
      <c r="BF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0.16953877905328799</v>
      </c>
      <c r="BG4" s="17">
        <f>SQRT(Table1347456[[#This Row],[v_from_sd_and_n]])</f>
        <v>0.41175087013057787</v>
      </c>
      <c r="BH4" s="13" t="s">
        <v>50</v>
      </c>
      <c r="BI4" s="13">
        <v>0.05</v>
      </c>
      <c r="BJ4" s="18">
        <f>ABS(_xlfn.NORM.S.INV(Table1347456[[#This Row],[p_value]]/2))</f>
        <v>1.9599639845400538</v>
      </c>
      <c r="BK4" s="19">
        <f>(Table1347456[[#This Row],[lnrr]]/Table1347456[[#This Row],[z_from_p]])^2</f>
        <v>4.6185782912942418E-2</v>
      </c>
      <c r="BL4" s="16">
        <f>Table1347456[[#This Row],[v_from_sd_and_n]]</f>
        <v>0.16953877905328799</v>
      </c>
      <c r="BM4" s="20">
        <f>SQRT(Table1347456[[#This Row],[v]])</f>
        <v>0.41175087013057787</v>
      </c>
      <c r="BN4" s="20">
        <f>(Table1347456[[#This Row],[lnrr]]-1.96*Table1347456[[#This Row],[se]])</f>
        <v>-0.38581824037962881</v>
      </c>
      <c r="BO4" s="20">
        <f>Table1347456[[#This Row],[lnrr]]+1.96*Table1347456[[#This Row],[se]]</f>
        <v>1.2282451705322364</v>
      </c>
    </row>
    <row r="5" spans="1:67">
      <c r="A5" s="13" t="s">
        <v>40</v>
      </c>
      <c r="B5" s="13" t="s">
        <v>41</v>
      </c>
      <c r="C5" s="13" t="s">
        <v>43</v>
      </c>
      <c r="D5" s="13" t="s">
        <v>805</v>
      </c>
      <c r="E5" s="13" t="s">
        <v>44</v>
      </c>
      <c r="F5" s="13" t="s">
        <v>584</v>
      </c>
      <c r="G5" s="13" t="s">
        <v>45</v>
      </c>
      <c r="H5" s="13">
        <v>17</v>
      </c>
      <c r="I5" s="13">
        <v>28</v>
      </c>
      <c r="K5" s="13" t="s">
        <v>813</v>
      </c>
      <c r="L5" s="13" t="s">
        <v>814</v>
      </c>
      <c r="N5" s="13" t="s">
        <v>53</v>
      </c>
      <c r="O5" s="13" t="s">
        <v>54</v>
      </c>
      <c r="P5" s="13" t="s">
        <v>85</v>
      </c>
      <c r="Q5" s="13" t="s">
        <v>48</v>
      </c>
      <c r="R5" s="4">
        <v>3</v>
      </c>
      <c r="S5" s="13" t="s">
        <v>594</v>
      </c>
      <c r="T5" s="13">
        <v>150</v>
      </c>
      <c r="U5" s="4" t="s">
        <v>51</v>
      </c>
      <c r="V5" s="4">
        <v>500</v>
      </c>
      <c r="W5" s="4" t="s">
        <v>601</v>
      </c>
      <c r="X5" s="4">
        <v>595</v>
      </c>
      <c r="Y5" s="4">
        <v>20</v>
      </c>
      <c r="AA5" s="4" t="s">
        <v>50</v>
      </c>
      <c r="AB5" s="4">
        <v>70</v>
      </c>
      <c r="AC5" s="4" t="s">
        <v>49</v>
      </c>
      <c r="AD5" s="4">
        <v>0</v>
      </c>
      <c r="AE5" s="4" t="s">
        <v>49</v>
      </c>
      <c r="AF5" s="4">
        <v>0</v>
      </c>
      <c r="AG5" s="4" t="s">
        <v>702</v>
      </c>
      <c r="AH5" s="4" t="s">
        <v>701</v>
      </c>
      <c r="AI5" s="4" t="s">
        <v>52</v>
      </c>
      <c r="AJ5" s="13">
        <v>25</v>
      </c>
      <c r="AK5" s="13">
        <v>30</v>
      </c>
      <c r="AP5" s="13" t="s">
        <v>49</v>
      </c>
      <c r="AQ5" s="13" t="s">
        <v>49</v>
      </c>
      <c r="AR5" s="13" t="s">
        <v>50</v>
      </c>
      <c r="AS5" s="13" t="s">
        <v>49</v>
      </c>
      <c r="AT5" s="13" t="s">
        <v>992</v>
      </c>
      <c r="AU5" s="4" t="s">
        <v>1000</v>
      </c>
      <c r="AV5" s="14">
        <f>0.295/1000</f>
        <v>2.9499999999999996E-4</v>
      </c>
      <c r="AW5" s="14">
        <f>0.21/1000</f>
        <v>2.0999999999999998E-4</v>
      </c>
      <c r="AX5" s="14">
        <f>Table1347456[[#This Row],[treatment_mean]]/Table1347456[[#This Row],[control_mean]]</f>
        <v>1.4047619047619047</v>
      </c>
      <c r="AY5" s="14">
        <f>LN(Table1347456[[#This Row],[rr]])</f>
        <v>0.33986782562235107</v>
      </c>
      <c r="AZ5" s="13">
        <v>3</v>
      </c>
      <c r="BA5" s="13">
        <v>3</v>
      </c>
      <c r="BB5" s="14">
        <f>0.075/1000</f>
        <v>7.4999999999999993E-5</v>
      </c>
      <c r="BC5" s="14">
        <f>0.03/1000</f>
        <v>2.9999999999999997E-5</v>
      </c>
      <c r="BD5" s="15">
        <f>Table1347456[[#This Row],[treatment_se]]*SQRT(Table1347456[[#This Row],[treatment_n]])</f>
        <v>1.2990381056766578E-4</v>
      </c>
      <c r="BE5" s="14">
        <f>Table1347456[[#This Row],[control_se]]*SQRT(Table1347456[[#This Row],[control_n]])</f>
        <v>5.196152422706631E-5</v>
      </c>
      <c r="BF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8.5044761943846775E-2</v>
      </c>
      <c r="BG5" s="17">
        <f>SQRT(Table1347456[[#This Row],[v_from_sd_and_n]])</f>
        <v>0.29162435073883453</v>
      </c>
      <c r="BH5" s="13" t="s">
        <v>50</v>
      </c>
      <c r="BI5" s="13">
        <v>0.05</v>
      </c>
      <c r="BJ5" s="18">
        <f>ABS(_xlfn.NORM.S.INV(Table1347456[[#This Row],[p_value]]/2))</f>
        <v>1.9599639845400538</v>
      </c>
      <c r="BK5" s="19">
        <f>(Table1347456[[#This Row],[lnrr]]/Table1347456[[#This Row],[z_from_p]])^2</f>
        <v>3.0069341957020632E-2</v>
      </c>
      <c r="BL5" s="16">
        <f>Table1347456[[#This Row],[v_from_sd_and_n]]</f>
        <v>8.5044761943846775E-2</v>
      </c>
      <c r="BM5" s="20">
        <f>SQRT(Table1347456[[#This Row],[v]])</f>
        <v>0.29162435073883453</v>
      </c>
      <c r="BN5" s="20">
        <f>(Table1347456[[#This Row],[lnrr]]-1.96*Table1347456[[#This Row],[se]])</f>
        <v>-0.23171590182576463</v>
      </c>
      <c r="BO5" s="20">
        <f>Table1347456[[#This Row],[lnrr]]+1.96*Table1347456[[#This Row],[se]]</f>
        <v>0.91145155307046677</v>
      </c>
    </row>
    <row r="6" spans="1:67">
      <c r="A6" s="13" t="s">
        <v>40</v>
      </c>
      <c r="B6" s="13" t="s">
        <v>41</v>
      </c>
      <c r="C6" s="13" t="s">
        <v>43</v>
      </c>
      <c r="D6" s="13" t="s">
        <v>805</v>
      </c>
      <c r="E6" s="13" t="s">
        <v>44</v>
      </c>
      <c r="F6" s="13" t="s">
        <v>584</v>
      </c>
      <c r="G6" s="13" t="s">
        <v>45</v>
      </c>
      <c r="H6" s="13">
        <v>17</v>
      </c>
      <c r="I6" s="13">
        <v>28</v>
      </c>
      <c r="K6" s="13" t="s">
        <v>813</v>
      </c>
      <c r="L6" s="13" t="s">
        <v>814</v>
      </c>
      <c r="N6" s="13" t="s">
        <v>615</v>
      </c>
      <c r="O6" s="13" t="s">
        <v>54</v>
      </c>
      <c r="P6" s="13" t="s">
        <v>85</v>
      </c>
      <c r="Q6" s="13" t="s">
        <v>48</v>
      </c>
      <c r="R6" s="4">
        <v>3</v>
      </c>
      <c r="S6" s="13" t="s">
        <v>594</v>
      </c>
      <c r="T6" s="13">
        <v>150</v>
      </c>
      <c r="U6" s="4" t="s">
        <v>51</v>
      </c>
      <c r="V6" s="4">
        <v>500</v>
      </c>
      <c r="W6" s="4" t="s">
        <v>601</v>
      </c>
      <c r="X6" s="4">
        <v>595</v>
      </c>
      <c r="Y6" s="4">
        <v>20</v>
      </c>
      <c r="AA6" s="4" t="s">
        <v>49</v>
      </c>
      <c r="AB6" s="4">
        <v>0</v>
      </c>
      <c r="AC6" s="4" t="s">
        <v>49</v>
      </c>
      <c r="AD6" s="4">
        <v>0</v>
      </c>
      <c r="AE6" s="4" t="s">
        <v>49</v>
      </c>
      <c r="AF6" s="4">
        <v>0</v>
      </c>
      <c r="AG6" s="4" t="s">
        <v>702</v>
      </c>
      <c r="AH6" s="4" t="s">
        <v>701</v>
      </c>
      <c r="AI6" s="4" t="s">
        <v>52</v>
      </c>
      <c r="AJ6" s="13">
        <v>25</v>
      </c>
      <c r="AK6" s="13">
        <v>30</v>
      </c>
      <c r="AP6" s="13" t="s">
        <v>49</v>
      </c>
      <c r="AQ6" s="13" t="s">
        <v>49</v>
      </c>
      <c r="AR6" s="13" t="s">
        <v>50</v>
      </c>
      <c r="AS6" s="13" t="s">
        <v>49</v>
      </c>
      <c r="AT6" s="13" t="s">
        <v>990</v>
      </c>
      <c r="AU6" s="13" t="s">
        <v>998</v>
      </c>
      <c r="AV6" s="14">
        <f>3.325/1000</f>
        <v>3.3250000000000003E-3</v>
      </c>
      <c r="AW6" s="14">
        <f>4.21/1000</f>
        <v>4.2100000000000002E-3</v>
      </c>
      <c r="AX6" s="14">
        <f>Table1347456[[#This Row],[treatment_mean]]/Table1347456[[#This Row],[control_mean]]</f>
        <v>0.78978622327790982</v>
      </c>
      <c r="AY6" s="14">
        <f>LN(Table1347456[[#This Row],[rr]])</f>
        <v>-0.23599297358647248</v>
      </c>
      <c r="AZ6" s="13">
        <v>3</v>
      </c>
      <c r="BA6" s="13">
        <v>3</v>
      </c>
      <c r="BB6" s="14">
        <f>0.58/1000</f>
        <v>5.8E-4</v>
      </c>
      <c r="BC6" s="14">
        <f>0.97/1000</f>
        <v>9.6999999999999994E-4</v>
      </c>
      <c r="BD6" s="15">
        <f>Table1347456[[#This Row],[treatment_se]]*SQRT(Table1347456[[#This Row],[treatment_n]])</f>
        <v>1.0045894683899487E-3</v>
      </c>
      <c r="BE6" s="14">
        <f>Table1347456[[#This Row],[control_se]]*SQRT(Table1347456[[#This Row],[control_n]])</f>
        <v>1.6800892833418108E-3</v>
      </c>
      <c r="BF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8.351386084653202E-2</v>
      </c>
      <c r="BG6" s="17">
        <f>SQRT(Table1347456[[#This Row],[v_from_sd_and_n]])</f>
        <v>0.28898764825945766</v>
      </c>
      <c r="BH6" s="13" t="s">
        <v>50</v>
      </c>
      <c r="BI6" s="13">
        <v>0.05</v>
      </c>
      <c r="BJ6" s="18">
        <f>ABS(_xlfn.NORM.S.INV(Table1347456[[#This Row],[p_value]]/2))</f>
        <v>1.9599639845400538</v>
      </c>
      <c r="BK6" s="19">
        <f>(Table1347456[[#This Row],[lnrr]]/Table1347456[[#This Row],[z_from_p]])^2</f>
        <v>1.4497795286042458E-2</v>
      </c>
      <c r="BL6" s="16">
        <f>Table1347456[[#This Row],[v_from_sd_and_n]]</f>
        <v>8.351386084653202E-2</v>
      </c>
      <c r="BM6" s="20">
        <f>SQRT(Table1347456[[#This Row],[v]])</f>
        <v>0.28898764825945766</v>
      </c>
      <c r="BN6" s="20">
        <f>(Table1347456[[#This Row],[lnrr]]-1.96*Table1347456[[#This Row],[se]])</f>
        <v>-0.8024087641750095</v>
      </c>
      <c r="BO6" s="20">
        <f>Table1347456[[#This Row],[lnrr]]+1.96*Table1347456[[#This Row],[se]]</f>
        <v>0.3304228170020645</v>
      </c>
    </row>
    <row r="7" spans="1:67">
      <c r="A7" s="13" t="s">
        <v>40</v>
      </c>
      <c r="B7" s="13" t="s">
        <v>41</v>
      </c>
      <c r="C7" s="13" t="s">
        <v>43</v>
      </c>
      <c r="D7" s="13" t="s">
        <v>805</v>
      </c>
      <c r="E7" s="13" t="s">
        <v>44</v>
      </c>
      <c r="F7" s="13" t="s">
        <v>584</v>
      </c>
      <c r="G7" s="13" t="s">
        <v>45</v>
      </c>
      <c r="H7" s="13">
        <v>17</v>
      </c>
      <c r="I7" s="13">
        <v>28</v>
      </c>
      <c r="K7" s="13" t="s">
        <v>813</v>
      </c>
      <c r="L7" s="13" t="s">
        <v>814</v>
      </c>
      <c r="N7" s="13" t="s">
        <v>615</v>
      </c>
      <c r="O7" s="13" t="s">
        <v>54</v>
      </c>
      <c r="P7" s="13" t="s">
        <v>85</v>
      </c>
      <c r="Q7" s="13" t="s">
        <v>48</v>
      </c>
      <c r="R7" s="4">
        <v>3</v>
      </c>
      <c r="S7" s="13" t="s">
        <v>594</v>
      </c>
      <c r="T7" s="13">
        <v>150</v>
      </c>
      <c r="U7" s="4" t="s">
        <v>51</v>
      </c>
      <c r="V7" s="4">
        <v>500</v>
      </c>
      <c r="W7" s="4" t="s">
        <v>601</v>
      </c>
      <c r="X7" s="4">
        <v>595</v>
      </c>
      <c r="Y7" s="4">
        <v>20</v>
      </c>
      <c r="AA7" s="4" t="s">
        <v>50</v>
      </c>
      <c r="AB7" s="4">
        <v>70</v>
      </c>
      <c r="AC7" s="4" t="s">
        <v>49</v>
      </c>
      <c r="AD7" s="4">
        <v>0</v>
      </c>
      <c r="AE7" s="4" t="s">
        <v>49</v>
      </c>
      <c r="AF7" s="4">
        <v>0</v>
      </c>
      <c r="AG7" s="4" t="s">
        <v>702</v>
      </c>
      <c r="AH7" s="4" t="s">
        <v>701</v>
      </c>
      <c r="AI7" s="4" t="s">
        <v>52</v>
      </c>
      <c r="AJ7" s="13">
        <v>25</v>
      </c>
      <c r="AK7" s="13">
        <v>30</v>
      </c>
      <c r="AP7" s="13" t="s">
        <v>49</v>
      </c>
      <c r="AQ7" s="13" t="s">
        <v>49</v>
      </c>
      <c r="AR7" s="13" t="s">
        <v>50</v>
      </c>
      <c r="AS7" s="13" t="s">
        <v>49</v>
      </c>
      <c r="AT7" s="13" t="s">
        <v>992</v>
      </c>
      <c r="AU7" s="4" t="s">
        <v>1000</v>
      </c>
      <c r="AV7" s="14">
        <f>3.75/1000</f>
        <v>3.7499999999999999E-3</v>
      </c>
      <c r="AW7" s="14">
        <f>4.21/1000</f>
        <v>4.2100000000000002E-3</v>
      </c>
      <c r="AX7" s="14">
        <f>Table1347456[[#This Row],[treatment_mean]]/Table1347456[[#This Row],[control_mean]]</f>
        <v>0.89073634204275531</v>
      </c>
      <c r="AY7" s="14">
        <f>LN(Table1347456[[#This Row],[rr]])</f>
        <v>-0.11570680771197064</v>
      </c>
      <c r="AZ7" s="13">
        <v>3</v>
      </c>
      <c r="BA7" s="13">
        <v>3</v>
      </c>
      <c r="BB7" s="14">
        <f>0.875/1000</f>
        <v>8.7500000000000002E-4</v>
      </c>
      <c r="BC7" s="14">
        <f>0.21/1000</f>
        <v>2.0999999999999998E-4</v>
      </c>
      <c r="BD7" s="15">
        <f>Table1347456[[#This Row],[treatment_se]]*SQRT(Table1347456[[#This Row],[treatment_n]])</f>
        <v>1.5155444566227676E-3</v>
      </c>
      <c r="BE7" s="14">
        <f>Table1347456[[#This Row],[control_se]]*SQRT(Table1347456[[#This Row],[control_n]])</f>
        <v>3.6373066958946416E-4</v>
      </c>
      <c r="BF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5.6932582064972419E-2</v>
      </c>
      <c r="BG7" s="17">
        <f>SQRT(Table1347456[[#This Row],[v_from_sd_and_n]])</f>
        <v>0.23860549462443739</v>
      </c>
      <c r="BH7" s="13" t="s">
        <v>50</v>
      </c>
      <c r="BI7" s="13">
        <v>0.05</v>
      </c>
      <c r="BJ7" s="18">
        <f>ABS(_xlfn.NORM.S.INV(Table1347456[[#This Row],[p_value]]/2))</f>
        <v>1.9599639845400538</v>
      </c>
      <c r="BK7" s="19">
        <f>(Table1347456[[#This Row],[lnrr]]/Table1347456[[#This Row],[z_from_p]])^2</f>
        <v>3.4851513385417009E-3</v>
      </c>
      <c r="BL7" s="16">
        <f>Table1347456[[#This Row],[v_from_sd_and_n]]</f>
        <v>5.6932582064972419E-2</v>
      </c>
      <c r="BM7" s="20">
        <f>SQRT(Table1347456[[#This Row],[v]])</f>
        <v>0.23860549462443739</v>
      </c>
      <c r="BN7" s="20">
        <f>(Table1347456[[#This Row],[lnrr]]-1.96*Table1347456[[#This Row],[se]])</f>
        <v>-0.58337357717586791</v>
      </c>
      <c r="BO7" s="20">
        <f>Table1347456[[#This Row],[lnrr]]+1.96*Table1347456[[#This Row],[se]]</f>
        <v>0.35195996175192668</v>
      </c>
    </row>
    <row r="8" spans="1:67">
      <c r="A8" s="13" t="s">
        <v>40</v>
      </c>
      <c r="B8" s="13" t="s">
        <v>41</v>
      </c>
      <c r="C8" s="13" t="s">
        <v>43</v>
      </c>
      <c r="D8" s="13" t="s">
        <v>805</v>
      </c>
      <c r="E8" s="13" t="s">
        <v>44</v>
      </c>
      <c r="F8" s="13" t="s">
        <v>584</v>
      </c>
      <c r="G8" s="13" t="s">
        <v>45</v>
      </c>
      <c r="H8" s="13">
        <v>17</v>
      </c>
      <c r="I8" s="13">
        <v>28</v>
      </c>
      <c r="K8" s="13" t="s">
        <v>813</v>
      </c>
      <c r="L8" s="13" t="s">
        <v>814</v>
      </c>
      <c r="N8" s="13" t="s">
        <v>55</v>
      </c>
      <c r="O8" s="13" t="s">
        <v>54</v>
      </c>
      <c r="P8" s="13" t="s">
        <v>56</v>
      </c>
      <c r="Q8" s="13" t="s">
        <v>637</v>
      </c>
      <c r="R8" s="4">
        <v>3</v>
      </c>
      <c r="S8" s="13" t="s">
        <v>594</v>
      </c>
      <c r="T8" s="13">
        <v>150</v>
      </c>
      <c r="U8" s="4" t="s">
        <v>51</v>
      </c>
      <c r="V8" s="4">
        <v>500</v>
      </c>
      <c r="W8" s="4" t="s">
        <v>601</v>
      </c>
      <c r="X8" s="4">
        <v>595</v>
      </c>
      <c r="Y8" s="4">
        <v>20</v>
      </c>
      <c r="AA8" s="4" t="s">
        <v>49</v>
      </c>
      <c r="AB8" s="4">
        <v>0</v>
      </c>
      <c r="AC8" s="4" t="s">
        <v>49</v>
      </c>
      <c r="AD8" s="4">
        <v>0</v>
      </c>
      <c r="AE8" s="4" t="s">
        <v>49</v>
      </c>
      <c r="AF8" s="4">
        <v>0</v>
      </c>
      <c r="AG8" s="4" t="s">
        <v>702</v>
      </c>
      <c r="AH8" s="4" t="s">
        <v>701</v>
      </c>
      <c r="AI8" s="4" t="s">
        <v>52</v>
      </c>
      <c r="AJ8" s="13">
        <v>25</v>
      </c>
      <c r="AK8" s="13">
        <v>30</v>
      </c>
      <c r="AP8" s="13" t="s">
        <v>49</v>
      </c>
      <c r="AQ8" s="13" t="s">
        <v>49</v>
      </c>
      <c r="AR8" s="13" t="s">
        <v>50</v>
      </c>
      <c r="AS8" s="13" t="s">
        <v>49</v>
      </c>
      <c r="AT8" s="13" t="s">
        <v>990</v>
      </c>
      <c r="AU8" s="13" t="s">
        <v>998</v>
      </c>
      <c r="AV8" s="14">
        <f>186/3600</f>
        <v>5.1666666666666666E-2</v>
      </c>
      <c r="AW8" s="14">
        <f>138/3600</f>
        <v>3.833333333333333E-2</v>
      </c>
      <c r="AX8" s="14">
        <f>Table1347456[[#This Row],[treatment_mean]]/Table1347456[[#This Row],[control_mean]]</f>
        <v>1.3478260869565217</v>
      </c>
      <c r="AY8" s="14">
        <f>LN(Table1347456[[#This Row],[rr]])</f>
        <v>0.29849298855599654</v>
      </c>
      <c r="AZ8" s="13">
        <v>3</v>
      </c>
      <c r="BA8" s="13">
        <v>3</v>
      </c>
      <c r="BB8" s="14">
        <f>18.3/3600</f>
        <v>5.0833333333333338E-3</v>
      </c>
      <c r="BC8" s="14">
        <f>25.4/3600</f>
        <v>7.0555555555555554E-3</v>
      </c>
      <c r="BD8" s="15">
        <f>Table1347456[[#This Row],[treatment_se]]*SQRT(Table1347456[[#This Row],[treatment_n]])</f>
        <v>8.8045916051417931E-3</v>
      </c>
      <c r="BE8" s="14">
        <f>Table1347456[[#This Row],[control_se]]*SQRT(Table1347456[[#This Row],[control_n]])</f>
        <v>1.2220580697847077E-2</v>
      </c>
      <c r="BF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4.3557357505626372E-2</v>
      </c>
      <c r="BG8" s="17">
        <f>SQRT(Table1347456[[#This Row],[v_from_sd_and_n]])</f>
        <v>0.20870399494409869</v>
      </c>
      <c r="BH8" s="13" t="s">
        <v>50</v>
      </c>
      <c r="BI8" s="13">
        <v>0.05</v>
      </c>
      <c r="BJ8" s="18">
        <f>ABS(_xlfn.NORM.S.INV(Table1347456[[#This Row],[p_value]]/2))</f>
        <v>1.9599639845400538</v>
      </c>
      <c r="BK8" s="19">
        <f>(Table1347456[[#This Row],[lnrr]]/Table1347456[[#This Row],[z_from_p]])^2</f>
        <v>2.31938095332728E-2</v>
      </c>
      <c r="BL8" s="16">
        <f>Table1347456[[#This Row],[v_from_sd_and_n]]</f>
        <v>4.3557357505626372E-2</v>
      </c>
      <c r="BM8" s="20">
        <f>SQRT(Table1347456[[#This Row],[v]])</f>
        <v>0.20870399494409869</v>
      </c>
      <c r="BN8" s="20">
        <f>(Table1347456[[#This Row],[lnrr]]-1.96*Table1347456[[#This Row],[se]])</f>
        <v>-0.11056684153443691</v>
      </c>
      <c r="BO8" s="20">
        <f>Table1347456[[#This Row],[lnrr]]+1.96*Table1347456[[#This Row],[se]]</f>
        <v>0.70755281864642994</v>
      </c>
    </row>
    <row r="9" spans="1:67">
      <c r="A9" s="13" t="s">
        <v>40</v>
      </c>
      <c r="B9" s="13" t="s">
        <v>41</v>
      </c>
      <c r="C9" s="13" t="s">
        <v>43</v>
      </c>
      <c r="D9" s="13" t="s">
        <v>805</v>
      </c>
      <c r="E9" s="13" t="s">
        <v>44</v>
      </c>
      <c r="F9" s="13" t="s">
        <v>584</v>
      </c>
      <c r="G9" s="13" t="s">
        <v>45</v>
      </c>
      <c r="H9" s="13">
        <v>17</v>
      </c>
      <c r="I9" s="13">
        <v>28</v>
      </c>
      <c r="K9" s="13" t="s">
        <v>813</v>
      </c>
      <c r="L9" s="13" t="s">
        <v>814</v>
      </c>
      <c r="N9" s="13" t="s">
        <v>55</v>
      </c>
      <c r="O9" s="13" t="s">
        <v>54</v>
      </c>
      <c r="P9" s="13" t="s">
        <v>56</v>
      </c>
      <c r="Q9" s="13" t="s">
        <v>637</v>
      </c>
      <c r="R9" s="4">
        <v>3</v>
      </c>
      <c r="S9" s="13" t="s">
        <v>594</v>
      </c>
      <c r="T9" s="13">
        <v>150</v>
      </c>
      <c r="U9" s="4" t="s">
        <v>51</v>
      </c>
      <c r="V9" s="4">
        <v>500</v>
      </c>
      <c r="W9" s="4" t="s">
        <v>601</v>
      </c>
      <c r="X9" s="4">
        <v>595</v>
      </c>
      <c r="Y9" s="4">
        <v>20</v>
      </c>
      <c r="AA9" s="4" t="s">
        <v>50</v>
      </c>
      <c r="AB9" s="4">
        <v>70</v>
      </c>
      <c r="AC9" s="4" t="s">
        <v>49</v>
      </c>
      <c r="AD9" s="4">
        <v>0</v>
      </c>
      <c r="AE9" s="4" t="s">
        <v>49</v>
      </c>
      <c r="AF9" s="4">
        <v>0</v>
      </c>
      <c r="AG9" s="4" t="s">
        <v>702</v>
      </c>
      <c r="AH9" s="4" t="s">
        <v>701</v>
      </c>
      <c r="AI9" s="4" t="s">
        <v>52</v>
      </c>
      <c r="AJ9" s="13">
        <v>25</v>
      </c>
      <c r="AK9" s="13">
        <v>30</v>
      </c>
      <c r="AP9" s="13" t="s">
        <v>49</v>
      </c>
      <c r="AQ9" s="13" t="s">
        <v>49</v>
      </c>
      <c r="AR9" s="13" t="s">
        <v>50</v>
      </c>
      <c r="AS9" s="13" t="s">
        <v>49</v>
      </c>
      <c r="AT9" s="13" t="s">
        <v>992</v>
      </c>
      <c r="AU9" s="4" t="s">
        <v>1000</v>
      </c>
      <c r="AV9" s="14">
        <f>179/3600</f>
        <v>4.9722222222222223E-2</v>
      </c>
      <c r="AW9" s="14">
        <f>158/3600</f>
        <v>4.3888888888888887E-2</v>
      </c>
      <c r="AX9" s="14">
        <f>Table1347456[[#This Row],[treatment_mean]]/Table1347456[[#This Row],[control_mean]]</f>
        <v>1.1329113924050633</v>
      </c>
      <c r="AY9" s="14">
        <f>LN(Table1347456[[#This Row],[rr]])</f>
        <v>0.12479077281378823</v>
      </c>
      <c r="AZ9" s="13">
        <v>3</v>
      </c>
      <c r="BA9" s="13">
        <v>3</v>
      </c>
      <c r="BB9" s="14">
        <f>35/3600</f>
        <v>9.7222222222222224E-3</v>
      </c>
      <c r="BC9" s="14">
        <f>13.7/3600</f>
        <v>3.8055555555555555E-3</v>
      </c>
      <c r="BD9" s="15">
        <f>Table1347456[[#This Row],[treatment_se]]*SQRT(Table1347456[[#This Row],[treatment_n]])</f>
        <v>1.6839382851364083E-2</v>
      </c>
      <c r="BE9" s="14">
        <f>Table1347456[[#This Row],[control_se]]*SQRT(Table1347456[[#This Row],[control_n]])</f>
        <v>6.5914155732482273E-3</v>
      </c>
      <c r="BF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4.5750691444792567E-2</v>
      </c>
      <c r="BG9" s="17">
        <f>SQRT(Table1347456[[#This Row],[v_from_sd_and_n]])</f>
        <v>0.21389411269315611</v>
      </c>
      <c r="BH9" s="13" t="s">
        <v>50</v>
      </c>
      <c r="BI9" s="13">
        <v>0.05</v>
      </c>
      <c r="BJ9" s="18">
        <f>ABS(_xlfn.NORM.S.INV(Table1347456[[#This Row],[p_value]]/2))</f>
        <v>1.9599639845400538</v>
      </c>
      <c r="BK9" s="19">
        <f>(Table1347456[[#This Row],[lnrr]]/Table1347456[[#This Row],[z_from_p]])^2</f>
        <v>4.0538601886271498E-3</v>
      </c>
      <c r="BL9" s="16">
        <f>Table1347456[[#This Row],[v_from_sd_and_n]]</f>
        <v>4.5750691444792567E-2</v>
      </c>
      <c r="BM9" s="20">
        <f>SQRT(Table1347456[[#This Row],[v]])</f>
        <v>0.21389411269315611</v>
      </c>
      <c r="BN9" s="20">
        <f>(Table1347456[[#This Row],[lnrr]]-1.96*Table1347456[[#This Row],[se]])</f>
        <v>-0.29444168806479776</v>
      </c>
      <c r="BO9" s="20">
        <f>Table1347456[[#This Row],[lnrr]]+1.96*Table1347456[[#This Row],[se]]</f>
        <v>0.54402323369237415</v>
      </c>
    </row>
    <row r="10" spans="1:67">
      <c r="A10" s="13" t="s">
        <v>57</v>
      </c>
      <c r="B10" s="13" t="s">
        <v>58</v>
      </c>
      <c r="C10" s="13" t="s">
        <v>43</v>
      </c>
      <c r="D10" s="13" t="s">
        <v>59</v>
      </c>
      <c r="E10" s="13" t="s">
        <v>60</v>
      </c>
      <c r="F10" s="13" t="s">
        <v>585</v>
      </c>
      <c r="H10" s="13">
        <v>22</v>
      </c>
      <c r="I10" s="13" t="s">
        <v>46</v>
      </c>
      <c r="K10" s="13" t="s">
        <v>815</v>
      </c>
      <c r="L10" s="13" t="s">
        <v>816</v>
      </c>
      <c r="N10" s="13" t="s">
        <v>61</v>
      </c>
      <c r="O10" s="13" t="s">
        <v>642</v>
      </c>
      <c r="P10" s="13" t="s">
        <v>62</v>
      </c>
      <c r="Q10" s="13" t="s">
        <v>48</v>
      </c>
      <c r="R10" s="4">
        <v>6</v>
      </c>
      <c r="S10" s="13" t="s">
        <v>595</v>
      </c>
      <c r="T10" s="13">
        <v>90</v>
      </c>
      <c r="U10" s="4" t="s">
        <v>63</v>
      </c>
      <c r="V10" s="4">
        <v>600</v>
      </c>
      <c r="W10" s="4" t="s">
        <v>602</v>
      </c>
      <c r="X10" s="4">
        <v>637</v>
      </c>
      <c r="Y10" s="4">
        <v>35</v>
      </c>
      <c r="Z10" s="4" t="s">
        <v>478</v>
      </c>
      <c r="AA10" s="4" t="s">
        <v>49</v>
      </c>
      <c r="AB10" s="4">
        <v>0</v>
      </c>
      <c r="AC10" s="4" t="s">
        <v>49</v>
      </c>
      <c r="AD10" s="4">
        <v>0</v>
      </c>
      <c r="AE10" s="4" t="s">
        <v>49</v>
      </c>
      <c r="AF10" s="4">
        <v>0</v>
      </c>
      <c r="AG10" s="4" t="s">
        <v>759</v>
      </c>
      <c r="AH10" s="4" t="s">
        <v>758</v>
      </c>
      <c r="AI10" s="4" t="s">
        <v>64</v>
      </c>
      <c r="AJ10" s="13">
        <v>0</v>
      </c>
      <c r="AK10" s="13">
        <v>10</v>
      </c>
      <c r="AL10" s="13" t="s">
        <v>479</v>
      </c>
      <c r="AM10" s="13" t="s">
        <v>480</v>
      </c>
      <c r="AO10" s="13" t="s">
        <v>481</v>
      </c>
      <c r="AP10" s="13" t="s">
        <v>49</v>
      </c>
      <c r="AQ10" s="13" t="s">
        <v>49</v>
      </c>
      <c r="AR10" s="13" t="s">
        <v>49</v>
      </c>
      <c r="AS10" s="13" t="s">
        <v>49</v>
      </c>
      <c r="AT10" s="13" t="s">
        <v>990</v>
      </c>
      <c r="AU10" s="13" t="s">
        <v>998</v>
      </c>
      <c r="AV10" s="14">
        <f>21.3/3000</f>
        <v>7.1000000000000004E-3</v>
      </c>
      <c r="AW10" s="14">
        <f>47.6/3000</f>
        <v>1.5866666666666668E-2</v>
      </c>
      <c r="AX10" s="14">
        <f>Table1347456[[#This Row],[treatment_mean]]/Table1347456[[#This Row],[control_mean]]</f>
        <v>0.44747899159663868</v>
      </c>
      <c r="AY10" s="14">
        <f>LN(Table1347456[[#This Row],[rr]])</f>
        <v>-0.80412568852199484</v>
      </c>
      <c r="AZ10" s="13">
        <v>3</v>
      </c>
      <c r="BA10" s="13">
        <v>3</v>
      </c>
      <c r="BB10" s="14">
        <f>0.8/3000</f>
        <v>2.6666666666666668E-4</v>
      </c>
      <c r="BC10" s="14">
        <f>0.5/3000</f>
        <v>1.6666666666666666E-4</v>
      </c>
      <c r="BD10" s="15">
        <f>Table1347456[[#This Row],[treatment_se]]*SQRT(Table1347456[[#This Row],[treatment_n]])</f>
        <v>4.6188021535170063E-4</v>
      </c>
      <c r="BE10" s="14">
        <f>Table1347456[[#This Row],[control_se]]*SQRT(Table1347456[[#This Row],[control_n]])</f>
        <v>2.8867513459481284E-4</v>
      </c>
      <c r="BF1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1.5209931053805153E-3</v>
      </c>
      <c r="BG10" s="17">
        <f>SQRT(Table1347456[[#This Row],[v_from_sd_and_n]])</f>
        <v>3.8999911607342334E-2</v>
      </c>
      <c r="BH10" s="13" t="s">
        <v>49</v>
      </c>
      <c r="BI10" s="13">
        <v>0.52500000000000002</v>
      </c>
      <c r="BJ10" s="18">
        <f>ABS(_xlfn.NORM.S.INV(Table1347456[[#This Row],[p_value]]/2))</f>
        <v>0.63565701369758276</v>
      </c>
      <c r="BK10" s="19">
        <f>(Table1347456[[#This Row],[lnrr]]/Table1347456[[#This Row],[z_from_p]])^2</f>
        <v>1.6003028770208141</v>
      </c>
      <c r="BL10" s="16">
        <f>Table1347456[[#This Row],[v_from_sd_and_n]]</f>
        <v>1.5209931053805153E-3</v>
      </c>
      <c r="BM10" s="20">
        <f>SQRT(Table1347456[[#This Row],[v]])</f>
        <v>3.8999911607342334E-2</v>
      </c>
      <c r="BN10" s="20">
        <f>Table1347456[[#This Row],[lnrr]]-(1.96*Table1347456[[#This Row],[se]])</f>
        <v>-0.8805655152723858</v>
      </c>
      <c r="BO10" s="20">
        <f>Table1347456[[#This Row],[lnrr]]+(1.96 * Table1347456[[#This Row],[se]])</f>
        <v>-0.72768586177160388</v>
      </c>
    </row>
    <row r="11" spans="1:67">
      <c r="A11" s="13" t="s">
        <v>57</v>
      </c>
      <c r="B11" s="13" t="s">
        <v>58</v>
      </c>
      <c r="C11" s="13" t="s">
        <v>43</v>
      </c>
      <c r="D11" s="13" t="s">
        <v>59</v>
      </c>
      <c r="E11" s="13" t="s">
        <v>60</v>
      </c>
      <c r="F11" s="13" t="s">
        <v>585</v>
      </c>
      <c r="H11" s="13">
        <v>22</v>
      </c>
      <c r="I11" s="13" t="s">
        <v>46</v>
      </c>
      <c r="K11" s="13" t="s">
        <v>815</v>
      </c>
      <c r="L11" s="13" t="s">
        <v>816</v>
      </c>
      <c r="N11" s="13" t="s">
        <v>47</v>
      </c>
      <c r="O11" s="13" t="s">
        <v>645</v>
      </c>
      <c r="P11" s="13" t="s">
        <v>48</v>
      </c>
      <c r="Q11" s="13" t="s">
        <v>48</v>
      </c>
      <c r="R11" s="4">
        <v>6</v>
      </c>
      <c r="S11" s="13" t="s">
        <v>595</v>
      </c>
      <c r="T11" s="13">
        <v>90</v>
      </c>
      <c r="U11" s="4" t="s">
        <v>63</v>
      </c>
      <c r="V11" s="4">
        <v>600</v>
      </c>
      <c r="W11" s="4" t="s">
        <v>602</v>
      </c>
      <c r="X11" s="4">
        <v>637</v>
      </c>
      <c r="Y11" s="4">
        <v>35</v>
      </c>
      <c r="Z11" s="4" t="s">
        <v>478</v>
      </c>
      <c r="AA11" s="4" t="s">
        <v>49</v>
      </c>
      <c r="AB11" s="4">
        <v>0</v>
      </c>
      <c r="AC11" s="4" t="s">
        <v>49</v>
      </c>
      <c r="AD11" s="4">
        <v>0</v>
      </c>
      <c r="AE11" s="4" t="s">
        <v>49</v>
      </c>
      <c r="AF11" s="4">
        <v>0</v>
      </c>
      <c r="AG11" s="4" t="s">
        <v>759</v>
      </c>
      <c r="AH11" s="4" t="s">
        <v>758</v>
      </c>
      <c r="AI11" s="4" t="s">
        <v>64</v>
      </c>
      <c r="AJ11" s="13">
        <v>0</v>
      </c>
      <c r="AK11" s="13">
        <v>10</v>
      </c>
      <c r="AL11" s="13" t="s">
        <v>479</v>
      </c>
      <c r="AM11" s="13" t="s">
        <v>480</v>
      </c>
      <c r="AO11" s="13" t="s">
        <v>481</v>
      </c>
      <c r="AP11" s="13" t="s">
        <v>49</v>
      </c>
      <c r="AQ11" s="13" t="s">
        <v>49</v>
      </c>
      <c r="AR11" s="13" t="s">
        <v>49</v>
      </c>
      <c r="AS11" s="13" t="s">
        <v>49</v>
      </c>
      <c r="AT11" s="13" t="s">
        <v>990</v>
      </c>
      <c r="AU11" s="13" t="s">
        <v>998</v>
      </c>
      <c r="AV11" s="14">
        <v>0.61</v>
      </c>
      <c r="AW11" s="14">
        <v>0.59</v>
      </c>
      <c r="AX11" s="14">
        <f>Table1347456[[#This Row],[treatment_mean]]/Table1347456[[#This Row],[control_mean]]</f>
        <v>1.0338983050847459</v>
      </c>
      <c r="AY11" s="14">
        <f>LN(Table1347456[[#This Row],[rr]])</f>
        <v>3.3336420267591926E-2</v>
      </c>
      <c r="AZ11" s="13">
        <v>3</v>
      </c>
      <c r="BA11" s="13">
        <v>3</v>
      </c>
      <c r="BB11" s="14">
        <v>0.01</v>
      </c>
      <c r="BC11" s="14">
        <v>0.02</v>
      </c>
      <c r="BD11" s="15">
        <f>Table1347456[[#This Row],[treatment_se]]*SQRT(Table1347456[[#This Row],[treatment_n]])</f>
        <v>1.7320508075688773E-2</v>
      </c>
      <c r="BE11" s="14">
        <f>Table1347456[[#This Row],[control_se]]*SQRT(Table1347456[[#This Row],[control_n]])</f>
        <v>3.4641016151377546E-2</v>
      </c>
      <c r="BF1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1.4178400486504815E-3</v>
      </c>
      <c r="BG11" s="17">
        <f>SQRT(Table1347456[[#This Row],[v_from_sd_and_n]])</f>
        <v>3.7654216877402745E-2</v>
      </c>
      <c r="BH11" s="13" t="s">
        <v>49</v>
      </c>
      <c r="BI11" s="13">
        <v>0.52500000000000002</v>
      </c>
      <c r="BJ11" s="18">
        <f>ABS(_xlfn.NORM.S.INV(Table1347456[[#This Row],[p_value]]/2))</f>
        <v>0.63565701369758276</v>
      </c>
      <c r="BK11" s="19">
        <f>(Table1347456[[#This Row],[lnrr]]/Table1347456[[#This Row],[z_from_p]])^2</f>
        <v>2.7503770699775871E-3</v>
      </c>
      <c r="BL11" s="16">
        <f>Table1347456[[#This Row],[v_from_sd_and_n]]</f>
        <v>1.4178400486504815E-3</v>
      </c>
      <c r="BM11" s="20">
        <f>SQRT(Table1347456[[#This Row],[v]])</f>
        <v>3.7654216877402745E-2</v>
      </c>
      <c r="BN11" s="20">
        <f>Table1347456[[#This Row],[lnrr]]-(1.96*Table1347456[[#This Row],[se]])</f>
        <v>-4.0465844812117457E-2</v>
      </c>
      <c r="BO11" s="20">
        <f>Table1347456[[#This Row],[lnrr]]+(1.96 * Table1347456[[#This Row],[se]])</f>
        <v>0.10713868534730131</v>
      </c>
    </row>
    <row r="12" spans="1:67">
      <c r="A12" s="13" t="s">
        <v>57</v>
      </c>
      <c r="B12" s="13" t="s">
        <v>58</v>
      </c>
      <c r="C12" s="13" t="s">
        <v>43</v>
      </c>
      <c r="D12" s="13" t="s">
        <v>59</v>
      </c>
      <c r="E12" s="13" t="s">
        <v>60</v>
      </c>
      <c r="F12" s="13" t="s">
        <v>585</v>
      </c>
      <c r="H12" s="13">
        <v>22</v>
      </c>
      <c r="I12" s="13" t="s">
        <v>46</v>
      </c>
      <c r="K12" s="13" t="s">
        <v>815</v>
      </c>
      <c r="L12" s="13" t="s">
        <v>816</v>
      </c>
      <c r="N12" s="13" t="s">
        <v>65</v>
      </c>
      <c r="O12" s="13" t="s">
        <v>642</v>
      </c>
      <c r="P12" s="13" t="s">
        <v>422</v>
      </c>
      <c r="Q12" s="13" t="s">
        <v>48</v>
      </c>
      <c r="R12" s="4">
        <v>6</v>
      </c>
      <c r="S12" s="13" t="s">
        <v>595</v>
      </c>
      <c r="T12" s="13">
        <v>90</v>
      </c>
      <c r="U12" s="4" t="s">
        <v>63</v>
      </c>
      <c r="V12" s="4">
        <v>600</v>
      </c>
      <c r="W12" s="4" t="s">
        <v>602</v>
      </c>
      <c r="X12" s="4">
        <v>637</v>
      </c>
      <c r="Y12" s="4">
        <v>35</v>
      </c>
      <c r="Z12" s="4" t="s">
        <v>478</v>
      </c>
      <c r="AA12" s="4" t="s">
        <v>49</v>
      </c>
      <c r="AB12" s="4">
        <v>0</v>
      </c>
      <c r="AC12" s="4" t="s">
        <v>49</v>
      </c>
      <c r="AD12" s="4">
        <v>0</v>
      </c>
      <c r="AE12" s="4" t="s">
        <v>49</v>
      </c>
      <c r="AF12" s="4">
        <v>0</v>
      </c>
      <c r="AG12" s="4" t="s">
        <v>759</v>
      </c>
      <c r="AH12" s="4" t="s">
        <v>758</v>
      </c>
      <c r="AI12" s="4" t="s">
        <v>64</v>
      </c>
      <c r="AJ12" s="13">
        <v>0</v>
      </c>
      <c r="AK12" s="13">
        <v>10</v>
      </c>
      <c r="AL12" s="13" t="s">
        <v>479</v>
      </c>
      <c r="AM12" s="13" t="s">
        <v>480</v>
      </c>
      <c r="AO12" s="13" t="s">
        <v>481</v>
      </c>
      <c r="AP12" s="13" t="s">
        <v>49</v>
      </c>
      <c r="AQ12" s="13" t="s">
        <v>49</v>
      </c>
      <c r="AR12" s="13" t="s">
        <v>49</v>
      </c>
      <c r="AS12" s="13" t="s">
        <v>49</v>
      </c>
      <c r="AT12" s="13" t="s">
        <v>990</v>
      </c>
      <c r="AU12" s="13" t="s">
        <v>998</v>
      </c>
      <c r="AV12" s="14">
        <f>2.7/3</f>
        <v>0.9</v>
      </c>
      <c r="AW12" s="14">
        <f>4.64/3</f>
        <v>1.5466666666666666</v>
      </c>
      <c r="AX12" s="14">
        <f>Table1347456[[#This Row],[treatment_mean]]/Table1347456[[#This Row],[control_mean]]</f>
        <v>0.58189655172413801</v>
      </c>
      <c r="AY12" s="14">
        <f>LN(Table1347456[[#This Row],[rr]])</f>
        <v>-0.54146259322788037</v>
      </c>
      <c r="AZ12" s="13">
        <v>3</v>
      </c>
      <c r="BA12" s="13">
        <v>3</v>
      </c>
      <c r="BB12" s="14">
        <f>0.06/3</f>
        <v>0.02</v>
      </c>
      <c r="BC12" s="14">
        <f>0.15/3</f>
        <v>4.9999999999999996E-2</v>
      </c>
      <c r="BD12" s="15">
        <f>Table1347456[[#This Row],[treatment_se]]*SQRT(Table1347456[[#This Row],[treatment_n]])</f>
        <v>3.4641016151377546E-2</v>
      </c>
      <c r="BE12" s="14">
        <f>Table1347456[[#This Row],[control_se]]*SQRT(Table1347456[[#This Row],[control_n]])</f>
        <v>8.6602540378443851E-2</v>
      </c>
      <c r="BF1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1.538899990458155E-3</v>
      </c>
      <c r="BG12" s="17">
        <f>SQRT(Table1347456[[#This Row],[v_from_sd_and_n]])</f>
        <v>3.9228815817688847E-2</v>
      </c>
      <c r="BH12" s="13" t="s">
        <v>49</v>
      </c>
      <c r="BI12" s="13">
        <v>0.52500000000000002</v>
      </c>
      <c r="BJ12" s="18">
        <f>ABS(_xlfn.NORM.S.INV(Table1347456[[#This Row],[p_value]]/2))</f>
        <v>0.63565701369758276</v>
      </c>
      <c r="BK12" s="19">
        <f>(Table1347456[[#This Row],[lnrr]]/Table1347456[[#This Row],[z_from_p]])^2</f>
        <v>0.72558990407210566</v>
      </c>
      <c r="BL12" s="16">
        <f>Table1347456[[#This Row],[v_from_sd_and_n]]</f>
        <v>1.538899990458155E-3</v>
      </c>
      <c r="BM12" s="20">
        <f>SQRT(Table1347456[[#This Row],[v]])</f>
        <v>3.9228815817688847E-2</v>
      </c>
      <c r="BN12" s="20">
        <f>Table1347456[[#This Row],[lnrr]]-(1.96*Table1347456[[#This Row],[se]])</f>
        <v>-0.61835107223055052</v>
      </c>
      <c r="BO12" s="20">
        <f>Table1347456[[#This Row],[lnrr]]+(1.96 * Table1347456[[#This Row],[se]])</f>
        <v>-0.46457411422521022</v>
      </c>
    </row>
    <row r="13" spans="1:67">
      <c r="A13" s="13" t="s">
        <v>57</v>
      </c>
      <c r="B13" s="13" t="s">
        <v>58</v>
      </c>
      <c r="C13" s="13" t="s">
        <v>43</v>
      </c>
      <c r="D13" s="13" t="s">
        <v>59</v>
      </c>
      <c r="E13" s="13" t="s">
        <v>60</v>
      </c>
      <c r="F13" s="13" t="s">
        <v>585</v>
      </c>
      <c r="H13" s="13">
        <v>22</v>
      </c>
      <c r="I13" s="13" t="s">
        <v>46</v>
      </c>
      <c r="K13" s="13" t="s">
        <v>815</v>
      </c>
      <c r="L13" s="13" t="s">
        <v>816</v>
      </c>
      <c r="N13" s="13" t="s">
        <v>66</v>
      </c>
      <c r="O13" s="13" t="s">
        <v>67</v>
      </c>
      <c r="P13" s="13" t="s">
        <v>68</v>
      </c>
      <c r="Q13" s="13" t="s">
        <v>48</v>
      </c>
      <c r="R13" s="4">
        <v>6</v>
      </c>
      <c r="S13" s="13" t="s">
        <v>595</v>
      </c>
      <c r="T13" s="13">
        <v>90</v>
      </c>
      <c r="U13" s="4" t="s">
        <v>63</v>
      </c>
      <c r="V13" s="4">
        <v>600</v>
      </c>
      <c r="W13" s="4" t="s">
        <v>602</v>
      </c>
      <c r="X13" s="4">
        <v>637</v>
      </c>
      <c r="Y13" s="4">
        <v>35</v>
      </c>
      <c r="Z13" s="4" t="s">
        <v>478</v>
      </c>
      <c r="AA13" s="4" t="s">
        <v>49</v>
      </c>
      <c r="AB13" s="4">
        <v>0</v>
      </c>
      <c r="AC13" s="4" t="s">
        <v>49</v>
      </c>
      <c r="AD13" s="4">
        <v>0</v>
      </c>
      <c r="AE13" s="4" t="s">
        <v>49</v>
      </c>
      <c r="AF13" s="4">
        <v>0</v>
      </c>
      <c r="AG13" s="4" t="s">
        <v>759</v>
      </c>
      <c r="AH13" s="4" t="s">
        <v>758</v>
      </c>
      <c r="AI13" s="4" t="s">
        <v>64</v>
      </c>
      <c r="AJ13" s="13">
        <v>0</v>
      </c>
      <c r="AK13" s="13">
        <v>10</v>
      </c>
      <c r="AL13" s="13" t="s">
        <v>479</v>
      </c>
      <c r="AM13" s="13" t="s">
        <v>480</v>
      </c>
      <c r="AO13" s="13" t="s">
        <v>481</v>
      </c>
      <c r="AP13" s="13" t="s">
        <v>49</v>
      </c>
      <c r="AQ13" s="13" t="s">
        <v>49</v>
      </c>
      <c r="AR13" s="13" t="s">
        <v>49</v>
      </c>
      <c r="AS13" s="13" t="s">
        <v>49</v>
      </c>
      <c r="AT13" s="13" t="s">
        <v>990</v>
      </c>
      <c r="AU13" s="13" t="s">
        <v>998</v>
      </c>
      <c r="AV13" s="14">
        <f>0.66/3</f>
        <v>0.22</v>
      </c>
      <c r="AW13" s="14">
        <f>1.03/3</f>
        <v>0.34333333333333332</v>
      </c>
      <c r="AX13" s="14">
        <f>Table1347456[[#This Row],[treatment_mean]]/Table1347456[[#This Row],[control_mean]]</f>
        <v>0.64077669902912626</v>
      </c>
      <c r="AY13" s="14">
        <f>LN(Table1347456[[#This Row],[rr]])</f>
        <v>-0.44507424620321018</v>
      </c>
      <c r="AZ13" s="13">
        <v>3</v>
      </c>
      <c r="BA13" s="13">
        <v>3</v>
      </c>
      <c r="BB13" s="14">
        <f>0.01/3</f>
        <v>3.3333333333333335E-3</v>
      </c>
      <c r="BC13" s="14">
        <f>0.02/3</f>
        <v>6.6666666666666671E-3</v>
      </c>
      <c r="BD13" s="15">
        <f>Table1347456[[#This Row],[treatment_se]]*SQRT(Table1347456[[#This Row],[treatment_n]])</f>
        <v>5.773502691896258E-3</v>
      </c>
      <c r="BE13" s="14">
        <f>Table1347456[[#This Row],[control_se]]*SQRT(Table1347456[[#This Row],[control_n]])</f>
        <v>1.1547005383792516E-2</v>
      </c>
      <c r="BF1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6.0660677504009502E-4</v>
      </c>
      <c r="BG13" s="17">
        <f>SQRT(Table1347456[[#This Row],[v_from_sd_and_n]])</f>
        <v>2.4629388442267402E-2</v>
      </c>
      <c r="BH13" s="13" t="s">
        <v>49</v>
      </c>
      <c r="BI13" s="13">
        <v>0.52500000000000002</v>
      </c>
      <c r="BJ13" s="18">
        <f>ABS(_xlfn.NORM.S.INV(Table1347456[[#This Row],[p_value]]/2))</f>
        <v>0.63565701369758276</v>
      </c>
      <c r="BK13" s="19">
        <f>(Table1347456[[#This Row],[lnrr]]/Table1347456[[#This Row],[z_from_p]])^2</f>
        <v>0.49025185252945847</v>
      </c>
      <c r="BL13" s="16">
        <f>Table1347456[[#This Row],[v_from_sd_and_n]]</f>
        <v>6.0660677504009502E-4</v>
      </c>
      <c r="BM13" s="20">
        <f>SQRT(Table1347456[[#This Row],[v]])</f>
        <v>2.4629388442267402E-2</v>
      </c>
      <c r="BN13" s="20">
        <f>Table1347456[[#This Row],[lnrr]]-(1.96*Table1347456[[#This Row],[se]])</f>
        <v>-0.49334784755005429</v>
      </c>
      <c r="BO13" s="20">
        <f>Table1347456[[#This Row],[lnrr]]+(1.96 * Table1347456[[#This Row],[se]])</f>
        <v>-0.39680064485636607</v>
      </c>
    </row>
    <row r="14" spans="1:67">
      <c r="A14" s="13" t="s">
        <v>57</v>
      </c>
      <c r="B14" s="13" t="s">
        <v>58</v>
      </c>
      <c r="C14" s="13" t="s">
        <v>43</v>
      </c>
      <c r="D14" s="13" t="s">
        <v>59</v>
      </c>
      <c r="E14" s="13" t="s">
        <v>60</v>
      </c>
      <c r="F14" s="13" t="s">
        <v>585</v>
      </c>
      <c r="H14" s="13">
        <v>22</v>
      </c>
      <c r="I14" s="13" t="s">
        <v>46</v>
      </c>
      <c r="K14" s="13" t="s">
        <v>815</v>
      </c>
      <c r="L14" s="13" t="s">
        <v>816</v>
      </c>
      <c r="N14" s="13" t="s">
        <v>61</v>
      </c>
      <c r="O14" s="13" t="s">
        <v>642</v>
      </c>
      <c r="P14" s="13" t="s">
        <v>62</v>
      </c>
      <c r="Q14" s="13" t="s">
        <v>48</v>
      </c>
      <c r="R14" s="4">
        <v>6</v>
      </c>
      <c r="S14" s="13" t="s">
        <v>595</v>
      </c>
      <c r="T14" s="13">
        <v>90</v>
      </c>
      <c r="U14" s="4" t="s">
        <v>63</v>
      </c>
      <c r="V14" s="4">
        <v>700</v>
      </c>
      <c r="W14" s="4" t="s">
        <v>602</v>
      </c>
      <c r="X14" s="4">
        <v>624</v>
      </c>
      <c r="Y14" s="4">
        <v>35</v>
      </c>
      <c r="Z14" s="4" t="s">
        <v>478</v>
      </c>
      <c r="AA14" s="4" t="s">
        <v>49</v>
      </c>
      <c r="AB14" s="4">
        <v>0</v>
      </c>
      <c r="AC14" s="4" t="s">
        <v>49</v>
      </c>
      <c r="AD14" s="4">
        <v>0</v>
      </c>
      <c r="AE14" s="4" t="s">
        <v>49</v>
      </c>
      <c r="AF14" s="4">
        <v>0</v>
      </c>
      <c r="AG14" s="4" t="s">
        <v>760</v>
      </c>
      <c r="AH14" s="4" t="s">
        <v>758</v>
      </c>
      <c r="AI14" s="4" t="s">
        <v>64</v>
      </c>
      <c r="AJ14" s="13">
        <v>0</v>
      </c>
      <c r="AK14" s="13">
        <v>10</v>
      </c>
      <c r="AL14" s="13" t="s">
        <v>479</v>
      </c>
      <c r="AM14" s="13" t="s">
        <v>480</v>
      </c>
      <c r="AO14" s="13" t="s">
        <v>481</v>
      </c>
      <c r="AP14" s="13" t="s">
        <v>49</v>
      </c>
      <c r="AQ14" s="13" t="s">
        <v>49</v>
      </c>
      <c r="AR14" s="13" t="s">
        <v>49</v>
      </c>
      <c r="AS14" s="13" t="s">
        <v>49</v>
      </c>
      <c r="AT14" s="13" t="s">
        <v>990</v>
      </c>
      <c r="AU14" s="13" t="s">
        <v>998</v>
      </c>
      <c r="AV14" s="14">
        <f>18.2/3000</f>
        <v>6.0666666666666664E-3</v>
      </c>
      <c r="AW14" s="14">
        <f>47.6/3000</f>
        <v>1.5866666666666668E-2</v>
      </c>
      <c r="AX14" s="14">
        <f>Table1347456[[#This Row],[treatment_mean]]/Table1347456[[#This Row],[control_mean]]</f>
        <v>0.38235294117647056</v>
      </c>
      <c r="AY14" s="14">
        <f>LN(Table1347456[[#This Row],[rr]])</f>
        <v>-0.96141116715462471</v>
      </c>
      <c r="AZ14" s="13">
        <v>3</v>
      </c>
      <c r="BA14" s="13">
        <v>3</v>
      </c>
      <c r="BB14" s="14">
        <f>0.3/3000</f>
        <v>9.9999999999999991E-5</v>
      </c>
      <c r="BC14" s="14">
        <f>0.5/3000</f>
        <v>1.6666666666666666E-4</v>
      </c>
      <c r="BD14" s="15">
        <f>Table1347456[[#This Row],[treatment_se]]*SQRT(Table1347456[[#This Row],[treatment_n]])</f>
        <v>1.732050807568877E-4</v>
      </c>
      <c r="BE14" s="14">
        <f>Table1347456[[#This Row],[control_se]]*SQRT(Table1347456[[#This Row],[control_n]])</f>
        <v>2.8867513459481284E-4</v>
      </c>
      <c r="BF1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3.8204456861059768E-4</v>
      </c>
      <c r="BG14" s="17">
        <f>SQRT(Table1347456[[#This Row],[v_from_sd_and_n]])</f>
        <v>1.9545960416684511E-2</v>
      </c>
      <c r="BH14" s="13" t="s">
        <v>49</v>
      </c>
      <c r="BI14" s="13">
        <v>0.52500000000000002</v>
      </c>
      <c r="BJ14" s="18">
        <f>ABS(_xlfn.NORM.S.INV(Table1347456[[#This Row],[p_value]]/2))</f>
        <v>0.63565701369758276</v>
      </c>
      <c r="BK14" s="19">
        <f>(Table1347456[[#This Row],[lnrr]]/Table1347456[[#This Row],[z_from_p]])^2</f>
        <v>2.2875607594984566</v>
      </c>
      <c r="BL14" s="16">
        <f>Table1347456[[#This Row],[v_from_sd_and_n]]</f>
        <v>3.8204456861059768E-4</v>
      </c>
      <c r="BM14" s="20">
        <f>SQRT(Table1347456[[#This Row],[v]])</f>
        <v>1.9545960416684511E-2</v>
      </c>
      <c r="BN14" s="20">
        <f>Table1347456[[#This Row],[lnrr]]-(1.96*Table1347456[[#This Row],[se]])</f>
        <v>-0.99972124957132635</v>
      </c>
      <c r="BO14" s="20">
        <f>Table1347456[[#This Row],[lnrr]]+(1.96 * Table1347456[[#This Row],[se]])</f>
        <v>-0.92310108473792307</v>
      </c>
    </row>
    <row r="15" spans="1:67">
      <c r="A15" s="13" t="s">
        <v>57</v>
      </c>
      <c r="B15" s="13" t="s">
        <v>58</v>
      </c>
      <c r="C15" s="13" t="s">
        <v>43</v>
      </c>
      <c r="D15" s="13" t="s">
        <v>59</v>
      </c>
      <c r="E15" s="13" t="s">
        <v>60</v>
      </c>
      <c r="F15" s="13" t="s">
        <v>585</v>
      </c>
      <c r="H15" s="13">
        <v>22</v>
      </c>
      <c r="I15" s="13" t="s">
        <v>46</v>
      </c>
      <c r="K15" s="13" t="s">
        <v>815</v>
      </c>
      <c r="L15" s="13" t="s">
        <v>816</v>
      </c>
      <c r="N15" s="13" t="s">
        <v>47</v>
      </c>
      <c r="O15" s="13" t="s">
        <v>645</v>
      </c>
      <c r="P15" s="13" t="s">
        <v>48</v>
      </c>
      <c r="Q15" s="13" t="s">
        <v>48</v>
      </c>
      <c r="R15" s="4">
        <v>6</v>
      </c>
      <c r="S15" s="13" t="s">
        <v>595</v>
      </c>
      <c r="T15" s="13">
        <v>90</v>
      </c>
      <c r="U15" s="4" t="s">
        <v>63</v>
      </c>
      <c r="V15" s="4">
        <v>700</v>
      </c>
      <c r="W15" s="4" t="s">
        <v>602</v>
      </c>
      <c r="X15" s="4">
        <v>624</v>
      </c>
      <c r="Y15" s="4">
        <v>35</v>
      </c>
      <c r="Z15" s="4" t="s">
        <v>478</v>
      </c>
      <c r="AA15" s="4" t="s">
        <v>49</v>
      </c>
      <c r="AB15" s="4">
        <v>0</v>
      </c>
      <c r="AC15" s="4" t="s">
        <v>49</v>
      </c>
      <c r="AD15" s="4">
        <v>0</v>
      </c>
      <c r="AE15" s="4" t="s">
        <v>49</v>
      </c>
      <c r="AF15" s="4">
        <v>0</v>
      </c>
      <c r="AG15" s="4" t="s">
        <v>760</v>
      </c>
      <c r="AH15" s="4" t="s">
        <v>758</v>
      </c>
      <c r="AI15" s="4" t="s">
        <v>64</v>
      </c>
      <c r="AJ15" s="13">
        <v>0</v>
      </c>
      <c r="AK15" s="13">
        <v>10</v>
      </c>
      <c r="AL15" s="13" t="s">
        <v>479</v>
      </c>
      <c r="AM15" s="13" t="s">
        <v>480</v>
      </c>
      <c r="AO15" s="13" t="s">
        <v>481</v>
      </c>
      <c r="AP15" s="13" t="s">
        <v>49</v>
      </c>
      <c r="AQ15" s="13" t="s">
        <v>49</v>
      </c>
      <c r="AR15" s="13" t="s">
        <v>49</v>
      </c>
      <c r="AS15" s="13" t="s">
        <v>49</v>
      </c>
      <c r="AT15" s="13" t="s">
        <v>990</v>
      </c>
      <c r="AU15" s="13" t="s">
        <v>998</v>
      </c>
      <c r="AV15" s="14">
        <v>0.6</v>
      </c>
      <c r="AW15" s="14">
        <v>0.59</v>
      </c>
      <c r="AX15" s="14">
        <f>Table1347456[[#This Row],[treatment_mean]]/Table1347456[[#This Row],[control_mean]]</f>
        <v>1.0169491525423728</v>
      </c>
      <c r="AY15" s="14">
        <f>LN(Table1347456[[#This Row],[rr]])</f>
        <v>1.6807118316381191E-2</v>
      </c>
      <c r="AZ15" s="13">
        <v>3</v>
      </c>
      <c r="BA15" s="13">
        <v>3</v>
      </c>
      <c r="BB15" s="14">
        <v>0.02</v>
      </c>
      <c r="BC15" s="14">
        <v>0.02</v>
      </c>
      <c r="BD15" s="15">
        <f>Table1347456[[#This Row],[treatment_se]]*SQRT(Table1347456[[#This Row],[treatment_n]])</f>
        <v>3.4641016151377546E-2</v>
      </c>
      <c r="BE15" s="14">
        <f>Table1347456[[#This Row],[control_se]]*SQRT(Table1347456[[#This Row],[control_n]])</f>
        <v>3.4641016151377546E-2</v>
      </c>
      <c r="BF1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2.2602061987296116E-3</v>
      </c>
      <c r="BG15" s="17">
        <f>SQRT(Table1347456[[#This Row],[v_from_sd_and_n]])</f>
        <v>4.7541625957991926E-2</v>
      </c>
      <c r="BH15" s="13" t="s">
        <v>49</v>
      </c>
      <c r="BI15" s="13">
        <v>0.52500000000000002</v>
      </c>
      <c r="BJ15" s="18">
        <f>ABS(_xlfn.NORM.S.INV(Table1347456[[#This Row],[p_value]]/2))</f>
        <v>0.63565701369758276</v>
      </c>
      <c r="BK15" s="19">
        <f>(Table1347456[[#This Row],[lnrr]]/Table1347456[[#This Row],[z_from_p]])^2</f>
        <v>6.9910245659639129E-4</v>
      </c>
      <c r="BL15" s="16">
        <f>Table1347456[[#This Row],[v_from_sd_and_n]]</f>
        <v>2.2602061987296116E-3</v>
      </c>
      <c r="BM15" s="20">
        <f>SQRT(Table1347456[[#This Row],[v]])</f>
        <v>4.7541625957991926E-2</v>
      </c>
      <c r="BN15" s="20">
        <f>Table1347456[[#This Row],[lnrr]]-(1.96*Table1347456[[#This Row],[se]])</f>
        <v>-7.6374468561282979E-2</v>
      </c>
      <c r="BO15" s="20">
        <f>Table1347456[[#This Row],[lnrr]]+(1.96 * Table1347456[[#This Row],[se]])</f>
        <v>0.10998870519404537</v>
      </c>
    </row>
    <row r="16" spans="1:67">
      <c r="A16" s="13" t="s">
        <v>57</v>
      </c>
      <c r="B16" s="13" t="s">
        <v>58</v>
      </c>
      <c r="C16" s="13" t="s">
        <v>43</v>
      </c>
      <c r="D16" s="13" t="s">
        <v>59</v>
      </c>
      <c r="E16" s="13" t="s">
        <v>60</v>
      </c>
      <c r="F16" s="13" t="s">
        <v>585</v>
      </c>
      <c r="H16" s="13">
        <v>22</v>
      </c>
      <c r="I16" s="13" t="s">
        <v>46</v>
      </c>
      <c r="K16" s="13" t="s">
        <v>815</v>
      </c>
      <c r="L16" s="13" t="s">
        <v>816</v>
      </c>
      <c r="N16" s="13" t="s">
        <v>65</v>
      </c>
      <c r="O16" s="13" t="s">
        <v>642</v>
      </c>
      <c r="P16" s="13" t="s">
        <v>422</v>
      </c>
      <c r="Q16" s="13" t="s">
        <v>48</v>
      </c>
      <c r="R16" s="4">
        <v>6</v>
      </c>
      <c r="S16" s="13" t="s">
        <v>595</v>
      </c>
      <c r="T16" s="13">
        <v>90</v>
      </c>
      <c r="U16" s="4" t="s">
        <v>63</v>
      </c>
      <c r="V16" s="4">
        <v>700</v>
      </c>
      <c r="W16" s="4" t="s">
        <v>602</v>
      </c>
      <c r="X16" s="4">
        <v>624</v>
      </c>
      <c r="Y16" s="4">
        <v>35</v>
      </c>
      <c r="Z16" s="4" t="s">
        <v>478</v>
      </c>
      <c r="AA16" s="4" t="s">
        <v>49</v>
      </c>
      <c r="AB16" s="4">
        <v>0</v>
      </c>
      <c r="AC16" s="4" t="s">
        <v>49</v>
      </c>
      <c r="AD16" s="4">
        <v>0</v>
      </c>
      <c r="AE16" s="4" t="s">
        <v>49</v>
      </c>
      <c r="AF16" s="4">
        <v>0</v>
      </c>
      <c r="AG16" s="4" t="s">
        <v>760</v>
      </c>
      <c r="AH16" s="4" t="s">
        <v>758</v>
      </c>
      <c r="AI16" s="4" t="s">
        <v>64</v>
      </c>
      <c r="AJ16" s="13">
        <v>0</v>
      </c>
      <c r="AK16" s="13">
        <v>10</v>
      </c>
      <c r="AL16" s="13" t="s">
        <v>479</v>
      </c>
      <c r="AM16" s="13" t="s">
        <v>480</v>
      </c>
      <c r="AO16" s="13" t="s">
        <v>481</v>
      </c>
      <c r="AP16" s="13" t="s">
        <v>49</v>
      </c>
      <c r="AQ16" s="13" t="s">
        <v>49</v>
      </c>
      <c r="AR16" s="13" t="s">
        <v>49</v>
      </c>
      <c r="AS16" s="13" t="s">
        <v>49</v>
      </c>
      <c r="AT16" s="13" t="s">
        <v>990</v>
      </c>
      <c r="AU16" s="13" t="s">
        <v>998</v>
      </c>
      <c r="AV16" s="14">
        <f>2.84/3</f>
        <v>0.94666666666666666</v>
      </c>
      <c r="AW16" s="14">
        <f>4.64/3</f>
        <v>1.5466666666666666</v>
      </c>
      <c r="AX16" s="14">
        <f>Table1347456[[#This Row],[treatment_mean]]/Table1347456[[#This Row],[control_mean]]</f>
        <v>0.61206896551724144</v>
      </c>
      <c r="AY16" s="14">
        <f>LN(Table1347456[[#This Row],[rr]])</f>
        <v>-0.49091031406504915</v>
      </c>
      <c r="AZ16" s="13">
        <v>3</v>
      </c>
      <c r="BA16" s="13">
        <v>3</v>
      </c>
      <c r="BB16" s="14">
        <f>0.04/3</f>
        <v>1.3333333333333334E-2</v>
      </c>
      <c r="BC16" s="14">
        <f>0.15/3</f>
        <v>4.9999999999999996E-2</v>
      </c>
      <c r="BD16" s="15">
        <f>Table1347456[[#This Row],[treatment_se]]*SQRT(Table1347456[[#This Row],[treatment_n]])</f>
        <v>2.3094010767585032E-2</v>
      </c>
      <c r="BE16" s="14">
        <f>Table1347456[[#This Row],[control_se]]*SQRT(Table1347456[[#This Row],[control_n]])</f>
        <v>8.6602540378443851E-2</v>
      </c>
      <c r="BF1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1.243446168587617E-3</v>
      </c>
      <c r="BG16" s="17">
        <f>SQRT(Table1347456[[#This Row],[v_from_sd_and_n]])</f>
        <v>3.5262532078505326E-2</v>
      </c>
      <c r="BH16" s="13" t="s">
        <v>49</v>
      </c>
      <c r="BI16" s="13">
        <v>0.52500000000000002</v>
      </c>
      <c r="BJ16" s="18">
        <f>ABS(_xlfn.NORM.S.INV(Table1347456[[#This Row],[p_value]]/2))</f>
        <v>0.63565701369758276</v>
      </c>
      <c r="BK16" s="19">
        <f>(Table1347456[[#This Row],[lnrr]]/Table1347456[[#This Row],[z_from_p]])^2</f>
        <v>0.59642882849812895</v>
      </c>
      <c r="BL16" s="16">
        <f>Table1347456[[#This Row],[v_from_sd_and_n]]</f>
        <v>1.243446168587617E-3</v>
      </c>
      <c r="BM16" s="20">
        <f>SQRT(Table1347456[[#This Row],[v]])</f>
        <v>3.5262532078505326E-2</v>
      </c>
      <c r="BN16" s="20">
        <f>Table1347456[[#This Row],[lnrr]]-(1.96*Table1347456[[#This Row],[se]])</f>
        <v>-0.56002487693891956</v>
      </c>
      <c r="BO16" s="20">
        <f>Table1347456[[#This Row],[lnrr]]+(1.96 * Table1347456[[#This Row],[se]])</f>
        <v>-0.42179575119117874</v>
      </c>
    </row>
    <row r="17" spans="1:67">
      <c r="A17" s="13" t="s">
        <v>57</v>
      </c>
      <c r="B17" s="13" t="s">
        <v>58</v>
      </c>
      <c r="C17" s="13" t="s">
        <v>43</v>
      </c>
      <c r="D17" s="13" t="s">
        <v>59</v>
      </c>
      <c r="E17" s="13" t="s">
        <v>60</v>
      </c>
      <c r="F17" s="13" t="s">
        <v>585</v>
      </c>
      <c r="H17" s="13">
        <v>22</v>
      </c>
      <c r="I17" s="13" t="s">
        <v>46</v>
      </c>
      <c r="K17" s="13" t="s">
        <v>815</v>
      </c>
      <c r="L17" s="13" t="s">
        <v>816</v>
      </c>
      <c r="N17" s="13" t="s">
        <v>66</v>
      </c>
      <c r="O17" s="13" t="s">
        <v>67</v>
      </c>
      <c r="P17" s="13" t="s">
        <v>68</v>
      </c>
      <c r="Q17" s="13" t="s">
        <v>48</v>
      </c>
      <c r="R17" s="4">
        <v>6</v>
      </c>
      <c r="S17" s="13" t="s">
        <v>595</v>
      </c>
      <c r="T17" s="13">
        <v>90</v>
      </c>
      <c r="U17" s="4" t="s">
        <v>63</v>
      </c>
      <c r="V17" s="4">
        <v>700</v>
      </c>
      <c r="W17" s="4" t="s">
        <v>602</v>
      </c>
      <c r="X17" s="4">
        <v>624</v>
      </c>
      <c r="Y17" s="4">
        <v>35</v>
      </c>
      <c r="Z17" s="4" t="s">
        <v>478</v>
      </c>
      <c r="AA17" s="4" t="s">
        <v>49</v>
      </c>
      <c r="AB17" s="4">
        <v>0</v>
      </c>
      <c r="AC17" s="4" t="s">
        <v>49</v>
      </c>
      <c r="AD17" s="4">
        <v>0</v>
      </c>
      <c r="AE17" s="4" t="s">
        <v>49</v>
      </c>
      <c r="AF17" s="4">
        <v>0</v>
      </c>
      <c r="AG17" s="4" t="s">
        <v>760</v>
      </c>
      <c r="AH17" s="4" t="s">
        <v>758</v>
      </c>
      <c r="AI17" s="4" t="s">
        <v>64</v>
      </c>
      <c r="AJ17" s="13">
        <v>0</v>
      </c>
      <c r="AK17" s="13">
        <v>10</v>
      </c>
      <c r="AL17" s="13" t="s">
        <v>479</v>
      </c>
      <c r="AM17" s="13" t="s">
        <v>480</v>
      </c>
      <c r="AO17" s="13" t="s">
        <v>481</v>
      </c>
      <c r="AP17" s="13" t="s">
        <v>49</v>
      </c>
      <c r="AQ17" s="13" t="s">
        <v>49</v>
      </c>
      <c r="AR17" s="13" t="s">
        <v>49</v>
      </c>
      <c r="AS17" s="13" t="s">
        <v>49</v>
      </c>
      <c r="AT17" s="13" t="s">
        <v>990</v>
      </c>
      <c r="AU17" s="13" t="s">
        <v>998</v>
      </c>
      <c r="AV17" s="14">
        <f>0.64/3</f>
        <v>0.21333333333333335</v>
      </c>
      <c r="AW17" s="14">
        <f>1.03/3</f>
        <v>0.34333333333333332</v>
      </c>
      <c r="AX17" s="14">
        <f>Table1347456[[#This Row],[treatment_mean]]/Table1347456[[#This Row],[control_mean]]</f>
        <v>0.62135922330097093</v>
      </c>
      <c r="AY17" s="14">
        <f>LN(Table1347456[[#This Row],[rr]])</f>
        <v>-0.47584590486996381</v>
      </c>
      <c r="AZ17" s="13">
        <v>3</v>
      </c>
      <c r="BA17" s="13">
        <v>3</v>
      </c>
      <c r="BB17" s="14">
        <f>0.02/3</f>
        <v>6.6666666666666671E-3</v>
      </c>
      <c r="BC17" s="14">
        <f>0.02/3</f>
        <v>6.6666666666666671E-3</v>
      </c>
      <c r="BD17" s="15">
        <f>Table1347456[[#This Row],[treatment_se]]*SQRT(Table1347456[[#This Row],[treatment_n]])</f>
        <v>1.1547005383792516E-2</v>
      </c>
      <c r="BE17" s="14">
        <f>Table1347456[[#This Row],[control_se]]*SQRT(Table1347456[[#This Row],[control_n]])</f>
        <v>1.1547005383792516E-2</v>
      </c>
      <c r="BF1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1.3536008636535015E-3</v>
      </c>
      <c r="BG17" s="17">
        <f>SQRT(Table1347456[[#This Row],[v_from_sd_and_n]])</f>
        <v>3.6791315057408611E-2</v>
      </c>
      <c r="BH17" s="13" t="s">
        <v>49</v>
      </c>
      <c r="BI17" s="13">
        <v>0.52500000000000002</v>
      </c>
      <c r="BJ17" s="18">
        <f>ABS(_xlfn.NORM.S.INV(Table1347456[[#This Row],[p_value]]/2))</f>
        <v>0.63565701369758276</v>
      </c>
      <c r="BK17" s="19">
        <f>(Table1347456[[#This Row],[lnrr]]/Table1347456[[#This Row],[z_from_p]])^2</f>
        <v>0.56038562433385064</v>
      </c>
      <c r="BL17" s="16">
        <f>Table1347456[[#This Row],[v_from_sd_and_n]]</f>
        <v>1.3536008636535015E-3</v>
      </c>
      <c r="BM17" s="20">
        <f>SQRT(Table1347456[[#This Row],[v]])</f>
        <v>3.6791315057408611E-2</v>
      </c>
      <c r="BN17" s="20">
        <f>Table1347456[[#This Row],[lnrr]]-(1.96*Table1347456[[#This Row],[se]])</f>
        <v>-0.54795688238248474</v>
      </c>
      <c r="BO17" s="20">
        <f>Table1347456[[#This Row],[lnrr]]+(1.96 * Table1347456[[#This Row],[se]])</f>
        <v>-0.40373492735744293</v>
      </c>
    </row>
    <row r="18" spans="1:67">
      <c r="A18" s="13" t="s">
        <v>57</v>
      </c>
      <c r="B18" s="13" t="s">
        <v>58</v>
      </c>
      <c r="C18" s="13" t="s">
        <v>43</v>
      </c>
      <c r="D18" s="13" t="s">
        <v>59</v>
      </c>
      <c r="E18" s="13" t="s">
        <v>60</v>
      </c>
      <c r="F18" s="13" t="s">
        <v>585</v>
      </c>
      <c r="H18" s="13">
        <v>22</v>
      </c>
      <c r="I18" s="13" t="s">
        <v>46</v>
      </c>
      <c r="K18" s="13" t="s">
        <v>815</v>
      </c>
      <c r="L18" s="13" t="s">
        <v>816</v>
      </c>
      <c r="N18" s="13" t="s">
        <v>61</v>
      </c>
      <c r="O18" s="13" t="s">
        <v>642</v>
      </c>
      <c r="P18" s="13" t="s">
        <v>62</v>
      </c>
      <c r="Q18" s="13" t="s">
        <v>48</v>
      </c>
      <c r="R18" s="4">
        <v>6</v>
      </c>
      <c r="S18" s="13" t="s">
        <v>595</v>
      </c>
      <c r="T18" s="13">
        <v>90</v>
      </c>
      <c r="U18" s="4" t="s">
        <v>63</v>
      </c>
      <c r="V18" s="4">
        <v>850</v>
      </c>
      <c r="W18" s="4" t="s">
        <v>602</v>
      </c>
      <c r="X18" s="4">
        <v>723</v>
      </c>
      <c r="Y18" s="4">
        <v>35</v>
      </c>
      <c r="Z18" s="4" t="s">
        <v>478</v>
      </c>
      <c r="AA18" s="4" t="s">
        <v>49</v>
      </c>
      <c r="AB18" s="4">
        <v>0</v>
      </c>
      <c r="AC18" s="4" t="s">
        <v>49</v>
      </c>
      <c r="AD18" s="4">
        <v>0</v>
      </c>
      <c r="AE18" s="4" t="s">
        <v>49</v>
      </c>
      <c r="AF18" s="4">
        <v>0</v>
      </c>
      <c r="AG18" s="4" t="s">
        <v>761</v>
      </c>
      <c r="AH18" s="4" t="s">
        <v>758</v>
      </c>
      <c r="AI18" s="4" t="s">
        <v>64</v>
      </c>
      <c r="AJ18" s="13">
        <v>0</v>
      </c>
      <c r="AK18" s="13">
        <v>10</v>
      </c>
      <c r="AL18" s="13" t="s">
        <v>479</v>
      </c>
      <c r="AM18" s="13" t="s">
        <v>480</v>
      </c>
      <c r="AO18" s="13" t="s">
        <v>481</v>
      </c>
      <c r="AP18" s="13" t="s">
        <v>49</v>
      </c>
      <c r="AQ18" s="13" t="s">
        <v>49</v>
      </c>
      <c r="AR18" s="13" t="s">
        <v>49</v>
      </c>
      <c r="AS18" s="13" t="s">
        <v>49</v>
      </c>
      <c r="AT18" s="13" t="s">
        <v>990</v>
      </c>
      <c r="AU18" s="13" t="s">
        <v>998</v>
      </c>
      <c r="AV18" s="14">
        <f>17.8/3000</f>
        <v>5.9333333333333339E-3</v>
      </c>
      <c r="AW18" s="14">
        <f>47.6/3000</f>
        <v>1.5866666666666668E-2</v>
      </c>
      <c r="AX18" s="14">
        <f>Table1347456[[#This Row],[treatment_mean]]/Table1347456[[#This Row],[control_mean]]</f>
        <v>0.37394957983193278</v>
      </c>
      <c r="AY18" s="14">
        <f>LN(Table1347456[[#This Row],[rr]])</f>
        <v>-0.98363430393933482</v>
      </c>
      <c r="AZ18" s="13">
        <v>3</v>
      </c>
      <c r="BA18" s="13">
        <v>3</v>
      </c>
      <c r="BB18" s="14">
        <f>0.5/3000</f>
        <v>1.6666666666666666E-4</v>
      </c>
      <c r="BC18" s="14">
        <f>0.5/3000</f>
        <v>1.6666666666666666E-4</v>
      </c>
      <c r="BD18" s="15">
        <f>Table1347456[[#This Row],[treatment_se]]*SQRT(Table1347456[[#This Row],[treatment_n]])</f>
        <v>2.8867513459481284E-4</v>
      </c>
      <c r="BE18" s="14">
        <f>Table1347456[[#This Row],[control_se]]*SQRT(Table1347456[[#This Row],[control_n]])</f>
        <v>2.8867513459481284E-4</v>
      </c>
      <c r="BF1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8.9938004060131178E-4</v>
      </c>
      <c r="BG18" s="17">
        <f>SQRT(Table1347456[[#This Row],[v_from_sd_and_n]])</f>
        <v>2.9989665563345515E-2</v>
      </c>
      <c r="BH18" s="13" t="s">
        <v>49</v>
      </c>
      <c r="BI18" s="13">
        <v>0.52500000000000002</v>
      </c>
      <c r="BJ18" s="18">
        <f>ABS(_xlfn.NORM.S.INV(Table1347456[[#This Row],[p_value]]/2))</f>
        <v>0.63565701369758276</v>
      </c>
      <c r="BK18" s="19">
        <f>(Table1347456[[#This Row],[lnrr]]/Table1347456[[#This Row],[z_from_p]])^2</f>
        <v>2.394537517339193</v>
      </c>
      <c r="BL18" s="16">
        <f>Table1347456[[#This Row],[v_from_sd_and_n]]</f>
        <v>8.9938004060131178E-4</v>
      </c>
      <c r="BM18" s="20">
        <f>SQRT(Table1347456[[#This Row],[v]])</f>
        <v>2.9989665563345515E-2</v>
      </c>
      <c r="BN18" s="20">
        <f>Table1347456[[#This Row],[lnrr]]-(1.96*Table1347456[[#This Row],[se]])</f>
        <v>-1.0424140484434921</v>
      </c>
      <c r="BO18" s="20">
        <f>Table1347456[[#This Row],[lnrr]]+(1.96 * Table1347456[[#This Row],[se]])</f>
        <v>-0.92485455943517758</v>
      </c>
    </row>
    <row r="19" spans="1:67">
      <c r="A19" s="13" t="s">
        <v>57</v>
      </c>
      <c r="B19" s="13" t="s">
        <v>58</v>
      </c>
      <c r="C19" s="13" t="s">
        <v>43</v>
      </c>
      <c r="D19" s="13" t="s">
        <v>59</v>
      </c>
      <c r="E19" s="13" t="s">
        <v>60</v>
      </c>
      <c r="F19" s="13" t="s">
        <v>585</v>
      </c>
      <c r="H19" s="13">
        <v>22</v>
      </c>
      <c r="I19" s="13" t="s">
        <v>46</v>
      </c>
      <c r="K19" s="13" t="s">
        <v>815</v>
      </c>
      <c r="L19" s="13" t="s">
        <v>816</v>
      </c>
      <c r="N19" s="13" t="s">
        <v>47</v>
      </c>
      <c r="O19" s="13" t="s">
        <v>645</v>
      </c>
      <c r="P19" s="13" t="s">
        <v>48</v>
      </c>
      <c r="Q19" s="13" t="s">
        <v>48</v>
      </c>
      <c r="R19" s="4">
        <v>6</v>
      </c>
      <c r="S19" s="13" t="s">
        <v>595</v>
      </c>
      <c r="T19" s="13">
        <v>90</v>
      </c>
      <c r="U19" s="4" t="s">
        <v>63</v>
      </c>
      <c r="V19" s="4">
        <v>850</v>
      </c>
      <c r="W19" s="4" t="s">
        <v>602</v>
      </c>
      <c r="X19" s="4">
        <v>723</v>
      </c>
      <c r="Y19" s="4">
        <v>35</v>
      </c>
      <c r="Z19" s="4" t="s">
        <v>478</v>
      </c>
      <c r="AA19" s="4" t="s">
        <v>49</v>
      </c>
      <c r="AB19" s="4">
        <v>0</v>
      </c>
      <c r="AC19" s="4" t="s">
        <v>49</v>
      </c>
      <c r="AD19" s="4">
        <v>0</v>
      </c>
      <c r="AE19" s="4" t="s">
        <v>49</v>
      </c>
      <c r="AF19" s="4">
        <v>0</v>
      </c>
      <c r="AG19" s="4" t="s">
        <v>761</v>
      </c>
      <c r="AH19" s="4" t="s">
        <v>758</v>
      </c>
      <c r="AI19" s="4" t="s">
        <v>64</v>
      </c>
      <c r="AJ19" s="13">
        <v>0</v>
      </c>
      <c r="AK19" s="13">
        <v>10</v>
      </c>
      <c r="AL19" s="13" t="s">
        <v>479</v>
      </c>
      <c r="AM19" s="13" t="s">
        <v>480</v>
      </c>
      <c r="AO19" s="13" t="s">
        <v>481</v>
      </c>
      <c r="AP19" s="13" t="s">
        <v>49</v>
      </c>
      <c r="AQ19" s="13" t="s">
        <v>49</v>
      </c>
      <c r="AR19" s="13" t="s">
        <v>49</v>
      </c>
      <c r="AS19" s="13" t="s">
        <v>49</v>
      </c>
      <c r="AT19" s="13" t="s">
        <v>990</v>
      </c>
      <c r="AU19" s="13" t="s">
        <v>998</v>
      </c>
      <c r="AV19" s="14">
        <v>0.61</v>
      </c>
      <c r="AW19" s="14">
        <v>0.59</v>
      </c>
      <c r="AX19" s="14">
        <f>Table1347456[[#This Row],[treatment_mean]]/Table1347456[[#This Row],[control_mean]]</f>
        <v>1.0338983050847459</v>
      </c>
      <c r="AY19" s="14">
        <f>LN(Table1347456[[#This Row],[rr]])</f>
        <v>3.3336420267591926E-2</v>
      </c>
      <c r="AZ19" s="13">
        <v>3</v>
      </c>
      <c r="BA19" s="13">
        <v>3</v>
      </c>
      <c r="BB19" s="14">
        <v>0.03</v>
      </c>
      <c r="BC19" s="14">
        <v>0.02</v>
      </c>
      <c r="BD19" s="15">
        <f>Table1347456[[#This Row],[treatment_se]]*SQRT(Table1347456[[#This Row],[treatment_n]])</f>
        <v>5.1961524227066312E-2</v>
      </c>
      <c r="BE19" s="14">
        <f>Table1347456[[#This Row],[control_se]]*SQRT(Table1347456[[#This Row],[control_n]])</f>
        <v>3.4641016151377546E-2</v>
      </c>
      <c r="BF1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3.5677997369063263E-3</v>
      </c>
      <c r="BG19" s="17">
        <f>SQRT(Table1347456[[#This Row],[v_from_sd_and_n]])</f>
        <v>5.9731061742667242E-2</v>
      </c>
      <c r="BH19" s="13" t="s">
        <v>49</v>
      </c>
      <c r="BI19" s="13">
        <v>0.52500000000000002</v>
      </c>
      <c r="BJ19" s="18">
        <f>ABS(_xlfn.NORM.S.INV(Table1347456[[#This Row],[p_value]]/2))</f>
        <v>0.63565701369758276</v>
      </c>
      <c r="BK19" s="19">
        <f>(Table1347456[[#This Row],[lnrr]]/Table1347456[[#This Row],[z_from_p]])^2</f>
        <v>2.7503770699775871E-3</v>
      </c>
      <c r="BL19" s="16">
        <f>Table1347456[[#This Row],[v_from_sd_and_n]]</f>
        <v>3.5677997369063263E-3</v>
      </c>
      <c r="BM19" s="20">
        <f>SQRT(Table1347456[[#This Row],[v]])</f>
        <v>5.9731061742667242E-2</v>
      </c>
      <c r="BN19" s="20">
        <f>Table1347456[[#This Row],[lnrr]]-(1.96*Table1347456[[#This Row],[se]])</f>
        <v>-8.3736460748035868E-2</v>
      </c>
      <c r="BO19" s="20">
        <f>Table1347456[[#This Row],[lnrr]]+(1.96 * Table1347456[[#This Row],[se]])</f>
        <v>0.15040930128321972</v>
      </c>
    </row>
    <row r="20" spans="1:67">
      <c r="A20" s="13" t="s">
        <v>57</v>
      </c>
      <c r="B20" s="13" t="s">
        <v>58</v>
      </c>
      <c r="C20" s="13" t="s">
        <v>43</v>
      </c>
      <c r="D20" s="13" t="s">
        <v>59</v>
      </c>
      <c r="E20" s="13" t="s">
        <v>60</v>
      </c>
      <c r="F20" s="13" t="s">
        <v>585</v>
      </c>
      <c r="H20" s="13">
        <v>22</v>
      </c>
      <c r="I20" s="13" t="s">
        <v>46</v>
      </c>
      <c r="K20" s="13" t="s">
        <v>815</v>
      </c>
      <c r="L20" s="13" t="s">
        <v>816</v>
      </c>
      <c r="N20" s="13" t="s">
        <v>65</v>
      </c>
      <c r="O20" s="13" t="s">
        <v>642</v>
      </c>
      <c r="P20" s="13" t="s">
        <v>422</v>
      </c>
      <c r="Q20" s="13" t="s">
        <v>48</v>
      </c>
      <c r="R20" s="4">
        <v>6</v>
      </c>
      <c r="S20" s="13" t="s">
        <v>595</v>
      </c>
      <c r="T20" s="13">
        <v>90</v>
      </c>
      <c r="U20" s="4" t="s">
        <v>63</v>
      </c>
      <c r="V20" s="4">
        <v>850</v>
      </c>
      <c r="W20" s="4" t="s">
        <v>602</v>
      </c>
      <c r="X20" s="4">
        <v>723</v>
      </c>
      <c r="Y20" s="4">
        <v>35</v>
      </c>
      <c r="Z20" s="4" t="s">
        <v>478</v>
      </c>
      <c r="AA20" s="4" t="s">
        <v>49</v>
      </c>
      <c r="AB20" s="4">
        <v>0</v>
      </c>
      <c r="AC20" s="4" t="s">
        <v>49</v>
      </c>
      <c r="AD20" s="4">
        <v>0</v>
      </c>
      <c r="AE20" s="4" t="s">
        <v>49</v>
      </c>
      <c r="AF20" s="4">
        <v>0</v>
      </c>
      <c r="AG20" s="4" t="s">
        <v>761</v>
      </c>
      <c r="AH20" s="4" t="s">
        <v>758</v>
      </c>
      <c r="AI20" s="4" t="s">
        <v>64</v>
      </c>
      <c r="AJ20" s="13">
        <v>0</v>
      </c>
      <c r="AK20" s="13">
        <v>10</v>
      </c>
      <c r="AL20" s="13" t="s">
        <v>479</v>
      </c>
      <c r="AM20" s="13" t="s">
        <v>480</v>
      </c>
      <c r="AO20" s="13" t="s">
        <v>481</v>
      </c>
      <c r="AP20" s="13" t="s">
        <v>49</v>
      </c>
      <c r="AQ20" s="13" t="s">
        <v>49</v>
      </c>
      <c r="AR20" s="13" t="s">
        <v>49</v>
      </c>
      <c r="AS20" s="13" t="s">
        <v>49</v>
      </c>
      <c r="AT20" s="13" t="s">
        <v>990</v>
      </c>
      <c r="AU20" s="13" t="s">
        <v>998</v>
      </c>
      <c r="AV20" s="14">
        <f>2.86/3</f>
        <v>0.95333333333333325</v>
      </c>
      <c r="AW20" s="14">
        <f>4.64/3</f>
        <v>1.5466666666666666</v>
      </c>
      <c r="AX20" s="14">
        <f>Table1347456[[#This Row],[treatment_mean]]/Table1347456[[#This Row],[control_mean]]</f>
        <v>0.61637931034482751</v>
      </c>
      <c r="AY20" s="14">
        <f>LN(Table1347456[[#This Row],[rr]])</f>
        <v>-0.48389274140640282</v>
      </c>
      <c r="AZ20" s="13">
        <v>3</v>
      </c>
      <c r="BA20" s="13">
        <v>3</v>
      </c>
      <c r="BB20" s="14">
        <f>0.19/3</f>
        <v>6.3333333333333339E-2</v>
      </c>
      <c r="BC20" s="14">
        <f>0.15/3</f>
        <v>4.9999999999999996E-2</v>
      </c>
      <c r="BD20" s="15">
        <f>Table1347456[[#This Row],[treatment_se]]*SQRT(Table1347456[[#This Row],[treatment_n]])</f>
        <v>0.1096965511460289</v>
      </c>
      <c r="BE20" s="14">
        <f>Table1347456[[#This Row],[control_se]]*SQRT(Table1347456[[#This Row],[control_n]])</f>
        <v>8.6602540378443851E-2</v>
      </c>
      <c r="BF2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5.4584915790474135E-3</v>
      </c>
      <c r="BG20" s="17">
        <f>SQRT(Table1347456[[#This Row],[v_from_sd_and_n]])</f>
        <v>7.3881605146662949E-2</v>
      </c>
      <c r="BH20" s="13" t="s">
        <v>49</v>
      </c>
      <c r="BI20" s="13">
        <v>0.52500000000000002</v>
      </c>
      <c r="BJ20" s="18">
        <f>ABS(_xlfn.NORM.S.INV(Table1347456[[#This Row],[p_value]]/2))</f>
        <v>0.63565701369758276</v>
      </c>
      <c r="BK20" s="19">
        <f>(Table1347456[[#This Row],[lnrr]]/Table1347456[[#This Row],[z_from_p]])^2</f>
        <v>0.57949878346938755</v>
      </c>
      <c r="BL20" s="16">
        <f>Table1347456[[#This Row],[v_from_sd_and_n]]</f>
        <v>5.4584915790474135E-3</v>
      </c>
      <c r="BM20" s="20">
        <f>SQRT(Table1347456[[#This Row],[v]])</f>
        <v>7.3881605146662949E-2</v>
      </c>
      <c r="BN20" s="20">
        <f>Table1347456[[#This Row],[lnrr]]-(1.96*Table1347456[[#This Row],[se]])</f>
        <v>-0.62870068749386221</v>
      </c>
      <c r="BO20" s="20">
        <f>Table1347456[[#This Row],[lnrr]]+(1.96 * Table1347456[[#This Row],[se]])</f>
        <v>-0.33908479531894342</v>
      </c>
    </row>
    <row r="21" spans="1:67">
      <c r="A21" s="13" t="s">
        <v>57</v>
      </c>
      <c r="B21" s="13" t="s">
        <v>58</v>
      </c>
      <c r="C21" s="13" t="s">
        <v>43</v>
      </c>
      <c r="D21" s="13" t="s">
        <v>59</v>
      </c>
      <c r="E21" s="13" t="s">
        <v>60</v>
      </c>
      <c r="F21" s="13" t="s">
        <v>585</v>
      </c>
      <c r="H21" s="13">
        <v>22</v>
      </c>
      <c r="I21" s="13" t="s">
        <v>46</v>
      </c>
      <c r="K21" s="13" t="s">
        <v>815</v>
      </c>
      <c r="L21" s="13" t="s">
        <v>816</v>
      </c>
      <c r="N21" s="13" t="s">
        <v>66</v>
      </c>
      <c r="O21" s="13" t="s">
        <v>67</v>
      </c>
      <c r="P21" s="13" t="s">
        <v>68</v>
      </c>
      <c r="Q21" s="13" t="s">
        <v>48</v>
      </c>
      <c r="R21" s="4">
        <v>6</v>
      </c>
      <c r="S21" s="13" t="s">
        <v>595</v>
      </c>
      <c r="T21" s="13">
        <v>90</v>
      </c>
      <c r="U21" s="4" t="s">
        <v>63</v>
      </c>
      <c r="V21" s="4">
        <v>850</v>
      </c>
      <c r="W21" s="4" t="s">
        <v>602</v>
      </c>
      <c r="X21" s="4">
        <v>723</v>
      </c>
      <c r="Y21" s="4">
        <v>35</v>
      </c>
      <c r="Z21" s="4" t="s">
        <v>478</v>
      </c>
      <c r="AA21" s="4" t="s">
        <v>49</v>
      </c>
      <c r="AB21" s="4">
        <v>0</v>
      </c>
      <c r="AC21" s="4" t="s">
        <v>49</v>
      </c>
      <c r="AD21" s="4">
        <v>0</v>
      </c>
      <c r="AE21" s="4" t="s">
        <v>49</v>
      </c>
      <c r="AF21" s="4">
        <v>0</v>
      </c>
      <c r="AG21" s="4" t="s">
        <v>761</v>
      </c>
      <c r="AH21" s="4" t="s">
        <v>758</v>
      </c>
      <c r="AI21" s="4" t="s">
        <v>64</v>
      </c>
      <c r="AJ21" s="13">
        <v>0</v>
      </c>
      <c r="AK21" s="13">
        <v>10</v>
      </c>
      <c r="AL21" s="13" t="s">
        <v>479</v>
      </c>
      <c r="AM21" s="13" t="s">
        <v>480</v>
      </c>
      <c r="AO21" s="13" t="s">
        <v>481</v>
      </c>
      <c r="AP21" s="13" t="s">
        <v>49</v>
      </c>
      <c r="AQ21" s="13" t="s">
        <v>49</v>
      </c>
      <c r="AR21" s="13" t="s">
        <v>49</v>
      </c>
      <c r="AS21" s="13" t="s">
        <v>49</v>
      </c>
      <c r="AT21" s="13" t="s">
        <v>990</v>
      </c>
      <c r="AU21" s="13" t="s">
        <v>998</v>
      </c>
      <c r="AV21" s="14">
        <f>0.63/3</f>
        <v>0.21</v>
      </c>
      <c r="AW21" s="14">
        <f>1.03/3</f>
        <v>0.34333333333333332</v>
      </c>
      <c r="AX21" s="14">
        <f>Table1347456[[#This Row],[treatment_mean]]/Table1347456[[#This Row],[control_mean]]</f>
        <v>0.61165048543689315</v>
      </c>
      <c r="AY21" s="14">
        <f>LN(Table1347456[[#This Row],[rr]])</f>
        <v>-0.49159426183810317</v>
      </c>
      <c r="AZ21" s="13">
        <v>3</v>
      </c>
      <c r="BA21" s="13">
        <v>3</v>
      </c>
      <c r="BB21" s="14">
        <f>0.03/3</f>
        <v>0.01</v>
      </c>
      <c r="BC21" s="14">
        <f>0.02/3</f>
        <v>6.6666666666666671E-3</v>
      </c>
      <c r="BD21" s="15">
        <f>Table1347456[[#This Row],[treatment_se]]*SQRT(Table1347456[[#This Row],[treatment_n]])</f>
        <v>1.7320508075688773E-2</v>
      </c>
      <c r="BE21" s="14">
        <f>Table1347456[[#This Row],[control_se]]*SQRT(Table1347456[[#This Row],[control_n]])</f>
        <v>1.1547005383792516E-2</v>
      </c>
      <c r="BF2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2.6446120597986272E-3</v>
      </c>
      <c r="BG21" s="17">
        <f>SQRT(Table1347456[[#This Row],[v_from_sd_and_n]])</f>
        <v>5.1425791776098372E-2</v>
      </c>
      <c r="BH21" s="13" t="s">
        <v>49</v>
      </c>
      <c r="BI21" s="13">
        <v>0.52500000000000002</v>
      </c>
      <c r="BJ21" s="18">
        <f>ABS(_xlfn.NORM.S.INV(Table1347456[[#This Row],[p_value]]/2))</f>
        <v>0.63565701369758276</v>
      </c>
      <c r="BK21" s="19">
        <f>(Table1347456[[#This Row],[lnrr]]/Table1347456[[#This Row],[z_from_p]])^2</f>
        <v>0.59809190349776953</v>
      </c>
      <c r="BL21" s="16">
        <f>Table1347456[[#This Row],[v_from_sd_and_n]]</f>
        <v>2.6446120597986272E-3</v>
      </c>
      <c r="BM21" s="20">
        <f>SQRT(Table1347456[[#This Row],[v]])</f>
        <v>5.1425791776098372E-2</v>
      </c>
      <c r="BN21" s="20">
        <f>Table1347456[[#This Row],[lnrr]]-(1.96*Table1347456[[#This Row],[se]])</f>
        <v>-0.592388813719256</v>
      </c>
      <c r="BO21" s="20">
        <f>Table1347456[[#This Row],[lnrr]]+(1.96 * Table1347456[[#This Row],[se]])</f>
        <v>-0.39079970995695035</v>
      </c>
    </row>
    <row r="22" spans="1:67">
      <c r="A22" s="13" t="s">
        <v>57</v>
      </c>
      <c r="B22" s="13" t="s">
        <v>58</v>
      </c>
      <c r="C22" s="13" t="s">
        <v>43</v>
      </c>
      <c r="D22" s="13" t="s">
        <v>59</v>
      </c>
      <c r="E22" s="13" t="s">
        <v>60</v>
      </c>
      <c r="F22" s="13" t="s">
        <v>585</v>
      </c>
      <c r="H22" s="13">
        <v>22</v>
      </c>
      <c r="I22" s="13" t="s">
        <v>46</v>
      </c>
      <c r="K22" s="13" t="s">
        <v>815</v>
      </c>
      <c r="L22" s="13" t="s">
        <v>816</v>
      </c>
      <c r="N22" s="13" t="s">
        <v>61</v>
      </c>
      <c r="O22" s="13" t="s">
        <v>642</v>
      </c>
      <c r="P22" s="13" t="s">
        <v>62</v>
      </c>
      <c r="Q22" s="13" t="s">
        <v>48</v>
      </c>
      <c r="R22" s="4">
        <v>6</v>
      </c>
      <c r="S22" s="13" t="s">
        <v>595</v>
      </c>
      <c r="T22" s="13">
        <v>90</v>
      </c>
      <c r="U22" s="4" t="s">
        <v>63</v>
      </c>
      <c r="V22" s="4">
        <v>950</v>
      </c>
      <c r="W22" s="4" t="s">
        <v>602</v>
      </c>
      <c r="X22" s="4">
        <v>701</v>
      </c>
      <c r="Y22" s="4">
        <v>35</v>
      </c>
      <c r="Z22" s="4" t="s">
        <v>478</v>
      </c>
      <c r="AA22" s="4" t="s">
        <v>49</v>
      </c>
      <c r="AB22" s="4">
        <v>0</v>
      </c>
      <c r="AC22" s="4" t="s">
        <v>49</v>
      </c>
      <c r="AD22" s="4">
        <v>0</v>
      </c>
      <c r="AE22" s="4" t="s">
        <v>49</v>
      </c>
      <c r="AF22" s="4">
        <v>0</v>
      </c>
      <c r="AG22" s="4" t="s">
        <v>762</v>
      </c>
      <c r="AH22" s="4" t="s">
        <v>758</v>
      </c>
      <c r="AI22" s="4" t="s">
        <v>64</v>
      </c>
      <c r="AJ22" s="13">
        <v>0</v>
      </c>
      <c r="AK22" s="13">
        <v>10</v>
      </c>
      <c r="AL22" s="13" t="s">
        <v>479</v>
      </c>
      <c r="AM22" s="13" t="s">
        <v>480</v>
      </c>
      <c r="AO22" s="13" t="s">
        <v>481</v>
      </c>
      <c r="AP22" s="13" t="s">
        <v>49</v>
      </c>
      <c r="AQ22" s="13" t="s">
        <v>49</v>
      </c>
      <c r="AR22" s="13" t="s">
        <v>49</v>
      </c>
      <c r="AS22" s="13" t="s">
        <v>49</v>
      </c>
      <c r="AT22" s="13" t="s">
        <v>990</v>
      </c>
      <c r="AU22" s="13" t="s">
        <v>998</v>
      </c>
      <c r="AV22" s="14">
        <f>17.7/3000</f>
        <v>5.8999999999999999E-3</v>
      </c>
      <c r="AW22" s="14">
        <f>47.6/3000</f>
        <v>1.5866666666666668E-2</v>
      </c>
      <c r="AX22" s="14">
        <f>Table1347456[[#This Row],[treatment_mean]]/Table1347456[[#This Row],[control_mean]]</f>
        <v>0.37184873949579828</v>
      </c>
      <c r="AY22" s="14">
        <f>LN(Table1347456[[#This Row],[rr]])</f>
        <v>-0.98926812165759093</v>
      </c>
      <c r="AZ22" s="13">
        <v>3</v>
      </c>
      <c r="BA22" s="13">
        <v>3</v>
      </c>
      <c r="BB22" s="14">
        <f>0.7/3000</f>
        <v>2.3333333333333333E-4</v>
      </c>
      <c r="BC22" s="14">
        <f>0.5/3000</f>
        <v>1.6666666666666666E-4</v>
      </c>
      <c r="BD22" s="15">
        <f>Table1347456[[#This Row],[treatment_se]]*SQRT(Table1347456[[#This Row],[treatment_n]])</f>
        <v>4.0414518843273801E-4</v>
      </c>
      <c r="BE22" s="14">
        <f>Table1347456[[#This Row],[control_se]]*SQRT(Table1347456[[#This Row],[control_n]])</f>
        <v>2.8867513459481284E-4</v>
      </c>
      <c r="BF2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1.6743843444289746E-3</v>
      </c>
      <c r="BG22" s="17">
        <f>SQRT(Table1347456[[#This Row],[v_from_sd_and_n]])</f>
        <v>4.0919241738196645E-2</v>
      </c>
      <c r="BH22" s="13" t="s">
        <v>49</v>
      </c>
      <c r="BI22" s="13">
        <v>0.52500000000000002</v>
      </c>
      <c r="BJ22" s="18">
        <f>ABS(_xlfn.NORM.S.INV(Table1347456[[#This Row],[p_value]]/2))</f>
        <v>0.63565701369758276</v>
      </c>
      <c r="BK22" s="19">
        <f>(Table1347456[[#This Row],[lnrr]]/Table1347456[[#This Row],[z_from_p]])^2</f>
        <v>2.4220457514351517</v>
      </c>
      <c r="BL22" s="16">
        <f>Table1347456[[#This Row],[v_from_sd_and_n]]</f>
        <v>1.6743843444289746E-3</v>
      </c>
      <c r="BM22" s="20">
        <f>SQRT(Table1347456[[#This Row],[v]])</f>
        <v>4.0919241738196645E-2</v>
      </c>
      <c r="BN22" s="20">
        <f>Table1347456[[#This Row],[lnrr]]-(1.96*Table1347456[[#This Row],[se]])</f>
        <v>-1.0694698354644563</v>
      </c>
      <c r="BO22" s="20">
        <f>Table1347456[[#This Row],[lnrr]]+(1.96 * Table1347456[[#This Row],[se]])</f>
        <v>-0.90906640785072557</v>
      </c>
    </row>
    <row r="23" spans="1:67">
      <c r="A23" s="13" t="s">
        <v>57</v>
      </c>
      <c r="B23" s="13" t="s">
        <v>58</v>
      </c>
      <c r="C23" s="13" t="s">
        <v>43</v>
      </c>
      <c r="D23" s="13" t="s">
        <v>59</v>
      </c>
      <c r="E23" s="13" t="s">
        <v>60</v>
      </c>
      <c r="F23" s="13" t="s">
        <v>585</v>
      </c>
      <c r="H23" s="13">
        <v>22</v>
      </c>
      <c r="I23" s="13" t="s">
        <v>46</v>
      </c>
      <c r="K23" s="13" t="s">
        <v>815</v>
      </c>
      <c r="L23" s="13" t="s">
        <v>816</v>
      </c>
      <c r="N23" s="13" t="s">
        <v>47</v>
      </c>
      <c r="O23" s="13" t="s">
        <v>645</v>
      </c>
      <c r="P23" s="13" t="s">
        <v>48</v>
      </c>
      <c r="Q23" s="13" t="s">
        <v>48</v>
      </c>
      <c r="R23" s="4">
        <v>6</v>
      </c>
      <c r="S23" s="13" t="s">
        <v>595</v>
      </c>
      <c r="T23" s="13">
        <v>90</v>
      </c>
      <c r="U23" s="4" t="s">
        <v>63</v>
      </c>
      <c r="V23" s="4">
        <v>950</v>
      </c>
      <c r="W23" s="4" t="s">
        <v>602</v>
      </c>
      <c r="X23" s="4">
        <v>701</v>
      </c>
      <c r="Y23" s="4">
        <v>35</v>
      </c>
      <c r="Z23" s="4" t="s">
        <v>478</v>
      </c>
      <c r="AA23" s="4" t="s">
        <v>49</v>
      </c>
      <c r="AB23" s="4">
        <v>0</v>
      </c>
      <c r="AC23" s="4" t="s">
        <v>49</v>
      </c>
      <c r="AD23" s="4">
        <v>0</v>
      </c>
      <c r="AE23" s="4" t="s">
        <v>49</v>
      </c>
      <c r="AF23" s="4">
        <v>0</v>
      </c>
      <c r="AG23" s="4" t="s">
        <v>762</v>
      </c>
      <c r="AH23" s="4" t="s">
        <v>758</v>
      </c>
      <c r="AI23" s="4" t="s">
        <v>64</v>
      </c>
      <c r="AJ23" s="13">
        <v>0</v>
      </c>
      <c r="AK23" s="13">
        <v>10</v>
      </c>
      <c r="AL23" s="13" t="s">
        <v>479</v>
      </c>
      <c r="AM23" s="13" t="s">
        <v>480</v>
      </c>
      <c r="AO23" s="13" t="s">
        <v>481</v>
      </c>
      <c r="AP23" s="13" t="s">
        <v>49</v>
      </c>
      <c r="AQ23" s="13" t="s">
        <v>49</v>
      </c>
      <c r="AR23" s="13" t="s">
        <v>49</v>
      </c>
      <c r="AS23" s="13" t="s">
        <v>49</v>
      </c>
      <c r="AT23" s="13" t="s">
        <v>990</v>
      </c>
      <c r="AU23" s="13" t="s">
        <v>998</v>
      </c>
      <c r="AV23" s="14">
        <v>0.61</v>
      </c>
      <c r="AW23" s="14">
        <v>0.59</v>
      </c>
      <c r="AX23" s="14">
        <f>Table1347456[[#This Row],[treatment_mean]]/Table1347456[[#This Row],[control_mean]]</f>
        <v>1.0338983050847459</v>
      </c>
      <c r="AY23" s="14">
        <f>LN(Table1347456[[#This Row],[rr]])</f>
        <v>3.3336420267591926E-2</v>
      </c>
      <c r="AZ23" s="13">
        <v>3</v>
      </c>
      <c r="BA23" s="13">
        <v>3</v>
      </c>
      <c r="BB23" s="14">
        <v>0.01</v>
      </c>
      <c r="BC23" s="14">
        <v>0.02</v>
      </c>
      <c r="BD23" s="15">
        <f>Table1347456[[#This Row],[treatment_se]]*SQRT(Table1347456[[#This Row],[treatment_n]])</f>
        <v>1.7320508075688773E-2</v>
      </c>
      <c r="BE23" s="14">
        <f>Table1347456[[#This Row],[control_se]]*SQRT(Table1347456[[#This Row],[control_n]])</f>
        <v>3.4641016151377546E-2</v>
      </c>
      <c r="BF2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1.4178400486504815E-3</v>
      </c>
      <c r="BG23" s="17">
        <f>SQRT(Table1347456[[#This Row],[v_from_sd_and_n]])</f>
        <v>3.7654216877402745E-2</v>
      </c>
      <c r="BH23" s="13" t="s">
        <v>49</v>
      </c>
      <c r="BI23" s="13">
        <v>0.52500000000000002</v>
      </c>
      <c r="BJ23" s="18">
        <f>ABS(_xlfn.NORM.S.INV(Table1347456[[#This Row],[p_value]]/2))</f>
        <v>0.63565701369758276</v>
      </c>
      <c r="BK23" s="19">
        <f>(Table1347456[[#This Row],[lnrr]]/Table1347456[[#This Row],[z_from_p]])^2</f>
        <v>2.7503770699775871E-3</v>
      </c>
      <c r="BL23" s="16">
        <f>Table1347456[[#This Row],[v_from_sd_and_n]]</f>
        <v>1.4178400486504815E-3</v>
      </c>
      <c r="BM23" s="20">
        <f>SQRT(Table1347456[[#This Row],[v]])</f>
        <v>3.7654216877402745E-2</v>
      </c>
      <c r="BN23" s="20">
        <f>Table1347456[[#This Row],[lnrr]]-(1.96*Table1347456[[#This Row],[se]])</f>
        <v>-4.0465844812117457E-2</v>
      </c>
      <c r="BO23" s="20">
        <f>Table1347456[[#This Row],[lnrr]]+(1.96 * Table1347456[[#This Row],[se]])</f>
        <v>0.10713868534730131</v>
      </c>
    </row>
    <row r="24" spans="1:67">
      <c r="A24" s="13" t="s">
        <v>57</v>
      </c>
      <c r="B24" s="13" t="s">
        <v>58</v>
      </c>
      <c r="C24" s="13" t="s">
        <v>43</v>
      </c>
      <c r="D24" s="13" t="s">
        <v>59</v>
      </c>
      <c r="E24" s="13" t="s">
        <v>60</v>
      </c>
      <c r="F24" s="13" t="s">
        <v>585</v>
      </c>
      <c r="H24" s="13">
        <v>22</v>
      </c>
      <c r="I24" s="13" t="s">
        <v>46</v>
      </c>
      <c r="K24" s="13" t="s">
        <v>815</v>
      </c>
      <c r="L24" s="13" t="s">
        <v>816</v>
      </c>
      <c r="N24" s="13" t="s">
        <v>65</v>
      </c>
      <c r="O24" s="13" t="s">
        <v>642</v>
      </c>
      <c r="P24" s="13" t="s">
        <v>422</v>
      </c>
      <c r="Q24" s="13" t="s">
        <v>48</v>
      </c>
      <c r="R24" s="4">
        <v>6</v>
      </c>
      <c r="S24" s="13" t="s">
        <v>595</v>
      </c>
      <c r="T24" s="13">
        <v>90</v>
      </c>
      <c r="U24" s="4" t="s">
        <v>63</v>
      </c>
      <c r="V24" s="4">
        <v>950</v>
      </c>
      <c r="W24" s="4" t="s">
        <v>602</v>
      </c>
      <c r="X24" s="4">
        <v>701</v>
      </c>
      <c r="Y24" s="4">
        <v>35</v>
      </c>
      <c r="Z24" s="4" t="s">
        <v>478</v>
      </c>
      <c r="AA24" s="4" t="s">
        <v>49</v>
      </c>
      <c r="AB24" s="4">
        <v>0</v>
      </c>
      <c r="AC24" s="4" t="s">
        <v>49</v>
      </c>
      <c r="AD24" s="4">
        <v>0</v>
      </c>
      <c r="AE24" s="4" t="s">
        <v>49</v>
      </c>
      <c r="AF24" s="4">
        <v>0</v>
      </c>
      <c r="AG24" s="4" t="s">
        <v>762</v>
      </c>
      <c r="AH24" s="4" t="s">
        <v>758</v>
      </c>
      <c r="AI24" s="4" t="s">
        <v>64</v>
      </c>
      <c r="AJ24" s="13">
        <v>0</v>
      </c>
      <c r="AK24" s="13">
        <v>10</v>
      </c>
      <c r="AL24" s="13" t="s">
        <v>479</v>
      </c>
      <c r="AM24" s="13" t="s">
        <v>480</v>
      </c>
      <c r="AO24" s="13" t="s">
        <v>481</v>
      </c>
      <c r="AP24" s="13" t="s">
        <v>49</v>
      </c>
      <c r="AQ24" s="13" t="s">
        <v>49</v>
      </c>
      <c r="AR24" s="13" t="s">
        <v>49</v>
      </c>
      <c r="AS24" s="13" t="s">
        <v>49</v>
      </c>
      <c r="AT24" s="13" t="s">
        <v>990</v>
      </c>
      <c r="AU24" s="13" t="s">
        <v>998</v>
      </c>
      <c r="AV24" s="14">
        <f>2.81/3</f>
        <v>0.93666666666666665</v>
      </c>
      <c r="AW24" s="14">
        <f>4.64/3</f>
        <v>1.5466666666666666</v>
      </c>
      <c r="AX24" s="14">
        <f>Table1347456[[#This Row],[treatment_mean]]/Table1347456[[#This Row],[control_mean]]</f>
        <v>0.6056034482758621</v>
      </c>
      <c r="AY24" s="14">
        <f>LN(Table1347456[[#This Row],[rr]])</f>
        <v>-0.50152988289250944</v>
      </c>
      <c r="AZ24" s="13">
        <v>3</v>
      </c>
      <c r="BA24" s="13">
        <v>3</v>
      </c>
      <c r="BB24" s="14">
        <f>0.05/3</f>
        <v>1.6666666666666666E-2</v>
      </c>
      <c r="BC24" s="14">
        <f>0.15/3</f>
        <v>4.9999999999999996E-2</v>
      </c>
      <c r="BD24" s="15">
        <f>Table1347456[[#This Row],[treatment_se]]*SQRT(Table1347456[[#This Row],[treatment_n]])</f>
        <v>2.8867513459481287E-2</v>
      </c>
      <c r="BE24" s="14">
        <f>Table1347456[[#This Row],[control_se]]*SQRT(Table1347456[[#This Row],[control_n]])</f>
        <v>8.6602540378443851E-2</v>
      </c>
      <c r="BF2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1.3616848282926165E-3</v>
      </c>
      <c r="BG24" s="17">
        <f>SQRT(Table1347456[[#This Row],[v_from_sd_and_n]])</f>
        <v>3.6901013919574302E-2</v>
      </c>
      <c r="BH24" s="13" t="s">
        <v>49</v>
      </c>
      <c r="BI24" s="13">
        <v>0.52500000000000002</v>
      </c>
      <c r="BJ24" s="18">
        <f>ABS(_xlfn.NORM.S.INV(Table1347456[[#This Row],[p_value]]/2))</f>
        <v>0.63565701369758276</v>
      </c>
      <c r="BK24" s="19">
        <f>(Table1347456[[#This Row],[lnrr]]/Table1347456[[#This Row],[z_from_p]])^2</f>
        <v>0.62251230911122601</v>
      </c>
      <c r="BL24" s="16">
        <f>Table1347456[[#This Row],[v_from_sd_and_n]]</f>
        <v>1.3616848282926165E-3</v>
      </c>
      <c r="BM24" s="20">
        <f>SQRT(Table1347456[[#This Row],[v]])</f>
        <v>3.6901013919574302E-2</v>
      </c>
      <c r="BN24" s="20">
        <f>Table1347456[[#This Row],[lnrr]]-(1.96*Table1347456[[#This Row],[se]])</f>
        <v>-0.57385587017487505</v>
      </c>
      <c r="BO24" s="20">
        <f>Table1347456[[#This Row],[lnrr]]+(1.96 * Table1347456[[#This Row],[se]])</f>
        <v>-0.42920389561014383</v>
      </c>
    </row>
    <row r="25" spans="1:67">
      <c r="A25" s="13" t="s">
        <v>57</v>
      </c>
      <c r="B25" s="13" t="s">
        <v>58</v>
      </c>
      <c r="C25" s="13" t="s">
        <v>43</v>
      </c>
      <c r="D25" s="13" t="s">
        <v>59</v>
      </c>
      <c r="E25" s="13" t="s">
        <v>60</v>
      </c>
      <c r="F25" s="13" t="s">
        <v>585</v>
      </c>
      <c r="H25" s="13">
        <v>22</v>
      </c>
      <c r="I25" s="13" t="s">
        <v>46</v>
      </c>
      <c r="K25" s="13" t="s">
        <v>815</v>
      </c>
      <c r="L25" s="13" t="s">
        <v>816</v>
      </c>
      <c r="N25" s="13" t="s">
        <v>66</v>
      </c>
      <c r="O25" s="13" t="s">
        <v>67</v>
      </c>
      <c r="P25" s="13" t="s">
        <v>68</v>
      </c>
      <c r="Q25" s="13" t="s">
        <v>48</v>
      </c>
      <c r="R25" s="4">
        <v>6</v>
      </c>
      <c r="S25" s="13" t="s">
        <v>595</v>
      </c>
      <c r="T25" s="13">
        <v>90</v>
      </c>
      <c r="U25" s="4" t="s">
        <v>63</v>
      </c>
      <c r="V25" s="4">
        <v>950</v>
      </c>
      <c r="W25" s="4" t="s">
        <v>602</v>
      </c>
      <c r="X25" s="4">
        <v>701</v>
      </c>
      <c r="Y25" s="4">
        <v>35</v>
      </c>
      <c r="Z25" s="4" t="s">
        <v>478</v>
      </c>
      <c r="AA25" s="4" t="s">
        <v>49</v>
      </c>
      <c r="AB25" s="4">
        <v>0</v>
      </c>
      <c r="AC25" s="4" t="s">
        <v>49</v>
      </c>
      <c r="AD25" s="4">
        <v>0</v>
      </c>
      <c r="AE25" s="4" t="s">
        <v>49</v>
      </c>
      <c r="AF25" s="4">
        <v>0</v>
      </c>
      <c r="AG25" s="4" t="s">
        <v>762</v>
      </c>
      <c r="AH25" s="4" t="s">
        <v>758</v>
      </c>
      <c r="AI25" s="4" t="s">
        <v>64</v>
      </c>
      <c r="AJ25" s="13">
        <v>0</v>
      </c>
      <c r="AK25" s="13">
        <v>10</v>
      </c>
      <c r="AL25" s="13" t="s">
        <v>479</v>
      </c>
      <c r="AM25" s="13" t="s">
        <v>480</v>
      </c>
      <c r="AO25" s="13" t="s">
        <v>481</v>
      </c>
      <c r="AP25" s="13" t="s">
        <v>49</v>
      </c>
      <c r="AQ25" s="13" t="s">
        <v>49</v>
      </c>
      <c r="AR25" s="13" t="s">
        <v>49</v>
      </c>
      <c r="AS25" s="13" t="s">
        <v>49</v>
      </c>
      <c r="AT25" s="13" t="s">
        <v>990</v>
      </c>
      <c r="AU25" s="13" t="s">
        <v>998</v>
      </c>
      <c r="AV25" s="14">
        <f>0.76/3</f>
        <v>0.25333333333333335</v>
      </c>
      <c r="AW25" s="14">
        <f>1.03/3</f>
        <v>0.34333333333333332</v>
      </c>
      <c r="AX25" s="14">
        <f>Table1347456[[#This Row],[treatment_mean]]/Table1347456[[#This Row],[control_mean]]</f>
        <v>0.73786407766990303</v>
      </c>
      <c r="AY25" s="14">
        <f>LN(Table1347456[[#This Row],[rr]])</f>
        <v>-0.30399564794330453</v>
      </c>
      <c r="AZ25" s="13">
        <v>3</v>
      </c>
      <c r="BA25" s="13">
        <v>3</v>
      </c>
      <c r="BB25" s="14">
        <f>0.02/3</f>
        <v>6.6666666666666671E-3</v>
      </c>
      <c r="BC25" s="14">
        <f>0.02/3</f>
        <v>6.6666666666666671E-3</v>
      </c>
      <c r="BD25" s="15">
        <f>Table1347456[[#This Row],[treatment_se]]*SQRT(Table1347456[[#This Row],[treatment_n]])</f>
        <v>1.1547005383792516E-2</v>
      </c>
      <c r="BE25" s="14">
        <f>Table1347456[[#This Row],[control_se]]*SQRT(Table1347456[[#This Row],[control_n]])</f>
        <v>1.1547005383792516E-2</v>
      </c>
      <c r="BF2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1.0695591392767701E-3</v>
      </c>
      <c r="BG25" s="17">
        <f>SQRT(Table1347456[[#This Row],[v_from_sd_and_n]])</f>
        <v>3.2704115020540915E-2</v>
      </c>
      <c r="BH25" s="13" t="s">
        <v>49</v>
      </c>
      <c r="BI25" s="13">
        <v>0.52500000000000002</v>
      </c>
      <c r="BJ25" s="18">
        <f>ABS(_xlfn.NORM.S.INV(Table1347456[[#This Row],[p_value]]/2))</f>
        <v>0.63565701369758276</v>
      </c>
      <c r="BK25" s="19">
        <f>(Table1347456[[#This Row],[lnrr]]/Table1347456[[#This Row],[z_from_p]])^2</f>
        <v>0.22871204963796699</v>
      </c>
      <c r="BL25" s="16">
        <f>Table1347456[[#This Row],[v_from_sd_and_n]]</f>
        <v>1.0695591392767701E-3</v>
      </c>
      <c r="BM25" s="20">
        <f>SQRT(Table1347456[[#This Row],[v]])</f>
        <v>3.2704115020540915E-2</v>
      </c>
      <c r="BN25" s="20">
        <f>Table1347456[[#This Row],[lnrr]]-(1.96*Table1347456[[#This Row],[se]])</f>
        <v>-0.36809571338356473</v>
      </c>
      <c r="BO25" s="20">
        <f>Table1347456[[#This Row],[lnrr]]+(1.96 * Table1347456[[#This Row],[se]])</f>
        <v>-0.23989558250304432</v>
      </c>
    </row>
    <row r="26" spans="1:67">
      <c r="A26" s="13" t="s">
        <v>57</v>
      </c>
      <c r="B26" s="13" t="s">
        <v>58</v>
      </c>
      <c r="C26" s="13" t="s">
        <v>43</v>
      </c>
      <c r="D26" s="13" t="s">
        <v>59</v>
      </c>
      <c r="E26" s="13" t="s">
        <v>60</v>
      </c>
      <c r="F26" s="13" t="s">
        <v>585</v>
      </c>
      <c r="H26" s="13">
        <v>22</v>
      </c>
      <c r="I26" s="13" t="s">
        <v>46</v>
      </c>
      <c r="K26" s="13" t="s">
        <v>815</v>
      </c>
      <c r="L26" s="13" t="s">
        <v>816</v>
      </c>
      <c r="N26" s="13" t="s">
        <v>61</v>
      </c>
      <c r="O26" s="13" t="s">
        <v>642</v>
      </c>
      <c r="P26" s="13" t="s">
        <v>62</v>
      </c>
      <c r="Q26" s="13" t="s">
        <v>48</v>
      </c>
      <c r="R26" s="4">
        <v>6</v>
      </c>
      <c r="S26" s="13" t="s">
        <v>595</v>
      </c>
      <c r="T26" s="13">
        <v>90</v>
      </c>
      <c r="U26" s="4" t="s">
        <v>63</v>
      </c>
      <c r="V26" s="4">
        <v>600</v>
      </c>
      <c r="W26" s="4" t="s">
        <v>602</v>
      </c>
      <c r="X26" s="4">
        <v>637</v>
      </c>
      <c r="Y26" s="4">
        <v>35</v>
      </c>
      <c r="Z26" s="4" t="s">
        <v>478</v>
      </c>
      <c r="AA26" s="4" t="s">
        <v>50</v>
      </c>
      <c r="AB26" s="4">
        <v>150</v>
      </c>
      <c r="AC26" s="4" t="s">
        <v>49</v>
      </c>
      <c r="AD26" s="4">
        <v>0</v>
      </c>
      <c r="AE26" s="4" t="s">
        <v>49</v>
      </c>
      <c r="AF26" s="4">
        <v>0</v>
      </c>
      <c r="AG26" s="4" t="s">
        <v>759</v>
      </c>
      <c r="AH26" s="4" t="s">
        <v>758</v>
      </c>
      <c r="AI26" s="4" t="s">
        <v>64</v>
      </c>
      <c r="AJ26" s="13">
        <v>0</v>
      </c>
      <c r="AK26" s="13">
        <v>10</v>
      </c>
      <c r="AL26" s="13" t="s">
        <v>479</v>
      </c>
      <c r="AM26" s="13" t="s">
        <v>480</v>
      </c>
      <c r="AO26" s="13" t="s">
        <v>481</v>
      </c>
      <c r="AP26" s="13" t="s">
        <v>49</v>
      </c>
      <c r="AQ26" s="13" t="s">
        <v>49</v>
      </c>
      <c r="AR26" s="13" t="s">
        <v>49</v>
      </c>
      <c r="AS26" s="13" t="s">
        <v>49</v>
      </c>
      <c r="AT26" s="13" t="s">
        <v>992</v>
      </c>
      <c r="AU26" s="4" t="s">
        <v>1000</v>
      </c>
      <c r="AV26" s="14">
        <f>66.8/3000</f>
        <v>2.2266666666666667E-2</v>
      </c>
      <c r="AW26" s="14">
        <f>69.5/3000</f>
        <v>2.3166666666666665E-2</v>
      </c>
      <c r="AX26" s="14">
        <f>Table1347456[[#This Row],[treatment_mean]]/Table1347456[[#This Row],[control_mean]]</f>
        <v>0.96115107913669073</v>
      </c>
      <c r="AY26" s="14">
        <f>LN(Table1347456[[#This Row],[rr]])</f>
        <v>-3.9623672028146317E-2</v>
      </c>
      <c r="AZ26" s="13">
        <v>3</v>
      </c>
      <c r="BA26" s="13">
        <v>3</v>
      </c>
      <c r="BB26" s="14">
        <f>5.3/3000</f>
        <v>1.7666666666666666E-3</v>
      </c>
      <c r="BC26" s="14">
        <f>1.5/3000</f>
        <v>5.0000000000000001E-4</v>
      </c>
      <c r="BD26" s="15">
        <f>Table1347456[[#This Row],[treatment_se]]*SQRT(Table1347456[[#This Row],[treatment_n]])</f>
        <v>3.0599564267050163E-3</v>
      </c>
      <c r="BE26" s="14">
        <f>Table1347456[[#This Row],[control_se]]*SQRT(Table1347456[[#This Row],[control_n]])</f>
        <v>8.6602540378443859E-4</v>
      </c>
      <c r="BF2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6.7608590400970482E-3</v>
      </c>
      <c r="BG26" s="17">
        <f>SQRT(Table1347456[[#This Row],[v_from_sd_and_n]])</f>
        <v>8.2224443081708065E-2</v>
      </c>
      <c r="BH26" s="13" t="s">
        <v>49</v>
      </c>
      <c r="BI26" s="13">
        <v>0.52500000000000002</v>
      </c>
      <c r="BJ26" s="18">
        <f>ABS(_xlfn.NORM.S.INV(Table1347456[[#This Row],[p_value]]/2))</f>
        <v>0.63565701369758276</v>
      </c>
      <c r="BK26" s="19">
        <f>(Table1347456[[#This Row],[lnrr]]/Table1347456[[#This Row],[z_from_p]])^2</f>
        <v>3.8856506715323051E-3</v>
      </c>
      <c r="BL26" s="16">
        <f>Table1347456[[#This Row],[v_from_sd_and_n]]</f>
        <v>6.7608590400970482E-3</v>
      </c>
      <c r="BM26" s="20">
        <f>SQRT(Table1347456[[#This Row],[v]])</f>
        <v>8.2224443081708065E-2</v>
      </c>
      <c r="BN26" s="20">
        <f>Table1347456[[#This Row],[lnrr]]-(1.96*Table1347456[[#This Row],[se]])</f>
        <v>-0.20078358046829411</v>
      </c>
      <c r="BO26" s="20">
        <f>Table1347456[[#This Row],[lnrr]]+(1.96 * Table1347456[[#This Row],[se]])</f>
        <v>0.12153623641200148</v>
      </c>
    </row>
    <row r="27" spans="1:67">
      <c r="A27" s="13" t="s">
        <v>57</v>
      </c>
      <c r="B27" s="13" t="s">
        <v>58</v>
      </c>
      <c r="C27" s="13" t="s">
        <v>43</v>
      </c>
      <c r="D27" s="13" t="s">
        <v>59</v>
      </c>
      <c r="E27" s="13" t="s">
        <v>60</v>
      </c>
      <c r="F27" s="13" t="s">
        <v>585</v>
      </c>
      <c r="H27" s="13">
        <v>22</v>
      </c>
      <c r="I27" s="13" t="s">
        <v>46</v>
      </c>
      <c r="K27" s="13" t="s">
        <v>815</v>
      </c>
      <c r="L27" s="13" t="s">
        <v>816</v>
      </c>
      <c r="N27" s="13" t="s">
        <v>47</v>
      </c>
      <c r="O27" s="13" t="s">
        <v>645</v>
      </c>
      <c r="P27" s="13" t="s">
        <v>48</v>
      </c>
      <c r="Q27" s="13" t="s">
        <v>48</v>
      </c>
      <c r="R27" s="4">
        <v>6</v>
      </c>
      <c r="S27" s="13" t="s">
        <v>595</v>
      </c>
      <c r="T27" s="13">
        <v>90</v>
      </c>
      <c r="U27" s="4" t="s">
        <v>63</v>
      </c>
      <c r="V27" s="4">
        <v>600</v>
      </c>
      <c r="W27" s="4" t="s">
        <v>602</v>
      </c>
      <c r="X27" s="4">
        <v>637</v>
      </c>
      <c r="Y27" s="4">
        <v>35</v>
      </c>
      <c r="Z27" s="4" t="s">
        <v>478</v>
      </c>
      <c r="AA27" s="4" t="s">
        <v>50</v>
      </c>
      <c r="AB27" s="4">
        <v>150</v>
      </c>
      <c r="AC27" s="4" t="s">
        <v>49</v>
      </c>
      <c r="AD27" s="4">
        <v>0</v>
      </c>
      <c r="AE27" s="4" t="s">
        <v>49</v>
      </c>
      <c r="AF27" s="4">
        <v>0</v>
      </c>
      <c r="AG27" s="4" t="s">
        <v>759</v>
      </c>
      <c r="AH27" s="4" t="s">
        <v>758</v>
      </c>
      <c r="AI27" s="4" t="s">
        <v>64</v>
      </c>
      <c r="AJ27" s="13">
        <v>0</v>
      </c>
      <c r="AK27" s="13">
        <v>10</v>
      </c>
      <c r="AL27" s="13" t="s">
        <v>479</v>
      </c>
      <c r="AM27" s="13" t="s">
        <v>480</v>
      </c>
      <c r="AO27" s="13" t="s">
        <v>481</v>
      </c>
      <c r="AP27" s="13" t="s">
        <v>49</v>
      </c>
      <c r="AQ27" s="13" t="s">
        <v>49</v>
      </c>
      <c r="AR27" s="13" t="s">
        <v>49</v>
      </c>
      <c r="AS27" s="13" t="s">
        <v>49</v>
      </c>
      <c r="AT27" s="13" t="s">
        <v>992</v>
      </c>
      <c r="AU27" s="4" t="s">
        <v>1000</v>
      </c>
      <c r="AV27" s="14">
        <v>0.72</v>
      </c>
      <c r="AW27" s="14">
        <v>0.68</v>
      </c>
      <c r="AX27" s="14">
        <f>Table1347456[[#This Row],[treatment_mean]]/Table1347456[[#This Row],[control_mean]]</f>
        <v>1.0588235294117645</v>
      </c>
      <c r="AY27" s="14">
        <f>LN(Table1347456[[#This Row],[rr]])</f>
        <v>5.7158413839948415E-2</v>
      </c>
      <c r="AZ27" s="13">
        <v>3</v>
      </c>
      <c r="BA27" s="13">
        <v>3</v>
      </c>
      <c r="BB27" s="14">
        <v>0</v>
      </c>
      <c r="BC27" s="14">
        <v>0</v>
      </c>
      <c r="BD27" s="15">
        <f>Table1347456[[#This Row],[treatment_se]]*SQRT(Table1347456[[#This Row],[treatment_n]])</f>
        <v>0</v>
      </c>
      <c r="BE27" s="14">
        <f>Table1347456[[#This Row],[control_se]]*SQRT(Table1347456[[#This Row],[control_n]])</f>
        <v>0</v>
      </c>
      <c r="BF2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27" s="17">
        <f>SQRT(Table1347456[[#This Row],[v_from_sd_and_n]])</f>
        <v>0</v>
      </c>
      <c r="BH27" s="13" t="s">
        <v>49</v>
      </c>
      <c r="BI27" s="13">
        <v>0.52500000000000002</v>
      </c>
      <c r="BJ27" s="18">
        <f>ABS(_xlfn.NORM.S.INV(Table1347456[[#This Row],[p_value]]/2))</f>
        <v>0.63565701369758276</v>
      </c>
      <c r="BK27" s="19">
        <f>(Table1347456[[#This Row],[lnrr]]/Table1347456[[#This Row],[z_from_p]])^2</f>
        <v>8.0856446418323333E-3</v>
      </c>
      <c r="BL27" s="16">
        <f>(Table1347456[[#This Row],[lnrr]]/Table1347456[[#This Row],[z_from_p]])^2</f>
        <v>8.0856446418323333E-3</v>
      </c>
      <c r="BM27" s="20">
        <f>SQRT(Table1347456[[#This Row],[v]])</f>
        <v>8.9920212643389216E-2</v>
      </c>
      <c r="BN27" s="20">
        <f>Table1347456[[#This Row],[lnrr]]-(1.96*Table1347456[[#This Row],[se]])</f>
        <v>-0.11908520294109445</v>
      </c>
      <c r="BO27" s="20">
        <f>Table1347456[[#This Row],[lnrr]]+(1.96 * Table1347456[[#This Row],[se]])</f>
        <v>0.23340203062099127</v>
      </c>
    </row>
    <row r="28" spans="1:67">
      <c r="A28" s="13" t="s">
        <v>57</v>
      </c>
      <c r="B28" s="13" t="s">
        <v>58</v>
      </c>
      <c r="C28" s="13" t="s">
        <v>43</v>
      </c>
      <c r="D28" s="13" t="s">
        <v>59</v>
      </c>
      <c r="E28" s="13" t="s">
        <v>60</v>
      </c>
      <c r="F28" s="13" t="s">
        <v>585</v>
      </c>
      <c r="H28" s="13">
        <v>22</v>
      </c>
      <c r="I28" s="13" t="s">
        <v>46</v>
      </c>
      <c r="K28" s="13" t="s">
        <v>815</v>
      </c>
      <c r="L28" s="13" t="s">
        <v>816</v>
      </c>
      <c r="N28" s="13" t="s">
        <v>65</v>
      </c>
      <c r="O28" s="13" t="s">
        <v>642</v>
      </c>
      <c r="P28" s="13" t="s">
        <v>422</v>
      </c>
      <c r="Q28" s="13" t="s">
        <v>48</v>
      </c>
      <c r="R28" s="4">
        <v>6</v>
      </c>
      <c r="S28" s="13" t="s">
        <v>595</v>
      </c>
      <c r="T28" s="13">
        <v>90</v>
      </c>
      <c r="U28" s="4" t="s">
        <v>63</v>
      </c>
      <c r="V28" s="4">
        <v>600</v>
      </c>
      <c r="W28" s="4" t="s">
        <v>602</v>
      </c>
      <c r="X28" s="4">
        <v>637</v>
      </c>
      <c r="Y28" s="4">
        <v>35</v>
      </c>
      <c r="Z28" s="4" t="s">
        <v>478</v>
      </c>
      <c r="AA28" s="4" t="s">
        <v>50</v>
      </c>
      <c r="AB28" s="4">
        <v>150</v>
      </c>
      <c r="AC28" s="4" t="s">
        <v>49</v>
      </c>
      <c r="AD28" s="4">
        <v>0</v>
      </c>
      <c r="AE28" s="4" t="s">
        <v>49</v>
      </c>
      <c r="AF28" s="4">
        <v>0</v>
      </c>
      <c r="AG28" s="4" t="s">
        <v>759</v>
      </c>
      <c r="AH28" s="4" t="s">
        <v>758</v>
      </c>
      <c r="AI28" s="4" t="s">
        <v>64</v>
      </c>
      <c r="AJ28" s="13">
        <v>0</v>
      </c>
      <c r="AK28" s="13">
        <v>10</v>
      </c>
      <c r="AL28" s="13" t="s">
        <v>479</v>
      </c>
      <c r="AM28" s="13" t="s">
        <v>480</v>
      </c>
      <c r="AO28" s="13" t="s">
        <v>481</v>
      </c>
      <c r="AP28" s="13" t="s">
        <v>49</v>
      </c>
      <c r="AQ28" s="13" t="s">
        <v>49</v>
      </c>
      <c r="AR28" s="13" t="s">
        <v>49</v>
      </c>
      <c r="AS28" s="13" t="s">
        <v>49</v>
      </c>
      <c r="AT28" s="13" t="s">
        <v>992</v>
      </c>
      <c r="AU28" s="4" t="s">
        <v>1000</v>
      </c>
      <c r="AV28" s="14">
        <f>5.34/3</f>
        <v>1.78</v>
      </c>
      <c r="AW28" s="14">
        <f>6.52/3</f>
        <v>2.1733333333333333</v>
      </c>
      <c r="AX28" s="14">
        <f>Table1347456[[#This Row],[treatment_mean]]/Table1347456[[#This Row],[control_mean]]</f>
        <v>0.81901840490797551</v>
      </c>
      <c r="AY28" s="14">
        <f>LN(Table1347456[[#This Row],[rr]])</f>
        <v>-0.19964872296645805</v>
      </c>
      <c r="AZ28" s="13">
        <v>3</v>
      </c>
      <c r="BA28" s="13">
        <v>3</v>
      </c>
      <c r="BB28" s="14">
        <f>0.09/3</f>
        <v>0.03</v>
      </c>
      <c r="BC28" s="14">
        <f>0.05/3</f>
        <v>1.6666666666666666E-2</v>
      </c>
      <c r="BD28" s="15">
        <f>Table1347456[[#This Row],[treatment_se]]*SQRT(Table1347456[[#This Row],[treatment_n]])</f>
        <v>5.1961524227066312E-2</v>
      </c>
      <c r="BE28" s="14">
        <f>Table1347456[[#This Row],[control_se]]*SQRT(Table1347456[[#This Row],[control_n]])</f>
        <v>2.8867513459481287E-2</v>
      </c>
      <c r="BF2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3.4286418202475168E-4</v>
      </c>
      <c r="BG28" s="17">
        <f>SQRT(Table1347456[[#This Row],[v_from_sd_and_n]])</f>
        <v>1.8516592073725437E-2</v>
      </c>
      <c r="BH28" s="13" t="s">
        <v>49</v>
      </c>
      <c r="BI28" s="13">
        <v>0.52500000000000002</v>
      </c>
      <c r="BJ28" s="18">
        <f>ABS(_xlfn.NORM.S.INV(Table1347456[[#This Row],[p_value]]/2))</f>
        <v>0.63565701369758276</v>
      </c>
      <c r="BK28" s="19">
        <f>(Table1347456[[#This Row],[lnrr]]/Table1347456[[#This Row],[z_from_p]])^2</f>
        <v>9.8647796015999809E-2</v>
      </c>
      <c r="BL28" s="16">
        <f>Table1347456[[#This Row],[v_from_sd_and_n]]</f>
        <v>3.4286418202475168E-4</v>
      </c>
      <c r="BM28" s="20">
        <f>SQRT(Table1347456[[#This Row],[v]])</f>
        <v>1.8516592073725437E-2</v>
      </c>
      <c r="BN28" s="20">
        <f>Table1347456[[#This Row],[lnrr]]-(1.96*Table1347456[[#This Row],[se]])</f>
        <v>-0.2359412434309599</v>
      </c>
      <c r="BO28" s="20">
        <f>Table1347456[[#This Row],[lnrr]]+(1.96 * Table1347456[[#This Row],[se]])</f>
        <v>-0.1633562025019562</v>
      </c>
    </row>
    <row r="29" spans="1:67">
      <c r="A29" s="13" t="s">
        <v>57</v>
      </c>
      <c r="B29" s="13" t="s">
        <v>58</v>
      </c>
      <c r="C29" s="13" t="s">
        <v>43</v>
      </c>
      <c r="D29" s="13" t="s">
        <v>59</v>
      </c>
      <c r="E29" s="13" t="s">
        <v>60</v>
      </c>
      <c r="F29" s="13" t="s">
        <v>585</v>
      </c>
      <c r="H29" s="13">
        <v>22</v>
      </c>
      <c r="I29" s="13" t="s">
        <v>46</v>
      </c>
      <c r="K29" s="13" t="s">
        <v>815</v>
      </c>
      <c r="L29" s="13" t="s">
        <v>816</v>
      </c>
      <c r="N29" s="13" t="s">
        <v>66</v>
      </c>
      <c r="O29" s="13" t="s">
        <v>67</v>
      </c>
      <c r="P29" s="13" t="s">
        <v>68</v>
      </c>
      <c r="Q29" s="13" t="s">
        <v>48</v>
      </c>
      <c r="R29" s="4">
        <v>6</v>
      </c>
      <c r="S29" s="13" t="s">
        <v>595</v>
      </c>
      <c r="T29" s="13">
        <v>90</v>
      </c>
      <c r="U29" s="4" t="s">
        <v>63</v>
      </c>
      <c r="V29" s="4">
        <v>600</v>
      </c>
      <c r="W29" s="4" t="s">
        <v>602</v>
      </c>
      <c r="X29" s="4">
        <v>637</v>
      </c>
      <c r="Y29" s="4">
        <v>35</v>
      </c>
      <c r="Z29" s="4" t="s">
        <v>478</v>
      </c>
      <c r="AA29" s="4" t="s">
        <v>50</v>
      </c>
      <c r="AB29" s="4">
        <v>150</v>
      </c>
      <c r="AC29" s="4" t="s">
        <v>49</v>
      </c>
      <c r="AD29" s="4">
        <v>0</v>
      </c>
      <c r="AE29" s="4" t="s">
        <v>49</v>
      </c>
      <c r="AF29" s="4">
        <v>0</v>
      </c>
      <c r="AG29" s="4" t="s">
        <v>759</v>
      </c>
      <c r="AH29" s="4" t="s">
        <v>758</v>
      </c>
      <c r="AI29" s="4" t="s">
        <v>64</v>
      </c>
      <c r="AJ29" s="13">
        <v>0</v>
      </c>
      <c r="AK29" s="13">
        <v>10</v>
      </c>
      <c r="AL29" s="13" t="s">
        <v>479</v>
      </c>
      <c r="AM29" s="13" t="s">
        <v>480</v>
      </c>
      <c r="AO29" s="13" t="s">
        <v>481</v>
      </c>
      <c r="AP29" s="13" t="s">
        <v>49</v>
      </c>
      <c r="AQ29" s="13" t="s">
        <v>49</v>
      </c>
      <c r="AR29" s="13" t="s">
        <v>49</v>
      </c>
      <c r="AS29" s="13" t="s">
        <v>49</v>
      </c>
      <c r="AT29" s="13" t="s">
        <v>992</v>
      </c>
      <c r="AU29" s="4" t="s">
        <v>1000</v>
      </c>
      <c r="AV29" s="14">
        <f>1.25/3</f>
        <v>0.41666666666666669</v>
      </c>
      <c r="AW29" s="14">
        <f>1.07/3</f>
        <v>0.35666666666666669</v>
      </c>
      <c r="AX29" s="14">
        <f>Table1347456[[#This Row],[treatment_mean]]/Table1347456[[#This Row],[control_mean]]</f>
        <v>1.1682242990654206</v>
      </c>
      <c r="AY29" s="14">
        <f>LN(Table1347456[[#This Row],[rr]])</f>
        <v>0.15548490284039496</v>
      </c>
      <c r="AZ29" s="13">
        <v>3</v>
      </c>
      <c r="BA29" s="13">
        <v>3</v>
      </c>
      <c r="BB29" s="14">
        <f>0.12/3</f>
        <v>0.04</v>
      </c>
      <c r="BC29" s="14">
        <f>0.03/3</f>
        <v>0.01</v>
      </c>
      <c r="BD29" s="15">
        <f>Table1347456[[#This Row],[treatment_se]]*SQRT(Table1347456[[#This Row],[treatment_n]])</f>
        <v>6.9282032302755092E-2</v>
      </c>
      <c r="BE29" s="14">
        <f>Table1347456[[#This Row],[control_se]]*SQRT(Table1347456[[#This Row],[control_n]])</f>
        <v>1.7320508075688773E-2</v>
      </c>
      <c r="BF2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1.0002094855445891E-2</v>
      </c>
      <c r="BG29" s="17">
        <f>SQRT(Table1347456[[#This Row],[v_from_sd_and_n]])</f>
        <v>0.10001047372873449</v>
      </c>
      <c r="BH29" s="13" t="s">
        <v>49</v>
      </c>
      <c r="BI29" s="13">
        <v>0.52500000000000002</v>
      </c>
      <c r="BJ29" s="18">
        <f>ABS(_xlfn.NORM.S.INV(Table1347456[[#This Row],[p_value]]/2))</f>
        <v>0.63565701369758276</v>
      </c>
      <c r="BK29" s="19">
        <f>(Table1347456[[#This Row],[lnrr]]/Table1347456[[#This Row],[z_from_p]])^2</f>
        <v>5.9831620651420205E-2</v>
      </c>
      <c r="BL29" s="16">
        <f>Table1347456[[#This Row],[v_from_sd_and_n]]</f>
        <v>1.0002094855445891E-2</v>
      </c>
      <c r="BM29" s="20">
        <f>SQRT(Table1347456[[#This Row],[v]])</f>
        <v>0.10001047372873449</v>
      </c>
      <c r="BN29" s="20">
        <f>Table1347456[[#This Row],[lnrr]]-(1.96*Table1347456[[#This Row],[se]])</f>
        <v>-4.0535625667924652E-2</v>
      </c>
      <c r="BO29" s="20">
        <f>Table1347456[[#This Row],[lnrr]]+(1.96 * Table1347456[[#This Row],[se]])</f>
        <v>0.35150543134871459</v>
      </c>
    </row>
    <row r="30" spans="1:67">
      <c r="A30" s="13" t="s">
        <v>57</v>
      </c>
      <c r="B30" s="13" t="s">
        <v>58</v>
      </c>
      <c r="C30" s="13" t="s">
        <v>43</v>
      </c>
      <c r="D30" s="13" t="s">
        <v>59</v>
      </c>
      <c r="E30" s="13" t="s">
        <v>60</v>
      </c>
      <c r="F30" s="13" t="s">
        <v>585</v>
      </c>
      <c r="H30" s="13">
        <v>22</v>
      </c>
      <c r="I30" s="13" t="s">
        <v>46</v>
      </c>
      <c r="K30" s="13" t="s">
        <v>815</v>
      </c>
      <c r="L30" s="13" t="s">
        <v>816</v>
      </c>
      <c r="N30" s="13" t="s">
        <v>61</v>
      </c>
      <c r="O30" s="13" t="s">
        <v>642</v>
      </c>
      <c r="P30" s="13" t="s">
        <v>62</v>
      </c>
      <c r="Q30" s="13" t="s">
        <v>48</v>
      </c>
      <c r="R30" s="4">
        <v>6</v>
      </c>
      <c r="S30" s="13" t="s">
        <v>595</v>
      </c>
      <c r="T30" s="13">
        <v>90</v>
      </c>
      <c r="U30" s="4" t="s">
        <v>63</v>
      </c>
      <c r="V30" s="4">
        <v>700</v>
      </c>
      <c r="W30" s="4" t="s">
        <v>602</v>
      </c>
      <c r="X30" s="4">
        <v>624</v>
      </c>
      <c r="Y30" s="4">
        <v>35</v>
      </c>
      <c r="Z30" s="4" t="s">
        <v>478</v>
      </c>
      <c r="AA30" s="4" t="s">
        <v>50</v>
      </c>
      <c r="AB30" s="4">
        <v>150</v>
      </c>
      <c r="AC30" s="4" t="s">
        <v>49</v>
      </c>
      <c r="AD30" s="4">
        <v>0</v>
      </c>
      <c r="AE30" s="4" t="s">
        <v>49</v>
      </c>
      <c r="AF30" s="4">
        <v>0</v>
      </c>
      <c r="AG30" s="4" t="s">
        <v>760</v>
      </c>
      <c r="AH30" s="4" t="s">
        <v>758</v>
      </c>
      <c r="AI30" s="4" t="s">
        <v>64</v>
      </c>
      <c r="AJ30" s="13">
        <v>0</v>
      </c>
      <c r="AK30" s="13">
        <v>10</v>
      </c>
      <c r="AL30" s="13" t="s">
        <v>479</v>
      </c>
      <c r="AM30" s="13" t="s">
        <v>480</v>
      </c>
      <c r="AO30" s="13" t="s">
        <v>481</v>
      </c>
      <c r="AP30" s="13" t="s">
        <v>49</v>
      </c>
      <c r="AQ30" s="13" t="s">
        <v>49</v>
      </c>
      <c r="AR30" s="13" t="s">
        <v>49</v>
      </c>
      <c r="AS30" s="13" t="s">
        <v>49</v>
      </c>
      <c r="AT30" s="13" t="s">
        <v>992</v>
      </c>
      <c r="AU30" s="4" t="s">
        <v>1000</v>
      </c>
      <c r="AV30" s="14">
        <f>80/3000</f>
        <v>2.6666666666666668E-2</v>
      </c>
      <c r="AW30" s="14">
        <f>69.5/3000</f>
        <v>2.3166666666666665E-2</v>
      </c>
      <c r="AX30" s="14">
        <f>Table1347456[[#This Row],[treatment_mean]]/Table1347456[[#This Row],[control_mean]]</f>
        <v>1.1510791366906477</v>
      </c>
      <c r="AY30" s="14">
        <f>LN(Table1347456[[#This Row],[rr]])</f>
        <v>0.1406998821031353</v>
      </c>
      <c r="AZ30" s="13">
        <v>3</v>
      </c>
      <c r="BA30" s="13">
        <v>3</v>
      </c>
      <c r="BB30" s="14">
        <f>7/3000</f>
        <v>2.3333333333333335E-3</v>
      </c>
      <c r="BC30" s="14">
        <f>1.5/3000</f>
        <v>5.0000000000000001E-4</v>
      </c>
      <c r="BD30" s="15">
        <f>Table1347456[[#This Row],[treatment_se]]*SQRT(Table1347456[[#This Row],[treatment_n]])</f>
        <v>4.0414518843273801E-3</v>
      </c>
      <c r="BE30" s="14">
        <f>Table1347456[[#This Row],[control_se]]*SQRT(Table1347456[[#This Row],[control_n]])</f>
        <v>8.6602540378443859E-4</v>
      </c>
      <c r="BF3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8.1220643988406376E-3</v>
      </c>
      <c r="BG30" s="17">
        <f>SQRT(Table1347456[[#This Row],[v_from_sd_and_n]])</f>
        <v>9.0122496630090296E-2</v>
      </c>
      <c r="BH30" s="13" t="s">
        <v>49</v>
      </c>
      <c r="BI30" s="13">
        <v>0.52500000000000002</v>
      </c>
      <c r="BJ30" s="18">
        <f>ABS(_xlfn.NORM.S.INV(Table1347456[[#This Row],[p_value]]/2))</f>
        <v>0.63565701369758276</v>
      </c>
      <c r="BK30" s="19">
        <f>(Table1347456[[#This Row],[lnrr]]/Table1347456[[#This Row],[z_from_p]])^2</f>
        <v>4.8993873951311065E-2</v>
      </c>
      <c r="BL30" s="16">
        <f>Table1347456[[#This Row],[v_from_sd_and_n]]</f>
        <v>8.1220643988406376E-3</v>
      </c>
      <c r="BM30" s="20">
        <f>SQRT(Table1347456[[#This Row],[v]])</f>
        <v>9.0122496630090296E-2</v>
      </c>
      <c r="BN30" s="20">
        <f>Table1347456[[#This Row],[lnrr]]-(1.96*Table1347456[[#This Row],[se]])</f>
        <v>-3.5940211291841662E-2</v>
      </c>
      <c r="BO30" s="20">
        <f>Table1347456[[#This Row],[lnrr]]+(1.96 * Table1347456[[#This Row],[se]])</f>
        <v>0.31733997549811227</v>
      </c>
    </row>
    <row r="31" spans="1:67">
      <c r="A31" s="13" t="s">
        <v>57</v>
      </c>
      <c r="B31" s="13" t="s">
        <v>58</v>
      </c>
      <c r="C31" s="13" t="s">
        <v>43</v>
      </c>
      <c r="D31" s="13" t="s">
        <v>59</v>
      </c>
      <c r="E31" s="13" t="s">
        <v>60</v>
      </c>
      <c r="F31" s="13" t="s">
        <v>585</v>
      </c>
      <c r="H31" s="13">
        <v>22</v>
      </c>
      <c r="I31" s="13" t="s">
        <v>46</v>
      </c>
      <c r="K31" s="13" t="s">
        <v>815</v>
      </c>
      <c r="L31" s="13" t="s">
        <v>816</v>
      </c>
      <c r="N31" s="13" t="s">
        <v>47</v>
      </c>
      <c r="O31" s="13" t="s">
        <v>645</v>
      </c>
      <c r="P31" s="13" t="s">
        <v>48</v>
      </c>
      <c r="Q31" s="13" t="s">
        <v>48</v>
      </c>
      <c r="R31" s="4">
        <v>6</v>
      </c>
      <c r="S31" s="13" t="s">
        <v>595</v>
      </c>
      <c r="T31" s="13">
        <v>90</v>
      </c>
      <c r="U31" s="4" t="s">
        <v>63</v>
      </c>
      <c r="V31" s="4">
        <v>700</v>
      </c>
      <c r="W31" s="4" t="s">
        <v>602</v>
      </c>
      <c r="X31" s="4">
        <v>624</v>
      </c>
      <c r="Y31" s="4">
        <v>35</v>
      </c>
      <c r="Z31" s="4" t="s">
        <v>478</v>
      </c>
      <c r="AA31" s="4" t="s">
        <v>50</v>
      </c>
      <c r="AB31" s="4">
        <v>150</v>
      </c>
      <c r="AC31" s="4" t="s">
        <v>49</v>
      </c>
      <c r="AD31" s="4">
        <v>0</v>
      </c>
      <c r="AE31" s="4" t="s">
        <v>49</v>
      </c>
      <c r="AF31" s="4">
        <v>0</v>
      </c>
      <c r="AG31" s="4" t="s">
        <v>760</v>
      </c>
      <c r="AH31" s="4" t="s">
        <v>758</v>
      </c>
      <c r="AI31" s="4" t="s">
        <v>64</v>
      </c>
      <c r="AJ31" s="13">
        <v>0</v>
      </c>
      <c r="AK31" s="13">
        <v>10</v>
      </c>
      <c r="AL31" s="13" t="s">
        <v>479</v>
      </c>
      <c r="AM31" s="13" t="s">
        <v>480</v>
      </c>
      <c r="AO31" s="13" t="s">
        <v>481</v>
      </c>
      <c r="AP31" s="13" t="s">
        <v>49</v>
      </c>
      <c r="AQ31" s="13" t="s">
        <v>49</v>
      </c>
      <c r="AR31" s="13" t="s">
        <v>49</v>
      </c>
      <c r="AS31" s="13" t="s">
        <v>49</v>
      </c>
      <c r="AT31" s="13" t="s">
        <v>992</v>
      </c>
      <c r="AU31" s="4" t="s">
        <v>1000</v>
      </c>
      <c r="AV31" s="14">
        <v>0.72</v>
      </c>
      <c r="AW31" s="14">
        <v>0.68</v>
      </c>
      <c r="AX31" s="14">
        <f>Table1347456[[#This Row],[treatment_mean]]/Table1347456[[#This Row],[control_mean]]</f>
        <v>1.0588235294117645</v>
      </c>
      <c r="AY31" s="14">
        <f>LN(Table1347456[[#This Row],[rr]])</f>
        <v>5.7158413839948415E-2</v>
      </c>
      <c r="AZ31" s="13">
        <v>3</v>
      </c>
      <c r="BA31" s="13">
        <v>3</v>
      </c>
      <c r="BB31" s="14">
        <v>0</v>
      </c>
      <c r="BC31" s="14">
        <v>0</v>
      </c>
      <c r="BD31" s="15">
        <f>Table1347456[[#This Row],[treatment_se]]*SQRT(Table1347456[[#This Row],[treatment_n]])</f>
        <v>0</v>
      </c>
      <c r="BE31" s="14">
        <f>Table1347456[[#This Row],[control_se]]*SQRT(Table1347456[[#This Row],[control_n]])</f>
        <v>0</v>
      </c>
      <c r="BF3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31" s="17">
        <f>SQRT(Table1347456[[#This Row],[v_from_sd_and_n]])</f>
        <v>0</v>
      </c>
      <c r="BH31" s="13" t="s">
        <v>49</v>
      </c>
      <c r="BI31" s="13">
        <v>0.52500000000000002</v>
      </c>
      <c r="BJ31" s="18">
        <f>ABS(_xlfn.NORM.S.INV(Table1347456[[#This Row],[p_value]]/2))</f>
        <v>0.63565701369758276</v>
      </c>
      <c r="BK31" s="19">
        <f>(Table1347456[[#This Row],[lnrr]]/Table1347456[[#This Row],[z_from_p]])^2</f>
        <v>8.0856446418323333E-3</v>
      </c>
      <c r="BL31" s="16">
        <f>(Table1347456[[#This Row],[lnrr]]/Table1347456[[#This Row],[z_from_p]])^2</f>
        <v>8.0856446418323333E-3</v>
      </c>
      <c r="BM31" s="20">
        <f>SQRT(Table1347456[[#This Row],[v]])</f>
        <v>8.9920212643389216E-2</v>
      </c>
      <c r="BN31" s="20">
        <f>Table1347456[[#This Row],[lnrr]]-(1.96*Table1347456[[#This Row],[se]])</f>
        <v>-0.11908520294109445</v>
      </c>
      <c r="BO31" s="20">
        <f>Table1347456[[#This Row],[lnrr]]+(1.96 * Table1347456[[#This Row],[se]])</f>
        <v>0.23340203062099127</v>
      </c>
    </row>
    <row r="32" spans="1:67">
      <c r="A32" s="13" t="s">
        <v>57</v>
      </c>
      <c r="B32" s="13" t="s">
        <v>58</v>
      </c>
      <c r="C32" s="13" t="s">
        <v>43</v>
      </c>
      <c r="D32" s="13" t="s">
        <v>59</v>
      </c>
      <c r="E32" s="13" t="s">
        <v>60</v>
      </c>
      <c r="F32" s="13" t="s">
        <v>585</v>
      </c>
      <c r="H32" s="13">
        <v>22</v>
      </c>
      <c r="I32" s="13" t="s">
        <v>46</v>
      </c>
      <c r="K32" s="13" t="s">
        <v>815</v>
      </c>
      <c r="L32" s="13" t="s">
        <v>816</v>
      </c>
      <c r="N32" s="13" t="s">
        <v>65</v>
      </c>
      <c r="O32" s="13" t="s">
        <v>642</v>
      </c>
      <c r="P32" s="13" t="s">
        <v>422</v>
      </c>
      <c r="Q32" s="13" t="s">
        <v>48</v>
      </c>
      <c r="R32" s="4">
        <v>6</v>
      </c>
      <c r="S32" s="13" t="s">
        <v>595</v>
      </c>
      <c r="T32" s="13">
        <v>90</v>
      </c>
      <c r="U32" s="4" t="s">
        <v>63</v>
      </c>
      <c r="V32" s="4">
        <v>700</v>
      </c>
      <c r="W32" s="4" t="s">
        <v>602</v>
      </c>
      <c r="X32" s="4">
        <v>624</v>
      </c>
      <c r="Y32" s="4">
        <v>35</v>
      </c>
      <c r="Z32" s="4" t="s">
        <v>478</v>
      </c>
      <c r="AA32" s="4" t="s">
        <v>50</v>
      </c>
      <c r="AB32" s="4">
        <v>150</v>
      </c>
      <c r="AC32" s="4" t="s">
        <v>49</v>
      </c>
      <c r="AD32" s="4">
        <v>0</v>
      </c>
      <c r="AE32" s="4" t="s">
        <v>49</v>
      </c>
      <c r="AF32" s="4">
        <v>0</v>
      </c>
      <c r="AG32" s="4" t="s">
        <v>760</v>
      </c>
      <c r="AH32" s="4" t="s">
        <v>758</v>
      </c>
      <c r="AI32" s="4" t="s">
        <v>64</v>
      </c>
      <c r="AJ32" s="13">
        <v>0</v>
      </c>
      <c r="AK32" s="13">
        <v>10</v>
      </c>
      <c r="AL32" s="13" t="s">
        <v>479</v>
      </c>
      <c r="AM32" s="13" t="s">
        <v>480</v>
      </c>
      <c r="AO32" s="13" t="s">
        <v>481</v>
      </c>
      <c r="AP32" s="13" t="s">
        <v>49</v>
      </c>
      <c r="AQ32" s="13" t="s">
        <v>49</v>
      </c>
      <c r="AR32" s="13" t="s">
        <v>49</v>
      </c>
      <c r="AS32" s="13" t="s">
        <v>49</v>
      </c>
      <c r="AT32" s="13" t="s">
        <v>992</v>
      </c>
      <c r="AU32" s="4" t="s">
        <v>1000</v>
      </c>
      <c r="AV32" s="14">
        <f>5.35/3</f>
        <v>1.7833333333333332</v>
      </c>
      <c r="AW32" s="14">
        <f>6.52/3</f>
        <v>2.1733333333333333</v>
      </c>
      <c r="AX32" s="14">
        <f>Table1347456[[#This Row],[treatment_mean]]/Table1347456[[#This Row],[control_mean]]</f>
        <v>0.82055214723926373</v>
      </c>
      <c r="AY32" s="14">
        <f>LN(Table1347456[[#This Row],[rr]])</f>
        <v>-0.19777781503064651</v>
      </c>
      <c r="AZ32" s="13">
        <v>3</v>
      </c>
      <c r="BA32" s="13">
        <v>3</v>
      </c>
      <c r="BB32" s="14">
        <f>0.06/3</f>
        <v>0.02</v>
      </c>
      <c r="BC32" s="14">
        <f>0.05/3</f>
        <v>1.6666666666666666E-2</v>
      </c>
      <c r="BD32" s="15">
        <f>Table1347456[[#This Row],[treatment_se]]*SQRT(Table1347456[[#This Row],[treatment_n]])</f>
        <v>3.4641016151377546E-2</v>
      </c>
      <c r="BE32" s="14">
        <f>Table1347456[[#This Row],[control_se]]*SQRT(Table1347456[[#This Row],[control_n]])</f>
        <v>2.8867513459481287E-2</v>
      </c>
      <c r="BF3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1.845843153409876E-4</v>
      </c>
      <c r="BG32" s="17">
        <f>SQRT(Table1347456[[#This Row],[v_from_sd_and_n]])</f>
        <v>1.3586181043287609E-2</v>
      </c>
      <c r="BH32" s="13" t="s">
        <v>49</v>
      </c>
      <c r="BI32" s="13">
        <v>0.52500000000000002</v>
      </c>
      <c r="BJ32" s="18">
        <f>ABS(_xlfn.NORM.S.INV(Table1347456[[#This Row],[p_value]]/2))</f>
        <v>0.63565701369758276</v>
      </c>
      <c r="BK32" s="19">
        <f>(Table1347456[[#This Row],[lnrr]]/Table1347456[[#This Row],[z_from_p]])^2</f>
        <v>9.6807602084414593E-2</v>
      </c>
      <c r="BL32" s="16">
        <f>Table1347456[[#This Row],[v_from_sd_and_n]]</f>
        <v>1.845843153409876E-4</v>
      </c>
      <c r="BM32" s="20">
        <f>SQRT(Table1347456[[#This Row],[v]])</f>
        <v>1.3586181043287609E-2</v>
      </c>
      <c r="BN32" s="20">
        <f>Table1347456[[#This Row],[lnrr]]-(1.96*Table1347456[[#This Row],[se]])</f>
        <v>-0.22440672987549021</v>
      </c>
      <c r="BO32" s="20">
        <f>Table1347456[[#This Row],[lnrr]]+(1.96 * Table1347456[[#This Row],[se]])</f>
        <v>-0.17114890018580281</v>
      </c>
    </row>
    <row r="33" spans="1:67">
      <c r="A33" s="13" t="s">
        <v>57</v>
      </c>
      <c r="B33" s="13" t="s">
        <v>58</v>
      </c>
      <c r="C33" s="13" t="s">
        <v>43</v>
      </c>
      <c r="D33" s="13" t="s">
        <v>59</v>
      </c>
      <c r="E33" s="13" t="s">
        <v>60</v>
      </c>
      <c r="F33" s="13" t="s">
        <v>585</v>
      </c>
      <c r="H33" s="13">
        <v>22</v>
      </c>
      <c r="I33" s="13" t="s">
        <v>46</v>
      </c>
      <c r="K33" s="13" t="s">
        <v>815</v>
      </c>
      <c r="L33" s="13" t="s">
        <v>816</v>
      </c>
      <c r="N33" s="13" t="s">
        <v>66</v>
      </c>
      <c r="O33" s="13" t="s">
        <v>67</v>
      </c>
      <c r="P33" s="13" t="s">
        <v>68</v>
      </c>
      <c r="Q33" s="13" t="s">
        <v>48</v>
      </c>
      <c r="R33" s="4">
        <v>6</v>
      </c>
      <c r="S33" s="13" t="s">
        <v>595</v>
      </c>
      <c r="T33" s="13">
        <v>90</v>
      </c>
      <c r="U33" s="4" t="s">
        <v>63</v>
      </c>
      <c r="V33" s="4">
        <v>700</v>
      </c>
      <c r="W33" s="4" t="s">
        <v>602</v>
      </c>
      <c r="X33" s="4">
        <v>624</v>
      </c>
      <c r="Y33" s="4">
        <v>35</v>
      </c>
      <c r="Z33" s="4" t="s">
        <v>478</v>
      </c>
      <c r="AA33" s="4" t="s">
        <v>50</v>
      </c>
      <c r="AB33" s="4">
        <v>150</v>
      </c>
      <c r="AC33" s="4" t="s">
        <v>49</v>
      </c>
      <c r="AD33" s="4">
        <v>0</v>
      </c>
      <c r="AE33" s="4" t="s">
        <v>49</v>
      </c>
      <c r="AF33" s="4">
        <v>0</v>
      </c>
      <c r="AG33" s="4" t="s">
        <v>760</v>
      </c>
      <c r="AH33" s="4" t="s">
        <v>758</v>
      </c>
      <c r="AI33" s="4" t="s">
        <v>64</v>
      </c>
      <c r="AJ33" s="13">
        <v>0</v>
      </c>
      <c r="AK33" s="13">
        <v>10</v>
      </c>
      <c r="AL33" s="13" t="s">
        <v>479</v>
      </c>
      <c r="AM33" s="13" t="s">
        <v>480</v>
      </c>
      <c r="AO33" s="13" t="s">
        <v>481</v>
      </c>
      <c r="AP33" s="13" t="s">
        <v>49</v>
      </c>
      <c r="AQ33" s="13" t="s">
        <v>49</v>
      </c>
      <c r="AR33" s="13" t="s">
        <v>49</v>
      </c>
      <c r="AS33" s="13" t="s">
        <v>49</v>
      </c>
      <c r="AT33" s="13" t="s">
        <v>992</v>
      </c>
      <c r="AU33" s="4" t="s">
        <v>1000</v>
      </c>
      <c r="AV33" s="14">
        <f>1.49/3</f>
        <v>0.49666666666666665</v>
      </c>
      <c r="AW33" s="14">
        <f>1.07/3</f>
        <v>0.35666666666666669</v>
      </c>
      <c r="AX33" s="14">
        <f>Table1347456[[#This Row],[treatment_mean]]/Table1347456[[#This Row],[control_mean]]</f>
        <v>1.3925233644859811</v>
      </c>
      <c r="AY33" s="14">
        <f>LN(Table1347456[[#This Row],[rr]])</f>
        <v>0.33111747148355286</v>
      </c>
      <c r="AZ33" s="13">
        <v>3</v>
      </c>
      <c r="BA33" s="13">
        <v>3</v>
      </c>
      <c r="BB33" s="14">
        <f>0.12/3</f>
        <v>0.04</v>
      </c>
      <c r="BC33" s="14">
        <f>0.03/3</f>
        <v>0.01</v>
      </c>
      <c r="BD33" s="15">
        <f>Table1347456[[#This Row],[treatment_se]]*SQRT(Table1347456[[#This Row],[treatment_n]])</f>
        <v>6.9282032302755092E-2</v>
      </c>
      <c r="BE33" s="14">
        <f>Table1347456[[#This Row],[control_se]]*SQRT(Table1347456[[#This Row],[control_n]])</f>
        <v>1.7320508075688773E-2</v>
      </c>
      <c r="BF3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7.2722891710172632E-3</v>
      </c>
      <c r="BG33" s="17">
        <f>SQRT(Table1347456[[#This Row],[v_from_sd_and_n]])</f>
        <v>8.5277717904604269E-2</v>
      </c>
      <c r="BH33" s="13" t="s">
        <v>49</v>
      </c>
      <c r="BI33" s="13">
        <v>0.52500000000000002</v>
      </c>
      <c r="BJ33" s="18">
        <f>ABS(_xlfn.NORM.S.INV(Table1347456[[#This Row],[p_value]]/2))</f>
        <v>0.63565701369758276</v>
      </c>
      <c r="BK33" s="19">
        <f>(Table1347456[[#This Row],[lnrr]]/Table1347456[[#This Row],[z_from_p]])^2</f>
        <v>0.27134292825520356</v>
      </c>
      <c r="BL33" s="16">
        <f>Table1347456[[#This Row],[v_from_sd_and_n]]</f>
        <v>7.2722891710172632E-3</v>
      </c>
      <c r="BM33" s="20">
        <f>SQRT(Table1347456[[#This Row],[v]])</f>
        <v>8.5277717904604269E-2</v>
      </c>
      <c r="BN33" s="20">
        <f>Table1347456[[#This Row],[lnrr]]-(1.96*Table1347456[[#This Row],[se]])</f>
        <v>0.16397314439052849</v>
      </c>
      <c r="BO33" s="20">
        <f>Table1347456[[#This Row],[lnrr]]+(1.96 * Table1347456[[#This Row],[se]])</f>
        <v>0.49826179857657726</v>
      </c>
    </row>
    <row r="34" spans="1:67">
      <c r="A34" s="13" t="s">
        <v>57</v>
      </c>
      <c r="B34" s="13" t="s">
        <v>58</v>
      </c>
      <c r="C34" s="13" t="s">
        <v>43</v>
      </c>
      <c r="D34" s="13" t="s">
        <v>59</v>
      </c>
      <c r="E34" s="13" t="s">
        <v>60</v>
      </c>
      <c r="F34" s="13" t="s">
        <v>585</v>
      </c>
      <c r="H34" s="13">
        <v>22</v>
      </c>
      <c r="I34" s="13" t="s">
        <v>46</v>
      </c>
      <c r="K34" s="13" t="s">
        <v>815</v>
      </c>
      <c r="L34" s="13" t="s">
        <v>816</v>
      </c>
      <c r="N34" s="13" t="s">
        <v>61</v>
      </c>
      <c r="O34" s="13" t="s">
        <v>642</v>
      </c>
      <c r="P34" s="13" t="s">
        <v>62</v>
      </c>
      <c r="Q34" s="13" t="s">
        <v>48</v>
      </c>
      <c r="R34" s="4">
        <v>6</v>
      </c>
      <c r="S34" s="13" t="s">
        <v>595</v>
      </c>
      <c r="T34" s="13">
        <v>90</v>
      </c>
      <c r="U34" s="4" t="s">
        <v>63</v>
      </c>
      <c r="V34" s="4">
        <v>850</v>
      </c>
      <c r="W34" s="4" t="s">
        <v>602</v>
      </c>
      <c r="X34" s="4">
        <v>723</v>
      </c>
      <c r="Y34" s="4">
        <v>35</v>
      </c>
      <c r="Z34" s="4" t="s">
        <v>478</v>
      </c>
      <c r="AA34" s="4" t="s">
        <v>50</v>
      </c>
      <c r="AB34" s="4">
        <v>150</v>
      </c>
      <c r="AC34" s="4" t="s">
        <v>49</v>
      </c>
      <c r="AD34" s="4">
        <v>0</v>
      </c>
      <c r="AE34" s="4" t="s">
        <v>49</v>
      </c>
      <c r="AF34" s="4">
        <v>0</v>
      </c>
      <c r="AG34" s="4" t="s">
        <v>761</v>
      </c>
      <c r="AH34" s="4" t="s">
        <v>758</v>
      </c>
      <c r="AI34" s="4" t="s">
        <v>64</v>
      </c>
      <c r="AJ34" s="13">
        <v>0</v>
      </c>
      <c r="AK34" s="13">
        <v>10</v>
      </c>
      <c r="AL34" s="13" t="s">
        <v>479</v>
      </c>
      <c r="AM34" s="13" t="s">
        <v>480</v>
      </c>
      <c r="AO34" s="13" t="s">
        <v>481</v>
      </c>
      <c r="AP34" s="13" t="s">
        <v>49</v>
      </c>
      <c r="AQ34" s="13" t="s">
        <v>49</v>
      </c>
      <c r="AR34" s="13" t="s">
        <v>49</v>
      </c>
      <c r="AS34" s="13" t="s">
        <v>49</v>
      </c>
      <c r="AT34" s="13" t="s">
        <v>992</v>
      </c>
      <c r="AU34" s="4" t="s">
        <v>1000</v>
      </c>
      <c r="AV34" s="14">
        <f>64.1/3000</f>
        <v>2.1366666666666666E-2</v>
      </c>
      <c r="AW34" s="14">
        <f>69.5/3000</f>
        <v>2.3166666666666665E-2</v>
      </c>
      <c r="AX34" s="14">
        <f>Table1347456[[#This Row],[treatment_mean]]/Table1347456[[#This Row],[control_mean]]</f>
        <v>0.92230215827338136</v>
      </c>
      <c r="AY34" s="14">
        <f>LN(Table1347456[[#This Row],[rr]])</f>
        <v>-8.0882388644122019E-2</v>
      </c>
      <c r="AZ34" s="13">
        <v>3</v>
      </c>
      <c r="BA34" s="13">
        <v>3</v>
      </c>
      <c r="BB34" s="14">
        <f>0.7/3000</f>
        <v>2.3333333333333333E-4</v>
      </c>
      <c r="BC34" s="14">
        <f>1.5/3000</f>
        <v>5.0000000000000001E-4</v>
      </c>
      <c r="BD34" s="15">
        <f>Table1347456[[#This Row],[treatment_se]]*SQRT(Table1347456[[#This Row],[treatment_n]])</f>
        <v>4.0414518843273801E-4</v>
      </c>
      <c r="BE34" s="14">
        <f>Table1347456[[#This Row],[control_se]]*SQRT(Table1347456[[#This Row],[control_n]])</f>
        <v>8.6602540378443859E-4</v>
      </c>
      <c r="BF3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5.8507033912505294E-4</v>
      </c>
      <c r="BG34" s="17">
        <f>SQRT(Table1347456[[#This Row],[v_from_sd_and_n]])</f>
        <v>2.4188227283640548E-2</v>
      </c>
      <c r="BH34" s="13" t="s">
        <v>49</v>
      </c>
      <c r="BI34" s="13">
        <v>0.52500000000000002</v>
      </c>
      <c r="BJ34" s="18">
        <f>ABS(_xlfn.NORM.S.INV(Table1347456[[#This Row],[p_value]]/2))</f>
        <v>0.63565701369758276</v>
      </c>
      <c r="BK34" s="19">
        <f>(Table1347456[[#This Row],[lnrr]]/Table1347456[[#This Row],[z_from_p]])^2</f>
        <v>1.619057416829774E-2</v>
      </c>
      <c r="BL34" s="16">
        <f>Table1347456[[#This Row],[v_from_sd_and_n]]</f>
        <v>5.8507033912505294E-4</v>
      </c>
      <c r="BM34" s="20">
        <f>SQRT(Table1347456[[#This Row],[v]])</f>
        <v>2.4188227283640548E-2</v>
      </c>
      <c r="BN34" s="20">
        <f>Table1347456[[#This Row],[lnrr]]-(1.96*Table1347456[[#This Row],[se]])</f>
        <v>-0.12829131412005751</v>
      </c>
      <c r="BO34" s="20">
        <f>Table1347456[[#This Row],[lnrr]]+(1.96 * Table1347456[[#This Row],[se]])</f>
        <v>-3.3473463168186543E-2</v>
      </c>
    </row>
    <row r="35" spans="1:67">
      <c r="A35" s="13" t="s">
        <v>57</v>
      </c>
      <c r="B35" s="13" t="s">
        <v>58</v>
      </c>
      <c r="C35" s="13" t="s">
        <v>43</v>
      </c>
      <c r="D35" s="13" t="s">
        <v>59</v>
      </c>
      <c r="E35" s="13" t="s">
        <v>60</v>
      </c>
      <c r="F35" s="13" t="s">
        <v>585</v>
      </c>
      <c r="H35" s="13">
        <v>22</v>
      </c>
      <c r="I35" s="13" t="s">
        <v>46</v>
      </c>
      <c r="K35" s="13" t="s">
        <v>815</v>
      </c>
      <c r="L35" s="13" t="s">
        <v>816</v>
      </c>
      <c r="N35" s="13" t="s">
        <v>47</v>
      </c>
      <c r="O35" s="13" t="s">
        <v>645</v>
      </c>
      <c r="P35" s="13" t="s">
        <v>48</v>
      </c>
      <c r="Q35" s="13" t="s">
        <v>48</v>
      </c>
      <c r="R35" s="4">
        <v>6</v>
      </c>
      <c r="S35" s="13" t="s">
        <v>595</v>
      </c>
      <c r="T35" s="13">
        <v>90</v>
      </c>
      <c r="U35" s="4" t="s">
        <v>63</v>
      </c>
      <c r="V35" s="4">
        <v>850</v>
      </c>
      <c r="W35" s="4" t="s">
        <v>602</v>
      </c>
      <c r="X35" s="4">
        <v>723</v>
      </c>
      <c r="Y35" s="4">
        <v>35</v>
      </c>
      <c r="Z35" s="4" t="s">
        <v>478</v>
      </c>
      <c r="AA35" s="4" t="s">
        <v>50</v>
      </c>
      <c r="AB35" s="4">
        <v>150</v>
      </c>
      <c r="AC35" s="4" t="s">
        <v>49</v>
      </c>
      <c r="AD35" s="4">
        <v>0</v>
      </c>
      <c r="AE35" s="4" t="s">
        <v>49</v>
      </c>
      <c r="AF35" s="4">
        <v>0</v>
      </c>
      <c r="AG35" s="4" t="s">
        <v>761</v>
      </c>
      <c r="AH35" s="4" t="s">
        <v>758</v>
      </c>
      <c r="AI35" s="4" t="s">
        <v>64</v>
      </c>
      <c r="AJ35" s="13">
        <v>0</v>
      </c>
      <c r="AK35" s="13">
        <v>10</v>
      </c>
      <c r="AL35" s="13" t="s">
        <v>479</v>
      </c>
      <c r="AM35" s="13" t="s">
        <v>480</v>
      </c>
      <c r="AO35" s="13" t="s">
        <v>481</v>
      </c>
      <c r="AP35" s="13" t="s">
        <v>49</v>
      </c>
      <c r="AQ35" s="13" t="s">
        <v>49</v>
      </c>
      <c r="AR35" s="13" t="s">
        <v>49</v>
      </c>
      <c r="AS35" s="13" t="s">
        <v>49</v>
      </c>
      <c r="AT35" s="13" t="s">
        <v>992</v>
      </c>
      <c r="AU35" s="4" t="s">
        <v>1000</v>
      </c>
      <c r="AV35" s="14">
        <v>0.72</v>
      </c>
      <c r="AW35" s="14">
        <v>0.68</v>
      </c>
      <c r="AX35" s="14">
        <f>Table1347456[[#This Row],[treatment_mean]]/Table1347456[[#This Row],[control_mean]]</f>
        <v>1.0588235294117645</v>
      </c>
      <c r="AY35" s="14">
        <f>LN(Table1347456[[#This Row],[rr]])</f>
        <v>5.7158413839948415E-2</v>
      </c>
      <c r="AZ35" s="13">
        <v>3</v>
      </c>
      <c r="BA35" s="13">
        <v>3</v>
      </c>
      <c r="BB35" s="14">
        <v>0</v>
      </c>
      <c r="BC35" s="14">
        <v>0</v>
      </c>
      <c r="BD35" s="15">
        <f>Table1347456[[#This Row],[treatment_se]]*SQRT(Table1347456[[#This Row],[treatment_n]])</f>
        <v>0</v>
      </c>
      <c r="BE35" s="14">
        <f>Table1347456[[#This Row],[control_se]]*SQRT(Table1347456[[#This Row],[control_n]])</f>
        <v>0</v>
      </c>
      <c r="BF3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35" s="17">
        <f>SQRT(Table1347456[[#This Row],[v_from_sd_and_n]])</f>
        <v>0</v>
      </c>
      <c r="BH35" s="13" t="s">
        <v>49</v>
      </c>
      <c r="BI35" s="13">
        <v>0.52500000000000002</v>
      </c>
      <c r="BJ35" s="18">
        <f>ABS(_xlfn.NORM.S.INV(Table1347456[[#This Row],[p_value]]/2))</f>
        <v>0.63565701369758276</v>
      </c>
      <c r="BK35" s="19">
        <f>(Table1347456[[#This Row],[lnrr]]/Table1347456[[#This Row],[z_from_p]])^2</f>
        <v>8.0856446418323333E-3</v>
      </c>
      <c r="BL35" s="16">
        <f>(Table1347456[[#This Row],[lnrr]]/Table1347456[[#This Row],[z_from_p]])^2</f>
        <v>8.0856446418323333E-3</v>
      </c>
      <c r="BM35" s="20">
        <f>SQRT(Table1347456[[#This Row],[v]])</f>
        <v>8.9920212643389216E-2</v>
      </c>
      <c r="BN35" s="20">
        <f>Table1347456[[#This Row],[lnrr]]-(1.96*Table1347456[[#This Row],[se]])</f>
        <v>-0.11908520294109445</v>
      </c>
      <c r="BO35" s="20">
        <f>Table1347456[[#This Row],[lnrr]]+(1.96 * Table1347456[[#This Row],[se]])</f>
        <v>0.23340203062099127</v>
      </c>
    </row>
    <row r="36" spans="1:67">
      <c r="A36" s="13" t="s">
        <v>57</v>
      </c>
      <c r="B36" s="13" t="s">
        <v>58</v>
      </c>
      <c r="C36" s="13" t="s">
        <v>43</v>
      </c>
      <c r="D36" s="13" t="s">
        <v>59</v>
      </c>
      <c r="E36" s="13" t="s">
        <v>60</v>
      </c>
      <c r="F36" s="13" t="s">
        <v>585</v>
      </c>
      <c r="H36" s="13">
        <v>22</v>
      </c>
      <c r="I36" s="13" t="s">
        <v>46</v>
      </c>
      <c r="K36" s="13" t="s">
        <v>815</v>
      </c>
      <c r="L36" s="13" t="s">
        <v>816</v>
      </c>
      <c r="N36" s="13" t="s">
        <v>65</v>
      </c>
      <c r="O36" s="13" t="s">
        <v>642</v>
      </c>
      <c r="P36" s="13" t="s">
        <v>422</v>
      </c>
      <c r="Q36" s="13" t="s">
        <v>48</v>
      </c>
      <c r="R36" s="4">
        <v>6</v>
      </c>
      <c r="S36" s="13" t="s">
        <v>595</v>
      </c>
      <c r="T36" s="13">
        <v>90</v>
      </c>
      <c r="U36" s="4" t="s">
        <v>63</v>
      </c>
      <c r="V36" s="4">
        <v>850</v>
      </c>
      <c r="W36" s="4" t="s">
        <v>602</v>
      </c>
      <c r="X36" s="4">
        <v>723</v>
      </c>
      <c r="Y36" s="4">
        <v>35</v>
      </c>
      <c r="Z36" s="4" t="s">
        <v>478</v>
      </c>
      <c r="AA36" s="4" t="s">
        <v>50</v>
      </c>
      <c r="AB36" s="4">
        <v>150</v>
      </c>
      <c r="AC36" s="4" t="s">
        <v>49</v>
      </c>
      <c r="AD36" s="4">
        <v>0</v>
      </c>
      <c r="AE36" s="4" t="s">
        <v>49</v>
      </c>
      <c r="AF36" s="4">
        <v>0</v>
      </c>
      <c r="AG36" s="4" t="s">
        <v>761</v>
      </c>
      <c r="AH36" s="4" t="s">
        <v>758</v>
      </c>
      <c r="AI36" s="4" t="s">
        <v>64</v>
      </c>
      <c r="AJ36" s="13">
        <v>0</v>
      </c>
      <c r="AK36" s="13">
        <v>10</v>
      </c>
      <c r="AL36" s="13" t="s">
        <v>479</v>
      </c>
      <c r="AM36" s="13" t="s">
        <v>480</v>
      </c>
      <c r="AO36" s="13" t="s">
        <v>481</v>
      </c>
      <c r="AP36" s="13" t="s">
        <v>49</v>
      </c>
      <c r="AQ36" s="13" t="s">
        <v>49</v>
      </c>
      <c r="AR36" s="13" t="s">
        <v>49</v>
      </c>
      <c r="AS36" s="13" t="s">
        <v>49</v>
      </c>
      <c r="AT36" s="13" t="s">
        <v>992</v>
      </c>
      <c r="AU36" s="4" t="s">
        <v>1000</v>
      </c>
      <c r="AV36" s="14">
        <f>5.14/3</f>
        <v>1.7133333333333332</v>
      </c>
      <c r="AW36" s="14">
        <f>6.52/3</f>
        <v>2.1733333333333333</v>
      </c>
      <c r="AX36" s="14">
        <f>Table1347456[[#This Row],[treatment_mean]]/Table1347456[[#This Row],[control_mean]]</f>
        <v>0.78834355828220848</v>
      </c>
      <c r="AY36" s="14">
        <f>LN(Table1347456[[#This Row],[rr]])</f>
        <v>-0.23782129647148798</v>
      </c>
      <c r="AZ36" s="13">
        <v>3</v>
      </c>
      <c r="BA36" s="13">
        <v>3</v>
      </c>
      <c r="BB36" s="14">
        <f>0.02/3</f>
        <v>6.6666666666666671E-3</v>
      </c>
      <c r="BC36" s="14">
        <f>0.05/3</f>
        <v>1.6666666666666666E-2</v>
      </c>
      <c r="BD36" s="15">
        <f>Table1347456[[#This Row],[treatment_se]]*SQRT(Table1347456[[#This Row],[treatment_n]])</f>
        <v>1.1547005383792516E-2</v>
      </c>
      <c r="BE36" s="14">
        <f>Table1347456[[#This Row],[control_se]]*SQRT(Table1347456[[#This Row],[control_n]])</f>
        <v>2.8867513459481287E-2</v>
      </c>
      <c r="BF3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7.3949413114227132E-5</v>
      </c>
      <c r="BG36" s="17">
        <f>SQRT(Table1347456[[#This Row],[v_from_sd_and_n]])</f>
        <v>8.5993844613569369E-3</v>
      </c>
      <c r="BH36" s="13" t="s">
        <v>49</v>
      </c>
      <c r="BI36" s="13">
        <v>0.52500000000000002</v>
      </c>
      <c r="BJ36" s="18">
        <f>ABS(_xlfn.NORM.S.INV(Table1347456[[#This Row],[p_value]]/2))</f>
        <v>0.63565701369758276</v>
      </c>
      <c r="BK36" s="19">
        <f>(Table1347456[[#This Row],[lnrr]]/Table1347456[[#This Row],[z_from_p]])^2</f>
        <v>0.13997671529679248</v>
      </c>
      <c r="BL36" s="16">
        <f>Table1347456[[#This Row],[v_from_sd_and_n]]</f>
        <v>7.3949413114227132E-5</v>
      </c>
      <c r="BM36" s="20">
        <f>SQRT(Table1347456[[#This Row],[v]])</f>
        <v>8.5993844613569369E-3</v>
      </c>
      <c r="BN36" s="20">
        <f>Table1347456[[#This Row],[lnrr]]-(1.96*Table1347456[[#This Row],[se]])</f>
        <v>-0.25467609001574759</v>
      </c>
      <c r="BO36" s="20">
        <f>Table1347456[[#This Row],[lnrr]]+(1.96 * Table1347456[[#This Row],[se]])</f>
        <v>-0.22096650292722839</v>
      </c>
    </row>
    <row r="37" spans="1:67">
      <c r="A37" s="13" t="s">
        <v>57</v>
      </c>
      <c r="B37" s="13" t="s">
        <v>58</v>
      </c>
      <c r="C37" s="13" t="s">
        <v>43</v>
      </c>
      <c r="D37" s="13" t="s">
        <v>59</v>
      </c>
      <c r="E37" s="13" t="s">
        <v>60</v>
      </c>
      <c r="F37" s="13" t="s">
        <v>585</v>
      </c>
      <c r="H37" s="13">
        <v>22</v>
      </c>
      <c r="I37" s="13" t="s">
        <v>46</v>
      </c>
      <c r="K37" s="13" t="s">
        <v>815</v>
      </c>
      <c r="L37" s="13" t="s">
        <v>816</v>
      </c>
      <c r="N37" s="13" t="s">
        <v>66</v>
      </c>
      <c r="O37" s="13" t="s">
        <v>67</v>
      </c>
      <c r="P37" s="13" t="s">
        <v>68</v>
      </c>
      <c r="Q37" s="13" t="s">
        <v>48</v>
      </c>
      <c r="R37" s="4">
        <v>6</v>
      </c>
      <c r="S37" s="13" t="s">
        <v>595</v>
      </c>
      <c r="T37" s="13">
        <v>90</v>
      </c>
      <c r="U37" s="4" t="s">
        <v>63</v>
      </c>
      <c r="V37" s="4">
        <v>850</v>
      </c>
      <c r="W37" s="4" t="s">
        <v>602</v>
      </c>
      <c r="X37" s="4">
        <v>723</v>
      </c>
      <c r="Y37" s="4">
        <v>35</v>
      </c>
      <c r="Z37" s="4" t="s">
        <v>478</v>
      </c>
      <c r="AA37" s="4" t="s">
        <v>50</v>
      </c>
      <c r="AB37" s="4">
        <v>150</v>
      </c>
      <c r="AC37" s="4" t="s">
        <v>49</v>
      </c>
      <c r="AD37" s="4">
        <v>0</v>
      </c>
      <c r="AE37" s="4" t="s">
        <v>49</v>
      </c>
      <c r="AF37" s="4">
        <v>0</v>
      </c>
      <c r="AG37" s="4" t="s">
        <v>761</v>
      </c>
      <c r="AH37" s="4" t="s">
        <v>758</v>
      </c>
      <c r="AI37" s="4" t="s">
        <v>64</v>
      </c>
      <c r="AJ37" s="13">
        <v>0</v>
      </c>
      <c r="AK37" s="13">
        <v>10</v>
      </c>
      <c r="AL37" s="13" t="s">
        <v>479</v>
      </c>
      <c r="AM37" s="13" t="s">
        <v>480</v>
      </c>
      <c r="AO37" s="13" t="s">
        <v>481</v>
      </c>
      <c r="AP37" s="13" t="s">
        <v>49</v>
      </c>
      <c r="AQ37" s="13" t="s">
        <v>49</v>
      </c>
      <c r="AR37" s="13" t="s">
        <v>49</v>
      </c>
      <c r="AS37" s="13" t="s">
        <v>49</v>
      </c>
      <c r="AT37" s="13" t="s">
        <v>992</v>
      </c>
      <c r="AU37" s="4" t="s">
        <v>1000</v>
      </c>
      <c r="AV37" s="14">
        <f>1.25/3</f>
        <v>0.41666666666666669</v>
      </c>
      <c r="AW37" s="14">
        <f>1.07/3</f>
        <v>0.35666666666666669</v>
      </c>
      <c r="AX37" s="14">
        <f>Table1347456[[#This Row],[treatment_mean]]/Table1347456[[#This Row],[control_mean]]</f>
        <v>1.1682242990654206</v>
      </c>
      <c r="AY37" s="14">
        <f>LN(Table1347456[[#This Row],[rr]])</f>
        <v>0.15548490284039496</v>
      </c>
      <c r="AZ37" s="13">
        <v>3</v>
      </c>
      <c r="BA37" s="13">
        <v>3</v>
      </c>
      <c r="BB37" s="14">
        <f>0.01/3</f>
        <v>3.3333333333333335E-3</v>
      </c>
      <c r="BC37" s="14">
        <f>0.03/3</f>
        <v>0.01</v>
      </c>
      <c r="BD37" s="15">
        <f>Table1347456[[#This Row],[treatment_se]]*SQRT(Table1347456[[#This Row],[treatment_n]])</f>
        <v>5.773502691896258E-3</v>
      </c>
      <c r="BE37" s="14">
        <f>Table1347456[[#This Row],[control_se]]*SQRT(Table1347456[[#This Row],[control_n]])</f>
        <v>1.7320508075688773E-2</v>
      </c>
      <c r="BF3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8.5009485544589047E-4</v>
      </c>
      <c r="BG37" s="17">
        <f>SQRT(Table1347456[[#This Row],[v_from_sd_and_n]])</f>
        <v>2.9156386186321007E-2</v>
      </c>
      <c r="BH37" s="13" t="s">
        <v>49</v>
      </c>
      <c r="BI37" s="13">
        <v>0.52500000000000002</v>
      </c>
      <c r="BJ37" s="18">
        <f>ABS(_xlfn.NORM.S.INV(Table1347456[[#This Row],[p_value]]/2))</f>
        <v>0.63565701369758276</v>
      </c>
      <c r="BK37" s="19">
        <f>(Table1347456[[#This Row],[lnrr]]/Table1347456[[#This Row],[z_from_p]])^2</f>
        <v>5.9831620651420205E-2</v>
      </c>
      <c r="BL37" s="16">
        <f>Table1347456[[#This Row],[v_from_sd_and_n]]</f>
        <v>8.5009485544589047E-4</v>
      </c>
      <c r="BM37" s="20">
        <f>SQRT(Table1347456[[#This Row],[v]])</f>
        <v>2.9156386186321007E-2</v>
      </c>
      <c r="BN37" s="20">
        <f>Table1347456[[#This Row],[lnrr]]-(1.96*Table1347456[[#This Row],[se]])</f>
        <v>9.8338385915205787E-2</v>
      </c>
      <c r="BO37" s="20">
        <f>Table1347456[[#This Row],[lnrr]]+(1.96 * Table1347456[[#This Row],[se]])</f>
        <v>0.21263141976558414</v>
      </c>
    </row>
    <row r="38" spans="1:67">
      <c r="A38" s="13" t="s">
        <v>57</v>
      </c>
      <c r="B38" s="13" t="s">
        <v>58</v>
      </c>
      <c r="C38" s="13" t="s">
        <v>43</v>
      </c>
      <c r="D38" s="13" t="s">
        <v>59</v>
      </c>
      <c r="E38" s="13" t="s">
        <v>60</v>
      </c>
      <c r="F38" s="13" t="s">
        <v>585</v>
      </c>
      <c r="H38" s="13">
        <v>22</v>
      </c>
      <c r="I38" s="13" t="s">
        <v>46</v>
      </c>
      <c r="K38" s="13" t="s">
        <v>815</v>
      </c>
      <c r="L38" s="13" t="s">
        <v>816</v>
      </c>
      <c r="N38" s="13" t="s">
        <v>61</v>
      </c>
      <c r="O38" s="13" t="s">
        <v>642</v>
      </c>
      <c r="P38" s="13" t="s">
        <v>62</v>
      </c>
      <c r="Q38" s="13" t="s">
        <v>48</v>
      </c>
      <c r="R38" s="4">
        <v>6</v>
      </c>
      <c r="S38" s="13" t="s">
        <v>595</v>
      </c>
      <c r="T38" s="13">
        <v>90</v>
      </c>
      <c r="U38" s="4" t="s">
        <v>63</v>
      </c>
      <c r="V38" s="4">
        <v>950</v>
      </c>
      <c r="W38" s="4" t="s">
        <v>602</v>
      </c>
      <c r="X38" s="4">
        <v>701</v>
      </c>
      <c r="Y38" s="4">
        <v>35</v>
      </c>
      <c r="Z38" s="4" t="s">
        <v>478</v>
      </c>
      <c r="AA38" s="4" t="s">
        <v>50</v>
      </c>
      <c r="AB38" s="4">
        <v>150</v>
      </c>
      <c r="AC38" s="4" t="s">
        <v>49</v>
      </c>
      <c r="AD38" s="4">
        <v>0</v>
      </c>
      <c r="AE38" s="4" t="s">
        <v>49</v>
      </c>
      <c r="AF38" s="4">
        <v>0</v>
      </c>
      <c r="AG38" s="4" t="s">
        <v>762</v>
      </c>
      <c r="AH38" s="4" t="s">
        <v>758</v>
      </c>
      <c r="AI38" s="4" t="s">
        <v>64</v>
      </c>
      <c r="AJ38" s="13">
        <v>0</v>
      </c>
      <c r="AK38" s="13">
        <v>10</v>
      </c>
      <c r="AL38" s="13" t="s">
        <v>479</v>
      </c>
      <c r="AM38" s="13" t="s">
        <v>480</v>
      </c>
      <c r="AO38" s="13" t="s">
        <v>481</v>
      </c>
      <c r="AP38" s="13" t="s">
        <v>49</v>
      </c>
      <c r="AQ38" s="13" t="s">
        <v>49</v>
      </c>
      <c r="AR38" s="13" t="s">
        <v>49</v>
      </c>
      <c r="AS38" s="13" t="s">
        <v>49</v>
      </c>
      <c r="AT38" s="13" t="s">
        <v>992</v>
      </c>
      <c r="AU38" s="4" t="s">
        <v>1000</v>
      </c>
      <c r="AV38" s="14">
        <f>67.4/3000</f>
        <v>2.246666666666667E-2</v>
      </c>
      <c r="AW38" s="14">
        <f>69.5/3000</f>
        <v>2.3166666666666665E-2</v>
      </c>
      <c r="AX38" s="14">
        <f>Table1347456[[#This Row],[treatment_mean]]/Table1347456[[#This Row],[control_mean]]</f>
        <v>0.96978417266187067</v>
      </c>
      <c r="AY38" s="14">
        <f>LN(Table1347456[[#This Row],[rr]])</f>
        <v>-3.0681734652484926E-2</v>
      </c>
      <c r="AZ38" s="13">
        <v>3</v>
      </c>
      <c r="BA38" s="13">
        <v>3</v>
      </c>
      <c r="BB38" s="14">
        <f>3/3000</f>
        <v>1E-3</v>
      </c>
      <c r="BC38" s="14">
        <f>1.5/3000</f>
        <v>5.0000000000000001E-4</v>
      </c>
      <c r="BD38" s="15">
        <f>Table1347456[[#This Row],[treatment_se]]*SQRT(Table1347456[[#This Row],[treatment_n]])</f>
        <v>1.7320508075688772E-3</v>
      </c>
      <c r="BE38" s="14">
        <f>Table1347456[[#This Row],[control_se]]*SQRT(Table1347456[[#This Row],[control_n]])</f>
        <v>8.6602540378443859E-4</v>
      </c>
      <c r="BF3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2.4469888390487946E-3</v>
      </c>
      <c r="BG38" s="17">
        <f>SQRT(Table1347456[[#This Row],[v_from_sd_and_n]])</f>
        <v>4.9467048012275756E-2</v>
      </c>
      <c r="BH38" s="13" t="s">
        <v>49</v>
      </c>
      <c r="BI38" s="13">
        <v>0.52500000000000002</v>
      </c>
      <c r="BJ38" s="18">
        <f>ABS(_xlfn.NORM.S.INV(Table1347456[[#This Row],[p_value]]/2))</f>
        <v>0.63565701369758276</v>
      </c>
      <c r="BK38" s="19">
        <f>(Table1347456[[#This Row],[lnrr]]/Table1347456[[#This Row],[z_from_p]])^2</f>
        <v>2.3297758160490773E-3</v>
      </c>
      <c r="BL38" s="16">
        <f>Table1347456[[#This Row],[v_from_sd_and_n]]</f>
        <v>2.4469888390487946E-3</v>
      </c>
      <c r="BM38" s="20">
        <f>SQRT(Table1347456[[#This Row],[v]])</f>
        <v>4.9467048012275756E-2</v>
      </c>
      <c r="BN38" s="20">
        <f>Table1347456[[#This Row],[lnrr]]-(1.96*Table1347456[[#This Row],[se]])</f>
        <v>-0.12763714875654542</v>
      </c>
      <c r="BO38" s="20">
        <f>Table1347456[[#This Row],[lnrr]]+(1.96 * Table1347456[[#This Row],[se]])</f>
        <v>6.6273679451575557E-2</v>
      </c>
    </row>
    <row r="39" spans="1:67">
      <c r="A39" s="13" t="s">
        <v>57</v>
      </c>
      <c r="B39" s="13" t="s">
        <v>58</v>
      </c>
      <c r="C39" s="13" t="s">
        <v>43</v>
      </c>
      <c r="D39" s="13" t="s">
        <v>59</v>
      </c>
      <c r="E39" s="13" t="s">
        <v>60</v>
      </c>
      <c r="F39" s="13" t="s">
        <v>585</v>
      </c>
      <c r="H39" s="13">
        <v>22</v>
      </c>
      <c r="I39" s="13" t="s">
        <v>46</v>
      </c>
      <c r="K39" s="13" t="s">
        <v>815</v>
      </c>
      <c r="L39" s="13" t="s">
        <v>816</v>
      </c>
      <c r="N39" s="13" t="s">
        <v>47</v>
      </c>
      <c r="O39" s="13" t="s">
        <v>645</v>
      </c>
      <c r="P39" s="13" t="s">
        <v>48</v>
      </c>
      <c r="Q39" s="13" t="s">
        <v>48</v>
      </c>
      <c r="R39" s="4">
        <v>6</v>
      </c>
      <c r="S39" s="13" t="s">
        <v>595</v>
      </c>
      <c r="T39" s="13">
        <v>90</v>
      </c>
      <c r="U39" s="4" t="s">
        <v>63</v>
      </c>
      <c r="V39" s="4">
        <v>950</v>
      </c>
      <c r="W39" s="4" t="s">
        <v>602</v>
      </c>
      <c r="X39" s="4">
        <v>701</v>
      </c>
      <c r="Y39" s="4">
        <v>35</v>
      </c>
      <c r="Z39" s="4" t="s">
        <v>478</v>
      </c>
      <c r="AA39" s="4" t="s">
        <v>50</v>
      </c>
      <c r="AB39" s="4">
        <v>150</v>
      </c>
      <c r="AC39" s="4" t="s">
        <v>49</v>
      </c>
      <c r="AD39" s="4">
        <v>0</v>
      </c>
      <c r="AE39" s="4" t="s">
        <v>49</v>
      </c>
      <c r="AF39" s="4">
        <v>0</v>
      </c>
      <c r="AG39" s="4" t="s">
        <v>762</v>
      </c>
      <c r="AH39" s="4" t="s">
        <v>758</v>
      </c>
      <c r="AI39" s="4" t="s">
        <v>64</v>
      </c>
      <c r="AJ39" s="13">
        <v>0</v>
      </c>
      <c r="AK39" s="13">
        <v>10</v>
      </c>
      <c r="AL39" s="13" t="s">
        <v>479</v>
      </c>
      <c r="AM39" s="13" t="s">
        <v>480</v>
      </c>
      <c r="AO39" s="13" t="s">
        <v>481</v>
      </c>
      <c r="AP39" s="13" t="s">
        <v>49</v>
      </c>
      <c r="AQ39" s="13" t="s">
        <v>49</v>
      </c>
      <c r="AR39" s="13" t="s">
        <v>49</v>
      </c>
      <c r="AS39" s="13" t="s">
        <v>49</v>
      </c>
      <c r="AT39" s="13" t="s">
        <v>992</v>
      </c>
      <c r="AU39" s="4" t="s">
        <v>1000</v>
      </c>
      <c r="AV39" s="14">
        <v>0.72</v>
      </c>
      <c r="AW39" s="14">
        <v>0.68</v>
      </c>
      <c r="AX39" s="14">
        <f>Table1347456[[#This Row],[treatment_mean]]/Table1347456[[#This Row],[control_mean]]</f>
        <v>1.0588235294117645</v>
      </c>
      <c r="AY39" s="14">
        <f>LN(Table1347456[[#This Row],[rr]])</f>
        <v>5.7158413839948415E-2</v>
      </c>
      <c r="AZ39" s="13">
        <v>3</v>
      </c>
      <c r="BA39" s="13">
        <v>3</v>
      </c>
      <c r="BB39" s="14">
        <v>0</v>
      </c>
      <c r="BC39" s="14">
        <v>0</v>
      </c>
      <c r="BD39" s="15">
        <f>Table1347456[[#This Row],[treatment_se]]*SQRT(Table1347456[[#This Row],[treatment_n]])</f>
        <v>0</v>
      </c>
      <c r="BE39" s="14">
        <f>Table1347456[[#This Row],[control_se]]*SQRT(Table1347456[[#This Row],[control_n]])</f>
        <v>0</v>
      </c>
      <c r="BF3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39" s="17">
        <f>SQRT(Table1347456[[#This Row],[v_from_sd_and_n]])</f>
        <v>0</v>
      </c>
      <c r="BH39" s="13" t="s">
        <v>49</v>
      </c>
      <c r="BI39" s="13">
        <v>0.52500000000000002</v>
      </c>
      <c r="BJ39" s="18">
        <f>ABS(_xlfn.NORM.S.INV(Table1347456[[#This Row],[p_value]]/2))</f>
        <v>0.63565701369758276</v>
      </c>
      <c r="BK39" s="19">
        <f>(Table1347456[[#This Row],[lnrr]]/Table1347456[[#This Row],[z_from_p]])^2</f>
        <v>8.0856446418323333E-3</v>
      </c>
      <c r="BL39" s="16">
        <f>(Table1347456[[#This Row],[lnrr]]/Table1347456[[#This Row],[z_from_p]])^2</f>
        <v>8.0856446418323333E-3</v>
      </c>
      <c r="BM39" s="20">
        <f>SQRT(Table1347456[[#This Row],[v]])</f>
        <v>8.9920212643389216E-2</v>
      </c>
      <c r="BN39" s="20">
        <f>Table1347456[[#This Row],[lnrr]]-(1.96*Table1347456[[#This Row],[se]])</f>
        <v>-0.11908520294109445</v>
      </c>
      <c r="BO39" s="20">
        <f>Table1347456[[#This Row],[lnrr]]+(1.96 * Table1347456[[#This Row],[se]])</f>
        <v>0.23340203062099127</v>
      </c>
    </row>
    <row r="40" spans="1:67">
      <c r="A40" s="13" t="s">
        <v>57</v>
      </c>
      <c r="B40" s="13" t="s">
        <v>58</v>
      </c>
      <c r="C40" s="13" t="s">
        <v>43</v>
      </c>
      <c r="D40" s="13" t="s">
        <v>59</v>
      </c>
      <c r="E40" s="13" t="s">
        <v>60</v>
      </c>
      <c r="F40" s="13" t="s">
        <v>585</v>
      </c>
      <c r="H40" s="13">
        <v>22</v>
      </c>
      <c r="I40" s="13" t="s">
        <v>46</v>
      </c>
      <c r="K40" s="13" t="s">
        <v>815</v>
      </c>
      <c r="L40" s="13" t="s">
        <v>816</v>
      </c>
      <c r="N40" s="13" t="s">
        <v>65</v>
      </c>
      <c r="O40" s="13" t="s">
        <v>642</v>
      </c>
      <c r="P40" s="13" t="s">
        <v>422</v>
      </c>
      <c r="Q40" s="13" t="s">
        <v>48</v>
      </c>
      <c r="R40" s="4">
        <v>6</v>
      </c>
      <c r="S40" s="13" t="s">
        <v>595</v>
      </c>
      <c r="T40" s="13">
        <v>90</v>
      </c>
      <c r="U40" s="4" t="s">
        <v>63</v>
      </c>
      <c r="V40" s="4">
        <v>950</v>
      </c>
      <c r="W40" s="4" t="s">
        <v>602</v>
      </c>
      <c r="X40" s="4">
        <v>701</v>
      </c>
      <c r="Y40" s="4">
        <v>35</v>
      </c>
      <c r="Z40" s="4" t="s">
        <v>478</v>
      </c>
      <c r="AA40" s="4" t="s">
        <v>50</v>
      </c>
      <c r="AB40" s="4">
        <v>150</v>
      </c>
      <c r="AC40" s="4" t="s">
        <v>49</v>
      </c>
      <c r="AD40" s="4">
        <v>0</v>
      </c>
      <c r="AE40" s="4" t="s">
        <v>49</v>
      </c>
      <c r="AF40" s="4">
        <v>0</v>
      </c>
      <c r="AG40" s="4" t="s">
        <v>762</v>
      </c>
      <c r="AH40" s="4" t="s">
        <v>758</v>
      </c>
      <c r="AI40" s="4" t="s">
        <v>64</v>
      </c>
      <c r="AJ40" s="13">
        <v>0</v>
      </c>
      <c r="AK40" s="13">
        <v>10</v>
      </c>
      <c r="AL40" s="13" t="s">
        <v>479</v>
      </c>
      <c r="AM40" s="13" t="s">
        <v>480</v>
      </c>
      <c r="AO40" s="13" t="s">
        <v>481</v>
      </c>
      <c r="AP40" s="13" t="s">
        <v>49</v>
      </c>
      <c r="AQ40" s="13" t="s">
        <v>49</v>
      </c>
      <c r="AR40" s="13" t="s">
        <v>49</v>
      </c>
      <c r="AS40" s="13" t="s">
        <v>49</v>
      </c>
      <c r="AT40" s="13" t="s">
        <v>992</v>
      </c>
      <c r="AU40" s="4" t="s">
        <v>1000</v>
      </c>
      <c r="AV40" s="14">
        <f>5.37/3</f>
        <v>1.79</v>
      </c>
      <c r="AW40" s="14">
        <f>6.52/3</f>
        <v>2.1733333333333333</v>
      </c>
      <c r="AX40" s="14">
        <f>Table1347456[[#This Row],[treatment_mean]]/Table1347456[[#This Row],[control_mean]]</f>
        <v>0.82361963190184051</v>
      </c>
      <c r="AY40" s="14">
        <f>LN(Table1347456[[#This Row],[rr]])</f>
        <v>-0.19404646741778825</v>
      </c>
      <c r="AZ40" s="13">
        <v>3</v>
      </c>
      <c r="BA40" s="13">
        <v>3</v>
      </c>
      <c r="BB40" s="14">
        <f>0.04/3</f>
        <v>1.3333333333333334E-2</v>
      </c>
      <c r="BC40" s="14">
        <f>0.05/3</f>
        <v>1.6666666666666666E-2</v>
      </c>
      <c r="BD40" s="15">
        <f>Table1347456[[#This Row],[treatment_se]]*SQRT(Table1347456[[#This Row],[treatment_n]])</f>
        <v>2.3094010767585032E-2</v>
      </c>
      <c r="BE40" s="14">
        <f>Table1347456[[#This Row],[control_se]]*SQRT(Table1347456[[#This Row],[control_n]])</f>
        <v>2.8867513459481287E-2</v>
      </c>
      <c r="BF4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1.1429360455303129E-4</v>
      </c>
      <c r="BG40" s="17">
        <f>SQRT(Table1347456[[#This Row],[v_from_sd_and_n]])</f>
        <v>1.0690818703590071E-2</v>
      </c>
      <c r="BH40" s="13" t="s">
        <v>49</v>
      </c>
      <c r="BI40" s="13">
        <v>0.52500000000000002</v>
      </c>
      <c r="BJ40" s="18">
        <f>ABS(_xlfn.NORM.S.INV(Table1347456[[#This Row],[p_value]]/2))</f>
        <v>0.63565701369758276</v>
      </c>
      <c r="BK40" s="19">
        <f>(Table1347456[[#This Row],[lnrr]]/Table1347456[[#This Row],[z_from_p]])^2</f>
        <v>9.3189245446040125E-2</v>
      </c>
      <c r="BL40" s="16">
        <f>Table1347456[[#This Row],[v_from_sd_and_n]]</f>
        <v>1.1429360455303129E-4</v>
      </c>
      <c r="BM40" s="20">
        <f>SQRT(Table1347456[[#This Row],[v]])</f>
        <v>1.0690818703590071E-2</v>
      </c>
      <c r="BN40" s="20">
        <f>Table1347456[[#This Row],[lnrr]]-(1.96*Table1347456[[#This Row],[se]])</f>
        <v>-0.21500047207682479</v>
      </c>
      <c r="BO40" s="20">
        <f>Table1347456[[#This Row],[lnrr]]+(1.96 * Table1347456[[#This Row],[se]])</f>
        <v>-0.1730924627587517</v>
      </c>
    </row>
    <row r="41" spans="1:67">
      <c r="A41" s="13" t="s">
        <v>57</v>
      </c>
      <c r="B41" s="13" t="s">
        <v>58</v>
      </c>
      <c r="C41" s="13" t="s">
        <v>43</v>
      </c>
      <c r="D41" s="13" t="s">
        <v>59</v>
      </c>
      <c r="E41" s="13" t="s">
        <v>60</v>
      </c>
      <c r="F41" s="13" t="s">
        <v>585</v>
      </c>
      <c r="H41" s="13">
        <v>22</v>
      </c>
      <c r="I41" s="13" t="s">
        <v>46</v>
      </c>
      <c r="K41" s="13" t="s">
        <v>815</v>
      </c>
      <c r="L41" s="13" t="s">
        <v>816</v>
      </c>
      <c r="N41" s="13" t="s">
        <v>66</v>
      </c>
      <c r="O41" s="13" t="s">
        <v>67</v>
      </c>
      <c r="P41" s="13" t="s">
        <v>68</v>
      </c>
      <c r="Q41" s="13" t="s">
        <v>48</v>
      </c>
      <c r="R41" s="4">
        <v>6</v>
      </c>
      <c r="S41" s="13" t="s">
        <v>595</v>
      </c>
      <c r="T41" s="13">
        <v>90</v>
      </c>
      <c r="U41" s="4" t="s">
        <v>63</v>
      </c>
      <c r="V41" s="4">
        <v>950</v>
      </c>
      <c r="W41" s="4" t="s">
        <v>602</v>
      </c>
      <c r="X41" s="4">
        <v>701</v>
      </c>
      <c r="Y41" s="4">
        <v>35</v>
      </c>
      <c r="Z41" s="4" t="s">
        <v>478</v>
      </c>
      <c r="AA41" s="4" t="s">
        <v>50</v>
      </c>
      <c r="AB41" s="4">
        <v>150</v>
      </c>
      <c r="AC41" s="4" t="s">
        <v>49</v>
      </c>
      <c r="AD41" s="4">
        <v>0</v>
      </c>
      <c r="AE41" s="4" t="s">
        <v>49</v>
      </c>
      <c r="AF41" s="4">
        <v>0</v>
      </c>
      <c r="AG41" s="4" t="s">
        <v>762</v>
      </c>
      <c r="AH41" s="4" t="s">
        <v>758</v>
      </c>
      <c r="AI41" s="4" t="s">
        <v>64</v>
      </c>
      <c r="AJ41" s="13">
        <v>0</v>
      </c>
      <c r="AK41" s="13">
        <v>10</v>
      </c>
      <c r="AL41" s="13" t="s">
        <v>479</v>
      </c>
      <c r="AM41" s="13" t="s">
        <v>480</v>
      </c>
      <c r="AO41" s="13" t="s">
        <v>481</v>
      </c>
      <c r="AP41" s="13" t="s">
        <v>49</v>
      </c>
      <c r="AQ41" s="13" t="s">
        <v>49</v>
      </c>
      <c r="AR41" s="13" t="s">
        <v>49</v>
      </c>
      <c r="AS41" s="13" t="s">
        <v>49</v>
      </c>
      <c r="AT41" s="13" t="s">
        <v>992</v>
      </c>
      <c r="AU41" s="4" t="s">
        <v>1000</v>
      </c>
      <c r="AV41" s="14">
        <f>1.25/3</f>
        <v>0.41666666666666669</v>
      </c>
      <c r="AW41" s="14">
        <f>1.07/3</f>
        <v>0.35666666666666669</v>
      </c>
      <c r="AX41" s="14">
        <f>Table1347456[[#This Row],[treatment_mean]]/Table1347456[[#This Row],[control_mean]]</f>
        <v>1.1682242990654206</v>
      </c>
      <c r="AY41" s="14">
        <f>LN(Table1347456[[#This Row],[rr]])</f>
        <v>0.15548490284039496</v>
      </c>
      <c r="AZ41" s="13">
        <v>3</v>
      </c>
      <c r="BA41" s="13">
        <v>3</v>
      </c>
      <c r="BB41" s="14">
        <f>0.05/3</f>
        <v>1.6666666666666666E-2</v>
      </c>
      <c r="BC41" s="14">
        <f>0.03/3</f>
        <v>0.01</v>
      </c>
      <c r="BD41" s="15">
        <f>Table1347456[[#This Row],[treatment_se]]*SQRT(Table1347456[[#This Row],[treatment_n]])</f>
        <v>2.8867513459481287E-2</v>
      </c>
      <c r="BE41" s="14">
        <f>Table1347456[[#This Row],[control_se]]*SQRT(Table1347456[[#This Row],[control_n]])</f>
        <v>1.7320508075688773E-2</v>
      </c>
      <c r="BF4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2.3860948554458904E-3</v>
      </c>
      <c r="BG41" s="17">
        <f>SQRT(Table1347456[[#This Row],[v_from_sd_and_n]])</f>
        <v>4.8847669908050791E-2</v>
      </c>
      <c r="BH41" s="13" t="s">
        <v>49</v>
      </c>
      <c r="BI41" s="13">
        <v>0.52500000000000002</v>
      </c>
      <c r="BJ41" s="18">
        <f>ABS(_xlfn.NORM.S.INV(Table1347456[[#This Row],[p_value]]/2))</f>
        <v>0.63565701369758276</v>
      </c>
      <c r="BK41" s="19">
        <f>(Table1347456[[#This Row],[lnrr]]/Table1347456[[#This Row],[z_from_p]])^2</f>
        <v>5.9831620651420205E-2</v>
      </c>
      <c r="BL41" s="16">
        <f>Table1347456[[#This Row],[v_from_sd_and_n]]</f>
        <v>2.3860948554458904E-3</v>
      </c>
      <c r="BM41" s="20">
        <f>SQRT(Table1347456[[#This Row],[v]])</f>
        <v>4.8847669908050791E-2</v>
      </c>
      <c r="BN41" s="20">
        <f>Table1347456[[#This Row],[lnrr]]-(1.96*Table1347456[[#This Row],[se]])</f>
        <v>5.9743469820615402E-2</v>
      </c>
      <c r="BO41" s="20">
        <f>Table1347456[[#This Row],[lnrr]]+(1.96 * Table1347456[[#This Row],[se]])</f>
        <v>0.25122633586017451</v>
      </c>
    </row>
    <row r="42" spans="1:67">
      <c r="A42" s="13" t="s">
        <v>57</v>
      </c>
      <c r="B42" s="13" t="s">
        <v>58</v>
      </c>
      <c r="C42" s="13" t="s">
        <v>43</v>
      </c>
      <c r="D42" s="13" t="s">
        <v>59</v>
      </c>
      <c r="E42" s="13" t="s">
        <v>60</v>
      </c>
      <c r="F42" s="13" t="s">
        <v>585</v>
      </c>
      <c r="H42" s="13">
        <v>22</v>
      </c>
      <c r="I42" s="13" t="s">
        <v>46</v>
      </c>
      <c r="K42" s="13" t="s">
        <v>815</v>
      </c>
      <c r="L42" s="13" t="s">
        <v>816</v>
      </c>
      <c r="N42" s="13" t="s">
        <v>69</v>
      </c>
      <c r="O42" s="13" t="s">
        <v>70</v>
      </c>
      <c r="P42" s="13" t="s">
        <v>482</v>
      </c>
      <c r="Q42" s="13" t="s">
        <v>71</v>
      </c>
      <c r="R42" s="4">
        <v>6</v>
      </c>
      <c r="S42" s="13" t="s">
        <v>595</v>
      </c>
      <c r="T42" s="13">
        <v>90</v>
      </c>
      <c r="U42" s="4" t="s">
        <v>63</v>
      </c>
      <c r="V42" s="4">
        <v>600</v>
      </c>
      <c r="W42" s="4" t="s">
        <v>602</v>
      </c>
      <c r="X42" s="4">
        <v>637</v>
      </c>
      <c r="Y42" s="4">
        <v>35</v>
      </c>
      <c r="Z42" s="4" t="s">
        <v>478</v>
      </c>
      <c r="AA42" s="4" t="s">
        <v>49</v>
      </c>
      <c r="AB42" s="4">
        <v>0</v>
      </c>
      <c r="AC42" s="4" t="s">
        <v>49</v>
      </c>
      <c r="AD42" s="4">
        <v>0</v>
      </c>
      <c r="AE42" s="4" t="s">
        <v>49</v>
      </c>
      <c r="AF42" s="4">
        <v>0</v>
      </c>
      <c r="AG42" s="4" t="s">
        <v>759</v>
      </c>
      <c r="AH42" s="4" t="s">
        <v>758</v>
      </c>
      <c r="AI42" s="4" t="s">
        <v>64</v>
      </c>
      <c r="AJ42" s="13">
        <v>0</v>
      </c>
      <c r="AK42" s="13">
        <v>10</v>
      </c>
      <c r="AL42" s="13" t="s">
        <v>479</v>
      </c>
      <c r="AM42" s="13" t="s">
        <v>480</v>
      </c>
      <c r="AO42" s="13" t="s">
        <v>481</v>
      </c>
      <c r="AP42" s="13" t="s">
        <v>49</v>
      </c>
      <c r="AQ42" s="13" t="s">
        <v>49</v>
      </c>
      <c r="AR42" s="13" t="s">
        <v>49</v>
      </c>
      <c r="AS42" s="13" t="s">
        <v>49</v>
      </c>
      <c r="AT42" s="13" t="s">
        <v>990</v>
      </c>
      <c r="AU42" s="13" t="s">
        <v>998</v>
      </c>
      <c r="AV42" s="14">
        <f>12.68/100</f>
        <v>0.1268</v>
      </c>
      <c r="AW42" s="14">
        <f>23.25/100</f>
        <v>0.23250000000000001</v>
      </c>
      <c r="AX42" s="14">
        <f>Table1347456[[#This Row],[treatment_mean]]/Table1347456[[#This Row],[control_mean]]</f>
        <v>0.54537634408602143</v>
      </c>
      <c r="AY42" s="14">
        <f>LN(Table1347456[[#This Row],[rr]])</f>
        <v>-0.60627918302428563</v>
      </c>
      <c r="AZ42" s="13">
        <v>3</v>
      </c>
      <c r="BA42" s="13">
        <v>3</v>
      </c>
      <c r="BB42" s="14">
        <f>0.93/100</f>
        <v>9.300000000000001E-3</v>
      </c>
      <c r="BC42" s="14">
        <f>2.39/100</f>
        <v>2.3900000000000001E-2</v>
      </c>
      <c r="BD42" s="15">
        <f>Table1347456[[#This Row],[treatment_se]]*SQRT(Table1347456[[#This Row],[treatment_n]])</f>
        <v>1.6108072510390561E-2</v>
      </c>
      <c r="BE42" s="14">
        <f>Table1347456[[#This Row],[control_se]]*SQRT(Table1347456[[#This Row],[control_n]])</f>
        <v>4.1396014300896164E-2</v>
      </c>
      <c r="BF4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1.5946275842014728E-2</v>
      </c>
      <c r="BG42" s="17">
        <f>SQRT(Table1347456[[#This Row],[v_from_sd_and_n]])</f>
        <v>0.126278564459748</v>
      </c>
      <c r="BH42" s="13" t="s">
        <v>50</v>
      </c>
      <c r="BI42" s="13">
        <v>2.5000000000000001E-2</v>
      </c>
      <c r="BJ42" s="18">
        <f>ABS(_xlfn.NORM.S.INV(Table1347456[[#This Row],[p_value]]/2))</f>
        <v>2.2414027276049446</v>
      </c>
      <c r="BK42" s="19">
        <f>(Table1347456[[#This Row],[lnrr]]/Table1347456[[#This Row],[z_from_p]])^2</f>
        <v>7.3165361248968233E-2</v>
      </c>
      <c r="BL42" s="16">
        <f>Table1347456[[#This Row],[v_from_sd_and_n]]</f>
        <v>1.5946275842014728E-2</v>
      </c>
      <c r="BM42" s="20">
        <f>SQRT(Table1347456[[#This Row],[v]])</f>
        <v>0.126278564459748</v>
      </c>
      <c r="BN42" s="20">
        <f>Table1347456[[#This Row],[lnrr]]-(1.96*Table1347456[[#This Row],[se]])</f>
        <v>-0.85378516936539173</v>
      </c>
      <c r="BO42" s="20">
        <f>Table1347456[[#This Row],[lnrr]]+(1.96 * Table1347456[[#This Row],[se]])</f>
        <v>-0.35877319668317953</v>
      </c>
    </row>
    <row r="43" spans="1:67">
      <c r="A43" s="13" t="s">
        <v>57</v>
      </c>
      <c r="B43" s="13" t="s">
        <v>58</v>
      </c>
      <c r="C43" s="13" t="s">
        <v>43</v>
      </c>
      <c r="D43" s="13" t="s">
        <v>59</v>
      </c>
      <c r="E43" s="13" t="s">
        <v>60</v>
      </c>
      <c r="F43" s="13" t="s">
        <v>585</v>
      </c>
      <c r="H43" s="13">
        <v>22</v>
      </c>
      <c r="I43" s="13" t="s">
        <v>46</v>
      </c>
      <c r="K43" s="13" t="s">
        <v>815</v>
      </c>
      <c r="L43" s="13" t="s">
        <v>816</v>
      </c>
      <c r="N43" s="13" t="s">
        <v>69</v>
      </c>
      <c r="O43" s="13" t="s">
        <v>70</v>
      </c>
      <c r="P43" s="13" t="s">
        <v>482</v>
      </c>
      <c r="Q43" s="13" t="s">
        <v>71</v>
      </c>
      <c r="R43" s="4">
        <v>6</v>
      </c>
      <c r="S43" s="13" t="s">
        <v>595</v>
      </c>
      <c r="T43" s="13">
        <v>90</v>
      </c>
      <c r="U43" s="4" t="s">
        <v>63</v>
      </c>
      <c r="V43" s="4">
        <v>700</v>
      </c>
      <c r="W43" s="4" t="s">
        <v>602</v>
      </c>
      <c r="X43" s="4">
        <v>624</v>
      </c>
      <c r="Y43" s="4">
        <v>35</v>
      </c>
      <c r="Z43" s="4" t="s">
        <v>478</v>
      </c>
      <c r="AA43" s="4" t="s">
        <v>49</v>
      </c>
      <c r="AB43" s="4">
        <v>0</v>
      </c>
      <c r="AC43" s="4" t="s">
        <v>49</v>
      </c>
      <c r="AD43" s="4">
        <v>0</v>
      </c>
      <c r="AE43" s="4" t="s">
        <v>49</v>
      </c>
      <c r="AF43" s="4">
        <v>0</v>
      </c>
      <c r="AG43" s="4" t="s">
        <v>760</v>
      </c>
      <c r="AH43" s="4" t="s">
        <v>758</v>
      </c>
      <c r="AI43" s="4" t="s">
        <v>64</v>
      </c>
      <c r="AJ43" s="13">
        <v>0</v>
      </c>
      <c r="AK43" s="13">
        <v>10</v>
      </c>
      <c r="AL43" s="13" t="s">
        <v>479</v>
      </c>
      <c r="AM43" s="13" t="s">
        <v>480</v>
      </c>
      <c r="AO43" s="13" t="s">
        <v>481</v>
      </c>
      <c r="AP43" s="13" t="s">
        <v>49</v>
      </c>
      <c r="AQ43" s="13" t="s">
        <v>49</v>
      </c>
      <c r="AR43" s="13" t="s">
        <v>49</v>
      </c>
      <c r="AS43" s="13" t="s">
        <v>49</v>
      </c>
      <c r="AT43" s="13" t="s">
        <v>990</v>
      </c>
      <c r="AU43" s="13" t="s">
        <v>998</v>
      </c>
      <c r="AV43" s="14">
        <f>14.54/100</f>
        <v>0.1454</v>
      </c>
      <c r="AW43" s="14">
        <f>23.25/100</f>
        <v>0.23250000000000001</v>
      </c>
      <c r="AX43" s="14">
        <f>Table1347456[[#This Row],[treatment_mean]]/Table1347456[[#This Row],[control_mean]]</f>
        <v>0.6253763440860215</v>
      </c>
      <c r="AY43" s="14">
        <f>LN(Table1347456[[#This Row],[rr]])</f>
        <v>-0.46940165992799204</v>
      </c>
      <c r="AZ43" s="13">
        <v>3</v>
      </c>
      <c r="BA43" s="13">
        <v>3</v>
      </c>
      <c r="BB43" s="14">
        <f>1.58/100</f>
        <v>1.5800000000000002E-2</v>
      </c>
      <c r="BC43" s="14">
        <f>2.39/100</f>
        <v>2.3900000000000001E-2</v>
      </c>
      <c r="BD43" s="15">
        <f>Table1347456[[#This Row],[treatment_se]]*SQRT(Table1347456[[#This Row],[treatment_n]])</f>
        <v>2.7366402759588262E-2</v>
      </c>
      <c r="BE43" s="14">
        <f>Table1347456[[#This Row],[control_se]]*SQRT(Table1347456[[#This Row],[control_n]])</f>
        <v>4.1396014300896164E-2</v>
      </c>
      <c r="BF4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2.2375200865750747E-2</v>
      </c>
      <c r="BG43" s="17">
        <f>SQRT(Table1347456[[#This Row],[v_from_sd_and_n]])</f>
        <v>0.14958342443516509</v>
      </c>
      <c r="BH43" s="13" t="s">
        <v>50</v>
      </c>
      <c r="BI43" s="13">
        <v>2.5000000000000001E-2</v>
      </c>
      <c r="BJ43" s="18">
        <f>ABS(_xlfn.NORM.S.INV(Table1347456[[#This Row],[p_value]]/2))</f>
        <v>2.2414027276049446</v>
      </c>
      <c r="BK43" s="19">
        <f>(Table1347456[[#This Row],[lnrr]]/Table1347456[[#This Row],[z_from_p]])^2</f>
        <v>4.3858063285649035E-2</v>
      </c>
      <c r="BL43" s="16">
        <f>Table1347456[[#This Row],[v_from_sd_and_n]]</f>
        <v>2.2375200865750747E-2</v>
      </c>
      <c r="BM43" s="20">
        <f>SQRT(Table1347456[[#This Row],[v]])</f>
        <v>0.14958342443516509</v>
      </c>
      <c r="BN43" s="20">
        <f>Table1347456[[#This Row],[lnrr]]-(1.96*Table1347456[[#This Row],[se]])</f>
        <v>-0.76258517182091556</v>
      </c>
      <c r="BO43" s="20">
        <f>Table1347456[[#This Row],[lnrr]]+(1.96 * Table1347456[[#This Row],[se]])</f>
        <v>-0.17621814803506847</v>
      </c>
    </row>
    <row r="44" spans="1:67">
      <c r="A44" s="13" t="s">
        <v>57</v>
      </c>
      <c r="B44" s="13" t="s">
        <v>58</v>
      </c>
      <c r="C44" s="13" t="s">
        <v>43</v>
      </c>
      <c r="D44" s="13" t="s">
        <v>59</v>
      </c>
      <c r="E44" s="13" t="s">
        <v>60</v>
      </c>
      <c r="F44" s="13" t="s">
        <v>585</v>
      </c>
      <c r="H44" s="13">
        <v>22</v>
      </c>
      <c r="I44" s="13" t="s">
        <v>46</v>
      </c>
      <c r="K44" s="13" t="s">
        <v>815</v>
      </c>
      <c r="L44" s="13" t="s">
        <v>816</v>
      </c>
      <c r="N44" s="13" t="s">
        <v>69</v>
      </c>
      <c r="O44" s="13" t="s">
        <v>70</v>
      </c>
      <c r="P44" s="13" t="s">
        <v>482</v>
      </c>
      <c r="Q44" s="13" t="s">
        <v>71</v>
      </c>
      <c r="R44" s="4">
        <v>6</v>
      </c>
      <c r="S44" s="13" t="s">
        <v>595</v>
      </c>
      <c r="T44" s="13">
        <v>90</v>
      </c>
      <c r="U44" s="4" t="s">
        <v>63</v>
      </c>
      <c r="V44" s="4">
        <v>850</v>
      </c>
      <c r="W44" s="4" t="s">
        <v>602</v>
      </c>
      <c r="X44" s="4">
        <v>723</v>
      </c>
      <c r="Y44" s="4">
        <v>35</v>
      </c>
      <c r="Z44" s="4" t="s">
        <v>478</v>
      </c>
      <c r="AA44" s="4" t="s">
        <v>49</v>
      </c>
      <c r="AB44" s="4">
        <v>0</v>
      </c>
      <c r="AC44" s="4" t="s">
        <v>49</v>
      </c>
      <c r="AD44" s="4">
        <v>0</v>
      </c>
      <c r="AE44" s="4" t="s">
        <v>49</v>
      </c>
      <c r="AF44" s="4">
        <v>0</v>
      </c>
      <c r="AG44" s="4" t="s">
        <v>761</v>
      </c>
      <c r="AH44" s="4" t="s">
        <v>758</v>
      </c>
      <c r="AI44" s="4" t="s">
        <v>64</v>
      </c>
      <c r="AJ44" s="13">
        <v>0</v>
      </c>
      <c r="AK44" s="13">
        <v>10</v>
      </c>
      <c r="AL44" s="13" t="s">
        <v>479</v>
      </c>
      <c r="AM44" s="13" t="s">
        <v>480</v>
      </c>
      <c r="AO44" s="13" t="s">
        <v>481</v>
      </c>
      <c r="AP44" s="13" t="s">
        <v>49</v>
      </c>
      <c r="AQ44" s="13" t="s">
        <v>49</v>
      </c>
      <c r="AR44" s="13" t="s">
        <v>49</v>
      </c>
      <c r="AS44" s="13" t="s">
        <v>49</v>
      </c>
      <c r="AT44" s="13" t="s">
        <v>990</v>
      </c>
      <c r="AU44" s="13" t="s">
        <v>998</v>
      </c>
      <c r="AV44" s="14">
        <f>14.01/100</f>
        <v>0.1401</v>
      </c>
      <c r="AW44" s="14">
        <f>23.25/100</f>
        <v>0.23250000000000001</v>
      </c>
      <c r="AX44" s="14">
        <f>Table1347456[[#This Row],[treatment_mean]]/Table1347456[[#This Row],[control_mean]]</f>
        <v>0.60258064516129028</v>
      </c>
      <c r="AY44" s="14">
        <f>LN(Table1347456[[#This Row],[rr]])</f>
        <v>-0.5065337716844498</v>
      </c>
      <c r="AZ44" s="13">
        <v>3</v>
      </c>
      <c r="BA44" s="13">
        <v>3</v>
      </c>
      <c r="BB44" s="14">
        <f>0.66/100</f>
        <v>6.6E-3</v>
      </c>
      <c r="BC44" s="14">
        <f>2.39/100</f>
        <v>2.3900000000000001E-2</v>
      </c>
      <c r="BD44" s="15">
        <f>Table1347456[[#This Row],[treatment_se]]*SQRT(Table1347456[[#This Row],[treatment_n]])</f>
        <v>1.1431535329954589E-2</v>
      </c>
      <c r="BE44" s="14">
        <f>Table1347456[[#This Row],[control_se]]*SQRT(Table1347456[[#This Row],[control_n]])</f>
        <v>4.1396014300896164E-2</v>
      </c>
      <c r="BF4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1.27862331683729E-2</v>
      </c>
      <c r="BG44" s="17">
        <f>SQRT(Table1347456[[#This Row],[v_from_sd_and_n]])</f>
        <v>0.11307622724681303</v>
      </c>
      <c r="BH44" s="13" t="s">
        <v>50</v>
      </c>
      <c r="BI44" s="13">
        <v>2.5000000000000001E-2</v>
      </c>
      <c r="BJ44" s="18">
        <f>ABS(_xlfn.NORM.S.INV(Table1347456[[#This Row],[p_value]]/2))</f>
        <v>2.2414027276049446</v>
      </c>
      <c r="BK44" s="19">
        <f>(Table1347456[[#This Row],[lnrr]]/Table1347456[[#This Row],[z_from_p]])^2</f>
        <v>5.1071312583616989E-2</v>
      </c>
      <c r="BL44" s="16">
        <f>Table1347456[[#This Row],[v_from_sd_and_n]]</f>
        <v>1.27862331683729E-2</v>
      </c>
      <c r="BM44" s="20">
        <f>SQRT(Table1347456[[#This Row],[v]])</f>
        <v>0.11307622724681303</v>
      </c>
      <c r="BN44" s="20">
        <f>Table1347456[[#This Row],[lnrr]]-(1.96*Table1347456[[#This Row],[se]])</f>
        <v>-0.72816317708820333</v>
      </c>
      <c r="BO44" s="20">
        <f>Table1347456[[#This Row],[lnrr]]+(1.96 * Table1347456[[#This Row],[se]])</f>
        <v>-0.28490436628069626</v>
      </c>
    </row>
    <row r="45" spans="1:67">
      <c r="A45" s="13" t="s">
        <v>57</v>
      </c>
      <c r="B45" s="13" t="s">
        <v>58</v>
      </c>
      <c r="C45" s="13" t="s">
        <v>43</v>
      </c>
      <c r="D45" s="13" t="s">
        <v>59</v>
      </c>
      <c r="E45" s="13" t="s">
        <v>60</v>
      </c>
      <c r="F45" s="13" t="s">
        <v>585</v>
      </c>
      <c r="H45" s="13">
        <v>22</v>
      </c>
      <c r="I45" s="13" t="s">
        <v>46</v>
      </c>
      <c r="K45" s="13" t="s">
        <v>815</v>
      </c>
      <c r="L45" s="13" t="s">
        <v>816</v>
      </c>
      <c r="N45" s="13" t="s">
        <v>69</v>
      </c>
      <c r="O45" s="13" t="s">
        <v>70</v>
      </c>
      <c r="P45" s="13" t="s">
        <v>482</v>
      </c>
      <c r="Q45" s="13" t="s">
        <v>71</v>
      </c>
      <c r="R45" s="4">
        <v>6</v>
      </c>
      <c r="S45" s="13" t="s">
        <v>595</v>
      </c>
      <c r="T45" s="13">
        <v>90</v>
      </c>
      <c r="U45" s="4" t="s">
        <v>63</v>
      </c>
      <c r="V45" s="4">
        <v>950</v>
      </c>
      <c r="W45" s="4" t="s">
        <v>602</v>
      </c>
      <c r="X45" s="4">
        <v>701</v>
      </c>
      <c r="Y45" s="4">
        <v>35</v>
      </c>
      <c r="Z45" s="4" t="s">
        <v>478</v>
      </c>
      <c r="AA45" s="4" t="s">
        <v>49</v>
      </c>
      <c r="AB45" s="4">
        <v>0</v>
      </c>
      <c r="AC45" s="4" t="s">
        <v>49</v>
      </c>
      <c r="AD45" s="4">
        <v>0</v>
      </c>
      <c r="AE45" s="4" t="s">
        <v>49</v>
      </c>
      <c r="AF45" s="4">
        <v>0</v>
      </c>
      <c r="AG45" s="4" t="s">
        <v>762</v>
      </c>
      <c r="AH45" s="4" t="s">
        <v>758</v>
      </c>
      <c r="AI45" s="4" t="s">
        <v>64</v>
      </c>
      <c r="AJ45" s="13">
        <v>0</v>
      </c>
      <c r="AK45" s="13">
        <v>10</v>
      </c>
      <c r="AL45" s="13" t="s">
        <v>479</v>
      </c>
      <c r="AM45" s="13" t="s">
        <v>480</v>
      </c>
      <c r="AO45" s="13" t="s">
        <v>481</v>
      </c>
      <c r="AP45" s="13" t="s">
        <v>49</v>
      </c>
      <c r="AQ45" s="13" t="s">
        <v>49</v>
      </c>
      <c r="AR45" s="13" t="s">
        <v>49</v>
      </c>
      <c r="AS45" s="13" t="s">
        <v>49</v>
      </c>
      <c r="AT45" s="13" t="s">
        <v>990</v>
      </c>
      <c r="AU45" s="13" t="s">
        <v>998</v>
      </c>
      <c r="AV45" s="14">
        <f>15.33/100</f>
        <v>0.15329999999999999</v>
      </c>
      <c r="AW45" s="14">
        <f>23.25/100</f>
        <v>0.23250000000000001</v>
      </c>
      <c r="AX45" s="14">
        <f>Table1347456[[#This Row],[treatment_mean]]/Table1347456[[#This Row],[control_mean]]</f>
        <v>0.65935483870967737</v>
      </c>
      <c r="AY45" s="14">
        <f>LN(Table1347456[[#This Row],[rr]])</f>
        <v>-0.41649343914964265</v>
      </c>
      <c r="AZ45" s="13">
        <v>3</v>
      </c>
      <c r="BA45" s="13">
        <v>3</v>
      </c>
      <c r="BB45" s="14">
        <f>1.06/100</f>
        <v>1.06E-2</v>
      </c>
      <c r="BC45" s="14">
        <f>2.39/100</f>
        <v>2.3900000000000001E-2</v>
      </c>
      <c r="BD45" s="15">
        <f>Table1347456[[#This Row],[treatment_se]]*SQRT(Table1347456[[#This Row],[treatment_n]])</f>
        <v>1.8359738560230099E-2</v>
      </c>
      <c r="BE45" s="14">
        <f>Table1347456[[#This Row],[control_se]]*SQRT(Table1347456[[#This Row],[control_n]])</f>
        <v>4.1396014300896164E-2</v>
      </c>
      <c r="BF4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1.5348051241891347E-2</v>
      </c>
      <c r="BG45" s="17">
        <f>SQRT(Table1347456[[#This Row],[v_from_sd_and_n]])</f>
        <v>0.123887252136333</v>
      </c>
      <c r="BH45" s="13" t="s">
        <v>50</v>
      </c>
      <c r="BI45" s="13">
        <v>2.5000000000000001E-2</v>
      </c>
      <c r="BJ45" s="18">
        <f>ABS(_xlfn.NORM.S.INV(Table1347456[[#This Row],[p_value]]/2))</f>
        <v>2.2414027276049446</v>
      </c>
      <c r="BK45" s="19">
        <f>(Table1347456[[#This Row],[lnrr]]/Table1347456[[#This Row],[z_from_p]])^2</f>
        <v>3.4528406573519493E-2</v>
      </c>
      <c r="BL45" s="16">
        <f>Table1347456[[#This Row],[v_from_sd_and_n]]</f>
        <v>1.5348051241891347E-2</v>
      </c>
      <c r="BM45" s="20">
        <f>SQRT(Table1347456[[#This Row],[v]])</f>
        <v>0.123887252136333</v>
      </c>
      <c r="BN45" s="20">
        <f>Table1347456[[#This Row],[lnrr]]-(1.96*Table1347456[[#This Row],[se]])</f>
        <v>-0.65931245333685529</v>
      </c>
      <c r="BO45" s="20">
        <f>Table1347456[[#This Row],[lnrr]]+(1.96 * Table1347456[[#This Row],[se]])</f>
        <v>-0.17367442496242996</v>
      </c>
    </row>
    <row r="46" spans="1:67">
      <c r="A46" s="13" t="s">
        <v>57</v>
      </c>
      <c r="B46" s="13" t="s">
        <v>58</v>
      </c>
      <c r="C46" s="13" t="s">
        <v>43</v>
      </c>
      <c r="D46" s="13" t="s">
        <v>59</v>
      </c>
      <c r="E46" s="13" t="s">
        <v>60</v>
      </c>
      <c r="F46" s="13" t="s">
        <v>585</v>
      </c>
      <c r="H46" s="13">
        <v>22</v>
      </c>
      <c r="I46" s="13" t="s">
        <v>46</v>
      </c>
      <c r="K46" s="13" t="s">
        <v>815</v>
      </c>
      <c r="L46" s="13" t="s">
        <v>816</v>
      </c>
      <c r="N46" s="13" t="s">
        <v>69</v>
      </c>
      <c r="O46" s="13" t="s">
        <v>70</v>
      </c>
      <c r="P46" s="13" t="s">
        <v>482</v>
      </c>
      <c r="Q46" s="13" t="s">
        <v>71</v>
      </c>
      <c r="R46" s="4">
        <v>6</v>
      </c>
      <c r="S46" s="13" t="s">
        <v>595</v>
      </c>
      <c r="T46" s="13">
        <v>90</v>
      </c>
      <c r="U46" s="4" t="s">
        <v>63</v>
      </c>
      <c r="V46" s="4">
        <v>600</v>
      </c>
      <c r="W46" s="4" t="s">
        <v>602</v>
      </c>
      <c r="X46" s="4">
        <v>637</v>
      </c>
      <c r="Y46" s="4">
        <v>35</v>
      </c>
      <c r="Z46" s="4" t="s">
        <v>478</v>
      </c>
      <c r="AA46" s="4" t="s">
        <v>50</v>
      </c>
      <c r="AB46" s="4">
        <v>150</v>
      </c>
      <c r="AC46" s="4" t="s">
        <v>49</v>
      </c>
      <c r="AD46" s="4">
        <v>0</v>
      </c>
      <c r="AE46" s="4" t="s">
        <v>49</v>
      </c>
      <c r="AF46" s="4">
        <v>0</v>
      </c>
      <c r="AG46" s="4" t="s">
        <v>759</v>
      </c>
      <c r="AH46" s="4" t="s">
        <v>758</v>
      </c>
      <c r="AI46" s="4" t="s">
        <v>64</v>
      </c>
      <c r="AJ46" s="13">
        <v>0</v>
      </c>
      <c r="AK46" s="13">
        <v>10</v>
      </c>
      <c r="AL46" s="13" t="s">
        <v>479</v>
      </c>
      <c r="AM46" s="13" t="s">
        <v>480</v>
      </c>
      <c r="AO46" s="13" t="s">
        <v>481</v>
      </c>
      <c r="AP46" s="13" t="s">
        <v>49</v>
      </c>
      <c r="AQ46" s="13" t="s">
        <v>49</v>
      </c>
      <c r="AR46" s="13" t="s">
        <v>49</v>
      </c>
      <c r="AS46" s="13" t="s">
        <v>49</v>
      </c>
      <c r="AT46" s="13" t="s">
        <v>992</v>
      </c>
      <c r="AU46" s="4" t="s">
        <v>1000</v>
      </c>
      <c r="AV46" s="14">
        <f>170.38/100</f>
        <v>1.7038</v>
      </c>
      <c r="AW46" s="14">
        <f>489.25/100</f>
        <v>4.8925000000000001</v>
      </c>
      <c r="AX46" s="14">
        <f>Table1347456[[#This Row],[treatment_mean]]/Table1347456[[#This Row],[control_mean]]</f>
        <v>0.3482473173224323</v>
      </c>
      <c r="AY46" s="14">
        <f>LN(Table1347456[[#This Row],[rr]])</f>
        <v>-1.0548423696614913</v>
      </c>
      <c r="AZ46" s="13">
        <v>3</v>
      </c>
      <c r="BA46" s="13">
        <v>3</v>
      </c>
      <c r="BB46" s="14">
        <f>34.08/100</f>
        <v>0.34079999999999999</v>
      </c>
      <c r="BC46" s="14">
        <f>25.56/100</f>
        <v>0.25559999999999999</v>
      </c>
      <c r="BD46" s="15">
        <f>Table1347456[[#This Row],[treatment_se]]*SQRT(Table1347456[[#This Row],[treatment_n]])</f>
        <v>0.59028291521947329</v>
      </c>
      <c r="BE46" s="14">
        <f>Table1347456[[#This Row],[control_se]]*SQRT(Table1347456[[#This Row],[control_n]])</f>
        <v>0.44271218641460502</v>
      </c>
      <c r="BF4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4.2738746346300115E-2</v>
      </c>
      <c r="BG46" s="17">
        <f>SQRT(Table1347456[[#This Row],[v_from_sd_and_n]])</f>
        <v>0.20673351529517442</v>
      </c>
      <c r="BH46" s="13" t="s">
        <v>50</v>
      </c>
      <c r="BI46" s="13">
        <v>5.0000000000000001E-3</v>
      </c>
      <c r="BJ46" s="18">
        <f>ABS(_xlfn.NORM.S.INV(Table1347456[[#This Row],[p_value]]/2))</f>
        <v>2.8070337683438042</v>
      </c>
      <c r="BK46" s="19">
        <f>(Table1347456[[#This Row],[lnrr]]/Table1347456[[#This Row],[z_from_p]])^2</f>
        <v>0.14121468350985411</v>
      </c>
      <c r="BL46" s="16">
        <f>Table1347456[[#This Row],[v_from_sd_and_n]]</f>
        <v>4.2738746346300115E-2</v>
      </c>
      <c r="BM46" s="20">
        <f>SQRT(Table1347456[[#This Row],[v]])</f>
        <v>0.20673351529517442</v>
      </c>
      <c r="BN46" s="20">
        <f>Table1347456[[#This Row],[lnrr]]-(1.96*Table1347456[[#This Row],[se]])</f>
        <v>-1.4600400596400331</v>
      </c>
      <c r="BO46" s="20">
        <f>Table1347456[[#This Row],[lnrr]]+(1.96 * Table1347456[[#This Row],[se]])</f>
        <v>-0.64964467968294937</v>
      </c>
    </row>
    <row r="47" spans="1:67">
      <c r="A47" s="13" t="s">
        <v>57</v>
      </c>
      <c r="B47" s="13" t="s">
        <v>58</v>
      </c>
      <c r="C47" s="13" t="s">
        <v>43</v>
      </c>
      <c r="D47" s="13" t="s">
        <v>59</v>
      </c>
      <c r="E47" s="13" t="s">
        <v>60</v>
      </c>
      <c r="F47" s="13" t="s">
        <v>585</v>
      </c>
      <c r="H47" s="13">
        <v>22</v>
      </c>
      <c r="I47" s="13" t="s">
        <v>46</v>
      </c>
      <c r="K47" s="13" t="s">
        <v>815</v>
      </c>
      <c r="L47" s="13" t="s">
        <v>816</v>
      </c>
      <c r="N47" s="13" t="s">
        <v>69</v>
      </c>
      <c r="O47" s="13" t="s">
        <v>70</v>
      </c>
      <c r="P47" s="13" t="s">
        <v>482</v>
      </c>
      <c r="Q47" s="13" t="s">
        <v>71</v>
      </c>
      <c r="R47" s="4">
        <v>6</v>
      </c>
      <c r="S47" s="13" t="s">
        <v>595</v>
      </c>
      <c r="T47" s="13">
        <v>90</v>
      </c>
      <c r="U47" s="4" t="s">
        <v>63</v>
      </c>
      <c r="V47" s="4">
        <v>700</v>
      </c>
      <c r="W47" s="4" t="s">
        <v>602</v>
      </c>
      <c r="X47" s="4">
        <v>624</v>
      </c>
      <c r="Y47" s="4">
        <v>35</v>
      </c>
      <c r="Z47" s="4" t="s">
        <v>478</v>
      </c>
      <c r="AA47" s="4" t="s">
        <v>50</v>
      </c>
      <c r="AB47" s="4">
        <v>150</v>
      </c>
      <c r="AC47" s="4" t="s">
        <v>49</v>
      </c>
      <c r="AD47" s="4">
        <v>0</v>
      </c>
      <c r="AE47" s="4" t="s">
        <v>49</v>
      </c>
      <c r="AF47" s="4">
        <v>0</v>
      </c>
      <c r="AG47" s="4" t="s">
        <v>760</v>
      </c>
      <c r="AH47" s="4" t="s">
        <v>758</v>
      </c>
      <c r="AI47" s="4" t="s">
        <v>64</v>
      </c>
      <c r="AJ47" s="13">
        <v>0</v>
      </c>
      <c r="AK47" s="13">
        <v>10</v>
      </c>
      <c r="AL47" s="13" t="s">
        <v>479</v>
      </c>
      <c r="AM47" s="13" t="s">
        <v>480</v>
      </c>
      <c r="AO47" s="13" t="s">
        <v>481</v>
      </c>
      <c r="AP47" s="13" t="s">
        <v>49</v>
      </c>
      <c r="AQ47" s="13" t="s">
        <v>49</v>
      </c>
      <c r="AR47" s="13" t="s">
        <v>49</v>
      </c>
      <c r="AS47" s="13" t="s">
        <v>49</v>
      </c>
      <c r="AT47" s="13" t="s">
        <v>992</v>
      </c>
      <c r="AU47" s="4" t="s">
        <v>1000</v>
      </c>
      <c r="AV47" s="14">
        <f>119.27/100</f>
        <v>1.1926999999999999</v>
      </c>
      <c r="AW47" s="14">
        <f>489.25/100</f>
        <v>4.8925000000000001</v>
      </c>
      <c r="AX47" s="14">
        <f>Table1347456[[#This Row],[treatment_mean]]/Table1347456[[#This Row],[control_mean]]</f>
        <v>0.24378129790495653</v>
      </c>
      <c r="AY47" s="14">
        <f>LN(Table1347456[[#This Row],[rr]])</f>
        <v>-1.411483775685608</v>
      </c>
      <c r="AZ47" s="13">
        <v>3</v>
      </c>
      <c r="BA47" s="13">
        <v>3</v>
      </c>
      <c r="BB47" s="14">
        <f>10.95/100</f>
        <v>0.10949999999999999</v>
      </c>
      <c r="BC47" s="14">
        <f>25.56/100</f>
        <v>0.25559999999999999</v>
      </c>
      <c r="BD47" s="15">
        <f>Table1347456[[#This Row],[treatment_se]]*SQRT(Table1347456[[#This Row],[treatment_n]])</f>
        <v>0.18965956342879203</v>
      </c>
      <c r="BE47" s="14">
        <f>Table1347456[[#This Row],[control_se]]*SQRT(Table1347456[[#This Row],[control_n]])</f>
        <v>0.44271218641460502</v>
      </c>
      <c r="BF4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1.1158156009417674E-2</v>
      </c>
      <c r="BG47" s="17">
        <f>SQRT(Table1347456[[#This Row],[v_from_sd_and_n]])</f>
        <v>0.10563217317379055</v>
      </c>
      <c r="BH47" s="13" t="s">
        <v>50</v>
      </c>
      <c r="BI47" s="13">
        <v>5.0000000000000001E-3</v>
      </c>
      <c r="BJ47" s="18">
        <f>ABS(_xlfn.NORM.S.INV(Table1347456[[#This Row],[p_value]]/2))</f>
        <v>2.8070337683438042</v>
      </c>
      <c r="BK47" s="19">
        <f>(Table1347456[[#This Row],[lnrr]]/Table1347456[[#This Row],[z_from_p]])^2</f>
        <v>0.25284624401218553</v>
      </c>
      <c r="BL47" s="16">
        <f>Table1347456[[#This Row],[v_from_sd_and_n]]</f>
        <v>1.1158156009417674E-2</v>
      </c>
      <c r="BM47" s="20">
        <f>SQRT(Table1347456[[#This Row],[v]])</f>
        <v>0.10563217317379055</v>
      </c>
      <c r="BN47" s="20">
        <f>Table1347456[[#This Row],[lnrr]]-(1.96*Table1347456[[#This Row],[se]])</f>
        <v>-1.6185228351062375</v>
      </c>
      <c r="BO47" s="20">
        <f>Table1347456[[#This Row],[lnrr]]+(1.96 * Table1347456[[#This Row],[se]])</f>
        <v>-1.2044447162649785</v>
      </c>
    </row>
    <row r="48" spans="1:67">
      <c r="A48" s="13" t="s">
        <v>57</v>
      </c>
      <c r="B48" s="13" t="s">
        <v>58</v>
      </c>
      <c r="C48" s="13" t="s">
        <v>43</v>
      </c>
      <c r="D48" s="13" t="s">
        <v>59</v>
      </c>
      <c r="E48" s="13" t="s">
        <v>60</v>
      </c>
      <c r="F48" s="13" t="s">
        <v>585</v>
      </c>
      <c r="H48" s="13">
        <v>22</v>
      </c>
      <c r="I48" s="13" t="s">
        <v>46</v>
      </c>
      <c r="K48" s="13" t="s">
        <v>815</v>
      </c>
      <c r="L48" s="13" t="s">
        <v>816</v>
      </c>
      <c r="N48" s="13" t="s">
        <v>69</v>
      </c>
      <c r="O48" s="13" t="s">
        <v>70</v>
      </c>
      <c r="P48" s="13" t="s">
        <v>482</v>
      </c>
      <c r="Q48" s="13" t="s">
        <v>71</v>
      </c>
      <c r="R48" s="4">
        <v>6</v>
      </c>
      <c r="S48" s="13" t="s">
        <v>595</v>
      </c>
      <c r="T48" s="13">
        <v>90</v>
      </c>
      <c r="U48" s="4" t="s">
        <v>63</v>
      </c>
      <c r="V48" s="4">
        <v>850</v>
      </c>
      <c r="W48" s="4" t="s">
        <v>602</v>
      </c>
      <c r="X48" s="4">
        <v>723</v>
      </c>
      <c r="Y48" s="4">
        <v>35</v>
      </c>
      <c r="Z48" s="4" t="s">
        <v>478</v>
      </c>
      <c r="AA48" s="4" t="s">
        <v>50</v>
      </c>
      <c r="AB48" s="4">
        <v>150</v>
      </c>
      <c r="AC48" s="4" t="s">
        <v>49</v>
      </c>
      <c r="AD48" s="4">
        <v>0</v>
      </c>
      <c r="AE48" s="4" t="s">
        <v>49</v>
      </c>
      <c r="AF48" s="4">
        <v>0</v>
      </c>
      <c r="AG48" s="4" t="s">
        <v>761</v>
      </c>
      <c r="AH48" s="4" t="s">
        <v>758</v>
      </c>
      <c r="AI48" s="4" t="s">
        <v>64</v>
      </c>
      <c r="AJ48" s="13">
        <v>0</v>
      </c>
      <c r="AK48" s="13">
        <v>10</v>
      </c>
      <c r="AL48" s="13" t="s">
        <v>479</v>
      </c>
      <c r="AM48" s="13" t="s">
        <v>480</v>
      </c>
      <c r="AO48" s="13" t="s">
        <v>481</v>
      </c>
      <c r="AP48" s="13" t="s">
        <v>49</v>
      </c>
      <c r="AQ48" s="13" t="s">
        <v>49</v>
      </c>
      <c r="AR48" s="13" t="s">
        <v>49</v>
      </c>
      <c r="AS48" s="13" t="s">
        <v>49</v>
      </c>
      <c r="AT48" s="13" t="s">
        <v>992</v>
      </c>
      <c r="AU48" s="4" t="s">
        <v>1000</v>
      </c>
      <c r="AV48" s="14">
        <f>97.36/100</f>
        <v>0.97360000000000002</v>
      </c>
      <c r="AW48" s="14">
        <f>489.25/100</f>
        <v>4.8925000000000001</v>
      </c>
      <c r="AX48" s="14">
        <f>Table1347456[[#This Row],[treatment_mean]]/Table1347456[[#This Row],[control_mean]]</f>
        <v>0.19899846704138988</v>
      </c>
      <c r="AY48" s="14">
        <f>LN(Table1347456[[#This Row],[rr]])</f>
        <v>-1.6144581575969139</v>
      </c>
      <c r="AZ48" s="13">
        <v>3</v>
      </c>
      <c r="BA48" s="13">
        <v>3</v>
      </c>
      <c r="BB48" s="14">
        <f>13.39/100</f>
        <v>0.13390000000000002</v>
      </c>
      <c r="BC48" s="14">
        <f>25.56/100</f>
        <v>0.25559999999999999</v>
      </c>
      <c r="BD48" s="15">
        <f>Table1347456[[#This Row],[treatment_se]]*SQRT(Table1347456[[#This Row],[treatment_n]])</f>
        <v>0.23192160313347268</v>
      </c>
      <c r="BE48" s="14">
        <f>Table1347456[[#This Row],[control_se]]*SQRT(Table1347456[[#This Row],[control_n]])</f>
        <v>0.44271218641460502</v>
      </c>
      <c r="BF4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2.1644079676873044E-2</v>
      </c>
      <c r="BG48" s="17">
        <f>SQRT(Table1347456[[#This Row],[v_from_sd_and_n]])</f>
        <v>0.14711927024313656</v>
      </c>
      <c r="BH48" s="13" t="s">
        <v>50</v>
      </c>
      <c r="BI48" s="13">
        <v>5.0000000000000001E-3</v>
      </c>
      <c r="BJ48" s="18">
        <f>ABS(_xlfn.NORM.S.INV(Table1347456[[#This Row],[p_value]]/2))</f>
        <v>2.8070337683438042</v>
      </c>
      <c r="BK48" s="19">
        <f>(Table1347456[[#This Row],[lnrr]]/Table1347456[[#This Row],[z_from_p]])^2</f>
        <v>0.33079452517903973</v>
      </c>
      <c r="BL48" s="16">
        <f>Table1347456[[#This Row],[v_from_sd_and_n]]</f>
        <v>2.1644079676873044E-2</v>
      </c>
      <c r="BM48" s="20">
        <f>SQRT(Table1347456[[#This Row],[v]])</f>
        <v>0.14711927024313656</v>
      </c>
      <c r="BN48" s="20">
        <f>Table1347456[[#This Row],[lnrr]]-(1.96*Table1347456[[#This Row],[se]])</f>
        <v>-1.9028119272734616</v>
      </c>
      <c r="BO48" s="20">
        <f>Table1347456[[#This Row],[lnrr]]+(1.96 * Table1347456[[#This Row],[se]])</f>
        <v>-1.3261043879203662</v>
      </c>
    </row>
    <row r="49" spans="1:67">
      <c r="A49" s="13" t="s">
        <v>57</v>
      </c>
      <c r="B49" s="13" t="s">
        <v>58</v>
      </c>
      <c r="C49" s="13" t="s">
        <v>43</v>
      </c>
      <c r="D49" s="13" t="s">
        <v>59</v>
      </c>
      <c r="E49" s="13" t="s">
        <v>60</v>
      </c>
      <c r="F49" s="13" t="s">
        <v>585</v>
      </c>
      <c r="H49" s="13">
        <v>22</v>
      </c>
      <c r="I49" s="13" t="s">
        <v>46</v>
      </c>
      <c r="K49" s="13" t="s">
        <v>815</v>
      </c>
      <c r="L49" s="13" t="s">
        <v>816</v>
      </c>
      <c r="N49" s="13" t="s">
        <v>69</v>
      </c>
      <c r="O49" s="13" t="s">
        <v>70</v>
      </c>
      <c r="P49" s="13" t="s">
        <v>482</v>
      </c>
      <c r="Q49" s="13" t="s">
        <v>71</v>
      </c>
      <c r="R49" s="4">
        <v>6</v>
      </c>
      <c r="S49" s="13" t="s">
        <v>595</v>
      </c>
      <c r="T49" s="13">
        <v>90</v>
      </c>
      <c r="U49" s="4" t="s">
        <v>63</v>
      </c>
      <c r="V49" s="4">
        <v>950</v>
      </c>
      <c r="W49" s="4" t="s">
        <v>602</v>
      </c>
      <c r="X49" s="4">
        <v>701</v>
      </c>
      <c r="Y49" s="4">
        <v>35</v>
      </c>
      <c r="Z49" s="4" t="s">
        <v>478</v>
      </c>
      <c r="AA49" s="4" t="s">
        <v>50</v>
      </c>
      <c r="AB49" s="4">
        <v>150</v>
      </c>
      <c r="AC49" s="4" t="s">
        <v>49</v>
      </c>
      <c r="AD49" s="4">
        <v>0</v>
      </c>
      <c r="AE49" s="4" t="s">
        <v>49</v>
      </c>
      <c r="AF49" s="4">
        <v>0</v>
      </c>
      <c r="AG49" s="4" t="s">
        <v>762</v>
      </c>
      <c r="AH49" s="4" t="s">
        <v>758</v>
      </c>
      <c r="AI49" s="4" t="s">
        <v>64</v>
      </c>
      <c r="AJ49" s="13">
        <v>0</v>
      </c>
      <c r="AK49" s="13">
        <v>10</v>
      </c>
      <c r="AL49" s="13" t="s">
        <v>479</v>
      </c>
      <c r="AM49" s="13" t="s">
        <v>480</v>
      </c>
      <c r="AO49" s="13" t="s">
        <v>481</v>
      </c>
      <c r="AP49" s="13" t="s">
        <v>49</v>
      </c>
      <c r="AQ49" s="13" t="s">
        <v>49</v>
      </c>
      <c r="AR49" s="13" t="s">
        <v>49</v>
      </c>
      <c r="AS49" s="13" t="s">
        <v>49</v>
      </c>
      <c r="AT49" s="13" t="s">
        <v>992</v>
      </c>
      <c r="AU49" s="4" t="s">
        <v>1000</v>
      </c>
      <c r="AV49" s="14">
        <f>107.09/100</f>
        <v>1.0709</v>
      </c>
      <c r="AW49" s="14">
        <f>489.25/100</f>
        <v>4.8925000000000001</v>
      </c>
      <c r="AX49" s="14">
        <f>Table1347456[[#This Row],[treatment_mean]]/Table1347456[[#This Row],[control_mean]]</f>
        <v>0.21888605007664791</v>
      </c>
      <c r="AY49" s="14">
        <f>LN(Table1347456[[#This Row],[rr]])</f>
        <v>-1.519204003863402</v>
      </c>
      <c r="AZ49" s="13">
        <v>3</v>
      </c>
      <c r="BA49" s="13">
        <v>3</v>
      </c>
      <c r="BB49" s="14">
        <f>7.31/100</f>
        <v>7.3099999999999998E-2</v>
      </c>
      <c r="BC49" s="14">
        <f>25.56/100</f>
        <v>0.25559999999999999</v>
      </c>
      <c r="BD49" s="15">
        <f>Table1347456[[#This Row],[treatment_se]]*SQRT(Table1347456[[#This Row],[treatment_n]])</f>
        <v>0.12661291403328492</v>
      </c>
      <c r="BE49" s="14">
        <f>Table1347456[[#This Row],[control_se]]*SQRT(Table1347456[[#This Row],[control_n]])</f>
        <v>0.44271218641460502</v>
      </c>
      <c r="BF4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7.3888292799356107E-3</v>
      </c>
      <c r="BG49" s="17">
        <f>SQRT(Table1347456[[#This Row],[v_from_sd_and_n]])</f>
        <v>8.5958299657075646E-2</v>
      </c>
      <c r="BH49" s="13" t="s">
        <v>50</v>
      </c>
      <c r="BI49" s="13">
        <v>5.0000000000000001E-3</v>
      </c>
      <c r="BJ49" s="18">
        <f>ABS(_xlfn.NORM.S.INV(Table1347456[[#This Row],[p_value]]/2))</f>
        <v>2.8070337683438042</v>
      </c>
      <c r="BK49" s="19">
        <f>(Table1347456[[#This Row],[lnrr]]/Table1347456[[#This Row],[z_from_p]])^2</f>
        <v>0.29291183412510663</v>
      </c>
      <c r="BL49" s="16">
        <f>Table1347456[[#This Row],[v_from_sd_and_n]]</f>
        <v>7.3888292799356107E-3</v>
      </c>
      <c r="BM49" s="20">
        <f>SQRT(Table1347456[[#This Row],[v]])</f>
        <v>8.5958299657075646E-2</v>
      </c>
      <c r="BN49" s="20">
        <f>Table1347456[[#This Row],[lnrr]]-(1.96*Table1347456[[#This Row],[se]])</f>
        <v>-1.6876822711912702</v>
      </c>
      <c r="BO49" s="20">
        <f>Table1347456[[#This Row],[lnrr]]+(1.96 * Table1347456[[#This Row],[se]])</f>
        <v>-1.3507257365355338</v>
      </c>
    </row>
    <row r="50" spans="1:67">
      <c r="A50" s="13" t="s">
        <v>72</v>
      </c>
      <c r="B50" s="13" t="s">
        <v>73</v>
      </c>
      <c r="C50" s="13" t="s">
        <v>43</v>
      </c>
      <c r="D50" s="13" t="s">
        <v>74</v>
      </c>
      <c r="E50" s="13" t="s">
        <v>75</v>
      </c>
      <c r="F50" s="13" t="s">
        <v>586</v>
      </c>
      <c r="H50" s="13">
        <v>19</v>
      </c>
      <c r="I50" s="13">
        <v>451</v>
      </c>
      <c r="K50" s="13" t="s">
        <v>817</v>
      </c>
      <c r="L50" s="13" t="s">
        <v>818</v>
      </c>
      <c r="N50" s="13" t="s">
        <v>61</v>
      </c>
      <c r="O50" s="13" t="s">
        <v>642</v>
      </c>
      <c r="P50" s="13" t="s">
        <v>48</v>
      </c>
      <c r="Q50" s="13" t="s">
        <v>48</v>
      </c>
      <c r="R50" s="4">
        <v>8</v>
      </c>
      <c r="S50" s="13" t="s">
        <v>594</v>
      </c>
      <c r="T50" s="13">
        <v>150</v>
      </c>
      <c r="U50" s="4" t="s">
        <v>76</v>
      </c>
      <c r="V50" s="4">
        <v>450</v>
      </c>
      <c r="W50" s="4" t="s">
        <v>601</v>
      </c>
      <c r="X50" s="4">
        <v>415.08</v>
      </c>
      <c r="Y50" s="4">
        <v>10</v>
      </c>
      <c r="AA50" s="4" t="s">
        <v>49</v>
      </c>
      <c r="AB50" s="4">
        <v>0</v>
      </c>
      <c r="AC50" s="4" t="s">
        <v>49</v>
      </c>
      <c r="AD50" s="4">
        <v>0</v>
      </c>
      <c r="AE50" s="4" t="s">
        <v>49</v>
      </c>
      <c r="AF50" s="4">
        <v>0</v>
      </c>
      <c r="AG50" s="4" t="s">
        <v>737</v>
      </c>
      <c r="AH50" s="4" t="s">
        <v>736</v>
      </c>
      <c r="AI50" s="4" t="s">
        <v>78</v>
      </c>
      <c r="AJ50" s="13">
        <v>0</v>
      </c>
      <c r="AK50" s="13">
        <v>15</v>
      </c>
      <c r="AP50" s="13" t="s">
        <v>50</v>
      </c>
      <c r="AQ50" s="13" t="s">
        <v>49</v>
      </c>
      <c r="AR50" s="13" t="s">
        <v>49</v>
      </c>
      <c r="AS50" s="13" t="s">
        <v>49</v>
      </c>
      <c r="AT50" s="13" t="s">
        <v>990</v>
      </c>
      <c r="AU50" s="13" t="s">
        <v>998</v>
      </c>
      <c r="AV50" s="14">
        <v>21.27</v>
      </c>
      <c r="AW50" s="14">
        <v>21.51</v>
      </c>
      <c r="AX50" s="14">
        <f>Table1347456[[#This Row],[treatment_mean]]/Table1347456[[#This Row],[control_mean]]</f>
        <v>0.98884239888423975</v>
      </c>
      <c r="AY50" s="14">
        <f>LN(Table1347456[[#This Row],[rr]])</f>
        <v>-1.1220314067493001E-2</v>
      </c>
      <c r="AZ50" s="13">
        <v>8</v>
      </c>
      <c r="BA50" s="13">
        <v>8</v>
      </c>
      <c r="BB50" s="14">
        <v>0.46</v>
      </c>
      <c r="BC50" s="14">
        <v>0.31</v>
      </c>
      <c r="BD50" s="15">
        <f>Table1347456[[#This Row],[treatment_se]]*SQRT(Table1347456[[#This Row],[treatment_n]])</f>
        <v>1.3010764773832475</v>
      </c>
      <c r="BE50" s="14">
        <f>Table1347456[[#This Row],[control_se]]*SQRT(Table1347456[[#This Row],[control_n]])</f>
        <v>0.87681240867131893</v>
      </c>
      <c r="BF5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6.754172410927548E-4</v>
      </c>
      <c r="BG50" s="17">
        <f>SQRT(Table1347456[[#This Row],[v_from_sd_and_n]])</f>
        <v>2.5988790681614155E-2</v>
      </c>
      <c r="BH50" s="13" t="s">
        <v>50</v>
      </c>
      <c r="BI50" s="13">
        <v>2.5000000000000001E-2</v>
      </c>
      <c r="BJ50" s="18">
        <f>ABS(_xlfn.NORM.S.INV(Table1347456[[#This Row],[p_value]]/2))</f>
        <v>2.2414027276049446</v>
      </c>
      <c r="BK50" s="19">
        <f>(Table1347456[[#This Row],[lnrr]]/Table1347456[[#This Row],[z_from_p]])^2</f>
        <v>2.5059374969732071E-5</v>
      </c>
      <c r="BL50" s="16">
        <f>Table1347456[[#This Row],[v_from_sd_and_n]]</f>
        <v>6.754172410927548E-4</v>
      </c>
      <c r="BM50" s="20">
        <f>SQRT(Table1347456[[#This Row],[v]])</f>
        <v>2.5988790681614155E-2</v>
      </c>
      <c r="BN50" s="20">
        <f>Table1347456[[#This Row],[lnrr]]-(1.96*Table1347456[[#This Row],[se]])</f>
        <v>-6.2158343803456743E-2</v>
      </c>
      <c r="BO50" s="20">
        <f>Table1347456[[#This Row],[lnrr]]+(1.96 * Table1347456[[#This Row],[se]])</f>
        <v>3.9717715668470745E-2</v>
      </c>
    </row>
    <row r="51" spans="1:67">
      <c r="A51" s="13" t="s">
        <v>72</v>
      </c>
      <c r="B51" s="13" t="s">
        <v>73</v>
      </c>
      <c r="C51" s="13" t="s">
        <v>43</v>
      </c>
      <c r="D51" s="13" t="s">
        <v>74</v>
      </c>
      <c r="E51" s="13" t="s">
        <v>75</v>
      </c>
      <c r="F51" s="13" t="s">
        <v>586</v>
      </c>
      <c r="H51" s="13">
        <v>19</v>
      </c>
      <c r="I51" s="13">
        <v>451</v>
      </c>
      <c r="K51" s="13" t="s">
        <v>817</v>
      </c>
      <c r="L51" s="13" t="s">
        <v>818</v>
      </c>
      <c r="N51" s="13" t="s">
        <v>79</v>
      </c>
      <c r="O51" s="13" t="s">
        <v>642</v>
      </c>
      <c r="P51" s="13" t="s">
        <v>48</v>
      </c>
      <c r="Q51" s="13" t="s">
        <v>48</v>
      </c>
      <c r="R51" s="4">
        <v>8</v>
      </c>
      <c r="S51" s="13" t="s">
        <v>594</v>
      </c>
      <c r="T51" s="13">
        <v>150</v>
      </c>
      <c r="U51" s="4" t="s">
        <v>76</v>
      </c>
      <c r="V51" s="4">
        <v>450</v>
      </c>
      <c r="W51" s="4" t="s">
        <v>601</v>
      </c>
      <c r="X51" s="4">
        <v>415.08</v>
      </c>
      <c r="Y51" s="4">
        <v>10</v>
      </c>
      <c r="AA51" s="4" t="s">
        <v>49</v>
      </c>
      <c r="AB51" s="4">
        <v>0</v>
      </c>
      <c r="AC51" s="4" t="s">
        <v>49</v>
      </c>
      <c r="AD51" s="4">
        <v>0</v>
      </c>
      <c r="AE51" s="4" t="s">
        <v>49</v>
      </c>
      <c r="AF51" s="4">
        <v>0</v>
      </c>
      <c r="AG51" s="4" t="s">
        <v>737</v>
      </c>
      <c r="AH51" s="4" t="s">
        <v>736</v>
      </c>
      <c r="AI51" s="4" t="s">
        <v>78</v>
      </c>
      <c r="AJ51" s="13">
        <v>0</v>
      </c>
      <c r="AK51" s="13">
        <v>15</v>
      </c>
      <c r="AP51" s="13" t="s">
        <v>50</v>
      </c>
      <c r="AQ51" s="13" t="s">
        <v>49</v>
      </c>
      <c r="AR51" s="13" t="s">
        <v>49</v>
      </c>
      <c r="AS51" s="13" t="s">
        <v>49</v>
      </c>
      <c r="AT51" s="13" t="s">
        <v>990</v>
      </c>
      <c r="AU51" s="13" t="s">
        <v>998</v>
      </c>
      <c r="AV51" s="14">
        <v>3.05</v>
      </c>
      <c r="AW51" s="14">
        <v>3.1</v>
      </c>
      <c r="AX51" s="14">
        <f>Table1347456[[#This Row],[treatment_mean]]/Table1347456[[#This Row],[control_mean]]</f>
        <v>0.98387096774193539</v>
      </c>
      <c r="AY51" s="14">
        <f>LN(Table1347456[[#This Row],[rr]])</f>
        <v>-1.6260520871780405E-2</v>
      </c>
      <c r="AZ51" s="13">
        <v>8</v>
      </c>
      <c r="BA51" s="13">
        <v>8</v>
      </c>
      <c r="BB51" s="14">
        <v>0.05</v>
      </c>
      <c r="BC51" s="14">
        <v>0.05</v>
      </c>
      <c r="BD51" s="15">
        <f>Table1347456[[#This Row],[treatment_se]]*SQRT(Table1347456[[#This Row],[treatment_n]])</f>
        <v>0.14142135623730953</v>
      </c>
      <c r="BE51" s="14">
        <f>Table1347456[[#This Row],[control_se]]*SQRT(Table1347456[[#This Row],[control_n]])</f>
        <v>0.14142135623730953</v>
      </c>
      <c r="BF5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5.2889064261366667E-4</v>
      </c>
      <c r="BG51" s="17">
        <f>SQRT(Table1347456[[#This Row],[v_from_sd_and_n]])</f>
        <v>2.2997622542638329E-2</v>
      </c>
      <c r="BH51" s="13" t="s">
        <v>50</v>
      </c>
      <c r="BI51" s="13">
        <v>2.5000000000000001E-2</v>
      </c>
      <c r="BJ51" s="18">
        <f>ABS(_xlfn.NORM.S.INV(Table1347456[[#This Row],[p_value]]/2))</f>
        <v>2.2414027276049446</v>
      </c>
      <c r="BK51" s="19">
        <f>(Table1347456[[#This Row],[lnrr]]/Table1347456[[#This Row],[z_from_p]])^2</f>
        <v>5.2629484260455026E-5</v>
      </c>
      <c r="BL51" s="16">
        <f>Table1347456[[#This Row],[v_from_sd_and_n]]</f>
        <v>5.2889064261366667E-4</v>
      </c>
      <c r="BM51" s="20">
        <f>SQRT(Table1347456[[#This Row],[v]])</f>
        <v>2.2997622542638329E-2</v>
      </c>
      <c r="BN51" s="20">
        <f>Table1347456[[#This Row],[lnrr]]-(1.96*Table1347456[[#This Row],[se]])</f>
        <v>-6.1335861055351527E-2</v>
      </c>
      <c r="BO51" s="20">
        <f>Table1347456[[#This Row],[lnrr]]+(1.96 * Table1347456[[#This Row],[se]])</f>
        <v>2.8814819311790717E-2</v>
      </c>
    </row>
    <row r="52" spans="1:67">
      <c r="A52" s="13" t="s">
        <v>72</v>
      </c>
      <c r="B52" s="13" t="s">
        <v>73</v>
      </c>
      <c r="C52" s="13" t="s">
        <v>43</v>
      </c>
      <c r="D52" s="13" t="s">
        <v>74</v>
      </c>
      <c r="E52" s="13" t="s">
        <v>75</v>
      </c>
      <c r="F52" s="13" t="s">
        <v>586</v>
      </c>
      <c r="H52" s="13">
        <v>19</v>
      </c>
      <c r="I52" s="13">
        <v>451</v>
      </c>
      <c r="K52" s="13" t="s">
        <v>817</v>
      </c>
      <c r="L52" s="13" t="s">
        <v>818</v>
      </c>
      <c r="N52" s="13" t="s">
        <v>80</v>
      </c>
      <c r="O52" s="13" t="s">
        <v>642</v>
      </c>
      <c r="P52" s="13" t="s">
        <v>48</v>
      </c>
      <c r="Q52" s="13" t="s">
        <v>48</v>
      </c>
      <c r="R52" s="4">
        <v>8</v>
      </c>
      <c r="S52" s="13" t="s">
        <v>594</v>
      </c>
      <c r="T52" s="13">
        <v>150</v>
      </c>
      <c r="U52" s="4" t="s">
        <v>76</v>
      </c>
      <c r="V52" s="4">
        <v>450</v>
      </c>
      <c r="W52" s="4" t="s">
        <v>601</v>
      </c>
      <c r="X52" s="4">
        <v>415.08</v>
      </c>
      <c r="Y52" s="4">
        <v>10</v>
      </c>
      <c r="AA52" s="4" t="s">
        <v>49</v>
      </c>
      <c r="AB52" s="4">
        <v>0</v>
      </c>
      <c r="AC52" s="4" t="s">
        <v>49</v>
      </c>
      <c r="AD52" s="4">
        <v>0</v>
      </c>
      <c r="AE52" s="4" t="s">
        <v>49</v>
      </c>
      <c r="AF52" s="4">
        <v>0</v>
      </c>
      <c r="AG52" s="4" t="s">
        <v>737</v>
      </c>
      <c r="AH52" s="4" t="s">
        <v>736</v>
      </c>
      <c r="AI52" s="4" t="s">
        <v>78</v>
      </c>
      <c r="AJ52" s="13">
        <v>0</v>
      </c>
      <c r="AK52" s="13">
        <v>15</v>
      </c>
      <c r="AP52" s="13" t="s">
        <v>50</v>
      </c>
      <c r="AQ52" s="13" t="s">
        <v>49</v>
      </c>
      <c r="AR52" s="13" t="s">
        <v>49</v>
      </c>
      <c r="AS52" s="13" t="s">
        <v>49</v>
      </c>
      <c r="AT52" s="13" t="s">
        <v>990</v>
      </c>
      <c r="AU52" s="13" t="s">
        <v>998</v>
      </c>
      <c r="AV52" s="14">
        <v>20.67</v>
      </c>
      <c r="AW52" s="14">
        <v>20.49</v>
      </c>
      <c r="AX52" s="14">
        <f>Table1347456[[#This Row],[treatment_mean]]/Table1347456[[#This Row],[control_mean]]</f>
        <v>1.0087847730600294</v>
      </c>
      <c r="AY52" s="14">
        <f>LN(Table1347456[[#This Row],[rr]])</f>
        <v>8.7464114428686714E-3</v>
      </c>
      <c r="AZ52" s="13">
        <v>8</v>
      </c>
      <c r="BA52" s="13">
        <v>8</v>
      </c>
      <c r="BB52" s="14">
        <v>0.22</v>
      </c>
      <c r="BC52" s="14">
        <v>0.18</v>
      </c>
      <c r="BD52" s="15">
        <f>Table1347456[[#This Row],[treatment_se]]*SQRT(Table1347456[[#This Row],[treatment_n]])</f>
        <v>0.62225396744416184</v>
      </c>
      <c r="BE52" s="14">
        <f>Table1347456[[#This Row],[control_se]]*SQRT(Table1347456[[#This Row],[control_n]])</f>
        <v>0.50911688245431419</v>
      </c>
      <c r="BF5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1.9045515079100709E-4</v>
      </c>
      <c r="BG52" s="17">
        <f>SQRT(Table1347456[[#This Row],[v_from_sd_and_n]])</f>
        <v>1.3800548930785583E-2</v>
      </c>
      <c r="BH52" s="13" t="s">
        <v>50</v>
      </c>
      <c r="BI52" s="13">
        <v>2.5000000000000001E-2</v>
      </c>
      <c r="BJ52" s="18">
        <f>ABS(_xlfn.NORM.S.INV(Table1347456[[#This Row],[p_value]]/2))</f>
        <v>2.2414027276049446</v>
      </c>
      <c r="BK52" s="19">
        <f>(Table1347456[[#This Row],[lnrr]]/Table1347456[[#This Row],[z_from_p]])^2</f>
        <v>1.5227198681590916E-5</v>
      </c>
      <c r="BL52" s="16">
        <f>Table1347456[[#This Row],[v_from_sd_and_n]]</f>
        <v>1.9045515079100709E-4</v>
      </c>
      <c r="BM52" s="20">
        <f>SQRT(Table1347456[[#This Row],[v]])</f>
        <v>1.3800548930785583E-2</v>
      </c>
      <c r="BN52" s="20">
        <f>Table1347456[[#This Row],[lnrr]]-(1.96*Table1347456[[#This Row],[se]])</f>
        <v>-1.8302664461471073E-2</v>
      </c>
      <c r="BO52" s="20">
        <f>Table1347456[[#This Row],[lnrr]]+(1.96 * Table1347456[[#This Row],[se]])</f>
        <v>3.5795487347208416E-2</v>
      </c>
    </row>
    <row r="53" spans="1:67">
      <c r="A53" s="13" t="s">
        <v>72</v>
      </c>
      <c r="B53" s="13" t="s">
        <v>73</v>
      </c>
      <c r="C53" s="13" t="s">
        <v>43</v>
      </c>
      <c r="D53" s="13" t="s">
        <v>74</v>
      </c>
      <c r="E53" s="13" t="s">
        <v>75</v>
      </c>
      <c r="F53" s="13" t="s">
        <v>586</v>
      </c>
      <c r="H53" s="13">
        <v>19</v>
      </c>
      <c r="I53" s="13">
        <v>451</v>
      </c>
      <c r="K53" s="13" t="s">
        <v>817</v>
      </c>
      <c r="L53" s="13" t="s">
        <v>818</v>
      </c>
      <c r="N53" s="13" t="s">
        <v>81</v>
      </c>
      <c r="O53" s="13" t="s">
        <v>82</v>
      </c>
      <c r="P53" s="13" t="s">
        <v>83</v>
      </c>
      <c r="Q53" s="13" t="s">
        <v>83</v>
      </c>
      <c r="R53" s="4">
        <v>8</v>
      </c>
      <c r="S53" s="13" t="s">
        <v>594</v>
      </c>
      <c r="T53" s="13">
        <v>150</v>
      </c>
      <c r="U53" s="4" t="s">
        <v>76</v>
      </c>
      <c r="V53" s="4">
        <v>450</v>
      </c>
      <c r="W53" s="4" t="s">
        <v>601</v>
      </c>
      <c r="X53" s="4">
        <v>415.08</v>
      </c>
      <c r="Y53" s="4">
        <v>10</v>
      </c>
      <c r="AA53" s="4" t="s">
        <v>49</v>
      </c>
      <c r="AB53" s="4">
        <v>0</v>
      </c>
      <c r="AC53" s="4" t="s">
        <v>49</v>
      </c>
      <c r="AD53" s="4">
        <v>0</v>
      </c>
      <c r="AE53" s="4" t="s">
        <v>49</v>
      </c>
      <c r="AF53" s="4">
        <v>0</v>
      </c>
      <c r="AG53" s="4" t="s">
        <v>737</v>
      </c>
      <c r="AH53" s="4" t="s">
        <v>736</v>
      </c>
      <c r="AI53" s="4" t="s">
        <v>78</v>
      </c>
      <c r="AJ53" s="13">
        <v>0</v>
      </c>
      <c r="AK53" s="13">
        <v>15</v>
      </c>
      <c r="AP53" s="13" t="s">
        <v>50</v>
      </c>
      <c r="AQ53" s="13" t="s">
        <v>49</v>
      </c>
      <c r="AR53" s="13" t="s">
        <v>49</v>
      </c>
      <c r="AS53" s="13" t="s">
        <v>49</v>
      </c>
      <c r="AT53" s="13" t="s">
        <v>990</v>
      </c>
      <c r="AU53" s="13" t="s">
        <v>998</v>
      </c>
      <c r="AV53" s="14">
        <v>2.6</v>
      </c>
      <c r="AW53" s="14">
        <v>2.57</v>
      </c>
      <c r="AX53" s="14">
        <f>Table1347456[[#This Row],[treatment_mean]]/Table1347456[[#This Row],[control_mean]]</f>
        <v>1.0116731517509729</v>
      </c>
      <c r="AY53" s="14">
        <f>LN(Table1347456[[#This Row],[rr]])</f>
        <v>1.160554612030811E-2</v>
      </c>
      <c r="AZ53" s="13">
        <v>8</v>
      </c>
      <c r="BA53" s="13">
        <v>8</v>
      </c>
      <c r="BB53" s="14">
        <v>0.08</v>
      </c>
      <c r="BC53" s="14">
        <v>0.09</v>
      </c>
      <c r="BD53" s="15">
        <f>Table1347456[[#This Row],[treatment_se]]*SQRT(Table1347456[[#This Row],[treatment_n]])</f>
        <v>0.22627416997969524</v>
      </c>
      <c r="BE53" s="14">
        <f>Table1347456[[#This Row],[control_se]]*SQRT(Table1347456[[#This Row],[control_n]])</f>
        <v>0.2545584412271571</v>
      </c>
      <c r="BF5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2.1731078083413241E-3</v>
      </c>
      <c r="BG53" s="17">
        <f>SQRT(Table1347456[[#This Row],[v_from_sd_and_n]])</f>
        <v>4.661660442740681E-2</v>
      </c>
      <c r="BH53" s="13" t="s">
        <v>50</v>
      </c>
      <c r="BI53" s="13">
        <v>2.5000000000000001E-2</v>
      </c>
      <c r="BJ53" s="18">
        <f>ABS(_xlfn.NORM.S.INV(Table1347456[[#This Row],[p_value]]/2))</f>
        <v>2.2414027276049446</v>
      </c>
      <c r="BK53" s="19">
        <f>(Table1347456[[#This Row],[lnrr]]/Table1347456[[#This Row],[z_from_p]])^2</f>
        <v>2.680966401879929E-5</v>
      </c>
      <c r="BL53" s="16">
        <f>Table1347456[[#This Row],[v_from_sd_and_n]]</f>
        <v>2.1731078083413241E-3</v>
      </c>
      <c r="BM53" s="20">
        <f>SQRT(Table1347456[[#This Row],[v]])</f>
        <v>4.661660442740681E-2</v>
      </c>
      <c r="BN53" s="20">
        <f>Table1347456[[#This Row],[lnrr]]-(1.96*Table1347456[[#This Row],[se]])</f>
        <v>-7.9762998557409245E-2</v>
      </c>
      <c r="BO53" s="20">
        <f>Table1347456[[#This Row],[lnrr]]+(1.96 * Table1347456[[#This Row],[se]])</f>
        <v>0.10297409079802546</v>
      </c>
    </row>
    <row r="54" spans="1:67">
      <c r="A54" s="13" t="s">
        <v>72</v>
      </c>
      <c r="B54" s="13" t="s">
        <v>73</v>
      </c>
      <c r="C54" s="13" t="s">
        <v>43</v>
      </c>
      <c r="D54" s="13" t="s">
        <v>74</v>
      </c>
      <c r="E54" s="13" t="s">
        <v>75</v>
      </c>
      <c r="F54" s="13" t="s">
        <v>586</v>
      </c>
      <c r="H54" s="13">
        <v>19</v>
      </c>
      <c r="I54" s="13">
        <v>451</v>
      </c>
      <c r="K54" s="13" t="s">
        <v>817</v>
      </c>
      <c r="L54" s="13" t="s">
        <v>818</v>
      </c>
      <c r="N54" s="13" t="s">
        <v>61</v>
      </c>
      <c r="O54" s="13" t="s">
        <v>642</v>
      </c>
      <c r="P54" s="13" t="s">
        <v>48</v>
      </c>
      <c r="Q54" s="13" t="s">
        <v>48</v>
      </c>
      <c r="R54" s="4">
        <v>8</v>
      </c>
      <c r="S54" s="13" t="s">
        <v>594</v>
      </c>
      <c r="T54" s="13">
        <v>150</v>
      </c>
      <c r="U54" s="4" t="s">
        <v>76</v>
      </c>
      <c r="V54" s="4">
        <v>450</v>
      </c>
      <c r="W54" s="4" t="s">
        <v>601</v>
      </c>
      <c r="X54" s="4">
        <v>415.08</v>
      </c>
      <c r="Y54" s="4">
        <v>10</v>
      </c>
      <c r="AA54" s="4" t="s">
        <v>49</v>
      </c>
      <c r="AB54" s="4">
        <v>0</v>
      </c>
      <c r="AC54" s="4" t="s">
        <v>49</v>
      </c>
      <c r="AD54" s="4">
        <v>0</v>
      </c>
      <c r="AE54" s="4" t="s">
        <v>49</v>
      </c>
      <c r="AF54" s="4">
        <v>0</v>
      </c>
      <c r="AG54" s="4" t="s">
        <v>737</v>
      </c>
      <c r="AH54" s="4" t="s">
        <v>736</v>
      </c>
      <c r="AI54" s="4" t="s">
        <v>78</v>
      </c>
      <c r="AJ54" s="13">
        <v>0</v>
      </c>
      <c r="AK54" s="13">
        <v>15</v>
      </c>
      <c r="AP54" s="13" t="s">
        <v>50</v>
      </c>
      <c r="AQ54" s="13" t="s">
        <v>49</v>
      </c>
      <c r="AR54" s="13" t="s">
        <v>50</v>
      </c>
      <c r="AS54" s="13" t="s">
        <v>49</v>
      </c>
      <c r="AT54" s="13" t="s">
        <v>990</v>
      </c>
      <c r="AU54" s="13" t="s">
        <v>998</v>
      </c>
      <c r="AV54" s="14">
        <v>24.01</v>
      </c>
      <c r="AW54" s="14">
        <v>23.31</v>
      </c>
      <c r="AX54" s="14">
        <f>Table1347456[[#This Row],[treatment_mean]]/Table1347456[[#This Row],[control_mean]]</f>
        <v>1.0300300300300302</v>
      </c>
      <c r="AY54" s="14">
        <f>LN(Table1347456[[#This Row],[rr]])</f>
        <v>2.9587957185496293E-2</v>
      </c>
      <c r="AZ54" s="13">
        <v>8</v>
      </c>
      <c r="BA54" s="13">
        <v>8</v>
      </c>
      <c r="BB54" s="14">
        <v>0.68</v>
      </c>
      <c r="BC54" s="14">
        <v>0.74</v>
      </c>
      <c r="BD54" s="15">
        <f>Table1347456[[#This Row],[treatment_se]]*SQRT(Table1347456[[#This Row],[treatment_n]])</f>
        <v>1.9233304448274096</v>
      </c>
      <c r="BE54" s="14">
        <f>Table1347456[[#This Row],[control_se]]*SQRT(Table1347456[[#This Row],[control_n]])</f>
        <v>2.0930360723121808</v>
      </c>
      <c r="BF5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1.8099197457976139E-3</v>
      </c>
      <c r="BG54" s="17">
        <f>SQRT(Table1347456[[#This Row],[v_from_sd_and_n]])</f>
        <v>4.254315157340384E-2</v>
      </c>
      <c r="BH54" s="13" t="s">
        <v>50</v>
      </c>
      <c r="BI54" s="13">
        <v>2.5000000000000001E-2</v>
      </c>
      <c r="BJ54" s="18">
        <f>ABS(_xlfn.NORM.S.INV(Table1347456[[#This Row],[p_value]]/2))</f>
        <v>2.2414027276049446</v>
      </c>
      <c r="BK54" s="19">
        <f>(Table1347456[[#This Row],[lnrr]]/Table1347456[[#This Row],[z_from_p]])^2</f>
        <v>1.7425697513236493E-4</v>
      </c>
      <c r="BL54" s="16">
        <f>Table1347456[[#This Row],[v_from_sd_and_n]]</f>
        <v>1.8099197457976139E-3</v>
      </c>
      <c r="BM54" s="20">
        <f>SQRT(Table1347456[[#This Row],[v]])</f>
        <v>4.254315157340384E-2</v>
      </c>
      <c r="BN54" s="20">
        <f>Table1347456[[#This Row],[lnrr]]-(1.96*Table1347456[[#This Row],[se]])</f>
        <v>-5.3796619898375225E-2</v>
      </c>
      <c r="BO54" s="20">
        <f>Table1347456[[#This Row],[lnrr]]+(1.96 * Table1347456[[#This Row],[se]])</f>
        <v>0.11297253426936782</v>
      </c>
    </row>
    <row r="55" spans="1:67">
      <c r="A55" s="13" t="s">
        <v>72</v>
      </c>
      <c r="B55" s="13" t="s">
        <v>73</v>
      </c>
      <c r="C55" s="13" t="s">
        <v>43</v>
      </c>
      <c r="D55" s="13" t="s">
        <v>74</v>
      </c>
      <c r="E55" s="13" t="s">
        <v>75</v>
      </c>
      <c r="F55" s="13" t="s">
        <v>586</v>
      </c>
      <c r="H55" s="13">
        <v>19</v>
      </c>
      <c r="I55" s="13">
        <v>451</v>
      </c>
      <c r="K55" s="13" t="s">
        <v>817</v>
      </c>
      <c r="L55" s="13" t="s">
        <v>818</v>
      </c>
      <c r="N55" s="13" t="s">
        <v>79</v>
      </c>
      <c r="O55" s="13" t="s">
        <v>642</v>
      </c>
      <c r="P55" s="13" t="s">
        <v>48</v>
      </c>
      <c r="Q55" s="13" t="s">
        <v>48</v>
      </c>
      <c r="R55" s="4">
        <v>8</v>
      </c>
      <c r="S55" s="13" t="s">
        <v>594</v>
      </c>
      <c r="T55" s="13">
        <v>150</v>
      </c>
      <c r="U55" s="4" t="s">
        <v>76</v>
      </c>
      <c r="V55" s="4">
        <v>450</v>
      </c>
      <c r="W55" s="4" t="s">
        <v>601</v>
      </c>
      <c r="X55" s="4">
        <v>415.08</v>
      </c>
      <c r="Y55" s="4">
        <v>10</v>
      </c>
      <c r="AA55" s="4" t="s">
        <v>49</v>
      </c>
      <c r="AB55" s="4">
        <v>0</v>
      </c>
      <c r="AC55" s="4" t="s">
        <v>49</v>
      </c>
      <c r="AD55" s="4">
        <v>0</v>
      </c>
      <c r="AE55" s="4" t="s">
        <v>49</v>
      </c>
      <c r="AF55" s="4">
        <v>0</v>
      </c>
      <c r="AG55" s="4" t="s">
        <v>737</v>
      </c>
      <c r="AH55" s="4" t="s">
        <v>736</v>
      </c>
      <c r="AI55" s="4" t="s">
        <v>78</v>
      </c>
      <c r="AJ55" s="13">
        <v>0</v>
      </c>
      <c r="AK55" s="13">
        <v>15</v>
      </c>
      <c r="AP55" s="13" t="s">
        <v>50</v>
      </c>
      <c r="AQ55" s="13" t="s">
        <v>49</v>
      </c>
      <c r="AR55" s="13" t="s">
        <v>50</v>
      </c>
      <c r="AS55" s="13" t="s">
        <v>49</v>
      </c>
      <c r="AT55" s="13" t="s">
        <v>990</v>
      </c>
      <c r="AU55" s="13" t="s">
        <v>998</v>
      </c>
      <c r="AV55" s="14">
        <v>3.53</v>
      </c>
      <c r="AW55" s="14">
        <v>3.57</v>
      </c>
      <c r="AX55" s="14">
        <f>Table1347456[[#This Row],[treatment_mean]]/Table1347456[[#This Row],[control_mean]]</f>
        <v>0.98879551820728295</v>
      </c>
      <c r="AY55" s="14">
        <f>LN(Table1347456[[#This Row],[rr]])</f>
        <v>-1.1267724846342269E-2</v>
      </c>
      <c r="AZ55" s="13">
        <v>8</v>
      </c>
      <c r="BA55" s="13">
        <v>8</v>
      </c>
      <c r="BB55" s="14">
        <v>7.0000000000000007E-2</v>
      </c>
      <c r="BC55" s="14">
        <v>0.05</v>
      </c>
      <c r="BD55" s="15">
        <f>Table1347456[[#This Row],[treatment_se]]*SQRT(Table1347456[[#This Row],[treatment_n]])</f>
        <v>0.19798989873223333</v>
      </c>
      <c r="BE55" s="14">
        <f>Table1347456[[#This Row],[control_se]]*SQRT(Table1347456[[#This Row],[control_n]])</f>
        <v>0.14142135623730953</v>
      </c>
      <c r="BF5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5.8938691764375169E-4</v>
      </c>
      <c r="BG55" s="17">
        <f>SQRT(Table1347456[[#This Row],[v_from_sd_and_n]])</f>
        <v>2.4277292222234171E-2</v>
      </c>
      <c r="BH55" s="13" t="s">
        <v>50</v>
      </c>
      <c r="BI55" s="13">
        <v>2.5000000000000001E-2</v>
      </c>
      <c r="BJ55" s="18">
        <f>ABS(_xlfn.NORM.S.INV(Table1347456[[#This Row],[p_value]]/2))</f>
        <v>2.2414027276049446</v>
      </c>
      <c r="BK55" s="19">
        <f>(Table1347456[[#This Row],[lnrr]]/Table1347456[[#This Row],[z_from_p]])^2</f>
        <v>2.5271596226334105E-5</v>
      </c>
      <c r="BL55" s="16">
        <f>Table1347456[[#This Row],[v_from_sd_and_n]]</f>
        <v>5.8938691764375169E-4</v>
      </c>
      <c r="BM55" s="20">
        <f>SQRT(Table1347456[[#This Row],[v]])</f>
        <v>2.4277292222234171E-2</v>
      </c>
      <c r="BN55" s="20">
        <f>Table1347456[[#This Row],[lnrr]]-(1.96*Table1347456[[#This Row],[se]])</f>
        <v>-5.8851217601921239E-2</v>
      </c>
      <c r="BO55" s="20">
        <f>Table1347456[[#This Row],[lnrr]]+(1.96 * Table1347456[[#This Row],[se]])</f>
        <v>3.6315767909236706E-2</v>
      </c>
    </row>
    <row r="56" spans="1:67">
      <c r="A56" s="13" t="s">
        <v>72</v>
      </c>
      <c r="B56" s="13" t="s">
        <v>73</v>
      </c>
      <c r="C56" s="13" t="s">
        <v>43</v>
      </c>
      <c r="D56" s="13" t="s">
        <v>74</v>
      </c>
      <c r="E56" s="13" t="s">
        <v>75</v>
      </c>
      <c r="F56" s="13" t="s">
        <v>586</v>
      </c>
      <c r="H56" s="13">
        <v>19</v>
      </c>
      <c r="I56" s="13">
        <v>451</v>
      </c>
      <c r="K56" s="13" t="s">
        <v>817</v>
      </c>
      <c r="L56" s="13" t="s">
        <v>818</v>
      </c>
      <c r="N56" s="13" t="s">
        <v>80</v>
      </c>
      <c r="O56" s="13" t="s">
        <v>642</v>
      </c>
      <c r="P56" s="13" t="s">
        <v>48</v>
      </c>
      <c r="Q56" s="13" t="s">
        <v>48</v>
      </c>
      <c r="R56" s="4">
        <v>8</v>
      </c>
      <c r="S56" s="13" t="s">
        <v>594</v>
      </c>
      <c r="T56" s="13">
        <v>150</v>
      </c>
      <c r="U56" s="4" t="s">
        <v>76</v>
      </c>
      <c r="V56" s="4">
        <v>450</v>
      </c>
      <c r="W56" s="4" t="s">
        <v>601</v>
      </c>
      <c r="X56" s="4">
        <v>415.08</v>
      </c>
      <c r="Y56" s="4">
        <v>10</v>
      </c>
      <c r="AA56" s="4" t="s">
        <v>49</v>
      </c>
      <c r="AB56" s="4">
        <v>0</v>
      </c>
      <c r="AC56" s="4" t="s">
        <v>49</v>
      </c>
      <c r="AD56" s="4">
        <v>0</v>
      </c>
      <c r="AE56" s="4" t="s">
        <v>49</v>
      </c>
      <c r="AF56" s="4">
        <v>0</v>
      </c>
      <c r="AG56" s="4" t="s">
        <v>737</v>
      </c>
      <c r="AH56" s="4" t="s">
        <v>736</v>
      </c>
      <c r="AI56" s="4" t="s">
        <v>78</v>
      </c>
      <c r="AJ56" s="13">
        <v>0</v>
      </c>
      <c r="AK56" s="13">
        <v>15</v>
      </c>
      <c r="AP56" s="13" t="s">
        <v>50</v>
      </c>
      <c r="AQ56" s="13" t="s">
        <v>49</v>
      </c>
      <c r="AR56" s="13" t="s">
        <v>50</v>
      </c>
      <c r="AS56" s="13" t="s">
        <v>49</v>
      </c>
      <c r="AT56" s="13" t="s">
        <v>990</v>
      </c>
      <c r="AU56" s="13" t="s">
        <v>998</v>
      </c>
      <c r="AV56" s="14">
        <v>20.81</v>
      </c>
      <c r="AW56" s="14">
        <v>21.36</v>
      </c>
      <c r="AX56" s="14">
        <f>Table1347456[[#This Row],[treatment_mean]]/Table1347456[[#This Row],[control_mean]]</f>
        <v>0.97425093632958804</v>
      </c>
      <c r="AY56" s="14">
        <f>LN(Table1347456[[#This Row],[rr]])</f>
        <v>-2.6086373686451014E-2</v>
      </c>
      <c r="AZ56" s="13">
        <v>8</v>
      </c>
      <c r="BA56" s="13">
        <v>8</v>
      </c>
      <c r="BB56" s="14">
        <v>0.3</v>
      </c>
      <c r="BC56" s="14">
        <v>0.51</v>
      </c>
      <c r="BD56" s="15">
        <f>Table1347456[[#This Row],[treatment_se]]*SQRT(Table1347456[[#This Row],[treatment_n]])</f>
        <v>0.84852813742385702</v>
      </c>
      <c r="BE56" s="14">
        <f>Table1347456[[#This Row],[control_se]]*SQRT(Table1347456[[#This Row],[control_n]])</f>
        <v>1.4424978336205572</v>
      </c>
      <c r="BF5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7.7790795948343529E-4</v>
      </c>
      <c r="BG56" s="17">
        <f>SQRT(Table1347456[[#This Row],[v_from_sd_and_n]])</f>
        <v>2.7891001406967004E-2</v>
      </c>
      <c r="BH56" s="13" t="s">
        <v>50</v>
      </c>
      <c r="BI56" s="13">
        <v>2.5000000000000001E-2</v>
      </c>
      <c r="BJ56" s="18">
        <f>ABS(_xlfn.NORM.S.INV(Table1347456[[#This Row],[p_value]]/2))</f>
        <v>2.2414027276049446</v>
      </c>
      <c r="BK56" s="19">
        <f>(Table1347456[[#This Row],[lnrr]]/Table1347456[[#This Row],[z_from_p]])^2</f>
        <v>1.3545268876261502E-4</v>
      </c>
      <c r="BL56" s="16">
        <f>Table1347456[[#This Row],[v_from_sd_and_n]]</f>
        <v>7.7790795948343529E-4</v>
      </c>
      <c r="BM56" s="20">
        <f>SQRT(Table1347456[[#This Row],[v]])</f>
        <v>2.7891001406967004E-2</v>
      </c>
      <c r="BN56" s="20">
        <f>Table1347456[[#This Row],[lnrr]]-(1.96*Table1347456[[#This Row],[se]])</f>
        <v>-8.0752736444106341E-2</v>
      </c>
      <c r="BO56" s="20">
        <f>Table1347456[[#This Row],[lnrr]]+(1.96 * Table1347456[[#This Row],[se]])</f>
        <v>2.857998907120431E-2</v>
      </c>
    </row>
    <row r="57" spans="1:67">
      <c r="A57" s="13" t="s">
        <v>72</v>
      </c>
      <c r="B57" s="13" t="s">
        <v>73</v>
      </c>
      <c r="C57" s="13" t="s">
        <v>43</v>
      </c>
      <c r="D57" s="13" t="s">
        <v>74</v>
      </c>
      <c r="E57" s="13" t="s">
        <v>75</v>
      </c>
      <c r="F57" s="13" t="s">
        <v>586</v>
      </c>
      <c r="H57" s="13">
        <v>19</v>
      </c>
      <c r="I57" s="13">
        <v>451</v>
      </c>
      <c r="K57" s="13" t="s">
        <v>817</v>
      </c>
      <c r="L57" s="13" t="s">
        <v>818</v>
      </c>
      <c r="N57" s="13" t="s">
        <v>81</v>
      </c>
      <c r="O57" s="13" t="s">
        <v>82</v>
      </c>
      <c r="P57" s="13" t="s">
        <v>83</v>
      </c>
      <c r="Q57" s="13" t="s">
        <v>83</v>
      </c>
      <c r="R57" s="4">
        <v>8</v>
      </c>
      <c r="S57" s="13" t="s">
        <v>594</v>
      </c>
      <c r="T57" s="13">
        <v>150</v>
      </c>
      <c r="U57" s="4" t="s">
        <v>76</v>
      </c>
      <c r="V57" s="4">
        <v>450</v>
      </c>
      <c r="W57" s="4" t="s">
        <v>601</v>
      </c>
      <c r="X57" s="4">
        <v>415.08</v>
      </c>
      <c r="Y57" s="4">
        <v>10</v>
      </c>
      <c r="AA57" s="4" t="s">
        <v>49</v>
      </c>
      <c r="AB57" s="4">
        <v>0</v>
      </c>
      <c r="AC57" s="4" t="s">
        <v>49</v>
      </c>
      <c r="AD57" s="4">
        <v>0</v>
      </c>
      <c r="AE57" s="4" t="s">
        <v>49</v>
      </c>
      <c r="AF57" s="4">
        <v>0</v>
      </c>
      <c r="AG57" s="4" t="s">
        <v>737</v>
      </c>
      <c r="AH57" s="4" t="s">
        <v>736</v>
      </c>
      <c r="AI57" s="4" t="s">
        <v>78</v>
      </c>
      <c r="AJ57" s="13">
        <v>0</v>
      </c>
      <c r="AK57" s="13">
        <v>15</v>
      </c>
      <c r="AP57" s="13" t="s">
        <v>50</v>
      </c>
      <c r="AQ57" s="13" t="s">
        <v>49</v>
      </c>
      <c r="AR57" s="13" t="s">
        <v>50</v>
      </c>
      <c r="AS57" s="13" t="s">
        <v>49</v>
      </c>
      <c r="AT57" s="13" t="s">
        <v>990</v>
      </c>
      <c r="AU57" s="13" t="s">
        <v>998</v>
      </c>
      <c r="AV57" s="14">
        <v>2.75</v>
      </c>
      <c r="AW57" s="14">
        <v>2.69</v>
      </c>
      <c r="AX57" s="14">
        <f>Table1347456[[#This Row],[treatment_mean]]/Table1347456[[#This Row],[control_mean]]</f>
        <v>1.0223048327137547</v>
      </c>
      <c r="AY57" s="14">
        <f>LN(Table1347456[[#This Row],[rr]])</f>
        <v>2.2059718064732257E-2</v>
      </c>
      <c r="AZ57" s="13">
        <v>8</v>
      </c>
      <c r="BA57" s="13">
        <v>8</v>
      </c>
      <c r="BB57" s="14">
        <v>0.23</v>
      </c>
      <c r="BC57" s="14">
        <v>0.11</v>
      </c>
      <c r="BD57" s="15">
        <f>Table1347456[[#This Row],[treatment_se]]*SQRT(Table1347456[[#This Row],[treatment_n]])</f>
        <v>0.65053823869162375</v>
      </c>
      <c r="BE57" s="14">
        <f>Table1347456[[#This Row],[control_se]]*SQRT(Table1347456[[#This Row],[control_n]])</f>
        <v>0.31112698372208092</v>
      </c>
      <c r="BF5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8.6672127958978863E-3</v>
      </c>
      <c r="BG57" s="17">
        <f>SQRT(Table1347456[[#This Row],[v_from_sd_and_n]])</f>
        <v>9.3097866763411322E-2</v>
      </c>
      <c r="BH57" s="13" t="s">
        <v>50</v>
      </c>
      <c r="BI57" s="13">
        <v>2.5000000000000001E-2</v>
      </c>
      <c r="BJ57" s="18">
        <f>ABS(_xlfn.NORM.S.INV(Table1347456[[#This Row],[p_value]]/2))</f>
        <v>2.2414027276049446</v>
      </c>
      <c r="BK57" s="19">
        <f>(Table1347456[[#This Row],[lnrr]]/Table1347456[[#This Row],[z_from_p]])^2</f>
        <v>9.6863492314813805E-5</v>
      </c>
      <c r="BL57" s="16">
        <f>Table1347456[[#This Row],[v_from_sd_and_n]]</f>
        <v>8.6672127958978863E-3</v>
      </c>
      <c r="BM57" s="20">
        <f>SQRT(Table1347456[[#This Row],[v]])</f>
        <v>9.3097866763411322E-2</v>
      </c>
      <c r="BN57" s="20">
        <f>Table1347456[[#This Row],[lnrr]]-(1.96*Table1347456[[#This Row],[se]])</f>
        <v>-0.16041210079155394</v>
      </c>
      <c r="BO57" s="20">
        <f>Table1347456[[#This Row],[lnrr]]+(1.96 * Table1347456[[#This Row],[se]])</f>
        <v>0.20453153692101844</v>
      </c>
    </row>
    <row r="58" spans="1:67">
      <c r="A58" s="13" t="s">
        <v>72</v>
      </c>
      <c r="B58" s="13" t="s">
        <v>73</v>
      </c>
      <c r="C58" s="13" t="s">
        <v>43</v>
      </c>
      <c r="D58" s="13" t="s">
        <v>74</v>
      </c>
      <c r="E58" s="13" t="s">
        <v>75</v>
      </c>
      <c r="F58" s="13" t="s">
        <v>586</v>
      </c>
      <c r="H58" s="13">
        <v>19</v>
      </c>
      <c r="I58" s="13">
        <v>451</v>
      </c>
      <c r="K58" s="13" t="s">
        <v>817</v>
      </c>
      <c r="L58" s="13" t="s">
        <v>818</v>
      </c>
      <c r="N58" s="13" t="s">
        <v>47</v>
      </c>
      <c r="O58" s="13" t="s">
        <v>645</v>
      </c>
      <c r="P58" s="13" t="s">
        <v>48</v>
      </c>
      <c r="Q58" s="13" t="s">
        <v>48</v>
      </c>
      <c r="R58" s="4">
        <v>8</v>
      </c>
      <c r="S58" s="13" t="s">
        <v>594</v>
      </c>
      <c r="T58" s="13">
        <v>150</v>
      </c>
      <c r="U58" s="4" t="s">
        <v>76</v>
      </c>
      <c r="V58" s="4">
        <v>450</v>
      </c>
      <c r="W58" s="4" t="s">
        <v>601</v>
      </c>
      <c r="X58" s="4">
        <v>415.08</v>
      </c>
      <c r="Y58" s="4">
        <v>10</v>
      </c>
      <c r="AA58" s="4" t="s">
        <v>49</v>
      </c>
      <c r="AB58" s="4">
        <v>0</v>
      </c>
      <c r="AC58" s="4" t="s">
        <v>49</v>
      </c>
      <c r="AD58" s="4">
        <v>0</v>
      </c>
      <c r="AE58" s="4" t="s">
        <v>49</v>
      </c>
      <c r="AF58" s="4">
        <v>0</v>
      </c>
      <c r="AG58" s="4" t="s">
        <v>737</v>
      </c>
      <c r="AH58" s="4" t="s">
        <v>736</v>
      </c>
      <c r="AI58" s="4" t="s">
        <v>78</v>
      </c>
      <c r="AJ58" s="13">
        <v>0</v>
      </c>
      <c r="AK58" s="13">
        <v>15</v>
      </c>
      <c r="AP58" s="13" t="s">
        <v>50</v>
      </c>
      <c r="AQ58" s="13" t="s">
        <v>49</v>
      </c>
      <c r="AR58" s="13" t="s">
        <v>49</v>
      </c>
      <c r="AS58" s="13" t="s">
        <v>49</v>
      </c>
      <c r="AT58" s="13" t="s">
        <v>990</v>
      </c>
      <c r="AU58" s="13" t="s">
        <v>998</v>
      </c>
      <c r="AV58" s="14">
        <v>1.1000000000000001</v>
      </c>
      <c r="AW58" s="14">
        <v>1.06</v>
      </c>
      <c r="AX58" s="14">
        <f>Table1347456[[#This Row],[treatment_mean]]/Table1347456[[#This Row],[control_mean]]</f>
        <v>1.0377358490566038</v>
      </c>
      <c r="AY58" s="14">
        <f>LN(Table1347456[[#This Row],[rr]])</f>
        <v>3.7041271680349076E-2</v>
      </c>
      <c r="AZ58" s="13">
        <v>8</v>
      </c>
      <c r="BA58" s="13">
        <v>8</v>
      </c>
      <c r="BB58" s="14">
        <v>0.04</v>
      </c>
      <c r="BC58" s="14">
        <v>0.04</v>
      </c>
      <c r="BD58" s="15">
        <f>Table1347456[[#This Row],[treatment_se]]*SQRT(Table1347456[[#This Row],[treatment_n]])</f>
        <v>0.11313708498984762</v>
      </c>
      <c r="BE58" s="14">
        <f>Table1347456[[#This Row],[control_se]]*SQRT(Table1347456[[#This Row],[control_n]])</f>
        <v>0.11313708498984762</v>
      </c>
      <c r="BF5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2.7463083536095612E-3</v>
      </c>
      <c r="BG58" s="17">
        <f>SQRT(Table1347456[[#This Row],[v_from_sd_and_n]])</f>
        <v>5.2405232120557976E-2</v>
      </c>
      <c r="BH58" s="13" t="s">
        <v>50</v>
      </c>
      <c r="BI58" s="13">
        <v>2.5000000000000001E-2</v>
      </c>
      <c r="BJ58" s="18">
        <f>ABS(_xlfn.NORM.S.INV(Table1347456[[#This Row],[p_value]]/2))</f>
        <v>2.2414027276049446</v>
      </c>
      <c r="BK58" s="19">
        <f>(Table1347456[[#This Row],[lnrr]]/Table1347456[[#This Row],[z_from_p]])^2</f>
        <v>2.731064670935057E-4</v>
      </c>
      <c r="BL58" s="16">
        <f>Table1347456[[#This Row],[v_from_sd_and_n]]</f>
        <v>2.7463083536095612E-3</v>
      </c>
      <c r="BM58" s="20">
        <f>SQRT(Table1347456[[#This Row],[v]])</f>
        <v>5.2405232120557976E-2</v>
      </c>
      <c r="BN58" s="20">
        <f>Table1347456[[#This Row],[lnrr]]-(1.96*Table1347456[[#This Row],[se]])</f>
        <v>-6.5672983275944563E-2</v>
      </c>
      <c r="BO58" s="20">
        <f>Table1347456[[#This Row],[lnrr]]+(1.96 * Table1347456[[#This Row],[se]])</f>
        <v>0.1397555266366427</v>
      </c>
    </row>
    <row r="59" spans="1:67">
      <c r="A59" s="13" t="s">
        <v>72</v>
      </c>
      <c r="B59" s="13" t="s">
        <v>73</v>
      </c>
      <c r="C59" s="13" t="s">
        <v>43</v>
      </c>
      <c r="D59" s="13" t="s">
        <v>74</v>
      </c>
      <c r="E59" s="13" t="s">
        <v>75</v>
      </c>
      <c r="F59" s="13" t="s">
        <v>586</v>
      </c>
      <c r="H59" s="13">
        <v>19</v>
      </c>
      <c r="I59" s="13">
        <v>451</v>
      </c>
      <c r="J59" s="13" t="s">
        <v>649</v>
      </c>
      <c r="K59" s="13" t="s">
        <v>817</v>
      </c>
      <c r="L59" s="13" t="s">
        <v>818</v>
      </c>
      <c r="M59" s="13" t="s">
        <v>801</v>
      </c>
      <c r="N59" s="13" t="s">
        <v>84</v>
      </c>
      <c r="O59" s="13" t="s">
        <v>644</v>
      </c>
      <c r="P59" s="13" t="s">
        <v>85</v>
      </c>
      <c r="Q59" s="13" t="s">
        <v>48</v>
      </c>
      <c r="R59" s="4">
        <v>8</v>
      </c>
      <c r="S59" s="13" t="s">
        <v>594</v>
      </c>
      <c r="T59" s="13">
        <v>150</v>
      </c>
      <c r="U59" s="4" t="s">
        <v>76</v>
      </c>
      <c r="V59" s="4">
        <v>450</v>
      </c>
      <c r="W59" s="4" t="s">
        <v>601</v>
      </c>
      <c r="X59" s="4">
        <v>415.08</v>
      </c>
      <c r="Y59" s="4">
        <v>10</v>
      </c>
      <c r="AA59" s="4" t="s">
        <v>49</v>
      </c>
      <c r="AB59" s="4">
        <v>0</v>
      </c>
      <c r="AC59" s="4" t="s">
        <v>49</v>
      </c>
      <c r="AD59" s="4">
        <v>0</v>
      </c>
      <c r="AE59" s="4" t="s">
        <v>49</v>
      </c>
      <c r="AF59" s="4">
        <v>0</v>
      </c>
      <c r="AG59" s="4" t="s">
        <v>737</v>
      </c>
      <c r="AH59" s="4" t="s">
        <v>736</v>
      </c>
      <c r="AI59" s="4" t="s">
        <v>78</v>
      </c>
      <c r="AJ59" s="13">
        <v>0</v>
      </c>
      <c r="AK59" s="13">
        <v>15</v>
      </c>
      <c r="AP59" s="13" t="s">
        <v>50</v>
      </c>
      <c r="AQ59" s="13" t="s">
        <v>49</v>
      </c>
      <c r="AR59" s="13" t="s">
        <v>49</v>
      </c>
      <c r="AS59" s="13" t="s">
        <v>49</v>
      </c>
      <c r="AT59" s="13" t="s">
        <v>990</v>
      </c>
      <c r="AU59" s="13" t="s">
        <v>998</v>
      </c>
      <c r="AV59" s="23">
        <f>393/1000</f>
        <v>0.39300000000000002</v>
      </c>
      <c r="AW59" s="23">
        <f>389/1000</f>
        <v>0.38900000000000001</v>
      </c>
      <c r="AX59" s="14">
        <f>Table1347456[[#This Row],[treatment_mean]]/Table1347456[[#This Row],[control_mean]]</f>
        <v>1.0102827763496145</v>
      </c>
      <c r="AY59" s="14">
        <f>LN(Table1347456[[#This Row],[rr]])</f>
        <v>1.0230268250815043E-2</v>
      </c>
      <c r="AZ59" s="13">
        <v>8</v>
      </c>
      <c r="BA59" s="13">
        <v>8</v>
      </c>
      <c r="BB59" s="14">
        <f>8/1000</f>
        <v>8.0000000000000002E-3</v>
      </c>
      <c r="BC59" s="14">
        <f>7/1000</f>
        <v>7.0000000000000001E-3</v>
      </c>
      <c r="BD59" s="15">
        <f>Table1347456[[#This Row],[treatment_se]]*SQRT(Table1347456[[#This Row],[treatment_n]])</f>
        <v>2.2627416997969524E-2</v>
      </c>
      <c r="BE59" s="14">
        <f>Table1347456[[#This Row],[control_se]]*SQRT(Table1347456[[#This Row],[control_n]])</f>
        <v>1.9798989873223333E-2</v>
      </c>
      <c r="BF5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7.3819120305890999E-4</v>
      </c>
      <c r="BG59" s="17">
        <f>SQRT(Table1347456[[#This Row],[v_from_sd_and_n]])</f>
        <v>2.7169674327435542E-2</v>
      </c>
      <c r="BH59" s="13" t="s">
        <v>50</v>
      </c>
      <c r="BI59" s="13">
        <v>2.5000000000000001E-2</v>
      </c>
      <c r="BJ59" s="18">
        <f>ABS(_xlfn.NORM.S.INV(Table1347456[[#This Row],[p_value]]/2))</f>
        <v>2.2414027276049446</v>
      </c>
      <c r="BK59" s="19">
        <f>(Table1347456[[#This Row],[lnrr]]/Table1347456[[#This Row],[z_from_p]])^2</f>
        <v>2.0832157533324015E-5</v>
      </c>
      <c r="BL59" s="16">
        <f>Table1347456[[#This Row],[v_from_sd_and_n]]</f>
        <v>7.3819120305890999E-4</v>
      </c>
      <c r="BM59" s="20">
        <f>SQRT(Table1347456[[#This Row],[v]])</f>
        <v>2.7169674327435542E-2</v>
      </c>
      <c r="BN59" s="20">
        <f>Table1347456[[#This Row],[lnrr]]-(1.96*Table1347456[[#This Row],[se]])</f>
        <v>-4.3022293430958619E-2</v>
      </c>
      <c r="BO59" s="20">
        <f>Table1347456[[#This Row],[lnrr]]+(1.96 * Table1347456[[#This Row],[se]])</f>
        <v>6.3482829932588705E-2</v>
      </c>
    </row>
    <row r="60" spans="1:67">
      <c r="A60" s="13" t="s">
        <v>72</v>
      </c>
      <c r="B60" s="13" t="s">
        <v>73</v>
      </c>
      <c r="C60" s="13" t="s">
        <v>43</v>
      </c>
      <c r="D60" s="13" t="s">
        <v>74</v>
      </c>
      <c r="E60" s="13" t="s">
        <v>75</v>
      </c>
      <c r="F60" s="13" t="s">
        <v>586</v>
      </c>
      <c r="H60" s="13">
        <v>19</v>
      </c>
      <c r="I60" s="13">
        <v>451</v>
      </c>
      <c r="K60" s="13" t="s">
        <v>817</v>
      </c>
      <c r="L60" s="13" t="s">
        <v>818</v>
      </c>
      <c r="N60" s="13" t="s">
        <v>86</v>
      </c>
      <c r="O60" s="13" t="s">
        <v>644</v>
      </c>
      <c r="P60" s="13" t="s">
        <v>85</v>
      </c>
      <c r="Q60" s="13" t="s">
        <v>48</v>
      </c>
      <c r="R60" s="4">
        <v>8</v>
      </c>
      <c r="S60" s="13" t="s">
        <v>594</v>
      </c>
      <c r="T60" s="13">
        <v>150</v>
      </c>
      <c r="U60" s="4" t="s">
        <v>76</v>
      </c>
      <c r="V60" s="4">
        <v>450</v>
      </c>
      <c r="W60" s="4" t="s">
        <v>601</v>
      </c>
      <c r="X60" s="4">
        <v>415.08</v>
      </c>
      <c r="Y60" s="4">
        <v>10</v>
      </c>
      <c r="AA60" s="4" t="s">
        <v>49</v>
      </c>
      <c r="AB60" s="4">
        <v>0</v>
      </c>
      <c r="AC60" s="4" t="s">
        <v>49</v>
      </c>
      <c r="AD60" s="4">
        <v>0</v>
      </c>
      <c r="AE60" s="4" t="s">
        <v>49</v>
      </c>
      <c r="AF60" s="4">
        <v>0</v>
      </c>
      <c r="AG60" s="4" t="s">
        <v>737</v>
      </c>
      <c r="AH60" s="4" t="s">
        <v>736</v>
      </c>
      <c r="AI60" s="4" t="s">
        <v>78</v>
      </c>
      <c r="AJ60" s="13">
        <v>0</v>
      </c>
      <c r="AK60" s="13">
        <v>15</v>
      </c>
      <c r="AP60" s="13" t="s">
        <v>50</v>
      </c>
      <c r="AQ60" s="13" t="s">
        <v>49</v>
      </c>
      <c r="AR60" s="13" t="s">
        <v>49</v>
      </c>
      <c r="AS60" s="13" t="s">
        <v>49</v>
      </c>
      <c r="AT60" s="13" t="s">
        <v>990</v>
      </c>
      <c r="AU60" s="13" t="s">
        <v>998</v>
      </c>
      <c r="AV60" s="14">
        <f>1034/1000</f>
        <v>1.034</v>
      </c>
      <c r="AW60" s="14">
        <f>1048/1000</f>
        <v>1.048</v>
      </c>
      <c r="AX60" s="14">
        <f>Table1347456[[#This Row],[treatment_mean]]/Table1347456[[#This Row],[control_mean]]</f>
        <v>0.98664122137404575</v>
      </c>
      <c r="AY60" s="14">
        <f>LN(Table1347456[[#This Row],[rr]])</f>
        <v>-1.3448809812613084E-2</v>
      </c>
      <c r="AZ60" s="13">
        <v>8</v>
      </c>
      <c r="BA60" s="13">
        <v>8</v>
      </c>
      <c r="BB60" s="14">
        <f>51/1000</f>
        <v>5.0999999999999997E-2</v>
      </c>
      <c r="BC60" s="14">
        <f>62/1000</f>
        <v>6.2E-2</v>
      </c>
      <c r="BD60" s="15">
        <f>Table1347456[[#This Row],[treatment_se]]*SQRT(Table1347456[[#This Row],[treatment_n]])</f>
        <v>0.14424978336205568</v>
      </c>
      <c r="BE60" s="14">
        <f>Table1347456[[#This Row],[control_se]]*SQRT(Table1347456[[#This Row],[control_n]])</f>
        <v>0.1753624817342638</v>
      </c>
      <c r="BF6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5.9327017745795917E-3</v>
      </c>
      <c r="BG60" s="17">
        <f>SQRT(Table1347456[[#This Row],[v_from_sd_and_n]])</f>
        <v>7.702403374648456E-2</v>
      </c>
      <c r="BH60" s="13" t="s">
        <v>50</v>
      </c>
      <c r="BI60" s="13">
        <v>2.5000000000000001E-2</v>
      </c>
      <c r="BJ60" s="18">
        <f>ABS(_xlfn.NORM.S.INV(Table1347456[[#This Row],[p_value]]/2))</f>
        <v>2.2414027276049446</v>
      </c>
      <c r="BK60" s="19">
        <f>(Table1347456[[#This Row],[lnrr]]/Table1347456[[#This Row],[z_from_p]])^2</f>
        <v>3.6002106463424433E-5</v>
      </c>
      <c r="BL60" s="16">
        <f>Table1347456[[#This Row],[v_from_sd_and_n]]</f>
        <v>5.9327017745795917E-3</v>
      </c>
      <c r="BM60" s="20">
        <f>SQRT(Table1347456[[#This Row],[v]])</f>
        <v>7.702403374648456E-2</v>
      </c>
      <c r="BN60" s="20">
        <f>Table1347456[[#This Row],[lnrr]]-(1.96*Table1347456[[#This Row],[se]])</f>
        <v>-0.16441591595572283</v>
      </c>
      <c r="BO60" s="20">
        <f>Table1347456[[#This Row],[lnrr]]+(1.96 * Table1347456[[#This Row],[se]])</f>
        <v>0.13751829633049664</v>
      </c>
    </row>
    <row r="61" spans="1:67">
      <c r="A61" s="13" t="s">
        <v>72</v>
      </c>
      <c r="B61" s="13" t="s">
        <v>73</v>
      </c>
      <c r="C61" s="13" t="s">
        <v>43</v>
      </c>
      <c r="D61" s="13" t="s">
        <v>74</v>
      </c>
      <c r="E61" s="13" t="s">
        <v>75</v>
      </c>
      <c r="F61" s="13" t="s">
        <v>586</v>
      </c>
      <c r="H61" s="13">
        <v>19</v>
      </c>
      <c r="I61" s="13">
        <v>451</v>
      </c>
      <c r="K61" s="13" t="s">
        <v>817</v>
      </c>
      <c r="L61" s="13" t="s">
        <v>818</v>
      </c>
      <c r="N61" s="13" t="s">
        <v>614</v>
      </c>
      <c r="O61" s="13" t="s">
        <v>614</v>
      </c>
      <c r="P61" s="13" t="s">
        <v>87</v>
      </c>
      <c r="Q61" s="13" t="s">
        <v>87</v>
      </c>
      <c r="R61" s="4">
        <v>8</v>
      </c>
      <c r="S61" s="13" t="s">
        <v>594</v>
      </c>
      <c r="T61" s="13">
        <v>150</v>
      </c>
      <c r="U61" s="4" t="s">
        <v>76</v>
      </c>
      <c r="V61" s="4">
        <v>450</v>
      </c>
      <c r="W61" s="4" t="s">
        <v>601</v>
      </c>
      <c r="X61" s="4">
        <v>415.08</v>
      </c>
      <c r="Y61" s="4">
        <v>10</v>
      </c>
      <c r="AA61" s="4" t="s">
        <v>49</v>
      </c>
      <c r="AB61" s="4">
        <v>0</v>
      </c>
      <c r="AC61" s="4" t="s">
        <v>49</v>
      </c>
      <c r="AD61" s="4">
        <v>0</v>
      </c>
      <c r="AE61" s="4" t="s">
        <v>49</v>
      </c>
      <c r="AF61" s="4">
        <v>0</v>
      </c>
      <c r="AG61" s="4" t="s">
        <v>737</v>
      </c>
      <c r="AH61" s="4" t="s">
        <v>736</v>
      </c>
      <c r="AI61" s="4" t="s">
        <v>78</v>
      </c>
      <c r="AJ61" s="13">
        <v>0</v>
      </c>
      <c r="AK61" s="13">
        <v>15</v>
      </c>
      <c r="AP61" s="13" t="s">
        <v>50</v>
      </c>
      <c r="AQ61" s="13" t="s">
        <v>49</v>
      </c>
      <c r="AR61" s="13" t="s">
        <v>49</v>
      </c>
      <c r="AS61" s="13" t="s">
        <v>49</v>
      </c>
      <c r="AT61" s="13" t="s">
        <v>990</v>
      </c>
      <c r="AU61" s="13" t="s">
        <v>998</v>
      </c>
      <c r="AV61" s="14">
        <v>5.01</v>
      </c>
      <c r="AW61" s="14">
        <v>4.6399999999999997</v>
      </c>
      <c r="AX61" s="14">
        <f>Table1347456[[#This Row],[treatment_mean]]/Table1347456[[#This Row],[control_mean]]</f>
        <v>1.0797413793103448</v>
      </c>
      <c r="AY61" s="14">
        <f>LN(Table1347456[[#This Row],[rr]])</f>
        <v>7.6721548858609462E-2</v>
      </c>
      <c r="AZ61" s="13">
        <v>8</v>
      </c>
      <c r="BA61" s="13">
        <v>8</v>
      </c>
      <c r="BB61" s="14">
        <v>0.27</v>
      </c>
      <c r="BC61" s="14">
        <v>0.24</v>
      </c>
      <c r="BD61" s="15">
        <f>Table1347456[[#This Row],[treatment_se]]*SQRT(Table1347456[[#This Row],[treatment_n]])</f>
        <v>0.7636753236814714</v>
      </c>
      <c r="BE61" s="14">
        <f>Table1347456[[#This Row],[control_se]]*SQRT(Table1347456[[#This Row],[control_n]])</f>
        <v>0.67882250993908566</v>
      </c>
      <c r="BF6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5.5797573436294021E-3</v>
      </c>
      <c r="BG61" s="17">
        <f>SQRT(Table1347456[[#This Row],[v_from_sd_and_n]])</f>
        <v>7.4697773351214442E-2</v>
      </c>
      <c r="BH61" s="13" t="s">
        <v>50</v>
      </c>
      <c r="BI61" s="13">
        <v>2.5000000000000001E-2</v>
      </c>
      <c r="BJ61" s="18">
        <f>ABS(_xlfn.NORM.S.INV(Table1347456[[#This Row],[p_value]]/2))</f>
        <v>2.2414027276049446</v>
      </c>
      <c r="BK61" s="19">
        <f>(Table1347456[[#This Row],[lnrr]]/Table1347456[[#This Row],[z_from_p]])^2</f>
        <v>1.1716419997981665E-3</v>
      </c>
      <c r="BL61" s="16">
        <f>Table1347456[[#This Row],[v_from_sd_and_n]]</f>
        <v>5.5797573436294021E-3</v>
      </c>
      <c r="BM61" s="20">
        <f>SQRT(Table1347456[[#This Row],[v]])</f>
        <v>7.4697773351214442E-2</v>
      </c>
      <c r="BN61" s="20">
        <f>Table1347456[[#This Row],[lnrr]]-(1.96*Table1347456[[#This Row],[se]])</f>
        <v>-6.968608690977085E-2</v>
      </c>
      <c r="BO61" s="20">
        <f>Table1347456[[#This Row],[lnrr]]+(1.96 * Table1347456[[#This Row],[se]])</f>
        <v>0.22312918462698977</v>
      </c>
    </row>
    <row r="62" spans="1:67">
      <c r="A62" s="13" t="s">
        <v>72</v>
      </c>
      <c r="B62" s="13" t="s">
        <v>73</v>
      </c>
      <c r="C62" s="13" t="s">
        <v>43</v>
      </c>
      <c r="D62" s="13" t="s">
        <v>74</v>
      </c>
      <c r="E62" s="13" t="s">
        <v>75</v>
      </c>
      <c r="F62" s="13" t="s">
        <v>586</v>
      </c>
      <c r="H62" s="13">
        <v>19</v>
      </c>
      <c r="I62" s="13">
        <v>451</v>
      </c>
      <c r="K62" s="13" t="s">
        <v>817</v>
      </c>
      <c r="L62" s="13" t="s">
        <v>818</v>
      </c>
      <c r="N62" s="13" t="s">
        <v>47</v>
      </c>
      <c r="O62" s="13" t="s">
        <v>645</v>
      </c>
      <c r="P62" s="13" t="s">
        <v>48</v>
      </c>
      <c r="Q62" s="13" t="s">
        <v>48</v>
      </c>
      <c r="R62" s="4">
        <v>8</v>
      </c>
      <c r="S62" s="13" t="s">
        <v>594</v>
      </c>
      <c r="T62" s="13">
        <v>150</v>
      </c>
      <c r="U62" s="4" t="s">
        <v>76</v>
      </c>
      <c r="V62" s="4">
        <v>450</v>
      </c>
      <c r="W62" s="4" t="s">
        <v>601</v>
      </c>
      <c r="X62" s="4">
        <v>415.08</v>
      </c>
      <c r="Y62" s="4">
        <v>10</v>
      </c>
      <c r="AA62" s="4" t="s">
        <v>49</v>
      </c>
      <c r="AB62" s="4">
        <v>0</v>
      </c>
      <c r="AC62" s="4" t="s">
        <v>49</v>
      </c>
      <c r="AD62" s="4">
        <v>0</v>
      </c>
      <c r="AE62" s="4" t="s">
        <v>49</v>
      </c>
      <c r="AF62" s="4">
        <v>0</v>
      </c>
      <c r="AG62" s="4" t="s">
        <v>737</v>
      </c>
      <c r="AH62" s="4" t="s">
        <v>736</v>
      </c>
      <c r="AI62" s="4" t="s">
        <v>78</v>
      </c>
      <c r="AJ62" s="13">
        <v>0</v>
      </c>
      <c r="AK62" s="13">
        <v>15</v>
      </c>
      <c r="AP62" s="13" t="s">
        <v>50</v>
      </c>
      <c r="AQ62" s="13" t="s">
        <v>49</v>
      </c>
      <c r="AR62" s="13" t="s">
        <v>50</v>
      </c>
      <c r="AS62" s="13" t="s">
        <v>49</v>
      </c>
      <c r="AT62" s="13" t="s">
        <v>990</v>
      </c>
      <c r="AU62" s="13" t="s">
        <v>998</v>
      </c>
      <c r="AV62" s="14">
        <v>1.02</v>
      </c>
      <c r="AW62" s="14">
        <v>1.06</v>
      </c>
      <c r="AX62" s="14">
        <f>Table1347456[[#This Row],[treatment_mean]]/Table1347456[[#This Row],[control_mean]]</f>
        <v>0.96226415094339623</v>
      </c>
      <c r="AY62" s="14">
        <f>LN(Table1347456[[#This Row],[rr]])</f>
        <v>-3.8466280827796052E-2</v>
      </c>
      <c r="AZ62" s="13">
        <v>8</v>
      </c>
      <c r="BA62" s="13">
        <v>8</v>
      </c>
      <c r="BB62" s="14">
        <v>0.04</v>
      </c>
      <c r="BC62" s="14">
        <v>0.05</v>
      </c>
      <c r="BD62" s="15">
        <f>Table1347456[[#This Row],[treatment_se]]*SQRT(Table1347456[[#This Row],[treatment_n]])</f>
        <v>0.11313708498984762</v>
      </c>
      <c r="BE62" s="14">
        <f>Table1347456[[#This Row],[control_se]]*SQRT(Table1347456[[#This Row],[control_n]])</f>
        <v>0.14142135623730953</v>
      </c>
      <c r="BF6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3.7628611500163775E-3</v>
      </c>
      <c r="BG62" s="17">
        <f>SQRT(Table1347456[[#This Row],[v_from_sd_and_n]])</f>
        <v>6.1342164536445705E-2</v>
      </c>
      <c r="BH62" s="13" t="s">
        <v>50</v>
      </c>
      <c r="BI62" s="13">
        <v>2.5000000000000001E-2</v>
      </c>
      <c r="BJ62" s="18">
        <f>ABS(_xlfn.NORM.S.INV(Table1347456[[#This Row],[p_value]]/2))</f>
        <v>2.2414027276049446</v>
      </c>
      <c r="BK62" s="19">
        <f>(Table1347456[[#This Row],[lnrr]]/Table1347456[[#This Row],[z_from_p]])^2</f>
        <v>2.9452394133826915E-4</v>
      </c>
      <c r="BL62" s="16">
        <f>Table1347456[[#This Row],[v_from_sd_and_n]]</f>
        <v>3.7628611500163775E-3</v>
      </c>
      <c r="BM62" s="20">
        <f>SQRT(Table1347456[[#This Row],[v]])</f>
        <v>6.1342164536445705E-2</v>
      </c>
      <c r="BN62" s="20">
        <f>Table1347456[[#This Row],[lnrr]]-(1.96*Table1347456[[#This Row],[se]])</f>
        <v>-0.15869692331922963</v>
      </c>
      <c r="BO62" s="20">
        <f>Table1347456[[#This Row],[lnrr]]+(1.96 * Table1347456[[#This Row],[se]])</f>
        <v>8.1764361663637514E-2</v>
      </c>
    </row>
    <row r="63" spans="1:67">
      <c r="A63" s="13" t="s">
        <v>72</v>
      </c>
      <c r="B63" s="13" t="s">
        <v>73</v>
      </c>
      <c r="C63" s="13" t="s">
        <v>43</v>
      </c>
      <c r="D63" s="13" t="s">
        <v>74</v>
      </c>
      <c r="E63" s="13" t="s">
        <v>75</v>
      </c>
      <c r="F63" s="13" t="s">
        <v>586</v>
      </c>
      <c r="H63" s="13">
        <v>19</v>
      </c>
      <c r="I63" s="13">
        <v>451</v>
      </c>
      <c r="J63" s="13" t="s">
        <v>649</v>
      </c>
      <c r="K63" s="13" t="s">
        <v>817</v>
      </c>
      <c r="L63" s="13" t="s">
        <v>818</v>
      </c>
      <c r="M63" s="13" t="s">
        <v>801</v>
      </c>
      <c r="N63" s="13" t="s">
        <v>84</v>
      </c>
      <c r="O63" s="13" t="s">
        <v>644</v>
      </c>
      <c r="P63" s="13" t="s">
        <v>85</v>
      </c>
      <c r="Q63" s="13" t="s">
        <v>48</v>
      </c>
      <c r="R63" s="4">
        <v>8</v>
      </c>
      <c r="S63" s="13" t="s">
        <v>594</v>
      </c>
      <c r="T63" s="13">
        <v>150</v>
      </c>
      <c r="U63" s="4" t="s">
        <v>76</v>
      </c>
      <c r="V63" s="4">
        <v>450</v>
      </c>
      <c r="W63" s="4" t="s">
        <v>601</v>
      </c>
      <c r="X63" s="4">
        <v>415.08</v>
      </c>
      <c r="Y63" s="4">
        <v>10</v>
      </c>
      <c r="AA63" s="4" t="s">
        <v>49</v>
      </c>
      <c r="AB63" s="4">
        <v>0</v>
      </c>
      <c r="AC63" s="4" t="s">
        <v>49</v>
      </c>
      <c r="AD63" s="4">
        <v>0</v>
      </c>
      <c r="AE63" s="4" t="s">
        <v>49</v>
      </c>
      <c r="AF63" s="4">
        <v>0</v>
      </c>
      <c r="AG63" s="4" t="s">
        <v>737</v>
      </c>
      <c r="AH63" s="4" t="s">
        <v>736</v>
      </c>
      <c r="AI63" s="4" t="s">
        <v>78</v>
      </c>
      <c r="AJ63" s="13">
        <v>0</v>
      </c>
      <c r="AK63" s="13">
        <v>15</v>
      </c>
      <c r="AP63" s="13" t="s">
        <v>50</v>
      </c>
      <c r="AQ63" s="13" t="s">
        <v>49</v>
      </c>
      <c r="AR63" s="13" t="s">
        <v>50</v>
      </c>
      <c r="AS63" s="13" t="s">
        <v>49</v>
      </c>
      <c r="AT63" s="13" t="s">
        <v>990</v>
      </c>
      <c r="AU63" s="13" t="s">
        <v>998</v>
      </c>
      <c r="AV63" s="23">
        <f>383/1000</f>
        <v>0.38300000000000001</v>
      </c>
      <c r="AW63" s="23">
        <f>379/1000</f>
        <v>0.379</v>
      </c>
      <c r="AX63" s="14">
        <f>Table1347456[[#This Row],[treatment_mean]]/Table1347456[[#This Row],[control_mean]]</f>
        <v>1.0105540897097625</v>
      </c>
      <c r="AY63" s="14">
        <f>LN(Table1347456[[#This Row],[rr]])</f>
        <v>1.049878409821957E-2</v>
      </c>
      <c r="AZ63" s="13">
        <v>8</v>
      </c>
      <c r="BA63" s="13">
        <v>8</v>
      </c>
      <c r="BB63" s="14">
        <f>5/1000</f>
        <v>5.0000000000000001E-3</v>
      </c>
      <c r="BC63" s="14">
        <f>7/1000</f>
        <v>7.0000000000000001E-3</v>
      </c>
      <c r="BD63" s="15">
        <f>Table1347456[[#This Row],[treatment_se]]*SQRT(Table1347456[[#This Row],[treatment_n]])</f>
        <v>1.4142135623730952E-2</v>
      </c>
      <c r="BE63" s="14">
        <f>Table1347456[[#This Row],[control_se]]*SQRT(Table1347456[[#This Row],[control_n]])</f>
        <v>1.9798989873223333E-2</v>
      </c>
      <c r="BF6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5.1155682323301152E-4</v>
      </c>
      <c r="BG63" s="17">
        <f>SQRT(Table1347456[[#This Row],[v_from_sd_and_n]])</f>
        <v>2.261762196237729E-2</v>
      </c>
      <c r="BH63" s="13" t="s">
        <v>50</v>
      </c>
      <c r="BI63" s="13">
        <v>2.5000000000000001E-2</v>
      </c>
      <c r="BJ63" s="18">
        <f>ABS(_xlfn.NORM.S.INV(Table1347456[[#This Row],[p_value]]/2))</f>
        <v>2.2414027276049446</v>
      </c>
      <c r="BK63" s="19">
        <f>(Table1347456[[#This Row],[lnrr]]/Table1347456[[#This Row],[z_from_p]])^2</f>
        <v>2.1940080533540055E-5</v>
      </c>
      <c r="BL63" s="16">
        <f>Table1347456[[#This Row],[v_from_sd_and_n]]</f>
        <v>5.1155682323301152E-4</v>
      </c>
      <c r="BM63" s="20">
        <f>SQRT(Table1347456[[#This Row],[v]])</f>
        <v>2.261762196237729E-2</v>
      </c>
      <c r="BN63" s="20">
        <f>Table1347456[[#This Row],[lnrr]]-(1.96*Table1347456[[#This Row],[se]])</f>
        <v>-3.3831754948039916E-2</v>
      </c>
      <c r="BO63" s="20">
        <f>Table1347456[[#This Row],[lnrr]]+(1.96 * Table1347456[[#This Row],[se]])</f>
        <v>5.4829323144479053E-2</v>
      </c>
    </row>
    <row r="64" spans="1:67">
      <c r="A64" s="13" t="s">
        <v>72</v>
      </c>
      <c r="B64" s="13" t="s">
        <v>73</v>
      </c>
      <c r="C64" s="13" t="s">
        <v>43</v>
      </c>
      <c r="D64" s="13" t="s">
        <v>74</v>
      </c>
      <c r="E64" s="13" t="s">
        <v>75</v>
      </c>
      <c r="F64" s="13" t="s">
        <v>586</v>
      </c>
      <c r="H64" s="13">
        <v>19</v>
      </c>
      <c r="I64" s="13">
        <v>451</v>
      </c>
      <c r="K64" s="13" t="s">
        <v>817</v>
      </c>
      <c r="L64" s="13" t="s">
        <v>818</v>
      </c>
      <c r="N64" s="13" t="s">
        <v>86</v>
      </c>
      <c r="O64" s="13" t="s">
        <v>644</v>
      </c>
      <c r="P64" s="13" t="s">
        <v>85</v>
      </c>
      <c r="Q64" s="13" t="s">
        <v>48</v>
      </c>
      <c r="R64" s="4">
        <v>8</v>
      </c>
      <c r="S64" s="13" t="s">
        <v>594</v>
      </c>
      <c r="T64" s="13">
        <v>150</v>
      </c>
      <c r="U64" s="4" t="s">
        <v>76</v>
      </c>
      <c r="V64" s="4">
        <v>450</v>
      </c>
      <c r="W64" s="4" t="s">
        <v>601</v>
      </c>
      <c r="X64" s="4">
        <v>415.08</v>
      </c>
      <c r="Y64" s="4">
        <v>10</v>
      </c>
      <c r="AA64" s="4" t="s">
        <v>49</v>
      </c>
      <c r="AB64" s="4">
        <v>0</v>
      </c>
      <c r="AC64" s="4" t="s">
        <v>49</v>
      </c>
      <c r="AD64" s="4">
        <v>0</v>
      </c>
      <c r="AE64" s="4" t="s">
        <v>49</v>
      </c>
      <c r="AF64" s="4">
        <v>0</v>
      </c>
      <c r="AG64" s="4" t="s">
        <v>737</v>
      </c>
      <c r="AH64" s="4" t="s">
        <v>736</v>
      </c>
      <c r="AI64" s="4" t="s">
        <v>78</v>
      </c>
      <c r="AJ64" s="13">
        <v>0</v>
      </c>
      <c r="AK64" s="13">
        <v>15</v>
      </c>
      <c r="AP64" s="13" t="s">
        <v>50</v>
      </c>
      <c r="AQ64" s="13" t="s">
        <v>49</v>
      </c>
      <c r="AR64" s="13" t="s">
        <v>50</v>
      </c>
      <c r="AS64" s="13" t="s">
        <v>49</v>
      </c>
      <c r="AT64" s="13" t="s">
        <v>990</v>
      </c>
      <c r="AU64" s="13" t="s">
        <v>998</v>
      </c>
      <c r="AV64" s="14">
        <f>1077/1000</f>
        <v>1.077</v>
      </c>
      <c r="AW64" s="14">
        <f>1032/1000</f>
        <v>1.032</v>
      </c>
      <c r="AX64" s="14">
        <f>Table1347456[[#This Row],[treatment_mean]]/Table1347456[[#This Row],[control_mean]]</f>
        <v>1.0436046511627906</v>
      </c>
      <c r="AY64" s="14">
        <f>LN(Table1347456[[#This Row],[rr]])</f>
        <v>4.2680731114880383E-2</v>
      </c>
      <c r="AZ64" s="13">
        <v>8</v>
      </c>
      <c r="BA64" s="13">
        <v>8</v>
      </c>
      <c r="BB64" s="14">
        <f>37/1000</f>
        <v>3.6999999999999998E-2</v>
      </c>
      <c r="BC64" s="14">
        <f>40/1000</f>
        <v>0.04</v>
      </c>
      <c r="BD64" s="15">
        <f>Table1347456[[#This Row],[treatment_se]]*SQRT(Table1347456[[#This Row],[treatment_n]])</f>
        <v>0.10465180361560904</v>
      </c>
      <c r="BE64" s="14">
        <f>Table1347456[[#This Row],[control_se]]*SQRT(Table1347456[[#This Row],[control_n]])</f>
        <v>0.11313708498984762</v>
      </c>
      <c r="BF6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2.6825582157923257E-3</v>
      </c>
      <c r="BG64" s="17">
        <f>SQRT(Table1347456[[#This Row],[v_from_sd_and_n]])</f>
        <v>5.1793418653264485E-2</v>
      </c>
      <c r="BH64" s="13" t="s">
        <v>50</v>
      </c>
      <c r="BI64" s="13">
        <v>2.5000000000000001E-2</v>
      </c>
      <c r="BJ64" s="18">
        <f>ABS(_xlfn.NORM.S.INV(Table1347456[[#This Row],[p_value]]/2))</f>
        <v>2.2414027276049446</v>
      </c>
      <c r="BK64" s="19">
        <f>(Table1347456[[#This Row],[lnrr]]/Table1347456[[#This Row],[z_from_p]])^2</f>
        <v>3.6259675091770581E-4</v>
      </c>
      <c r="BL64" s="16">
        <f>Table1347456[[#This Row],[v_from_sd_and_n]]</f>
        <v>2.6825582157923257E-3</v>
      </c>
      <c r="BM64" s="20">
        <f>SQRT(Table1347456[[#This Row],[v]])</f>
        <v>5.1793418653264485E-2</v>
      </c>
      <c r="BN64" s="20">
        <f>Table1347456[[#This Row],[lnrr]]-(1.96*Table1347456[[#This Row],[se]])</f>
        <v>-5.8834369445518009E-2</v>
      </c>
      <c r="BO64" s="20">
        <f>Table1347456[[#This Row],[lnrr]]+(1.96 * Table1347456[[#This Row],[se]])</f>
        <v>0.14419583167527877</v>
      </c>
    </row>
    <row r="65" spans="1:67">
      <c r="A65" s="13" t="s">
        <v>72</v>
      </c>
      <c r="B65" s="13" t="s">
        <v>73</v>
      </c>
      <c r="C65" s="13" t="s">
        <v>43</v>
      </c>
      <c r="D65" s="13" t="s">
        <v>74</v>
      </c>
      <c r="E65" s="13" t="s">
        <v>75</v>
      </c>
      <c r="F65" s="13" t="s">
        <v>586</v>
      </c>
      <c r="H65" s="13">
        <v>19</v>
      </c>
      <c r="I65" s="13">
        <v>451</v>
      </c>
      <c r="K65" s="13" t="s">
        <v>817</v>
      </c>
      <c r="L65" s="13" t="s">
        <v>818</v>
      </c>
      <c r="N65" s="13" t="s">
        <v>614</v>
      </c>
      <c r="O65" s="13" t="s">
        <v>614</v>
      </c>
      <c r="P65" s="13" t="s">
        <v>87</v>
      </c>
      <c r="Q65" s="13" t="s">
        <v>87</v>
      </c>
      <c r="R65" s="4">
        <v>8</v>
      </c>
      <c r="S65" s="13" t="s">
        <v>594</v>
      </c>
      <c r="T65" s="13">
        <v>150</v>
      </c>
      <c r="U65" s="4" t="s">
        <v>76</v>
      </c>
      <c r="V65" s="4">
        <v>450</v>
      </c>
      <c r="W65" s="4" t="s">
        <v>601</v>
      </c>
      <c r="X65" s="4">
        <v>415.08</v>
      </c>
      <c r="Y65" s="4">
        <v>10</v>
      </c>
      <c r="AA65" s="4" t="s">
        <v>49</v>
      </c>
      <c r="AB65" s="4">
        <v>0</v>
      </c>
      <c r="AC65" s="4" t="s">
        <v>49</v>
      </c>
      <c r="AD65" s="4">
        <v>0</v>
      </c>
      <c r="AE65" s="4" t="s">
        <v>49</v>
      </c>
      <c r="AF65" s="4">
        <v>0</v>
      </c>
      <c r="AG65" s="4" t="s">
        <v>737</v>
      </c>
      <c r="AH65" s="4" t="s">
        <v>736</v>
      </c>
      <c r="AI65" s="4" t="s">
        <v>78</v>
      </c>
      <c r="AJ65" s="13">
        <v>0</v>
      </c>
      <c r="AK65" s="13">
        <v>15</v>
      </c>
      <c r="AP65" s="13" t="s">
        <v>50</v>
      </c>
      <c r="AQ65" s="13" t="s">
        <v>49</v>
      </c>
      <c r="AR65" s="13" t="s">
        <v>50</v>
      </c>
      <c r="AS65" s="13" t="s">
        <v>49</v>
      </c>
      <c r="AT65" s="13" t="s">
        <v>990</v>
      </c>
      <c r="AU65" s="13" t="s">
        <v>998</v>
      </c>
      <c r="AV65" s="14">
        <v>5.16</v>
      </c>
      <c r="AW65" s="14">
        <v>4.7300000000000004</v>
      </c>
      <c r="AX65" s="14">
        <f>Table1347456[[#This Row],[treatment_mean]]/Table1347456[[#This Row],[control_mean]]</f>
        <v>1.0909090909090908</v>
      </c>
      <c r="AY65" s="14">
        <f>LN(Table1347456[[#This Row],[rr]])</f>
        <v>8.7011376989629699E-2</v>
      </c>
      <c r="AZ65" s="13">
        <v>8</v>
      </c>
      <c r="BA65" s="13">
        <v>8</v>
      </c>
      <c r="BB65" s="14">
        <v>0.46</v>
      </c>
      <c r="BC65" s="14">
        <v>0.41</v>
      </c>
      <c r="BD65" s="15">
        <f>Table1347456[[#This Row],[treatment_se]]*SQRT(Table1347456[[#This Row],[treatment_n]])</f>
        <v>1.3010764773832475</v>
      </c>
      <c r="BE65" s="14">
        <f>Table1347456[[#This Row],[control_se]]*SQRT(Table1347456[[#This Row],[control_n]])</f>
        <v>1.1596551211459381</v>
      </c>
      <c r="BF6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1.5460793092436732E-2</v>
      </c>
      <c r="BG65" s="17">
        <f>SQRT(Table1347456[[#This Row],[v_from_sd_and_n]])</f>
        <v>0.12434143755175397</v>
      </c>
      <c r="BH65" s="13" t="s">
        <v>50</v>
      </c>
      <c r="BI65" s="13">
        <v>2.5000000000000001E-2</v>
      </c>
      <c r="BJ65" s="18">
        <f>ABS(_xlfn.NORM.S.INV(Table1347456[[#This Row],[p_value]]/2))</f>
        <v>2.2414027276049446</v>
      </c>
      <c r="BK65" s="19">
        <f>(Table1347456[[#This Row],[lnrr]]/Table1347456[[#This Row],[z_from_p]])^2</f>
        <v>1.5069966642054682E-3</v>
      </c>
      <c r="BL65" s="16">
        <f>Table1347456[[#This Row],[v_from_sd_and_n]]</f>
        <v>1.5460793092436732E-2</v>
      </c>
      <c r="BM65" s="20">
        <f>SQRT(Table1347456[[#This Row],[v]])</f>
        <v>0.12434143755175397</v>
      </c>
      <c r="BN65" s="20">
        <f>Table1347456[[#This Row],[lnrr]]-(1.96*Table1347456[[#This Row],[se]])</f>
        <v>-0.15669784061180808</v>
      </c>
      <c r="BO65" s="20">
        <f>Table1347456[[#This Row],[lnrr]]+(1.96 * Table1347456[[#This Row],[se]])</f>
        <v>0.33072059459106751</v>
      </c>
    </row>
    <row r="66" spans="1:67">
      <c r="A66" s="13" t="s">
        <v>88</v>
      </c>
      <c r="B66" s="13" t="s">
        <v>89</v>
      </c>
      <c r="C66" s="13" t="s">
        <v>43</v>
      </c>
      <c r="D66" s="13" t="s">
        <v>90</v>
      </c>
      <c r="E66" s="13" t="s">
        <v>91</v>
      </c>
      <c r="F66" s="13" t="s">
        <v>587</v>
      </c>
      <c r="G66" s="13" t="s">
        <v>92</v>
      </c>
      <c r="H66" s="13">
        <v>13.9</v>
      </c>
      <c r="I66" s="13">
        <v>615</v>
      </c>
      <c r="K66" s="13" t="s">
        <v>819</v>
      </c>
      <c r="L66" s="13" t="s">
        <v>820</v>
      </c>
      <c r="N66" s="13" t="s">
        <v>69</v>
      </c>
      <c r="O66" s="13" t="s">
        <v>70</v>
      </c>
      <c r="P66" s="13" t="s">
        <v>71</v>
      </c>
      <c r="Q66" s="13" t="s">
        <v>71</v>
      </c>
      <c r="R66" s="4">
        <v>3</v>
      </c>
      <c r="S66" s="13" t="s">
        <v>594</v>
      </c>
      <c r="T66" s="13">
        <v>365</v>
      </c>
      <c r="U66" s="4" t="s">
        <v>93</v>
      </c>
      <c r="V66" s="4">
        <v>450</v>
      </c>
      <c r="W66" s="4" t="s">
        <v>601</v>
      </c>
      <c r="X66" s="4">
        <v>450</v>
      </c>
      <c r="Y66" s="4">
        <v>3</v>
      </c>
      <c r="AA66" s="4" t="s">
        <v>49</v>
      </c>
      <c r="AB66" s="4">
        <v>0</v>
      </c>
      <c r="AC66" s="4" t="s">
        <v>49</v>
      </c>
      <c r="AD66" s="4">
        <v>0</v>
      </c>
      <c r="AE66" s="4" t="s">
        <v>49</v>
      </c>
      <c r="AF66" s="4">
        <v>0</v>
      </c>
      <c r="AG66" s="4" t="s">
        <v>738</v>
      </c>
      <c r="AH66" s="4" t="s">
        <v>795</v>
      </c>
      <c r="AI66" s="4" t="s">
        <v>64</v>
      </c>
      <c r="AJ66" s="13">
        <v>0</v>
      </c>
      <c r="AK66" s="13">
        <v>20</v>
      </c>
      <c r="AM66" s="13" t="s">
        <v>480</v>
      </c>
      <c r="AP66" s="13" t="s">
        <v>49</v>
      </c>
      <c r="AQ66" s="13" t="s">
        <v>49</v>
      </c>
      <c r="AR66" s="13" t="s">
        <v>49</v>
      </c>
      <c r="AS66" s="13" t="s">
        <v>49</v>
      </c>
      <c r="AT66" s="13" t="s">
        <v>990</v>
      </c>
      <c r="AU66" s="13" t="s">
        <v>998</v>
      </c>
      <c r="AV66" s="14">
        <v>1.1399999999999999</v>
      </c>
      <c r="AW66" s="14">
        <v>0.79</v>
      </c>
      <c r="AX66" s="14">
        <f>Table1347456[[#This Row],[treatment_mean]]/Table1347456[[#This Row],[control_mean]]</f>
        <v>1.4430379746835442</v>
      </c>
      <c r="AY66" s="14">
        <f>LN(Table1347456[[#This Row],[rr]])</f>
        <v>0.36675059592747389</v>
      </c>
      <c r="AZ66" s="13">
        <v>3</v>
      </c>
      <c r="BA66" s="13">
        <v>3</v>
      </c>
      <c r="BB66" s="14">
        <v>0.04</v>
      </c>
      <c r="BC66" s="14">
        <v>0.03</v>
      </c>
      <c r="BD66" s="15">
        <f>Table1347456[[#This Row],[treatment_se]]*SQRT(Table1347456[[#This Row],[treatment_n]])</f>
        <v>6.9282032302755092E-2</v>
      </c>
      <c r="BE66" s="14">
        <f>Table1347456[[#This Row],[control_se]]*SQRT(Table1347456[[#This Row],[control_n]])</f>
        <v>5.1961524227066312E-2</v>
      </c>
      <c r="BF6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2.6732246358424951E-3</v>
      </c>
      <c r="BG66" s="17">
        <f>SQRT(Table1347456[[#This Row],[v_from_sd_and_n]])</f>
        <v>5.1703236222140826E-2</v>
      </c>
      <c r="BH66" s="13" t="s">
        <v>50</v>
      </c>
      <c r="BI66" s="13">
        <v>2.5000000000000001E-2</v>
      </c>
      <c r="BJ66" s="18">
        <f>ABS(_xlfn.NORM.S.INV(Table1347456[[#This Row],[p_value]]/2))</f>
        <v>2.2414027276049446</v>
      </c>
      <c r="BK66" s="19">
        <f>(Table1347456[[#This Row],[lnrr]]/Table1347456[[#This Row],[z_from_p]])^2</f>
        <v>2.6773297522698577E-2</v>
      </c>
      <c r="BL66" s="16">
        <f>Table1347456[[#This Row],[v_from_sd_and_n]]</f>
        <v>2.6732246358424951E-3</v>
      </c>
      <c r="BM66" s="20">
        <f>SQRT(Table1347456[[#This Row],[v]])</f>
        <v>5.1703236222140826E-2</v>
      </c>
      <c r="BN66" s="20">
        <f>Table1347456[[#This Row],[lnrr]]-(1.96*Table1347456[[#This Row],[se]])</f>
        <v>0.26541225293207787</v>
      </c>
      <c r="BO66" s="20">
        <f>Table1347456[[#This Row],[lnrr]]+(1.96 * Table1347456[[#This Row],[se]])</f>
        <v>0.4680889389228699</v>
      </c>
    </row>
    <row r="67" spans="1:67">
      <c r="A67" s="13" t="s">
        <v>88</v>
      </c>
      <c r="B67" s="13" t="s">
        <v>89</v>
      </c>
      <c r="C67" s="13" t="s">
        <v>43</v>
      </c>
      <c r="D67" s="13" t="s">
        <v>90</v>
      </c>
      <c r="E67" s="13" t="s">
        <v>91</v>
      </c>
      <c r="F67" s="13" t="s">
        <v>587</v>
      </c>
      <c r="G67" s="13" t="s">
        <v>92</v>
      </c>
      <c r="H67" s="13">
        <v>13.9</v>
      </c>
      <c r="I67" s="13">
        <v>615</v>
      </c>
      <c r="K67" s="13" t="s">
        <v>819</v>
      </c>
      <c r="L67" s="13" t="s">
        <v>820</v>
      </c>
      <c r="N67" s="13" t="s">
        <v>69</v>
      </c>
      <c r="O67" s="13" t="s">
        <v>70</v>
      </c>
      <c r="P67" s="13" t="s">
        <v>71</v>
      </c>
      <c r="Q67" s="13" t="s">
        <v>71</v>
      </c>
      <c r="R67" s="4">
        <v>3</v>
      </c>
      <c r="S67" s="13" t="s">
        <v>594</v>
      </c>
      <c r="T67" s="13">
        <v>365</v>
      </c>
      <c r="U67" s="4" t="s">
        <v>93</v>
      </c>
      <c r="V67" s="4">
        <v>450</v>
      </c>
      <c r="W67" s="4" t="s">
        <v>601</v>
      </c>
      <c r="X67" s="4">
        <v>450</v>
      </c>
      <c r="Y67" s="4">
        <v>6</v>
      </c>
      <c r="AA67" s="4" t="s">
        <v>49</v>
      </c>
      <c r="AB67" s="4">
        <v>0</v>
      </c>
      <c r="AC67" s="4" t="s">
        <v>49</v>
      </c>
      <c r="AD67" s="4">
        <v>0</v>
      </c>
      <c r="AE67" s="4" t="s">
        <v>49</v>
      </c>
      <c r="AF67" s="4">
        <v>0</v>
      </c>
      <c r="AG67" s="4" t="s">
        <v>738</v>
      </c>
      <c r="AH67" s="4" t="s">
        <v>795</v>
      </c>
      <c r="AI67" s="4" t="s">
        <v>64</v>
      </c>
      <c r="AJ67" s="13">
        <v>0</v>
      </c>
      <c r="AK67" s="13">
        <v>20</v>
      </c>
      <c r="AM67" s="13" t="s">
        <v>480</v>
      </c>
      <c r="AP67" s="13" t="s">
        <v>49</v>
      </c>
      <c r="AQ67" s="13" t="s">
        <v>49</v>
      </c>
      <c r="AR67" s="13" t="s">
        <v>49</v>
      </c>
      <c r="AS67" s="13" t="s">
        <v>49</v>
      </c>
      <c r="AT67" s="13" t="s">
        <v>990</v>
      </c>
      <c r="AU67" s="13" t="s">
        <v>998</v>
      </c>
      <c r="AV67" s="14">
        <v>1.18</v>
      </c>
      <c r="AW67" s="14">
        <v>0.79</v>
      </c>
      <c r="AX67" s="14">
        <f>Table1347456[[#This Row],[treatment_mean]]/Table1347456[[#This Row],[control_mean]]</f>
        <v>1.4936708860759491</v>
      </c>
      <c r="AY67" s="14">
        <f>LN(Table1347456[[#This Row],[rr]])</f>
        <v>0.4012367719986431</v>
      </c>
      <c r="AZ67" s="13">
        <v>3</v>
      </c>
      <c r="BA67" s="13">
        <v>3</v>
      </c>
      <c r="BB67" s="14">
        <v>0.11</v>
      </c>
      <c r="BC67" s="14">
        <v>0.03</v>
      </c>
      <c r="BD67" s="15">
        <f>Table1347456[[#This Row],[treatment_se]]*SQRT(Table1347456[[#This Row],[treatment_n]])</f>
        <v>0.1905255888325765</v>
      </c>
      <c r="BE67" s="14">
        <f>Table1347456[[#This Row],[control_se]]*SQRT(Table1347456[[#This Row],[control_n]])</f>
        <v>5.1961524227066312E-2</v>
      </c>
      <c r="BF6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1.0132108190404929E-2</v>
      </c>
      <c r="BG67" s="17">
        <f>SQRT(Table1347456[[#This Row],[v_from_sd_and_n]])</f>
        <v>0.10065837367256103</v>
      </c>
      <c r="BH67" s="13" t="s">
        <v>50</v>
      </c>
      <c r="BI67" s="13">
        <v>2.5000000000000001E-2</v>
      </c>
      <c r="BJ67" s="18">
        <f>ABS(_xlfn.NORM.S.INV(Table1347456[[#This Row],[p_value]]/2))</f>
        <v>2.2414027276049446</v>
      </c>
      <c r="BK67" s="19">
        <f>(Table1347456[[#This Row],[lnrr]]/Table1347456[[#This Row],[z_from_p]])^2</f>
        <v>3.2045102377196939E-2</v>
      </c>
      <c r="BL67" s="16">
        <f>Table1347456[[#This Row],[v_from_sd_and_n]]</f>
        <v>1.0132108190404929E-2</v>
      </c>
      <c r="BM67" s="20">
        <f>SQRT(Table1347456[[#This Row],[v]])</f>
        <v>0.10065837367256103</v>
      </c>
      <c r="BN67" s="20">
        <f>Table1347456[[#This Row],[lnrr]]-(1.96*Table1347456[[#This Row],[se]])</f>
        <v>0.20394635960042348</v>
      </c>
      <c r="BO67" s="20">
        <f>Table1347456[[#This Row],[lnrr]]+(1.96 * Table1347456[[#This Row],[se]])</f>
        <v>0.5985271843968627</v>
      </c>
    </row>
    <row r="68" spans="1:67">
      <c r="A68" s="13" t="s">
        <v>88</v>
      </c>
      <c r="B68" s="13" t="s">
        <v>89</v>
      </c>
      <c r="C68" s="13" t="s">
        <v>43</v>
      </c>
      <c r="D68" s="13" t="s">
        <v>90</v>
      </c>
      <c r="E68" s="13" t="s">
        <v>91</v>
      </c>
      <c r="F68" s="13" t="s">
        <v>587</v>
      </c>
      <c r="G68" s="13" t="s">
        <v>92</v>
      </c>
      <c r="H68" s="13">
        <v>13.9</v>
      </c>
      <c r="I68" s="13">
        <v>615</v>
      </c>
      <c r="K68" s="13" t="s">
        <v>819</v>
      </c>
      <c r="L68" s="13" t="s">
        <v>820</v>
      </c>
      <c r="N68" s="13" t="s">
        <v>69</v>
      </c>
      <c r="O68" s="13" t="s">
        <v>70</v>
      </c>
      <c r="P68" s="13" t="s">
        <v>71</v>
      </c>
      <c r="Q68" s="13" t="s">
        <v>71</v>
      </c>
      <c r="R68" s="4">
        <v>3</v>
      </c>
      <c r="S68" s="13" t="s">
        <v>594</v>
      </c>
      <c r="T68" s="13">
        <v>365</v>
      </c>
      <c r="U68" s="4" t="s">
        <v>93</v>
      </c>
      <c r="V68" s="4">
        <v>450</v>
      </c>
      <c r="W68" s="4" t="s">
        <v>601</v>
      </c>
      <c r="X68" s="4">
        <v>450</v>
      </c>
      <c r="Y68" s="4">
        <v>12</v>
      </c>
      <c r="AA68" s="4" t="s">
        <v>49</v>
      </c>
      <c r="AB68" s="4">
        <v>0</v>
      </c>
      <c r="AC68" s="4" t="s">
        <v>49</v>
      </c>
      <c r="AD68" s="4">
        <v>0</v>
      </c>
      <c r="AE68" s="4" t="s">
        <v>49</v>
      </c>
      <c r="AF68" s="4">
        <v>0</v>
      </c>
      <c r="AG68" s="4" t="s">
        <v>738</v>
      </c>
      <c r="AH68" s="4" t="s">
        <v>795</v>
      </c>
      <c r="AI68" s="4" t="s">
        <v>64</v>
      </c>
      <c r="AJ68" s="13">
        <v>0</v>
      </c>
      <c r="AK68" s="13">
        <v>20</v>
      </c>
      <c r="AM68" s="13" t="s">
        <v>480</v>
      </c>
      <c r="AP68" s="13" t="s">
        <v>49</v>
      </c>
      <c r="AQ68" s="13" t="s">
        <v>49</v>
      </c>
      <c r="AR68" s="13" t="s">
        <v>49</v>
      </c>
      <c r="AS68" s="13" t="s">
        <v>49</v>
      </c>
      <c r="AT68" s="13" t="s">
        <v>990</v>
      </c>
      <c r="AU68" s="13" t="s">
        <v>998</v>
      </c>
      <c r="AV68" s="14">
        <v>1.38</v>
      </c>
      <c r="AW68" s="14">
        <v>0.79</v>
      </c>
      <c r="AX68" s="14">
        <f>Table1347456[[#This Row],[treatment_mean]]/Table1347456[[#This Row],[control_mean]]</f>
        <v>1.7468354430379744</v>
      </c>
      <c r="AY68" s="14">
        <f>LN(Table1347456[[#This Row],[rr]])</f>
        <v>0.55780583269018302</v>
      </c>
      <c r="AZ68" s="13">
        <v>3</v>
      </c>
      <c r="BA68" s="13">
        <v>3</v>
      </c>
      <c r="BB68" s="14">
        <v>0.1</v>
      </c>
      <c r="BC68" s="14">
        <v>0.03</v>
      </c>
      <c r="BD68" s="15">
        <f>Table1347456[[#This Row],[treatment_se]]*SQRT(Table1347456[[#This Row],[treatment_n]])</f>
        <v>0.17320508075688773</v>
      </c>
      <c r="BE68" s="14">
        <f>Table1347456[[#This Row],[control_se]]*SQRT(Table1347456[[#This Row],[control_n]])</f>
        <v>5.1961524227066312E-2</v>
      </c>
      <c r="BF6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6.693074279851035E-3</v>
      </c>
      <c r="BG68" s="17">
        <f>SQRT(Table1347456[[#This Row],[v_from_sd_and_n]])</f>
        <v>8.1811211211245585E-2</v>
      </c>
      <c r="BH68" s="13" t="s">
        <v>50</v>
      </c>
      <c r="BI68" s="13">
        <v>2.5000000000000001E-2</v>
      </c>
      <c r="BJ68" s="18">
        <f>ABS(_xlfn.NORM.S.INV(Table1347456[[#This Row],[p_value]]/2))</f>
        <v>2.2414027276049446</v>
      </c>
      <c r="BK68" s="19">
        <f>(Table1347456[[#This Row],[lnrr]]/Table1347456[[#This Row],[z_from_p]])^2</f>
        <v>6.1933597892568353E-2</v>
      </c>
      <c r="BL68" s="16">
        <f>Table1347456[[#This Row],[v_from_sd_and_n]]</f>
        <v>6.693074279851035E-3</v>
      </c>
      <c r="BM68" s="20">
        <f>SQRT(Table1347456[[#This Row],[v]])</f>
        <v>8.1811211211245585E-2</v>
      </c>
      <c r="BN68" s="20">
        <f>Table1347456[[#This Row],[lnrr]]-(1.96*Table1347456[[#This Row],[se]])</f>
        <v>0.39745585871614164</v>
      </c>
      <c r="BO68" s="20">
        <f>Table1347456[[#This Row],[lnrr]]+(1.96 * Table1347456[[#This Row],[se]])</f>
        <v>0.71815580666422441</v>
      </c>
    </row>
    <row r="69" spans="1:67">
      <c r="A69" s="13" t="s">
        <v>88</v>
      </c>
      <c r="B69" s="13" t="s">
        <v>89</v>
      </c>
      <c r="C69" s="13" t="s">
        <v>43</v>
      </c>
      <c r="D69" s="13" t="s">
        <v>90</v>
      </c>
      <c r="E69" s="13" t="s">
        <v>91</v>
      </c>
      <c r="F69" s="13" t="s">
        <v>587</v>
      </c>
      <c r="G69" s="13" t="s">
        <v>92</v>
      </c>
      <c r="H69" s="13">
        <v>13.9</v>
      </c>
      <c r="I69" s="13">
        <v>615</v>
      </c>
      <c r="K69" s="13" t="s">
        <v>819</v>
      </c>
      <c r="L69" s="13" t="s">
        <v>820</v>
      </c>
      <c r="N69" s="13" t="s">
        <v>69</v>
      </c>
      <c r="O69" s="13" t="s">
        <v>70</v>
      </c>
      <c r="P69" s="13" t="s">
        <v>71</v>
      </c>
      <c r="Q69" s="13" t="s">
        <v>71</v>
      </c>
      <c r="R69" s="4">
        <v>3</v>
      </c>
      <c r="S69" s="13" t="s">
        <v>594</v>
      </c>
      <c r="T69" s="13">
        <v>365</v>
      </c>
      <c r="U69" s="4" t="s">
        <v>93</v>
      </c>
      <c r="V69" s="4">
        <v>450</v>
      </c>
      <c r="W69" s="4" t="s">
        <v>601</v>
      </c>
      <c r="X69" s="4">
        <v>450</v>
      </c>
      <c r="Y69" s="4">
        <v>3</v>
      </c>
      <c r="AA69" s="4" t="s">
        <v>50</v>
      </c>
      <c r="AB69" s="4">
        <v>200</v>
      </c>
      <c r="AC69" s="4" t="s">
        <v>49</v>
      </c>
      <c r="AD69" s="4">
        <v>0</v>
      </c>
      <c r="AE69" s="4" t="s">
        <v>49</v>
      </c>
      <c r="AF69" s="4">
        <v>0</v>
      </c>
      <c r="AG69" s="4" t="s">
        <v>738</v>
      </c>
      <c r="AH69" s="4" t="s">
        <v>795</v>
      </c>
      <c r="AI69" s="4" t="s">
        <v>64</v>
      </c>
      <c r="AJ69" s="13">
        <v>0</v>
      </c>
      <c r="AK69" s="13">
        <v>20</v>
      </c>
      <c r="AM69" s="13" t="s">
        <v>480</v>
      </c>
      <c r="AP69" s="13" t="s">
        <v>49</v>
      </c>
      <c r="AQ69" s="13" t="s">
        <v>49</v>
      </c>
      <c r="AR69" s="13" t="s">
        <v>49</v>
      </c>
      <c r="AS69" s="13" t="s">
        <v>49</v>
      </c>
      <c r="AT69" s="13" t="s">
        <v>992</v>
      </c>
      <c r="AU69" s="4" t="s">
        <v>1000</v>
      </c>
      <c r="AV69" s="14">
        <v>2.54</v>
      </c>
      <c r="AW69" s="14">
        <v>3.91</v>
      </c>
      <c r="AX69" s="14">
        <f>Table1347456[[#This Row],[treatment_mean]]/Table1347456[[#This Row],[control_mean]]</f>
        <v>0.64961636828644498</v>
      </c>
      <c r="AY69" s="14">
        <f>LN(Table1347456[[#This Row],[rr]])</f>
        <v>-0.43137329296682925</v>
      </c>
      <c r="AZ69" s="13">
        <v>3</v>
      </c>
      <c r="BA69" s="13">
        <v>3</v>
      </c>
      <c r="BB69" s="14">
        <v>0.3</v>
      </c>
      <c r="BC69" s="14">
        <v>0.24</v>
      </c>
      <c r="BD69" s="15">
        <f>Table1347456[[#This Row],[treatment_se]]*SQRT(Table1347456[[#This Row],[treatment_n]])</f>
        <v>0.51961524227066314</v>
      </c>
      <c r="BE69" s="14">
        <f>Table1347456[[#This Row],[control_se]]*SQRT(Table1347456[[#This Row],[control_n]])</f>
        <v>0.4156921938165305</v>
      </c>
      <c r="BF6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1.7717664166171272E-2</v>
      </c>
      <c r="BG69" s="17">
        <f>SQRT(Table1347456[[#This Row],[v_from_sd_and_n]])</f>
        <v>0.1331077164035627</v>
      </c>
      <c r="BH69" s="13" t="s">
        <v>50</v>
      </c>
      <c r="BI69" s="13">
        <v>2.5000000000000001E-2</v>
      </c>
      <c r="BJ69" s="18">
        <f>ABS(_xlfn.NORM.S.INV(Table1347456[[#This Row],[p_value]]/2))</f>
        <v>2.2414027276049446</v>
      </c>
      <c r="BK69" s="19">
        <f>(Table1347456[[#This Row],[lnrr]]/Table1347456[[#This Row],[z_from_p]])^2</f>
        <v>3.7039636438201545E-2</v>
      </c>
      <c r="BL69" s="16">
        <f>Table1347456[[#This Row],[v_from_sd_and_n]]</f>
        <v>1.7717664166171272E-2</v>
      </c>
      <c r="BM69" s="20">
        <f>SQRT(Table1347456[[#This Row],[v]])</f>
        <v>0.1331077164035627</v>
      </c>
      <c r="BN69" s="20">
        <f>Table1347456[[#This Row],[lnrr]]-(1.96*Table1347456[[#This Row],[se]])</f>
        <v>-0.69226441711781206</v>
      </c>
      <c r="BO69" s="20">
        <f>Table1347456[[#This Row],[lnrr]]+(1.96 * Table1347456[[#This Row],[se]])</f>
        <v>-0.17048216881584638</v>
      </c>
    </row>
    <row r="70" spans="1:67">
      <c r="A70" s="13" t="s">
        <v>88</v>
      </c>
      <c r="B70" s="13" t="s">
        <v>89</v>
      </c>
      <c r="C70" s="13" t="s">
        <v>43</v>
      </c>
      <c r="D70" s="13" t="s">
        <v>90</v>
      </c>
      <c r="E70" s="13" t="s">
        <v>91</v>
      </c>
      <c r="F70" s="13" t="s">
        <v>587</v>
      </c>
      <c r="G70" s="13" t="s">
        <v>92</v>
      </c>
      <c r="H70" s="13">
        <v>13.9</v>
      </c>
      <c r="I70" s="13">
        <v>615</v>
      </c>
      <c r="K70" s="13" t="s">
        <v>819</v>
      </c>
      <c r="L70" s="13" t="s">
        <v>820</v>
      </c>
      <c r="N70" s="13" t="s">
        <v>69</v>
      </c>
      <c r="O70" s="13" t="s">
        <v>70</v>
      </c>
      <c r="P70" s="13" t="s">
        <v>71</v>
      </c>
      <c r="Q70" s="13" t="s">
        <v>71</v>
      </c>
      <c r="R70" s="4">
        <v>3</v>
      </c>
      <c r="S70" s="13" t="s">
        <v>594</v>
      </c>
      <c r="T70" s="13">
        <v>365</v>
      </c>
      <c r="U70" s="4" t="s">
        <v>93</v>
      </c>
      <c r="V70" s="4">
        <v>450</v>
      </c>
      <c r="W70" s="4" t="s">
        <v>601</v>
      </c>
      <c r="X70" s="4">
        <v>450</v>
      </c>
      <c r="Y70" s="4">
        <v>6</v>
      </c>
      <c r="AA70" s="4" t="s">
        <v>50</v>
      </c>
      <c r="AB70" s="4">
        <v>200</v>
      </c>
      <c r="AC70" s="4" t="s">
        <v>49</v>
      </c>
      <c r="AD70" s="4">
        <v>0</v>
      </c>
      <c r="AE70" s="4" t="s">
        <v>49</v>
      </c>
      <c r="AF70" s="4">
        <v>0</v>
      </c>
      <c r="AG70" s="4" t="s">
        <v>738</v>
      </c>
      <c r="AH70" s="4" t="s">
        <v>795</v>
      </c>
      <c r="AI70" s="4" t="s">
        <v>64</v>
      </c>
      <c r="AJ70" s="13">
        <v>0</v>
      </c>
      <c r="AK70" s="13">
        <v>20</v>
      </c>
      <c r="AM70" s="13" t="s">
        <v>480</v>
      </c>
      <c r="AP70" s="13" t="s">
        <v>49</v>
      </c>
      <c r="AQ70" s="13" t="s">
        <v>49</v>
      </c>
      <c r="AR70" s="13" t="s">
        <v>49</v>
      </c>
      <c r="AS70" s="13" t="s">
        <v>49</v>
      </c>
      <c r="AT70" s="13" t="s">
        <v>992</v>
      </c>
      <c r="AU70" s="4" t="s">
        <v>1000</v>
      </c>
      <c r="AV70" s="14">
        <v>2.81</v>
      </c>
      <c r="AW70" s="14">
        <v>3.91</v>
      </c>
      <c r="AX70" s="14">
        <f>Table1347456[[#This Row],[treatment_mean]]/Table1347456[[#This Row],[control_mean]]</f>
        <v>0.71867007672634264</v>
      </c>
      <c r="AY70" s="14">
        <f>LN(Table1347456[[#This Row],[rr]])</f>
        <v>-0.3303528906516201</v>
      </c>
      <c r="AZ70" s="13">
        <v>3</v>
      </c>
      <c r="BA70" s="13">
        <v>3</v>
      </c>
      <c r="BB70" s="14">
        <v>0.16</v>
      </c>
      <c r="BC70" s="14">
        <v>0.24</v>
      </c>
      <c r="BD70" s="15">
        <f>Table1347456[[#This Row],[treatment_se]]*SQRT(Table1347456[[#This Row],[treatment_n]])</f>
        <v>0.27712812921102037</v>
      </c>
      <c r="BE70" s="14">
        <f>Table1347456[[#This Row],[control_se]]*SQRT(Table1347456[[#This Row],[control_n]])</f>
        <v>0.4156921938165305</v>
      </c>
      <c r="BF7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7.0097431289971495E-3</v>
      </c>
      <c r="BG70" s="17">
        <f>SQRT(Table1347456[[#This Row],[v_from_sd_and_n]])</f>
        <v>8.3724208739152317E-2</v>
      </c>
      <c r="BH70" s="13" t="s">
        <v>50</v>
      </c>
      <c r="BI70" s="13">
        <v>2.5000000000000001E-2</v>
      </c>
      <c r="BJ70" s="18">
        <f>ABS(_xlfn.NORM.S.INV(Table1347456[[#This Row],[p_value]]/2))</f>
        <v>2.2414027276049446</v>
      </c>
      <c r="BK70" s="19">
        <f>(Table1347456[[#This Row],[lnrr]]/Table1347456[[#This Row],[z_from_p]])^2</f>
        <v>2.1722831348655526E-2</v>
      </c>
      <c r="BL70" s="16">
        <f>Table1347456[[#This Row],[v_from_sd_and_n]]</f>
        <v>7.0097431289971495E-3</v>
      </c>
      <c r="BM70" s="20">
        <f>SQRT(Table1347456[[#This Row],[v]])</f>
        <v>8.3724208739152317E-2</v>
      </c>
      <c r="BN70" s="20">
        <f>Table1347456[[#This Row],[lnrr]]-(1.96*Table1347456[[#This Row],[se]])</f>
        <v>-0.49445233978035863</v>
      </c>
      <c r="BO70" s="20">
        <f>Table1347456[[#This Row],[lnrr]]+(1.96 * Table1347456[[#This Row],[se]])</f>
        <v>-0.16625344152288157</v>
      </c>
    </row>
    <row r="71" spans="1:67">
      <c r="A71" s="13" t="s">
        <v>88</v>
      </c>
      <c r="B71" s="13" t="s">
        <v>89</v>
      </c>
      <c r="C71" s="13" t="s">
        <v>43</v>
      </c>
      <c r="D71" s="13" t="s">
        <v>90</v>
      </c>
      <c r="E71" s="13" t="s">
        <v>91</v>
      </c>
      <c r="F71" s="13" t="s">
        <v>587</v>
      </c>
      <c r="G71" s="13" t="s">
        <v>92</v>
      </c>
      <c r="H71" s="13">
        <v>13.9</v>
      </c>
      <c r="I71" s="13">
        <v>615</v>
      </c>
      <c r="K71" s="13" t="s">
        <v>819</v>
      </c>
      <c r="L71" s="13" t="s">
        <v>820</v>
      </c>
      <c r="N71" s="13" t="s">
        <v>69</v>
      </c>
      <c r="O71" s="13" t="s">
        <v>70</v>
      </c>
      <c r="P71" s="13" t="s">
        <v>71</v>
      </c>
      <c r="Q71" s="13" t="s">
        <v>71</v>
      </c>
      <c r="R71" s="4">
        <v>3</v>
      </c>
      <c r="S71" s="13" t="s">
        <v>594</v>
      </c>
      <c r="T71" s="13">
        <v>365</v>
      </c>
      <c r="U71" s="4" t="s">
        <v>93</v>
      </c>
      <c r="V71" s="4">
        <v>450</v>
      </c>
      <c r="W71" s="4" t="s">
        <v>601</v>
      </c>
      <c r="X71" s="4">
        <v>450</v>
      </c>
      <c r="Y71" s="4">
        <v>12</v>
      </c>
      <c r="AA71" s="4" t="s">
        <v>50</v>
      </c>
      <c r="AB71" s="4">
        <v>200</v>
      </c>
      <c r="AC71" s="4" t="s">
        <v>49</v>
      </c>
      <c r="AD71" s="4">
        <v>0</v>
      </c>
      <c r="AE71" s="4" t="s">
        <v>49</v>
      </c>
      <c r="AF71" s="4">
        <v>0</v>
      </c>
      <c r="AG71" s="4" t="s">
        <v>738</v>
      </c>
      <c r="AH71" s="4" t="s">
        <v>795</v>
      </c>
      <c r="AI71" s="4" t="s">
        <v>64</v>
      </c>
      <c r="AJ71" s="13">
        <v>0</v>
      </c>
      <c r="AK71" s="13">
        <v>20</v>
      </c>
      <c r="AM71" s="13" t="s">
        <v>480</v>
      </c>
      <c r="AP71" s="13" t="s">
        <v>49</v>
      </c>
      <c r="AQ71" s="13" t="s">
        <v>49</v>
      </c>
      <c r="AR71" s="13" t="s">
        <v>49</v>
      </c>
      <c r="AS71" s="13" t="s">
        <v>49</v>
      </c>
      <c r="AT71" s="13" t="s">
        <v>992</v>
      </c>
      <c r="AU71" s="4" t="s">
        <v>1000</v>
      </c>
      <c r="AV71" s="14">
        <v>2.75</v>
      </c>
      <c r="AW71" s="14">
        <v>3.91</v>
      </c>
      <c r="AX71" s="14">
        <f>Table1347456[[#This Row],[treatment_mean]]/Table1347456[[#This Row],[control_mean]]</f>
        <v>0.70332480818414322</v>
      </c>
      <c r="AY71" s="14">
        <f>LN(Table1347456[[#This Row],[rr]])</f>
        <v>-0.3519364623187945</v>
      </c>
      <c r="AZ71" s="13">
        <v>3</v>
      </c>
      <c r="BA71" s="13">
        <v>3</v>
      </c>
      <c r="BB71" s="14">
        <v>0.36</v>
      </c>
      <c r="BC71" s="14">
        <v>0.24</v>
      </c>
      <c r="BD71" s="15">
        <f>Table1347456[[#This Row],[treatment_se]]*SQRT(Table1347456[[#This Row],[treatment_n]])</f>
        <v>0.62353829072479572</v>
      </c>
      <c r="BE71" s="14">
        <f>Table1347456[[#This Row],[control_se]]*SQRT(Table1347456[[#This Row],[control_n]])</f>
        <v>0.4156921938165305</v>
      </c>
      <c r="BF7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2.0904826348760099E-2</v>
      </c>
      <c r="BG71" s="17">
        <f>SQRT(Table1347456[[#This Row],[v_from_sd_and_n]])</f>
        <v>0.14458501426067674</v>
      </c>
      <c r="BH71" s="13" t="s">
        <v>50</v>
      </c>
      <c r="BI71" s="13">
        <v>2.5000000000000001E-2</v>
      </c>
      <c r="BJ71" s="18">
        <f>ABS(_xlfn.NORM.S.INV(Table1347456[[#This Row],[p_value]]/2))</f>
        <v>2.2414027276049446</v>
      </c>
      <c r="BK71" s="19">
        <f>(Table1347456[[#This Row],[lnrr]]/Table1347456[[#This Row],[z_from_p]])^2</f>
        <v>2.4654076324859438E-2</v>
      </c>
      <c r="BL71" s="16">
        <f>Table1347456[[#This Row],[v_from_sd_and_n]]</f>
        <v>2.0904826348760099E-2</v>
      </c>
      <c r="BM71" s="20">
        <f>SQRT(Table1347456[[#This Row],[v]])</f>
        <v>0.14458501426067674</v>
      </c>
      <c r="BN71" s="20">
        <f>Table1347456[[#This Row],[lnrr]]-(1.96*Table1347456[[#This Row],[se]])</f>
        <v>-0.63532309026972089</v>
      </c>
      <c r="BO71" s="20">
        <f>Table1347456[[#This Row],[lnrr]]+(1.96 * Table1347456[[#This Row],[se]])</f>
        <v>-6.8549834367868101E-2</v>
      </c>
    </row>
    <row r="72" spans="1:67">
      <c r="A72" s="13" t="s">
        <v>88</v>
      </c>
      <c r="B72" s="13" t="s">
        <v>89</v>
      </c>
      <c r="C72" s="13" t="s">
        <v>43</v>
      </c>
      <c r="D72" s="13" t="s">
        <v>90</v>
      </c>
      <c r="E72" s="13" t="s">
        <v>91</v>
      </c>
      <c r="F72" s="13" t="s">
        <v>587</v>
      </c>
      <c r="G72" s="13" t="s">
        <v>92</v>
      </c>
      <c r="H72" s="13">
        <v>13.9</v>
      </c>
      <c r="I72" s="13">
        <v>615</v>
      </c>
      <c r="K72" s="13" t="s">
        <v>819</v>
      </c>
      <c r="L72" s="13" t="s">
        <v>820</v>
      </c>
      <c r="N72" s="13" t="s">
        <v>615</v>
      </c>
      <c r="O72" s="13" t="s">
        <v>54</v>
      </c>
      <c r="P72" s="13" t="s">
        <v>48</v>
      </c>
      <c r="Q72" s="13" t="s">
        <v>48</v>
      </c>
      <c r="R72" s="4">
        <v>3</v>
      </c>
      <c r="S72" s="13" t="s">
        <v>594</v>
      </c>
      <c r="T72" s="13">
        <v>365</v>
      </c>
      <c r="U72" s="4" t="s">
        <v>93</v>
      </c>
      <c r="V72" s="4">
        <v>450</v>
      </c>
      <c r="W72" s="4" t="s">
        <v>601</v>
      </c>
      <c r="X72" s="4">
        <v>450</v>
      </c>
      <c r="Y72" s="4">
        <v>3</v>
      </c>
      <c r="AA72" s="4" t="s">
        <v>49</v>
      </c>
      <c r="AB72" s="4">
        <v>0</v>
      </c>
      <c r="AC72" s="4" t="s">
        <v>49</v>
      </c>
      <c r="AD72" s="4">
        <v>0</v>
      </c>
      <c r="AE72" s="4" t="s">
        <v>49</v>
      </c>
      <c r="AF72" s="4">
        <v>0</v>
      </c>
      <c r="AG72" s="4" t="s">
        <v>738</v>
      </c>
      <c r="AH72" s="4" t="s">
        <v>795</v>
      </c>
      <c r="AI72" s="4" t="s">
        <v>64</v>
      </c>
      <c r="AJ72" s="13">
        <v>0</v>
      </c>
      <c r="AK72" s="13">
        <v>20</v>
      </c>
      <c r="AM72" s="13" t="s">
        <v>480</v>
      </c>
      <c r="AP72" s="13" t="s">
        <v>49</v>
      </c>
      <c r="AQ72" s="13" t="s">
        <v>49</v>
      </c>
      <c r="AR72" s="13" t="s">
        <v>49</v>
      </c>
      <c r="AS72" s="13" t="s">
        <v>49</v>
      </c>
      <c r="AT72" s="13" t="s">
        <v>990</v>
      </c>
      <c r="AU72" s="13" t="s">
        <v>998</v>
      </c>
      <c r="AV72" s="14">
        <v>1.52</v>
      </c>
      <c r="AW72" s="14">
        <v>1.49</v>
      </c>
      <c r="AX72" s="14">
        <f>Table1347456[[#This Row],[treatment_mean]]/Table1347456[[#This Row],[control_mean]]</f>
        <v>1.0201342281879195</v>
      </c>
      <c r="AY72" s="14">
        <f>LN(Table1347456[[#This Row],[rr]])</f>
        <v>1.9934214900817329E-2</v>
      </c>
      <c r="AZ72" s="13">
        <v>3</v>
      </c>
      <c r="BA72" s="13">
        <v>3</v>
      </c>
      <c r="BB72" s="14">
        <v>0.02</v>
      </c>
      <c r="BC72" s="14">
        <v>0.01</v>
      </c>
      <c r="BD72" s="15">
        <f>Table1347456[[#This Row],[treatment_se]]*SQRT(Table1347456[[#This Row],[treatment_n]])</f>
        <v>3.4641016151377546E-2</v>
      </c>
      <c r="BE72" s="14">
        <f>Table1347456[[#This Row],[control_se]]*SQRT(Table1347456[[#This Row],[control_n]])</f>
        <v>1.7320508075688773E-2</v>
      </c>
      <c r="BF7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2.1817320998617393E-4</v>
      </c>
      <c r="BG72" s="17">
        <f>SQRT(Table1347456[[#This Row],[v_from_sd_and_n]])</f>
        <v>1.4770687525845705E-2</v>
      </c>
      <c r="BH72" s="13" t="s">
        <v>50</v>
      </c>
      <c r="BI72" s="13">
        <v>2.5000000000000001E-2</v>
      </c>
      <c r="BJ72" s="18">
        <f>ABS(_xlfn.NORM.S.INV(Table1347456[[#This Row],[p_value]]/2))</f>
        <v>2.2414027276049446</v>
      </c>
      <c r="BK72" s="19">
        <f>(Table1347456[[#This Row],[lnrr]]/Table1347456[[#This Row],[z_from_p]])^2</f>
        <v>7.9096720923996759E-5</v>
      </c>
      <c r="BL72" s="16">
        <f>Table1347456[[#This Row],[v_from_sd_and_n]]</f>
        <v>2.1817320998617393E-4</v>
      </c>
      <c r="BM72" s="20">
        <f>SQRT(Table1347456[[#This Row],[v]])</f>
        <v>1.4770687525845705E-2</v>
      </c>
      <c r="BN72" s="20">
        <f>Table1347456[[#This Row],[lnrr]]-(1.96*Table1347456[[#This Row],[se]])</f>
        <v>-9.016332649840253E-3</v>
      </c>
      <c r="BO72" s="20">
        <f>Table1347456[[#This Row],[lnrr]]+(1.96 * Table1347456[[#This Row],[se]])</f>
        <v>4.8884762451474911E-2</v>
      </c>
    </row>
    <row r="73" spans="1:67">
      <c r="A73" s="13" t="s">
        <v>88</v>
      </c>
      <c r="B73" s="13" t="s">
        <v>89</v>
      </c>
      <c r="C73" s="13" t="s">
        <v>43</v>
      </c>
      <c r="D73" s="13" t="s">
        <v>90</v>
      </c>
      <c r="E73" s="13" t="s">
        <v>91</v>
      </c>
      <c r="F73" s="13" t="s">
        <v>587</v>
      </c>
      <c r="G73" s="13" t="s">
        <v>92</v>
      </c>
      <c r="H73" s="13">
        <v>13.9</v>
      </c>
      <c r="I73" s="13">
        <v>615</v>
      </c>
      <c r="K73" s="13" t="s">
        <v>819</v>
      </c>
      <c r="L73" s="13" t="s">
        <v>820</v>
      </c>
      <c r="N73" s="13" t="s">
        <v>615</v>
      </c>
      <c r="O73" s="13" t="s">
        <v>54</v>
      </c>
      <c r="P73" s="13" t="s">
        <v>48</v>
      </c>
      <c r="Q73" s="13" t="s">
        <v>48</v>
      </c>
      <c r="R73" s="4">
        <v>3</v>
      </c>
      <c r="S73" s="13" t="s">
        <v>594</v>
      </c>
      <c r="T73" s="13">
        <v>365</v>
      </c>
      <c r="U73" s="4" t="s">
        <v>93</v>
      </c>
      <c r="V73" s="4">
        <v>450</v>
      </c>
      <c r="W73" s="4" t="s">
        <v>601</v>
      </c>
      <c r="X73" s="4">
        <v>450</v>
      </c>
      <c r="Y73" s="4">
        <v>6</v>
      </c>
      <c r="AA73" s="4" t="s">
        <v>49</v>
      </c>
      <c r="AB73" s="4">
        <v>0</v>
      </c>
      <c r="AC73" s="4" t="s">
        <v>49</v>
      </c>
      <c r="AD73" s="4">
        <v>0</v>
      </c>
      <c r="AE73" s="4" t="s">
        <v>49</v>
      </c>
      <c r="AF73" s="4">
        <v>0</v>
      </c>
      <c r="AG73" s="4" t="s">
        <v>738</v>
      </c>
      <c r="AH73" s="4" t="s">
        <v>795</v>
      </c>
      <c r="AI73" s="4" t="s">
        <v>64</v>
      </c>
      <c r="AJ73" s="13">
        <v>0</v>
      </c>
      <c r="AK73" s="13">
        <v>20</v>
      </c>
      <c r="AM73" s="13" t="s">
        <v>480</v>
      </c>
      <c r="AP73" s="13" t="s">
        <v>49</v>
      </c>
      <c r="AQ73" s="13" t="s">
        <v>49</v>
      </c>
      <c r="AR73" s="13" t="s">
        <v>49</v>
      </c>
      <c r="AS73" s="13" t="s">
        <v>49</v>
      </c>
      <c r="AT73" s="13" t="s">
        <v>990</v>
      </c>
      <c r="AU73" s="13" t="s">
        <v>998</v>
      </c>
      <c r="AV73" s="14">
        <v>1.51</v>
      </c>
      <c r="AW73" s="14">
        <v>1.49</v>
      </c>
      <c r="AX73" s="14">
        <f>Table1347456[[#This Row],[treatment_mean]]/Table1347456[[#This Row],[control_mean]]</f>
        <v>1.0134228187919463</v>
      </c>
      <c r="AY73" s="14">
        <f>LN(Table1347456[[#This Row],[rr]])</f>
        <v>1.3333530869465168E-2</v>
      </c>
      <c r="AZ73" s="13">
        <v>3</v>
      </c>
      <c r="BA73" s="13">
        <v>3</v>
      </c>
      <c r="BB73" s="14">
        <v>0.01</v>
      </c>
      <c r="BC73" s="14">
        <v>0.01</v>
      </c>
      <c r="BD73" s="15">
        <f>Table1347456[[#This Row],[treatment_se]]*SQRT(Table1347456[[#This Row],[treatment_n]])</f>
        <v>1.7320508075688773E-2</v>
      </c>
      <c r="BE73" s="14">
        <f>Table1347456[[#This Row],[control_se]]*SQRT(Table1347456[[#This Row],[control_n]])</f>
        <v>1.7320508075688773E-2</v>
      </c>
      <c r="BF7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8.8900741618710337E-5</v>
      </c>
      <c r="BG73" s="17">
        <f>SQRT(Table1347456[[#This Row],[v_from_sd_and_n]])</f>
        <v>9.4287189807900386E-3</v>
      </c>
      <c r="BH73" s="13" t="s">
        <v>50</v>
      </c>
      <c r="BI73" s="13">
        <v>2.5000000000000001E-2</v>
      </c>
      <c r="BJ73" s="18">
        <f>ABS(_xlfn.NORM.S.INV(Table1347456[[#This Row],[p_value]]/2))</f>
        <v>2.2414027276049446</v>
      </c>
      <c r="BK73" s="19">
        <f>(Table1347456[[#This Row],[lnrr]]/Table1347456[[#This Row],[z_from_p]])^2</f>
        <v>3.5387554339084298E-5</v>
      </c>
      <c r="BL73" s="16">
        <f>Table1347456[[#This Row],[v_from_sd_and_n]]</f>
        <v>8.8900741618710337E-5</v>
      </c>
      <c r="BM73" s="20">
        <f>SQRT(Table1347456[[#This Row],[v]])</f>
        <v>9.4287189807900386E-3</v>
      </c>
      <c r="BN73" s="20">
        <f>Table1347456[[#This Row],[lnrr]]-(1.96*Table1347456[[#This Row],[se]])</f>
        <v>-5.1467583328833073E-3</v>
      </c>
      <c r="BO73" s="20">
        <f>Table1347456[[#This Row],[lnrr]]+(1.96 * Table1347456[[#This Row],[se]])</f>
        <v>3.1813820071813645E-2</v>
      </c>
    </row>
    <row r="74" spans="1:67">
      <c r="A74" s="13" t="s">
        <v>88</v>
      </c>
      <c r="B74" s="13" t="s">
        <v>89</v>
      </c>
      <c r="C74" s="13" t="s">
        <v>43</v>
      </c>
      <c r="D74" s="13" t="s">
        <v>90</v>
      </c>
      <c r="E74" s="13" t="s">
        <v>91</v>
      </c>
      <c r="F74" s="13" t="s">
        <v>587</v>
      </c>
      <c r="G74" s="13" t="s">
        <v>92</v>
      </c>
      <c r="H74" s="13">
        <v>13.9</v>
      </c>
      <c r="I74" s="13">
        <v>615</v>
      </c>
      <c r="K74" s="13" t="s">
        <v>819</v>
      </c>
      <c r="L74" s="13" t="s">
        <v>820</v>
      </c>
      <c r="N74" s="13" t="s">
        <v>615</v>
      </c>
      <c r="O74" s="13" t="s">
        <v>54</v>
      </c>
      <c r="P74" s="13" t="s">
        <v>48</v>
      </c>
      <c r="Q74" s="13" t="s">
        <v>48</v>
      </c>
      <c r="R74" s="4">
        <v>3</v>
      </c>
      <c r="S74" s="13" t="s">
        <v>594</v>
      </c>
      <c r="T74" s="13">
        <v>365</v>
      </c>
      <c r="U74" s="4" t="s">
        <v>93</v>
      </c>
      <c r="V74" s="4">
        <v>450</v>
      </c>
      <c r="W74" s="4" t="s">
        <v>601</v>
      </c>
      <c r="X74" s="4">
        <v>450</v>
      </c>
      <c r="Y74" s="4">
        <v>12</v>
      </c>
      <c r="AA74" s="4" t="s">
        <v>49</v>
      </c>
      <c r="AB74" s="4">
        <v>0</v>
      </c>
      <c r="AC74" s="4" t="s">
        <v>49</v>
      </c>
      <c r="AD74" s="4">
        <v>0</v>
      </c>
      <c r="AE74" s="4" t="s">
        <v>49</v>
      </c>
      <c r="AF74" s="4">
        <v>0</v>
      </c>
      <c r="AG74" s="4" t="s">
        <v>738</v>
      </c>
      <c r="AH74" s="4" t="s">
        <v>795</v>
      </c>
      <c r="AI74" s="4" t="s">
        <v>64</v>
      </c>
      <c r="AJ74" s="13">
        <v>0</v>
      </c>
      <c r="AK74" s="13">
        <v>20</v>
      </c>
      <c r="AM74" s="13" t="s">
        <v>480</v>
      </c>
      <c r="AP74" s="13" t="s">
        <v>49</v>
      </c>
      <c r="AQ74" s="13" t="s">
        <v>49</v>
      </c>
      <c r="AR74" s="13" t="s">
        <v>49</v>
      </c>
      <c r="AS74" s="13" t="s">
        <v>49</v>
      </c>
      <c r="AT74" s="13" t="s">
        <v>990</v>
      </c>
      <c r="AU74" s="13" t="s">
        <v>998</v>
      </c>
      <c r="AV74" s="14">
        <v>1.48</v>
      </c>
      <c r="AW74" s="14">
        <v>1.49</v>
      </c>
      <c r="AX74" s="14">
        <f>Table1347456[[#This Row],[treatment_mean]]/Table1347456[[#This Row],[control_mean]]</f>
        <v>0.99328859060402686</v>
      </c>
      <c r="AY74" s="14">
        <f>LN(Table1347456[[#This Row],[rr]])</f>
        <v>-6.7340321813440683E-3</v>
      </c>
      <c r="AZ74" s="13">
        <v>3</v>
      </c>
      <c r="BA74" s="13">
        <v>3</v>
      </c>
      <c r="BB74" s="14">
        <v>0.01</v>
      </c>
      <c r="BC74" s="14">
        <v>0.01</v>
      </c>
      <c r="BD74" s="15">
        <f>Table1347456[[#This Row],[treatment_se]]*SQRT(Table1347456[[#This Row],[treatment_n]])</f>
        <v>1.7320508075688773E-2</v>
      </c>
      <c r="BE74" s="14">
        <f>Table1347456[[#This Row],[control_se]]*SQRT(Table1347456[[#This Row],[control_n]])</f>
        <v>1.7320508075688773E-2</v>
      </c>
      <c r="BF7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9.0696777950334848E-5</v>
      </c>
      <c r="BG74" s="17">
        <f>SQRT(Table1347456[[#This Row],[v_from_sd_and_n]])</f>
        <v>9.5234855987886523E-3</v>
      </c>
      <c r="BH74" s="13" t="s">
        <v>50</v>
      </c>
      <c r="BI74" s="13">
        <v>2.5000000000000001E-2</v>
      </c>
      <c r="BJ74" s="18">
        <f>ABS(_xlfn.NORM.S.INV(Table1347456[[#This Row],[p_value]]/2))</f>
        <v>2.2414027276049446</v>
      </c>
      <c r="BK74" s="19">
        <f>(Table1347456[[#This Row],[lnrr]]/Table1347456[[#This Row],[z_from_p]])^2</f>
        <v>9.0263170240355781E-6</v>
      </c>
      <c r="BL74" s="16">
        <f>Table1347456[[#This Row],[v_from_sd_and_n]]</f>
        <v>9.0696777950334848E-5</v>
      </c>
      <c r="BM74" s="20">
        <f>SQRT(Table1347456[[#This Row],[v]])</f>
        <v>9.5234855987886523E-3</v>
      </c>
      <c r="BN74" s="20">
        <f>Table1347456[[#This Row],[lnrr]]-(1.96*Table1347456[[#This Row],[se]])</f>
        <v>-2.5400063954969826E-2</v>
      </c>
      <c r="BO74" s="20">
        <f>Table1347456[[#This Row],[lnrr]]+(1.96 * Table1347456[[#This Row],[se]])</f>
        <v>1.1931999592281688E-2</v>
      </c>
    </row>
    <row r="75" spans="1:67">
      <c r="A75" s="13" t="s">
        <v>88</v>
      </c>
      <c r="B75" s="13" t="s">
        <v>89</v>
      </c>
      <c r="C75" s="13" t="s">
        <v>43</v>
      </c>
      <c r="D75" s="13" t="s">
        <v>90</v>
      </c>
      <c r="E75" s="13" t="s">
        <v>91</v>
      </c>
      <c r="F75" s="13" t="s">
        <v>587</v>
      </c>
      <c r="G75" s="13" t="s">
        <v>92</v>
      </c>
      <c r="H75" s="13">
        <v>13.9</v>
      </c>
      <c r="I75" s="13">
        <v>615</v>
      </c>
      <c r="K75" s="13" t="s">
        <v>819</v>
      </c>
      <c r="L75" s="13" t="s">
        <v>820</v>
      </c>
      <c r="N75" s="13" t="s">
        <v>615</v>
      </c>
      <c r="O75" s="13" t="s">
        <v>54</v>
      </c>
      <c r="P75" s="13" t="s">
        <v>48</v>
      </c>
      <c r="Q75" s="13" t="s">
        <v>48</v>
      </c>
      <c r="R75" s="4">
        <v>3</v>
      </c>
      <c r="S75" s="13" t="s">
        <v>594</v>
      </c>
      <c r="T75" s="13">
        <v>365</v>
      </c>
      <c r="U75" s="4" t="s">
        <v>93</v>
      </c>
      <c r="V75" s="4">
        <v>450</v>
      </c>
      <c r="W75" s="4" t="s">
        <v>601</v>
      </c>
      <c r="X75" s="4">
        <v>450</v>
      </c>
      <c r="Y75" s="4">
        <v>3</v>
      </c>
      <c r="AA75" s="4" t="s">
        <v>50</v>
      </c>
      <c r="AB75" s="4">
        <v>200</v>
      </c>
      <c r="AC75" s="4" t="s">
        <v>49</v>
      </c>
      <c r="AD75" s="4">
        <v>0</v>
      </c>
      <c r="AE75" s="4" t="s">
        <v>49</v>
      </c>
      <c r="AF75" s="4">
        <v>0</v>
      </c>
      <c r="AG75" s="4" t="s">
        <v>738</v>
      </c>
      <c r="AH75" s="4" t="s">
        <v>795</v>
      </c>
      <c r="AI75" s="4" t="s">
        <v>64</v>
      </c>
      <c r="AJ75" s="13">
        <v>0</v>
      </c>
      <c r="AK75" s="13">
        <v>20</v>
      </c>
      <c r="AM75" s="13" t="s">
        <v>480</v>
      </c>
      <c r="AP75" s="13" t="s">
        <v>49</v>
      </c>
      <c r="AQ75" s="13" t="s">
        <v>49</v>
      </c>
      <c r="AR75" s="13" t="s">
        <v>49</v>
      </c>
      <c r="AS75" s="13" t="s">
        <v>49</v>
      </c>
      <c r="AT75" s="13" t="s">
        <v>992</v>
      </c>
      <c r="AU75" s="4" t="s">
        <v>1000</v>
      </c>
      <c r="AV75" s="14">
        <v>2.11</v>
      </c>
      <c r="AW75" s="14">
        <v>2.2400000000000002</v>
      </c>
      <c r="AX75" s="14">
        <f>Table1347456[[#This Row],[treatment_mean]]/Table1347456[[#This Row],[control_mean]]</f>
        <v>0.94196428571428559</v>
      </c>
      <c r="AY75" s="14">
        <f>LN(Table1347456[[#This Row],[rr]])</f>
        <v>-5.9787918378973494E-2</v>
      </c>
      <c r="AZ75" s="13">
        <v>3</v>
      </c>
      <c r="BA75" s="13">
        <v>3</v>
      </c>
      <c r="BB75" s="14">
        <v>0.02</v>
      </c>
      <c r="BC75" s="14">
        <v>0.05</v>
      </c>
      <c r="BD75" s="15">
        <f>Table1347456[[#This Row],[treatment_se]]*SQRT(Table1347456[[#This Row],[treatment_n]])</f>
        <v>3.4641016151377546E-2</v>
      </c>
      <c r="BE75" s="14">
        <f>Table1347456[[#This Row],[control_se]]*SQRT(Table1347456[[#This Row],[control_n]])</f>
        <v>8.6602540378443865E-2</v>
      </c>
      <c r="BF7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5.8809141504078094E-4</v>
      </c>
      <c r="BG75" s="17">
        <f>SQRT(Table1347456[[#This Row],[v_from_sd_and_n]])</f>
        <v>2.425059617907941E-2</v>
      </c>
      <c r="BH75" s="13" t="s">
        <v>50</v>
      </c>
      <c r="BI75" s="13">
        <v>2.5000000000000001E-2</v>
      </c>
      <c r="BJ75" s="18">
        <f>ABS(_xlfn.NORM.S.INV(Table1347456[[#This Row],[p_value]]/2))</f>
        <v>2.2414027276049446</v>
      </c>
      <c r="BK75" s="19">
        <f>(Table1347456[[#This Row],[lnrr]]/Table1347456[[#This Row],[z_from_p]])^2</f>
        <v>7.1151993711889971E-4</v>
      </c>
      <c r="BL75" s="16">
        <f>Table1347456[[#This Row],[v_from_sd_and_n]]</f>
        <v>5.8809141504078094E-4</v>
      </c>
      <c r="BM75" s="20">
        <f>SQRT(Table1347456[[#This Row],[v]])</f>
        <v>2.425059617907941E-2</v>
      </c>
      <c r="BN75" s="20">
        <f>Table1347456[[#This Row],[lnrr]]-(1.96*Table1347456[[#This Row],[se]])</f>
        <v>-0.10731908688996913</v>
      </c>
      <c r="BO75" s="20">
        <f>Table1347456[[#This Row],[lnrr]]+(1.96 * Table1347456[[#This Row],[se]])</f>
        <v>-1.2256749867977854E-2</v>
      </c>
    </row>
    <row r="76" spans="1:67">
      <c r="A76" s="13" t="s">
        <v>88</v>
      </c>
      <c r="B76" s="13" t="s">
        <v>89</v>
      </c>
      <c r="C76" s="13" t="s">
        <v>43</v>
      </c>
      <c r="D76" s="13" t="s">
        <v>90</v>
      </c>
      <c r="E76" s="13" t="s">
        <v>91</v>
      </c>
      <c r="F76" s="13" t="s">
        <v>587</v>
      </c>
      <c r="G76" s="13" t="s">
        <v>92</v>
      </c>
      <c r="H76" s="13">
        <v>13.9</v>
      </c>
      <c r="I76" s="13">
        <v>615</v>
      </c>
      <c r="K76" s="13" t="s">
        <v>819</v>
      </c>
      <c r="L76" s="13" t="s">
        <v>820</v>
      </c>
      <c r="N76" s="13" t="s">
        <v>615</v>
      </c>
      <c r="O76" s="13" t="s">
        <v>54</v>
      </c>
      <c r="P76" s="13" t="s">
        <v>48</v>
      </c>
      <c r="Q76" s="13" t="s">
        <v>48</v>
      </c>
      <c r="R76" s="4">
        <v>3</v>
      </c>
      <c r="S76" s="13" t="s">
        <v>594</v>
      </c>
      <c r="T76" s="13">
        <v>365</v>
      </c>
      <c r="U76" s="4" t="s">
        <v>93</v>
      </c>
      <c r="V76" s="4">
        <v>450</v>
      </c>
      <c r="W76" s="4" t="s">
        <v>601</v>
      </c>
      <c r="X76" s="4">
        <v>450</v>
      </c>
      <c r="Y76" s="4">
        <v>6</v>
      </c>
      <c r="AA76" s="4" t="s">
        <v>50</v>
      </c>
      <c r="AB76" s="4">
        <v>200</v>
      </c>
      <c r="AC76" s="4" t="s">
        <v>49</v>
      </c>
      <c r="AD76" s="4">
        <v>0</v>
      </c>
      <c r="AE76" s="4" t="s">
        <v>49</v>
      </c>
      <c r="AF76" s="4">
        <v>0</v>
      </c>
      <c r="AG76" s="4" t="s">
        <v>738</v>
      </c>
      <c r="AH76" s="4" t="s">
        <v>795</v>
      </c>
      <c r="AI76" s="4" t="s">
        <v>64</v>
      </c>
      <c r="AJ76" s="13">
        <v>0</v>
      </c>
      <c r="AK76" s="13">
        <v>20</v>
      </c>
      <c r="AM76" s="13" t="s">
        <v>480</v>
      </c>
      <c r="AP76" s="13" t="s">
        <v>49</v>
      </c>
      <c r="AQ76" s="13" t="s">
        <v>49</v>
      </c>
      <c r="AR76" s="13" t="s">
        <v>49</v>
      </c>
      <c r="AS76" s="13" t="s">
        <v>49</v>
      </c>
      <c r="AT76" s="13" t="s">
        <v>992</v>
      </c>
      <c r="AU76" s="4" t="s">
        <v>1000</v>
      </c>
      <c r="AV76" s="14">
        <v>2.11</v>
      </c>
      <c r="AW76" s="14">
        <v>2.2400000000000002</v>
      </c>
      <c r="AX76" s="14">
        <f>Table1347456[[#This Row],[treatment_mean]]/Table1347456[[#This Row],[control_mean]]</f>
        <v>0.94196428571428559</v>
      </c>
      <c r="AY76" s="14">
        <f>LN(Table1347456[[#This Row],[rr]])</f>
        <v>-5.9787918378973494E-2</v>
      </c>
      <c r="AZ76" s="13">
        <v>3</v>
      </c>
      <c r="BA76" s="13">
        <v>3</v>
      </c>
      <c r="BB76" s="14">
        <v>0.02</v>
      </c>
      <c r="BC76" s="14">
        <v>0.05</v>
      </c>
      <c r="BD76" s="15">
        <f>Table1347456[[#This Row],[treatment_se]]*SQRT(Table1347456[[#This Row],[treatment_n]])</f>
        <v>3.4641016151377546E-2</v>
      </c>
      <c r="BE76" s="14">
        <f>Table1347456[[#This Row],[control_se]]*SQRT(Table1347456[[#This Row],[control_n]])</f>
        <v>8.6602540378443865E-2</v>
      </c>
      <c r="BF7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5.8809141504078094E-4</v>
      </c>
      <c r="BG76" s="17">
        <f>SQRT(Table1347456[[#This Row],[v_from_sd_and_n]])</f>
        <v>2.425059617907941E-2</v>
      </c>
      <c r="BH76" s="13" t="s">
        <v>50</v>
      </c>
      <c r="BI76" s="13">
        <v>2.5000000000000001E-2</v>
      </c>
      <c r="BJ76" s="18">
        <f>ABS(_xlfn.NORM.S.INV(Table1347456[[#This Row],[p_value]]/2))</f>
        <v>2.2414027276049446</v>
      </c>
      <c r="BK76" s="19">
        <f>(Table1347456[[#This Row],[lnrr]]/Table1347456[[#This Row],[z_from_p]])^2</f>
        <v>7.1151993711889971E-4</v>
      </c>
      <c r="BL76" s="16">
        <f>Table1347456[[#This Row],[v_from_sd_and_n]]</f>
        <v>5.8809141504078094E-4</v>
      </c>
      <c r="BM76" s="20">
        <f>SQRT(Table1347456[[#This Row],[v]])</f>
        <v>2.425059617907941E-2</v>
      </c>
      <c r="BN76" s="20">
        <f>Table1347456[[#This Row],[lnrr]]-(1.96*Table1347456[[#This Row],[se]])</f>
        <v>-0.10731908688996913</v>
      </c>
      <c r="BO76" s="20">
        <f>Table1347456[[#This Row],[lnrr]]+(1.96 * Table1347456[[#This Row],[se]])</f>
        <v>-1.2256749867977854E-2</v>
      </c>
    </row>
    <row r="77" spans="1:67">
      <c r="A77" s="13" t="s">
        <v>88</v>
      </c>
      <c r="B77" s="13" t="s">
        <v>89</v>
      </c>
      <c r="C77" s="13" t="s">
        <v>43</v>
      </c>
      <c r="D77" s="13" t="s">
        <v>90</v>
      </c>
      <c r="E77" s="13" t="s">
        <v>91</v>
      </c>
      <c r="F77" s="13" t="s">
        <v>587</v>
      </c>
      <c r="G77" s="13" t="s">
        <v>92</v>
      </c>
      <c r="H77" s="13">
        <v>13.9</v>
      </c>
      <c r="I77" s="13">
        <v>615</v>
      </c>
      <c r="K77" s="13" t="s">
        <v>819</v>
      </c>
      <c r="L77" s="13" t="s">
        <v>820</v>
      </c>
      <c r="N77" s="13" t="s">
        <v>615</v>
      </c>
      <c r="O77" s="13" t="s">
        <v>54</v>
      </c>
      <c r="P77" s="13" t="s">
        <v>48</v>
      </c>
      <c r="Q77" s="13" t="s">
        <v>48</v>
      </c>
      <c r="R77" s="4">
        <v>3</v>
      </c>
      <c r="S77" s="13" t="s">
        <v>594</v>
      </c>
      <c r="T77" s="13">
        <v>365</v>
      </c>
      <c r="U77" s="4" t="s">
        <v>93</v>
      </c>
      <c r="V77" s="4">
        <v>450</v>
      </c>
      <c r="W77" s="4" t="s">
        <v>601</v>
      </c>
      <c r="X77" s="4">
        <v>450</v>
      </c>
      <c r="Y77" s="4">
        <v>12</v>
      </c>
      <c r="AA77" s="4" t="s">
        <v>50</v>
      </c>
      <c r="AB77" s="4">
        <v>200</v>
      </c>
      <c r="AC77" s="4" t="s">
        <v>49</v>
      </c>
      <c r="AD77" s="4">
        <v>0</v>
      </c>
      <c r="AE77" s="4" t="s">
        <v>49</v>
      </c>
      <c r="AF77" s="4">
        <v>0</v>
      </c>
      <c r="AG77" s="4" t="s">
        <v>738</v>
      </c>
      <c r="AH77" s="4" t="s">
        <v>795</v>
      </c>
      <c r="AI77" s="4" t="s">
        <v>64</v>
      </c>
      <c r="AJ77" s="13">
        <v>0</v>
      </c>
      <c r="AK77" s="13">
        <v>20</v>
      </c>
      <c r="AM77" s="13" t="s">
        <v>480</v>
      </c>
      <c r="AP77" s="13" t="s">
        <v>49</v>
      </c>
      <c r="AQ77" s="13" t="s">
        <v>49</v>
      </c>
      <c r="AR77" s="13" t="s">
        <v>49</v>
      </c>
      <c r="AS77" s="13" t="s">
        <v>49</v>
      </c>
      <c r="AT77" s="13" t="s">
        <v>992</v>
      </c>
      <c r="AU77" s="4" t="s">
        <v>1000</v>
      </c>
      <c r="AV77" s="14">
        <v>2.31</v>
      </c>
      <c r="AW77" s="14">
        <v>2.2400000000000002</v>
      </c>
      <c r="AX77" s="14">
        <f>Table1347456[[#This Row],[treatment_mean]]/Table1347456[[#This Row],[control_mean]]</f>
        <v>1.03125</v>
      </c>
      <c r="AY77" s="14">
        <f>LN(Table1347456[[#This Row],[rr]])</f>
        <v>3.0771658666753687E-2</v>
      </c>
      <c r="AZ77" s="13">
        <v>3</v>
      </c>
      <c r="BA77" s="13">
        <v>3</v>
      </c>
      <c r="BB77" s="14">
        <v>0.02</v>
      </c>
      <c r="BC77" s="14">
        <v>0.05</v>
      </c>
      <c r="BD77" s="15">
        <f>Table1347456[[#This Row],[treatment_se]]*SQRT(Table1347456[[#This Row],[treatment_n]])</f>
        <v>3.4641016151377546E-2</v>
      </c>
      <c r="BE77" s="14">
        <f>Table1347456[[#This Row],[control_se]]*SQRT(Table1347456[[#This Row],[control_n]])</f>
        <v>8.6602540378443865E-2</v>
      </c>
      <c r="BF7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5.7320728739154053E-4</v>
      </c>
      <c r="BG77" s="17">
        <f>SQRT(Table1347456[[#This Row],[v_from_sd_and_n]])</f>
        <v>2.3941747793165404E-2</v>
      </c>
      <c r="BH77" s="13" t="s">
        <v>50</v>
      </c>
      <c r="BI77" s="13">
        <v>2.5000000000000001E-2</v>
      </c>
      <c r="BJ77" s="18">
        <f>ABS(_xlfn.NORM.S.INV(Table1347456[[#This Row],[p_value]]/2))</f>
        <v>2.2414027276049446</v>
      </c>
      <c r="BK77" s="19">
        <f>(Table1347456[[#This Row],[lnrr]]/Table1347456[[#This Row],[z_from_p]])^2</f>
        <v>1.8847858844694171E-4</v>
      </c>
      <c r="BL77" s="16">
        <f>Table1347456[[#This Row],[v_from_sd_and_n]]</f>
        <v>5.7320728739154053E-4</v>
      </c>
      <c r="BM77" s="20">
        <f>SQRT(Table1347456[[#This Row],[v]])</f>
        <v>2.3941747793165404E-2</v>
      </c>
      <c r="BN77" s="20">
        <f>Table1347456[[#This Row],[lnrr]]-(1.96*Table1347456[[#This Row],[se]])</f>
        <v>-1.6154167007850502E-2</v>
      </c>
      <c r="BO77" s="20">
        <f>Table1347456[[#This Row],[lnrr]]+(1.96 * Table1347456[[#This Row],[se]])</f>
        <v>7.769748434135787E-2</v>
      </c>
    </row>
    <row r="78" spans="1:67">
      <c r="A78" s="13" t="s">
        <v>88</v>
      </c>
      <c r="B78" s="13" t="s">
        <v>89</v>
      </c>
      <c r="C78" s="13" t="s">
        <v>43</v>
      </c>
      <c r="D78" s="13" t="s">
        <v>90</v>
      </c>
      <c r="E78" s="13" t="s">
        <v>91</v>
      </c>
      <c r="F78" s="13" t="s">
        <v>587</v>
      </c>
      <c r="G78" s="13" t="s">
        <v>92</v>
      </c>
      <c r="H78" s="13">
        <v>13.9</v>
      </c>
      <c r="I78" s="13">
        <v>615</v>
      </c>
      <c r="K78" s="13" t="s">
        <v>819</v>
      </c>
      <c r="L78" s="13" t="s">
        <v>820</v>
      </c>
      <c r="N78" s="13" t="s">
        <v>53</v>
      </c>
      <c r="O78" s="13" t="s">
        <v>54</v>
      </c>
      <c r="P78" s="13" t="s">
        <v>48</v>
      </c>
      <c r="Q78" s="13" t="s">
        <v>48</v>
      </c>
      <c r="R78" s="4">
        <v>3</v>
      </c>
      <c r="S78" s="13" t="s">
        <v>594</v>
      </c>
      <c r="T78" s="13">
        <v>365</v>
      </c>
      <c r="U78" s="4" t="s">
        <v>93</v>
      </c>
      <c r="V78" s="4">
        <v>450</v>
      </c>
      <c r="W78" s="4" t="s">
        <v>601</v>
      </c>
      <c r="X78" s="4">
        <v>450</v>
      </c>
      <c r="Y78" s="4">
        <v>3</v>
      </c>
      <c r="AA78" s="4" t="s">
        <v>49</v>
      </c>
      <c r="AB78" s="4">
        <v>0</v>
      </c>
      <c r="AC78" s="4" t="s">
        <v>49</v>
      </c>
      <c r="AD78" s="4">
        <v>0</v>
      </c>
      <c r="AE78" s="4" t="s">
        <v>49</v>
      </c>
      <c r="AF78" s="4">
        <v>0</v>
      </c>
      <c r="AG78" s="4" t="s">
        <v>738</v>
      </c>
      <c r="AH78" s="4" t="s">
        <v>795</v>
      </c>
      <c r="AI78" s="4" t="s">
        <v>64</v>
      </c>
      <c r="AJ78" s="13">
        <v>0</v>
      </c>
      <c r="AK78" s="13">
        <v>20</v>
      </c>
      <c r="AM78" s="13" t="s">
        <v>480</v>
      </c>
      <c r="AP78" s="13" t="s">
        <v>49</v>
      </c>
      <c r="AQ78" s="13" t="s">
        <v>49</v>
      </c>
      <c r="AR78" s="13" t="s">
        <v>49</v>
      </c>
      <c r="AS78" s="13" t="s">
        <v>49</v>
      </c>
      <c r="AT78" s="13" t="s">
        <v>990</v>
      </c>
      <c r="AU78" s="13" t="s">
        <v>998</v>
      </c>
      <c r="AV78" s="14">
        <v>1.41</v>
      </c>
      <c r="AW78" s="14">
        <v>1.5</v>
      </c>
      <c r="AX78" s="14">
        <f>Table1347456[[#This Row],[treatment_mean]]/Table1347456[[#This Row],[control_mean]]</f>
        <v>0.94</v>
      </c>
      <c r="AY78" s="14">
        <f>LN(Table1347456[[#This Row],[rr]])</f>
        <v>-6.1875403718087529E-2</v>
      </c>
      <c r="AZ78" s="13">
        <v>3</v>
      </c>
      <c r="BA78" s="13">
        <v>3</v>
      </c>
      <c r="BB78" s="14">
        <v>0.03</v>
      </c>
      <c r="BC78" s="14">
        <v>0.01</v>
      </c>
      <c r="BD78" s="15">
        <f>Table1347456[[#This Row],[treatment_se]]*SQRT(Table1347456[[#This Row],[treatment_n]])</f>
        <v>5.1961524227066312E-2</v>
      </c>
      <c r="BE78" s="14">
        <f>Table1347456[[#This Row],[control_se]]*SQRT(Table1347456[[#This Row],[control_n]])</f>
        <v>1.7320508075688773E-2</v>
      </c>
      <c r="BF7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4.9713797092701558E-4</v>
      </c>
      <c r="BG78" s="17">
        <f>SQRT(Table1347456[[#This Row],[v_from_sd_and_n]])</f>
        <v>2.2296591015826064E-2</v>
      </c>
      <c r="BH78" s="13" t="s">
        <v>50</v>
      </c>
      <c r="BI78" s="13">
        <v>2.5000000000000001E-2</v>
      </c>
      <c r="BJ78" s="18">
        <f>ABS(_xlfn.NORM.S.INV(Table1347456[[#This Row],[p_value]]/2))</f>
        <v>2.2414027276049446</v>
      </c>
      <c r="BK78" s="19">
        <f>(Table1347456[[#This Row],[lnrr]]/Table1347456[[#This Row],[z_from_p]])^2</f>
        <v>7.6207251568383388E-4</v>
      </c>
      <c r="BL78" s="16">
        <f>Table1347456[[#This Row],[v_from_sd_and_n]]</f>
        <v>4.9713797092701558E-4</v>
      </c>
      <c r="BM78" s="20">
        <f>SQRT(Table1347456[[#This Row],[v]])</f>
        <v>2.2296591015826064E-2</v>
      </c>
      <c r="BN78" s="20">
        <f>Table1347456[[#This Row],[lnrr]]-(1.96*Table1347456[[#This Row],[se]])</f>
        <v>-0.10557672210910661</v>
      </c>
      <c r="BO78" s="20">
        <f>Table1347456[[#This Row],[lnrr]]+(1.96 * Table1347456[[#This Row],[se]])</f>
        <v>-1.8174085327068448E-2</v>
      </c>
    </row>
    <row r="79" spans="1:67">
      <c r="A79" s="13" t="s">
        <v>88</v>
      </c>
      <c r="B79" s="13" t="s">
        <v>89</v>
      </c>
      <c r="C79" s="13" t="s">
        <v>43</v>
      </c>
      <c r="D79" s="13" t="s">
        <v>90</v>
      </c>
      <c r="E79" s="13" t="s">
        <v>91</v>
      </c>
      <c r="F79" s="13" t="s">
        <v>587</v>
      </c>
      <c r="G79" s="13" t="s">
        <v>92</v>
      </c>
      <c r="H79" s="13">
        <v>13.9</v>
      </c>
      <c r="I79" s="13">
        <v>615</v>
      </c>
      <c r="K79" s="13" t="s">
        <v>819</v>
      </c>
      <c r="L79" s="13" t="s">
        <v>820</v>
      </c>
      <c r="N79" s="13" t="s">
        <v>53</v>
      </c>
      <c r="O79" s="13" t="s">
        <v>54</v>
      </c>
      <c r="P79" s="13" t="s">
        <v>48</v>
      </c>
      <c r="Q79" s="13" t="s">
        <v>48</v>
      </c>
      <c r="R79" s="4">
        <v>3</v>
      </c>
      <c r="S79" s="13" t="s">
        <v>594</v>
      </c>
      <c r="T79" s="13">
        <v>365</v>
      </c>
      <c r="U79" s="4" t="s">
        <v>93</v>
      </c>
      <c r="V79" s="4">
        <v>450</v>
      </c>
      <c r="W79" s="4" t="s">
        <v>601</v>
      </c>
      <c r="X79" s="4">
        <v>450</v>
      </c>
      <c r="Y79" s="4">
        <v>6</v>
      </c>
      <c r="AA79" s="4" t="s">
        <v>49</v>
      </c>
      <c r="AB79" s="4">
        <v>0</v>
      </c>
      <c r="AC79" s="4" t="s">
        <v>49</v>
      </c>
      <c r="AD79" s="4">
        <v>0</v>
      </c>
      <c r="AE79" s="4" t="s">
        <v>49</v>
      </c>
      <c r="AF79" s="4">
        <v>0</v>
      </c>
      <c r="AG79" s="4" t="s">
        <v>738</v>
      </c>
      <c r="AH79" s="4" t="s">
        <v>795</v>
      </c>
      <c r="AI79" s="4" t="s">
        <v>64</v>
      </c>
      <c r="AJ79" s="13">
        <v>0</v>
      </c>
      <c r="AK79" s="13">
        <v>20</v>
      </c>
      <c r="AM79" s="13" t="s">
        <v>480</v>
      </c>
      <c r="AP79" s="13" t="s">
        <v>49</v>
      </c>
      <c r="AQ79" s="13" t="s">
        <v>49</v>
      </c>
      <c r="AR79" s="13" t="s">
        <v>49</v>
      </c>
      <c r="AS79" s="13" t="s">
        <v>49</v>
      </c>
      <c r="AT79" s="13" t="s">
        <v>990</v>
      </c>
      <c r="AU79" s="13" t="s">
        <v>998</v>
      </c>
      <c r="AV79" s="14">
        <v>1.6</v>
      </c>
      <c r="AW79" s="14">
        <v>1.5</v>
      </c>
      <c r="AX79" s="14">
        <f>Table1347456[[#This Row],[treatment_mean]]/Table1347456[[#This Row],[control_mean]]</f>
        <v>1.0666666666666667</v>
      </c>
      <c r="AY79" s="14">
        <f>LN(Table1347456[[#This Row],[rr]])</f>
        <v>6.4538521137571164E-2</v>
      </c>
      <c r="AZ79" s="13">
        <v>3</v>
      </c>
      <c r="BA79" s="13">
        <v>3</v>
      </c>
      <c r="BB79" s="14">
        <v>0.01</v>
      </c>
      <c r="BC79" s="14">
        <v>0.01</v>
      </c>
      <c r="BD79" s="15">
        <f>Table1347456[[#This Row],[treatment_se]]*SQRT(Table1347456[[#This Row],[treatment_n]])</f>
        <v>1.7320508075688773E-2</v>
      </c>
      <c r="BE79" s="14">
        <f>Table1347456[[#This Row],[control_se]]*SQRT(Table1347456[[#This Row],[control_n]])</f>
        <v>1.7320508075688773E-2</v>
      </c>
      <c r="BF7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8.3506944444444441E-5</v>
      </c>
      <c r="BG79" s="17">
        <f>SQRT(Table1347456[[#This Row],[v_from_sd_and_n]])</f>
        <v>9.1382134164422115E-3</v>
      </c>
      <c r="BH79" s="13" t="s">
        <v>50</v>
      </c>
      <c r="BI79" s="13">
        <v>2.5000000000000001E-2</v>
      </c>
      <c r="BJ79" s="18">
        <f>ABS(_xlfn.NORM.S.INV(Table1347456[[#This Row],[p_value]]/2))</f>
        <v>2.2414027276049446</v>
      </c>
      <c r="BK79" s="19">
        <f>(Table1347456[[#This Row],[lnrr]]/Table1347456[[#This Row],[z_from_p]])^2</f>
        <v>8.2908341378069785E-4</v>
      </c>
      <c r="BL79" s="16">
        <f>Table1347456[[#This Row],[v_from_sd_and_n]]</f>
        <v>8.3506944444444441E-5</v>
      </c>
      <c r="BM79" s="20">
        <f>SQRT(Table1347456[[#This Row],[v]])</f>
        <v>9.1382134164422115E-3</v>
      </c>
      <c r="BN79" s="20">
        <f>Table1347456[[#This Row],[lnrr]]-(1.96*Table1347456[[#This Row],[se]])</f>
        <v>4.6627622841344432E-2</v>
      </c>
      <c r="BO79" s="20">
        <f>Table1347456[[#This Row],[lnrr]]+(1.96 * Table1347456[[#This Row],[se]])</f>
        <v>8.2449419433797896E-2</v>
      </c>
    </row>
    <row r="80" spans="1:67">
      <c r="A80" s="13" t="s">
        <v>88</v>
      </c>
      <c r="B80" s="13" t="s">
        <v>89</v>
      </c>
      <c r="C80" s="13" t="s">
        <v>43</v>
      </c>
      <c r="D80" s="13" t="s">
        <v>90</v>
      </c>
      <c r="E80" s="13" t="s">
        <v>91</v>
      </c>
      <c r="F80" s="13" t="s">
        <v>587</v>
      </c>
      <c r="G80" s="13" t="s">
        <v>92</v>
      </c>
      <c r="H80" s="13">
        <v>13.9</v>
      </c>
      <c r="I80" s="13">
        <v>615</v>
      </c>
      <c r="K80" s="13" t="s">
        <v>819</v>
      </c>
      <c r="L80" s="13" t="s">
        <v>820</v>
      </c>
      <c r="N80" s="13" t="s">
        <v>53</v>
      </c>
      <c r="O80" s="13" t="s">
        <v>54</v>
      </c>
      <c r="P80" s="13" t="s">
        <v>48</v>
      </c>
      <c r="Q80" s="13" t="s">
        <v>48</v>
      </c>
      <c r="R80" s="4">
        <v>3</v>
      </c>
      <c r="S80" s="13" t="s">
        <v>594</v>
      </c>
      <c r="T80" s="13">
        <v>365</v>
      </c>
      <c r="U80" s="4" t="s">
        <v>93</v>
      </c>
      <c r="V80" s="4">
        <v>450</v>
      </c>
      <c r="W80" s="4" t="s">
        <v>601</v>
      </c>
      <c r="X80" s="4">
        <v>450</v>
      </c>
      <c r="Y80" s="4">
        <v>12</v>
      </c>
      <c r="AA80" s="4" t="s">
        <v>49</v>
      </c>
      <c r="AB80" s="4">
        <v>0</v>
      </c>
      <c r="AC80" s="4" t="s">
        <v>49</v>
      </c>
      <c r="AD80" s="4">
        <v>0</v>
      </c>
      <c r="AE80" s="4" t="s">
        <v>49</v>
      </c>
      <c r="AF80" s="4">
        <v>0</v>
      </c>
      <c r="AG80" s="4" t="s">
        <v>738</v>
      </c>
      <c r="AH80" s="4" t="s">
        <v>795</v>
      </c>
      <c r="AI80" s="4" t="s">
        <v>64</v>
      </c>
      <c r="AJ80" s="13">
        <v>0</v>
      </c>
      <c r="AK80" s="13">
        <v>20</v>
      </c>
      <c r="AM80" s="13" t="s">
        <v>480</v>
      </c>
      <c r="AP80" s="13" t="s">
        <v>49</v>
      </c>
      <c r="AQ80" s="13" t="s">
        <v>49</v>
      </c>
      <c r="AR80" s="13" t="s">
        <v>49</v>
      </c>
      <c r="AS80" s="13" t="s">
        <v>49</v>
      </c>
      <c r="AT80" s="13" t="s">
        <v>990</v>
      </c>
      <c r="AU80" s="13" t="s">
        <v>998</v>
      </c>
      <c r="AV80" s="14">
        <v>1.54</v>
      </c>
      <c r="AW80" s="14">
        <v>1.5</v>
      </c>
      <c r="AX80" s="14">
        <f>Table1347456[[#This Row],[treatment_mean]]/Table1347456[[#This Row],[control_mean]]</f>
        <v>1.0266666666666666</v>
      </c>
      <c r="AY80" s="14">
        <f>LN(Table1347456[[#This Row],[rr]])</f>
        <v>2.6317308317373358E-2</v>
      </c>
      <c r="AZ80" s="13">
        <v>3</v>
      </c>
      <c r="BA80" s="13">
        <v>3</v>
      </c>
      <c r="BB80" s="14">
        <v>0.01</v>
      </c>
      <c r="BC80" s="14">
        <v>0.01</v>
      </c>
      <c r="BD80" s="15">
        <f>Table1347456[[#This Row],[treatment_se]]*SQRT(Table1347456[[#This Row],[treatment_n]])</f>
        <v>1.7320508075688773E-2</v>
      </c>
      <c r="BE80" s="14">
        <f>Table1347456[[#This Row],[control_se]]*SQRT(Table1347456[[#This Row],[control_n]])</f>
        <v>1.7320508075688773E-2</v>
      </c>
      <c r="BF8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8.6610071025655449E-5</v>
      </c>
      <c r="BG80" s="17">
        <f>SQRT(Table1347456[[#This Row],[v_from_sd_and_n]])</f>
        <v>9.3064531925785478E-3</v>
      </c>
      <c r="BH80" s="13" t="s">
        <v>50</v>
      </c>
      <c r="BI80" s="13">
        <v>2.5000000000000001E-2</v>
      </c>
      <c r="BJ80" s="18">
        <f>ABS(_xlfn.NORM.S.INV(Table1347456[[#This Row],[p_value]]/2))</f>
        <v>2.2414027276049446</v>
      </c>
      <c r="BK80" s="19">
        <f>(Table1347456[[#This Row],[lnrr]]/Table1347456[[#This Row],[z_from_p]])^2</f>
        <v>1.3786154607173991E-4</v>
      </c>
      <c r="BL80" s="16">
        <f>Table1347456[[#This Row],[v_from_sd_and_n]]</f>
        <v>8.6610071025655449E-5</v>
      </c>
      <c r="BM80" s="20">
        <f>SQRT(Table1347456[[#This Row],[v]])</f>
        <v>9.3064531925785478E-3</v>
      </c>
      <c r="BN80" s="20">
        <f>Table1347456[[#This Row],[lnrr]]-(1.96*Table1347456[[#This Row],[se]])</f>
        <v>8.0766600599194056E-3</v>
      </c>
      <c r="BO80" s="20">
        <f>Table1347456[[#This Row],[lnrr]]+(1.96 * Table1347456[[#This Row],[se]])</f>
        <v>4.4557956574827307E-2</v>
      </c>
    </row>
    <row r="81" spans="1:67">
      <c r="A81" s="13" t="s">
        <v>88</v>
      </c>
      <c r="B81" s="13" t="s">
        <v>89</v>
      </c>
      <c r="C81" s="13" t="s">
        <v>43</v>
      </c>
      <c r="D81" s="13" t="s">
        <v>90</v>
      </c>
      <c r="E81" s="13" t="s">
        <v>91</v>
      </c>
      <c r="F81" s="13" t="s">
        <v>587</v>
      </c>
      <c r="G81" s="13" t="s">
        <v>92</v>
      </c>
      <c r="H81" s="13">
        <v>13.9</v>
      </c>
      <c r="I81" s="13">
        <v>615</v>
      </c>
      <c r="K81" s="13" t="s">
        <v>819</v>
      </c>
      <c r="L81" s="13" t="s">
        <v>820</v>
      </c>
      <c r="N81" s="13" t="s">
        <v>53</v>
      </c>
      <c r="O81" s="13" t="s">
        <v>54</v>
      </c>
      <c r="P81" s="13" t="s">
        <v>48</v>
      </c>
      <c r="Q81" s="13" t="s">
        <v>48</v>
      </c>
      <c r="R81" s="4">
        <v>3</v>
      </c>
      <c r="S81" s="13" t="s">
        <v>594</v>
      </c>
      <c r="T81" s="13">
        <v>365</v>
      </c>
      <c r="U81" s="4" t="s">
        <v>93</v>
      </c>
      <c r="V81" s="4">
        <v>450</v>
      </c>
      <c r="W81" s="4" t="s">
        <v>601</v>
      </c>
      <c r="X81" s="4">
        <v>450</v>
      </c>
      <c r="Y81" s="4">
        <v>3</v>
      </c>
      <c r="AA81" s="4" t="s">
        <v>50</v>
      </c>
      <c r="AB81" s="4">
        <v>200</v>
      </c>
      <c r="AC81" s="4" t="s">
        <v>49</v>
      </c>
      <c r="AD81" s="4">
        <v>0</v>
      </c>
      <c r="AE81" s="4" t="s">
        <v>49</v>
      </c>
      <c r="AF81" s="4">
        <v>0</v>
      </c>
      <c r="AG81" s="4" t="s">
        <v>738</v>
      </c>
      <c r="AH81" s="4" t="s">
        <v>795</v>
      </c>
      <c r="AI81" s="4" t="s">
        <v>64</v>
      </c>
      <c r="AJ81" s="13">
        <v>0</v>
      </c>
      <c r="AK81" s="13">
        <v>20</v>
      </c>
      <c r="AM81" s="13" t="s">
        <v>480</v>
      </c>
      <c r="AP81" s="13" t="s">
        <v>49</v>
      </c>
      <c r="AQ81" s="13" t="s">
        <v>49</v>
      </c>
      <c r="AR81" s="13" t="s">
        <v>49</v>
      </c>
      <c r="AS81" s="13" t="s">
        <v>49</v>
      </c>
      <c r="AT81" s="13" t="s">
        <v>992</v>
      </c>
      <c r="AU81" s="4" t="s">
        <v>1000</v>
      </c>
      <c r="AV81" s="14">
        <v>7.92</v>
      </c>
      <c r="AW81" s="14">
        <v>7.85</v>
      </c>
      <c r="AX81" s="14">
        <f>Table1347456[[#This Row],[treatment_mean]]/Table1347456[[#This Row],[control_mean]]</f>
        <v>1.0089171974522293</v>
      </c>
      <c r="AY81" s="14">
        <f>LN(Table1347456[[#This Row],[rr]])</f>
        <v>8.8776740320174203E-3</v>
      </c>
      <c r="AZ81" s="13">
        <v>3</v>
      </c>
      <c r="BA81" s="13">
        <v>3</v>
      </c>
      <c r="BB81" s="14">
        <v>0.02</v>
      </c>
      <c r="BC81" s="14">
        <v>0.01</v>
      </c>
      <c r="BD81" s="15">
        <f>Table1347456[[#This Row],[treatment_se]]*SQRT(Table1347456[[#This Row],[treatment_n]])</f>
        <v>3.4641016151377546E-2</v>
      </c>
      <c r="BE81" s="14">
        <f>Table1347456[[#This Row],[control_se]]*SQRT(Table1347456[[#This Row],[control_n]])</f>
        <v>1.7320508075688773E-2</v>
      </c>
      <c r="BF8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7.9996842020502722E-6</v>
      </c>
      <c r="BG81" s="17">
        <f>SQRT(Table1347456[[#This Row],[v_from_sd_and_n]])</f>
        <v>2.8283712984773185E-3</v>
      </c>
      <c r="BH81" s="13" t="s">
        <v>50</v>
      </c>
      <c r="BI81" s="13">
        <v>2.5000000000000001E-2</v>
      </c>
      <c r="BJ81" s="18">
        <f>ABS(_xlfn.NORM.S.INV(Table1347456[[#This Row],[p_value]]/2))</f>
        <v>2.2414027276049446</v>
      </c>
      <c r="BK81" s="19">
        <f>(Table1347456[[#This Row],[lnrr]]/Table1347456[[#This Row],[z_from_p]])^2</f>
        <v>1.5687675492680624E-5</v>
      </c>
      <c r="BL81" s="16">
        <f>Table1347456[[#This Row],[v_from_sd_and_n]]</f>
        <v>7.9996842020502722E-6</v>
      </c>
      <c r="BM81" s="20">
        <f>SQRT(Table1347456[[#This Row],[v]])</f>
        <v>2.8283712984773185E-3</v>
      </c>
      <c r="BN81" s="20">
        <f>Table1347456[[#This Row],[lnrr]]-(1.96*Table1347456[[#This Row],[se]])</f>
        <v>3.3340662870018764E-3</v>
      </c>
      <c r="BO81" s="20">
        <f>Table1347456[[#This Row],[lnrr]]+(1.96 * Table1347456[[#This Row],[se]])</f>
        <v>1.4421281777032963E-2</v>
      </c>
    </row>
    <row r="82" spans="1:67">
      <c r="A82" s="13" t="s">
        <v>88</v>
      </c>
      <c r="B82" s="13" t="s">
        <v>89</v>
      </c>
      <c r="C82" s="13" t="s">
        <v>43</v>
      </c>
      <c r="D82" s="13" t="s">
        <v>90</v>
      </c>
      <c r="E82" s="13" t="s">
        <v>91</v>
      </c>
      <c r="F82" s="13" t="s">
        <v>587</v>
      </c>
      <c r="G82" s="13" t="s">
        <v>92</v>
      </c>
      <c r="H82" s="13">
        <v>13.9</v>
      </c>
      <c r="I82" s="13">
        <v>615</v>
      </c>
      <c r="K82" s="13" t="s">
        <v>819</v>
      </c>
      <c r="L82" s="13" t="s">
        <v>820</v>
      </c>
      <c r="N82" s="13" t="s">
        <v>53</v>
      </c>
      <c r="O82" s="13" t="s">
        <v>54</v>
      </c>
      <c r="P82" s="13" t="s">
        <v>48</v>
      </c>
      <c r="Q82" s="13" t="s">
        <v>48</v>
      </c>
      <c r="R82" s="4">
        <v>3</v>
      </c>
      <c r="S82" s="13" t="s">
        <v>594</v>
      </c>
      <c r="T82" s="13">
        <v>365</v>
      </c>
      <c r="U82" s="4" t="s">
        <v>93</v>
      </c>
      <c r="V82" s="4">
        <v>450</v>
      </c>
      <c r="W82" s="4" t="s">
        <v>601</v>
      </c>
      <c r="X82" s="4">
        <v>450</v>
      </c>
      <c r="Y82" s="4">
        <v>6</v>
      </c>
      <c r="AA82" s="4" t="s">
        <v>50</v>
      </c>
      <c r="AB82" s="4">
        <v>200</v>
      </c>
      <c r="AC82" s="4" t="s">
        <v>49</v>
      </c>
      <c r="AD82" s="4">
        <v>0</v>
      </c>
      <c r="AE82" s="4" t="s">
        <v>49</v>
      </c>
      <c r="AF82" s="4">
        <v>0</v>
      </c>
      <c r="AG82" s="4" t="s">
        <v>738</v>
      </c>
      <c r="AH82" s="4" t="s">
        <v>795</v>
      </c>
      <c r="AI82" s="4" t="s">
        <v>64</v>
      </c>
      <c r="AJ82" s="13">
        <v>0</v>
      </c>
      <c r="AK82" s="13">
        <v>20</v>
      </c>
      <c r="AM82" s="13" t="s">
        <v>480</v>
      </c>
      <c r="AP82" s="13" t="s">
        <v>49</v>
      </c>
      <c r="AQ82" s="13" t="s">
        <v>49</v>
      </c>
      <c r="AR82" s="13" t="s">
        <v>49</v>
      </c>
      <c r="AS82" s="13" t="s">
        <v>49</v>
      </c>
      <c r="AT82" s="13" t="s">
        <v>992</v>
      </c>
      <c r="AU82" s="4" t="s">
        <v>1000</v>
      </c>
      <c r="AV82" s="14">
        <v>8.61</v>
      </c>
      <c r="AW82" s="14">
        <v>7.85</v>
      </c>
      <c r="AX82" s="14">
        <f>Table1347456[[#This Row],[treatment_mean]]/Table1347456[[#This Row],[control_mean]]</f>
        <v>1.0968152866242038</v>
      </c>
      <c r="AY82" s="14">
        <f>LN(Table1347456[[#This Row],[rr]])</f>
        <v>9.2410786645322346E-2</v>
      </c>
      <c r="AZ82" s="13">
        <v>3</v>
      </c>
      <c r="BA82" s="13">
        <v>3</v>
      </c>
      <c r="BB82" s="14">
        <v>0.05</v>
      </c>
      <c r="BC82" s="14">
        <v>0.01</v>
      </c>
      <c r="BD82" s="15">
        <f>Table1347456[[#This Row],[treatment_se]]*SQRT(Table1347456[[#This Row],[treatment_n]])</f>
        <v>8.6602540378443865E-2</v>
      </c>
      <c r="BE82" s="14">
        <f>Table1347456[[#This Row],[control_se]]*SQRT(Table1347456[[#This Row],[control_n]])</f>
        <v>1.7320508075688773E-2</v>
      </c>
      <c r="BF8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3.5346366517301593E-5</v>
      </c>
      <c r="BG82" s="17">
        <f>SQRT(Table1347456[[#This Row],[v_from_sd_and_n]])</f>
        <v>5.9452810292955531E-3</v>
      </c>
      <c r="BH82" s="13" t="s">
        <v>50</v>
      </c>
      <c r="BI82" s="13">
        <v>2.5000000000000001E-2</v>
      </c>
      <c r="BJ82" s="18">
        <f>ABS(_xlfn.NORM.S.INV(Table1347456[[#This Row],[p_value]]/2))</f>
        <v>2.2414027276049446</v>
      </c>
      <c r="BK82" s="19">
        <f>(Table1347456[[#This Row],[lnrr]]/Table1347456[[#This Row],[z_from_p]])^2</f>
        <v>1.69983020514474E-3</v>
      </c>
      <c r="BL82" s="16">
        <f>Table1347456[[#This Row],[v_from_sd_and_n]]</f>
        <v>3.5346366517301593E-5</v>
      </c>
      <c r="BM82" s="20">
        <f>SQRT(Table1347456[[#This Row],[v]])</f>
        <v>5.9452810292955531E-3</v>
      </c>
      <c r="BN82" s="20">
        <f>Table1347456[[#This Row],[lnrr]]-(1.96*Table1347456[[#This Row],[se]])</f>
        <v>8.0758035827903057E-2</v>
      </c>
      <c r="BO82" s="20">
        <f>Table1347456[[#This Row],[lnrr]]+(1.96 * Table1347456[[#This Row],[se]])</f>
        <v>0.10406353746274163</v>
      </c>
    </row>
    <row r="83" spans="1:67">
      <c r="A83" s="13" t="s">
        <v>88</v>
      </c>
      <c r="B83" s="13" t="s">
        <v>89</v>
      </c>
      <c r="C83" s="13" t="s">
        <v>43</v>
      </c>
      <c r="D83" s="13" t="s">
        <v>90</v>
      </c>
      <c r="E83" s="13" t="s">
        <v>91</v>
      </c>
      <c r="F83" s="13" t="s">
        <v>587</v>
      </c>
      <c r="G83" s="13" t="s">
        <v>92</v>
      </c>
      <c r="H83" s="13">
        <v>13.9</v>
      </c>
      <c r="I83" s="13">
        <v>615</v>
      </c>
      <c r="K83" s="13" t="s">
        <v>819</v>
      </c>
      <c r="L83" s="13" t="s">
        <v>820</v>
      </c>
      <c r="N83" s="13" t="s">
        <v>53</v>
      </c>
      <c r="O83" s="13" t="s">
        <v>54</v>
      </c>
      <c r="P83" s="13" t="s">
        <v>48</v>
      </c>
      <c r="Q83" s="13" t="s">
        <v>48</v>
      </c>
      <c r="R83" s="4">
        <v>3</v>
      </c>
      <c r="S83" s="13" t="s">
        <v>594</v>
      </c>
      <c r="T83" s="13">
        <v>365</v>
      </c>
      <c r="U83" s="4" t="s">
        <v>93</v>
      </c>
      <c r="V83" s="4">
        <v>450</v>
      </c>
      <c r="W83" s="4" t="s">
        <v>601</v>
      </c>
      <c r="X83" s="4">
        <v>450</v>
      </c>
      <c r="Y83" s="4">
        <v>12</v>
      </c>
      <c r="AA83" s="4" t="s">
        <v>50</v>
      </c>
      <c r="AB83" s="4">
        <v>200</v>
      </c>
      <c r="AC83" s="4" t="s">
        <v>49</v>
      </c>
      <c r="AD83" s="4">
        <v>0</v>
      </c>
      <c r="AE83" s="4" t="s">
        <v>49</v>
      </c>
      <c r="AF83" s="4">
        <v>0</v>
      </c>
      <c r="AG83" s="4" t="s">
        <v>738</v>
      </c>
      <c r="AH83" s="4" t="s">
        <v>795</v>
      </c>
      <c r="AI83" s="4" t="s">
        <v>64</v>
      </c>
      <c r="AJ83" s="13">
        <v>0</v>
      </c>
      <c r="AK83" s="13">
        <v>20</v>
      </c>
      <c r="AM83" s="13" t="s">
        <v>480</v>
      </c>
      <c r="AP83" s="13" t="s">
        <v>49</v>
      </c>
      <c r="AQ83" s="13" t="s">
        <v>49</v>
      </c>
      <c r="AR83" s="13" t="s">
        <v>49</v>
      </c>
      <c r="AS83" s="13" t="s">
        <v>49</v>
      </c>
      <c r="AT83" s="13" t="s">
        <v>992</v>
      </c>
      <c r="AU83" s="4" t="s">
        <v>1000</v>
      </c>
      <c r="AV83" s="14">
        <v>8.2799999999999994</v>
      </c>
      <c r="AW83" s="14">
        <v>7.85</v>
      </c>
      <c r="AX83" s="14">
        <f>Table1347456[[#This Row],[treatment_mean]]/Table1347456[[#This Row],[control_mean]]</f>
        <v>1.0547770700636943</v>
      </c>
      <c r="AY83" s="14">
        <f>LN(Table1347456[[#This Row],[rr]])</f>
        <v>5.3329436602851249E-2</v>
      </c>
      <c r="AZ83" s="13">
        <v>3</v>
      </c>
      <c r="BA83" s="13">
        <v>3</v>
      </c>
      <c r="BB83" s="14">
        <v>0.01</v>
      </c>
      <c r="BC83" s="14">
        <v>0.01</v>
      </c>
      <c r="BD83" s="15">
        <f>Table1347456[[#This Row],[treatment_se]]*SQRT(Table1347456[[#This Row],[treatment_n]])</f>
        <v>1.7320508075688773E-2</v>
      </c>
      <c r="BE83" s="14">
        <f>Table1347456[[#This Row],[control_se]]*SQRT(Table1347456[[#This Row],[control_n]])</f>
        <v>1.7320508075688773E-2</v>
      </c>
      <c r="BF8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3.0813943550785198E-6</v>
      </c>
      <c r="BG83" s="17">
        <f>SQRT(Table1347456[[#This Row],[v_from_sd_and_n]])</f>
        <v>1.7553900862994868E-3</v>
      </c>
      <c r="BH83" s="13" t="s">
        <v>50</v>
      </c>
      <c r="BI83" s="13">
        <v>2.5000000000000001E-2</v>
      </c>
      <c r="BJ83" s="18">
        <f>ABS(_xlfn.NORM.S.INV(Table1347456[[#This Row],[p_value]]/2))</f>
        <v>2.2414027276049446</v>
      </c>
      <c r="BK83" s="19">
        <f>(Table1347456[[#This Row],[lnrr]]/Table1347456[[#This Row],[z_from_p]])^2</f>
        <v>5.6610136104567638E-4</v>
      </c>
      <c r="BL83" s="16">
        <f>Table1347456[[#This Row],[v_from_sd_and_n]]</f>
        <v>3.0813943550785198E-6</v>
      </c>
      <c r="BM83" s="20">
        <f>SQRT(Table1347456[[#This Row],[v]])</f>
        <v>1.7553900862994868E-3</v>
      </c>
      <c r="BN83" s="20">
        <f>Table1347456[[#This Row],[lnrr]]-(1.96*Table1347456[[#This Row],[se]])</f>
        <v>4.9888872033704255E-2</v>
      </c>
      <c r="BO83" s="20">
        <f>Table1347456[[#This Row],[lnrr]]+(1.96 * Table1347456[[#This Row],[se]])</f>
        <v>5.6770001171998243E-2</v>
      </c>
    </row>
    <row r="84" spans="1:67">
      <c r="A84" s="13" t="s">
        <v>94</v>
      </c>
      <c r="B84" s="13" t="s">
        <v>95</v>
      </c>
      <c r="C84" s="13" t="s">
        <v>43</v>
      </c>
      <c r="D84" s="13" t="s">
        <v>96</v>
      </c>
      <c r="E84" s="13" t="s">
        <v>97</v>
      </c>
      <c r="F84" s="13" t="s">
        <v>588</v>
      </c>
      <c r="G84" s="13" t="s">
        <v>98</v>
      </c>
      <c r="H84" s="13">
        <v>25.3</v>
      </c>
      <c r="I84" s="13">
        <v>1450</v>
      </c>
      <c r="K84" s="13" t="s">
        <v>973</v>
      </c>
      <c r="L84" s="13" t="s">
        <v>974</v>
      </c>
      <c r="N84" s="13" t="s">
        <v>99</v>
      </c>
      <c r="O84" s="13" t="s">
        <v>644</v>
      </c>
      <c r="P84" s="13" t="s">
        <v>483</v>
      </c>
      <c r="Q84" s="13" t="s">
        <v>48</v>
      </c>
      <c r="R84" s="4">
        <v>3</v>
      </c>
      <c r="S84" s="13" t="s">
        <v>594</v>
      </c>
      <c r="T84" s="13">
        <v>730</v>
      </c>
      <c r="U84" s="4" t="s">
        <v>100</v>
      </c>
      <c r="V84" s="4">
        <v>350</v>
      </c>
      <c r="W84" s="4" t="s">
        <v>42</v>
      </c>
      <c r="X84" s="4">
        <v>511.3</v>
      </c>
      <c r="Y84" s="4">
        <v>3</v>
      </c>
      <c r="AA84" s="4" t="s">
        <v>49</v>
      </c>
      <c r="AB84" s="4">
        <v>0</v>
      </c>
      <c r="AC84" s="4" t="s">
        <v>49</v>
      </c>
      <c r="AD84" s="4">
        <v>0</v>
      </c>
      <c r="AE84" s="4" t="s">
        <v>49</v>
      </c>
      <c r="AF84" s="4">
        <v>0</v>
      </c>
      <c r="AG84" s="4" t="s">
        <v>46</v>
      </c>
      <c r="AH84" s="4" t="s">
        <v>735</v>
      </c>
      <c r="AI84" s="4" t="s">
        <v>52</v>
      </c>
      <c r="AJ84" s="13">
        <v>0</v>
      </c>
      <c r="AK84" s="13">
        <v>10</v>
      </c>
      <c r="AM84" s="13" t="s">
        <v>484</v>
      </c>
      <c r="AP84" s="13" t="s">
        <v>50</v>
      </c>
      <c r="AQ84" s="13" t="s">
        <v>49</v>
      </c>
      <c r="AR84" s="13" t="s">
        <v>49</v>
      </c>
      <c r="AS84" s="13" t="s">
        <v>50</v>
      </c>
      <c r="AT84" s="13" t="s">
        <v>990</v>
      </c>
      <c r="AU84" s="13" t="s">
        <v>998</v>
      </c>
      <c r="AV84" s="14">
        <f>0.58/1000</f>
        <v>5.8E-4</v>
      </c>
      <c r="AW84" s="14">
        <f>0.81/1000</f>
        <v>8.1000000000000006E-4</v>
      </c>
      <c r="AX84" s="14">
        <f>Table1347456[[#This Row],[treatment_mean]]/Table1347456[[#This Row],[control_mean]]</f>
        <v>0.71604938271604934</v>
      </c>
      <c r="AY84" s="14">
        <f>LN(Table1347456[[#This Row],[rr]])</f>
        <v>-0.33400614412601948</v>
      </c>
      <c r="AZ84" s="13">
        <v>4</v>
      </c>
      <c r="BA84" s="13">
        <v>4</v>
      </c>
      <c r="BB84" s="14">
        <f>0.34/1000</f>
        <v>3.4000000000000002E-4</v>
      </c>
      <c r="BC84" s="14">
        <f>0.34/1000</f>
        <v>3.4000000000000002E-4</v>
      </c>
      <c r="BD84" s="15">
        <f>Table1347456[[#This Row],[treatment_se]]*SQRT(Table1347456[[#This Row],[treatment_n]])</f>
        <v>6.8000000000000005E-4</v>
      </c>
      <c r="BE84" s="14">
        <f>Table1347456[[#This Row],[control_se]]*SQRT(Table1347456[[#This Row],[control_n]])</f>
        <v>6.8000000000000005E-4</v>
      </c>
      <c r="BF8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0.51983117912371257</v>
      </c>
      <c r="BG84" s="17">
        <f>SQRT(Table1347456[[#This Row],[v_from_sd_and_n]])</f>
        <v>0.7209931893740138</v>
      </c>
      <c r="BH84" s="13" t="s">
        <v>50</v>
      </c>
      <c r="BI84" s="13">
        <v>2.5000000000000001E-2</v>
      </c>
      <c r="BJ84" s="18">
        <f>ABS(_xlfn.NORM.S.INV(Table1347456[[#This Row],[p_value]]/2))</f>
        <v>2.2414027276049446</v>
      </c>
      <c r="BK84" s="19">
        <f>(Table1347456[[#This Row],[lnrr]]/Table1347456[[#This Row],[z_from_p]])^2</f>
        <v>2.2205937824709514E-2</v>
      </c>
      <c r="BL84" s="16">
        <f>Table1347456[[#This Row],[v_from_sd_and_n]]</f>
        <v>0.51983117912371257</v>
      </c>
      <c r="BM84" s="20">
        <f>SQRT(Table1347456[[#This Row],[v]])</f>
        <v>0.7209931893740138</v>
      </c>
      <c r="BN84" s="20">
        <f>Table1347456[[#This Row],[lnrr]]-(1.96*Table1347456[[#This Row],[se]])</f>
        <v>-1.7471527952990864</v>
      </c>
      <c r="BO84" s="20">
        <f>Table1347456[[#This Row],[lnrr]]+(1.96 * Table1347456[[#This Row],[se]])</f>
        <v>1.0791405070470477</v>
      </c>
    </row>
    <row r="85" spans="1:67">
      <c r="A85" s="13" t="s">
        <v>94</v>
      </c>
      <c r="B85" s="13" t="s">
        <v>95</v>
      </c>
      <c r="C85" s="13" t="s">
        <v>43</v>
      </c>
      <c r="D85" s="13" t="s">
        <v>96</v>
      </c>
      <c r="E85" s="13" t="s">
        <v>97</v>
      </c>
      <c r="F85" s="13" t="s">
        <v>588</v>
      </c>
      <c r="G85" s="13" t="s">
        <v>98</v>
      </c>
      <c r="H85" s="13">
        <v>25.3</v>
      </c>
      <c r="I85" s="13">
        <v>1450</v>
      </c>
      <c r="K85" s="13" t="s">
        <v>973</v>
      </c>
      <c r="L85" s="13" t="s">
        <v>974</v>
      </c>
      <c r="N85" s="13" t="s">
        <v>99</v>
      </c>
      <c r="O85" s="13" t="s">
        <v>644</v>
      </c>
      <c r="P85" s="13" t="s">
        <v>483</v>
      </c>
      <c r="Q85" s="13" t="s">
        <v>48</v>
      </c>
      <c r="R85" s="4">
        <v>3</v>
      </c>
      <c r="S85" s="13" t="s">
        <v>594</v>
      </c>
      <c r="T85" s="13">
        <v>730</v>
      </c>
      <c r="U85" s="4" t="s">
        <v>100</v>
      </c>
      <c r="V85" s="4">
        <v>350</v>
      </c>
      <c r="W85" s="4" t="s">
        <v>42</v>
      </c>
      <c r="X85" s="4">
        <v>511.3</v>
      </c>
      <c r="Y85" s="4">
        <v>6</v>
      </c>
      <c r="AA85" s="4" t="s">
        <v>49</v>
      </c>
      <c r="AB85" s="4">
        <v>0</v>
      </c>
      <c r="AC85" s="4" t="s">
        <v>49</v>
      </c>
      <c r="AD85" s="4">
        <v>0</v>
      </c>
      <c r="AE85" s="4" t="s">
        <v>49</v>
      </c>
      <c r="AF85" s="4">
        <v>0</v>
      </c>
      <c r="AG85" s="4" t="s">
        <v>46</v>
      </c>
      <c r="AH85" s="4" t="s">
        <v>735</v>
      </c>
      <c r="AI85" s="4" t="s">
        <v>52</v>
      </c>
      <c r="AJ85" s="13">
        <v>0</v>
      </c>
      <c r="AK85" s="13">
        <v>10</v>
      </c>
      <c r="AM85" s="13" t="s">
        <v>484</v>
      </c>
      <c r="AP85" s="13" t="s">
        <v>50</v>
      </c>
      <c r="AQ85" s="13" t="s">
        <v>49</v>
      </c>
      <c r="AR85" s="13" t="s">
        <v>49</v>
      </c>
      <c r="AS85" s="13" t="s">
        <v>50</v>
      </c>
      <c r="AT85" s="13" t="s">
        <v>990</v>
      </c>
      <c r="AU85" s="13" t="s">
        <v>998</v>
      </c>
      <c r="AV85" s="14">
        <f>1.79/1000</f>
        <v>1.7900000000000001E-3</v>
      </c>
      <c r="AW85" s="14">
        <f>0.81/1000</f>
        <v>8.1000000000000006E-4</v>
      </c>
      <c r="AX85" s="14">
        <f>Table1347456[[#This Row],[treatment_mean]]/Table1347456[[#This Row],[control_mean]]</f>
        <v>2.2098765432098766</v>
      </c>
      <c r="AY85" s="14">
        <f>LN(Table1347456[[#This Row],[rr]])</f>
        <v>0.79293665116831624</v>
      </c>
      <c r="AZ85" s="13">
        <v>4</v>
      </c>
      <c r="BA85" s="13">
        <v>4</v>
      </c>
      <c r="BB85" s="14">
        <f>0.35/1000</f>
        <v>3.5E-4</v>
      </c>
      <c r="BC85" s="14">
        <f>0.34/1000</f>
        <v>3.4000000000000002E-4</v>
      </c>
      <c r="BD85" s="15">
        <f>Table1347456[[#This Row],[treatment_se]]*SQRT(Table1347456[[#This Row],[treatment_n]])</f>
        <v>6.9999999999999999E-4</v>
      </c>
      <c r="BE85" s="14">
        <f>Table1347456[[#This Row],[control_se]]*SQRT(Table1347456[[#This Row],[control_n]])</f>
        <v>6.8000000000000005E-4</v>
      </c>
      <c r="BF8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0.21442491846949202</v>
      </c>
      <c r="BG85" s="17">
        <f>SQRT(Table1347456[[#This Row],[v_from_sd_and_n]])</f>
        <v>0.46306038317857856</v>
      </c>
      <c r="BH85" s="13" t="s">
        <v>50</v>
      </c>
      <c r="BI85" s="13">
        <v>2.5000000000000001E-2</v>
      </c>
      <c r="BJ85" s="18">
        <f>ABS(_xlfn.NORM.S.INV(Table1347456[[#This Row],[p_value]]/2))</f>
        <v>2.2414027276049446</v>
      </c>
      <c r="BK85" s="19">
        <f>(Table1347456[[#This Row],[lnrr]]/Table1347456[[#This Row],[z_from_p]])^2</f>
        <v>0.12515182655880805</v>
      </c>
      <c r="BL85" s="16">
        <f>Table1347456[[#This Row],[v_from_sd_and_n]]</f>
        <v>0.21442491846949202</v>
      </c>
      <c r="BM85" s="20">
        <f>SQRT(Table1347456[[#This Row],[v]])</f>
        <v>0.46306038317857856</v>
      </c>
      <c r="BN85" s="20">
        <f>Table1347456[[#This Row],[lnrr]]-(1.96*Table1347456[[#This Row],[se]])</f>
        <v>-0.11466169986169772</v>
      </c>
      <c r="BO85" s="20">
        <f>Table1347456[[#This Row],[lnrr]]+(1.96 * Table1347456[[#This Row],[se]])</f>
        <v>1.7005350021983303</v>
      </c>
    </row>
    <row r="86" spans="1:67">
      <c r="A86" s="13" t="s">
        <v>94</v>
      </c>
      <c r="B86" s="13" t="s">
        <v>95</v>
      </c>
      <c r="C86" s="13" t="s">
        <v>43</v>
      </c>
      <c r="D86" s="13" t="s">
        <v>96</v>
      </c>
      <c r="E86" s="13" t="s">
        <v>97</v>
      </c>
      <c r="F86" s="13" t="s">
        <v>588</v>
      </c>
      <c r="G86" s="13" t="s">
        <v>98</v>
      </c>
      <c r="H86" s="13">
        <v>25.3</v>
      </c>
      <c r="I86" s="13">
        <v>1450</v>
      </c>
      <c r="K86" s="13" t="s">
        <v>973</v>
      </c>
      <c r="L86" s="13" t="s">
        <v>974</v>
      </c>
      <c r="N86" s="13" t="s">
        <v>99</v>
      </c>
      <c r="O86" s="13" t="s">
        <v>644</v>
      </c>
      <c r="P86" s="13" t="s">
        <v>483</v>
      </c>
      <c r="Q86" s="13" t="s">
        <v>48</v>
      </c>
      <c r="R86" s="4">
        <v>3</v>
      </c>
      <c r="S86" s="13" t="s">
        <v>594</v>
      </c>
      <c r="T86" s="13">
        <v>730</v>
      </c>
      <c r="U86" s="4" t="s">
        <v>100</v>
      </c>
      <c r="V86" s="4">
        <v>350</v>
      </c>
      <c r="W86" s="4" t="s">
        <v>42</v>
      </c>
      <c r="X86" s="4">
        <v>511.3</v>
      </c>
      <c r="Y86" s="4">
        <v>12</v>
      </c>
      <c r="AA86" s="4" t="s">
        <v>49</v>
      </c>
      <c r="AB86" s="4">
        <v>0</v>
      </c>
      <c r="AC86" s="4" t="s">
        <v>49</v>
      </c>
      <c r="AD86" s="4">
        <v>0</v>
      </c>
      <c r="AE86" s="4" t="s">
        <v>49</v>
      </c>
      <c r="AF86" s="4">
        <v>0</v>
      </c>
      <c r="AG86" s="4" t="s">
        <v>46</v>
      </c>
      <c r="AH86" s="4" t="s">
        <v>735</v>
      </c>
      <c r="AI86" s="4" t="s">
        <v>52</v>
      </c>
      <c r="AJ86" s="13">
        <v>0</v>
      </c>
      <c r="AK86" s="13">
        <v>10</v>
      </c>
      <c r="AM86" s="13" t="s">
        <v>484</v>
      </c>
      <c r="AP86" s="13" t="s">
        <v>50</v>
      </c>
      <c r="AQ86" s="13" t="s">
        <v>49</v>
      </c>
      <c r="AR86" s="13" t="s">
        <v>49</v>
      </c>
      <c r="AS86" s="13" t="s">
        <v>50</v>
      </c>
      <c r="AT86" s="13" t="s">
        <v>990</v>
      </c>
      <c r="AU86" s="13" t="s">
        <v>998</v>
      </c>
      <c r="AV86" s="14">
        <f>1.92/1000</f>
        <v>1.9199999999999998E-3</v>
      </c>
      <c r="AW86" s="14">
        <f>0.81/1000</f>
        <v>8.1000000000000006E-4</v>
      </c>
      <c r="AX86" s="14">
        <f>Table1347456[[#This Row],[treatment_mean]]/Table1347456[[#This Row],[control_mean]]</f>
        <v>2.3703703703703698</v>
      </c>
      <c r="AY86" s="14">
        <f>LN(Table1347456[[#This Row],[rr]])</f>
        <v>0.86304621735534259</v>
      </c>
      <c r="AZ86" s="13">
        <v>4</v>
      </c>
      <c r="BA86" s="13">
        <v>4</v>
      </c>
      <c r="BB86" s="14">
        <f>0.35/1000</f>
        <v>3.5E-4</v>
      </c>
      <c r="BC86" s="14">
        <f>0.34/1000</f>
        <v>3.4000000000000002E-4</v>
      </c>
      <c r="BD86" s="15">
        <f>Table1347456[[#This Row],[treatment_se]]*SQRT(Table1347456[[#This Row],[treatment_n]])</f>
        <v>6.9999999999999999E-4</v>
      </c>
      <c r="BE86" s="14">
        <f>Table1347456[[#This Row],[control_se]]*SQRT(Table1347456[[#This Row],[control_n]])</f>
        <v>6.8000000000000005E-4</v>
      </c>
      <c r="BF8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0.20942290529501981</v>
      </c>
      <c r="BG86" s="17">
        <f>SQRT(Table1347456[[#This Row],[v_from_sd_and_n]])</f>
        <v>0.45762747436645435</v>
      </c>
      <c r="BH86" s="13" t="s">
        <v>50</v>
      </c>
      <c r="BI86" s="13">
        <v>2.5000000000000001E-2</v>
      </c>
      <c r="BJ86" s="18">
        <f>ABS(_xlfn.NORM.S.INV(Table1347456[[#This Row],[p_value]]/2))</f>
        <v>2.2414027276049446</v>
      </c>
      <c r="BK86" s="19">
        <f>(Table1347456[[#This Row],[lnrr]]/Table1347456[[#This Row],[z_from_p]])^2</f>
        <v>0.14826147438850806</v>
      </c>
      <c r="BL86" s="16">
        <f>Table1347456[[#This Row],[v_from_sd_and_n]]</f>
        <v>0.20942290529501981</v>
      </c>
      <c r="BM86" s="20">
        <f>SQRT(Table1347456[[#This Row],[v]])</f>
        <v>0.45762747436645435</v>
      </c>
      <c r="BN86" s="20">
        <f>Table1347456[[#This Row],[lnrr]]-(1.96*Table1347456[[#This Row],[se]])</f>
        <v>-3.3903632402907946E-2</v>
      </c>
      <c r="BO86" s="20">
        <f>Table1347456[[#This Row],[lnrr]]+(1.96 * Table1347456[[#This Row],[se]])</f>
        <v>1.759996067113593</v>
      </c>
    </row>
    <row r="87" spans="1:67">
      <c r="A87" s="13" t="s">
        <v>94</v>
      </c>
      <c r="B87" s="13" t="s">
        <v>95</v>
      </c>
      <c r="C87" s="13" t="s">
        <v>43</v>
      </c>
      <c r="D87" s="13" t="s">
        <v>96</v>
      </c>
      <c r="E87" s="13" t="s">
        <v>97</v>
      </c>
      <c r="F87" s="13" t="s">
        <v>588</v>
      </c>
      <c r="G87" s="13" t="s">
        <v>98</v>
      </c>
      <c r="H87" s="13">
        <v>25.3</v>
      </c>
      <c r="I87" s="13">
        <v>1450</v>
      </c>
      <c r="K87" s="13" t="s">
        <v>973</v>
      </c>
      <c r="L87" s="13" t="s">
        <v>974</v>
      </c>
      <c r="N87" s="13" t="s">
        <v>99</v>
      </c>
      <c r="O87" s="13" t="s">
        <v>644</v>
      </c>
      <c r="P87" s="13" t="s">
        <v>483</v>
      </c>
      <c r="Q87" s="13" t="s">
        <v>48</v>
      </c>
      <c r="R87" s="4">
        <v>3</v>
      </c>
      <c r="S87" s="13" t="s">
        <v>594</v>
      </c>
      <c r="T87" s="13">
        <v>730</v>
      </c>
      <c r="U87" s="4" t="s">
        <v>100</v>
      </c>
      <c r="V87" s="4">
        <v>350</v>
      </c>
      <c r="W87" s="4" t="s">
        <v>42</v>
      </c>
      <c r="X87" s="4">
        <v>511.3</v>
      </c>
      <c r="Y87" s="4">
        <v>3</v>
      </c>
      <c r="AA87" s="4" t="s">
        <v>49</v>
      </c>
      <c r="AB87" s="4">
        <v>0</v>
      </c>
      <c r="AC87" s="4" t="s">
        <v>49</v>
      </c>
      <c r="AD87" s="4">
        <v>0</v>
      </c>
      <c r="AE87" s="4" t="s">
        <v>49</v>
      </c>
      <c r="AF87" s="4">
        <v>0</v>
      </c>
      <c r="AG87" s="4" t="s">
        <v>46</v>
      </c>
      <c r="AH87" s="4" t="s">
        <v>735</v>
      </c>
      <c r="AI87" s="4" t="s">
        <v>52</v>
      </c>
      <c r="AJ87" s="13">
        <v>10</v>
      </c>
      <c r="AK87" s="13">
        <v>20</v>
      </c>
      <c r="AM87" s="13" t="s">
        <v>484</v>
      </c>
      <c r="AP87" s="13" t="s">
        <v>50</v>
      </c>
      <c r="AQ87" s="13" t="s">
        <v>49</v>
      </c>
      <c r="AR87" s="13" t="s">
        <v>49</v>
      </c>
      <c r="AS87" s="13" t="s">
        <v>50</v>
      </c>
      <c r="AT87" s="13" t="s">
        <v>990</v>
      </c>
      <c r="AU87" s="13" t="s">
        <v>998</v>
      </c>
      <c r="AV87" s="14">
        <f>0.3997/1000</f>
        <v>3.9970000000000001E-4</v>
      </c>
      <c r="AW87" s="14">
        <f>0.4695/1000</f>
        <v>4.6949999999999997E-4</v>
      </c>
      <c r="AX87" s="14">
        <f>Table1347456[[#This Row],[treatment_mean]]/Table1347456[[#This Row],[control_mean]]</f>
        <v>0.85133120340788082</v>
      </c>
      <c r="AY87" s="14">
        <f>LN(Table1347456[[#This Row],[rr]])</f>
        <v>-0.16095403293103966</v>
      </c>
      <c r="AZ87" s="13">
        <v>4</v>
      </c>
      <c r="BA87" s="13">
        <v>4</v>
      </c>
      <c r="BB87" s="14">
        <f>0.13325/1000</f>
        <v>1.3325000000000001E-4</v>
      </c>
      <c r="BC87" s="14">
        <f>0.1269/1000</f>
        <v>1.2690000000000002E-4</v>
      </c>
      <c r="BD87" s="15">
        <f>Table1347456[[#This Row],[treatment_se]]*SQRT(Table1347456[[#This Row],[treatment_n]])</f>
        <v>2.6650000000000003E-4</v>
      </c>
      <c r="BE87" s="14">
        <f>Table1347456[[#This Row],[control_se]]*SQRT(Table1347456[[#This Row],[control_n]])</f>
        <v>2.5380000000000004E-4</v>
      </c>
      <c r="BF8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0.18419426572128728</v>
      </c>
      <c r="BG87" s="17">
        <f>SQRT(Table1347456[[#This Row],[v_from_sd_and_n]])</f>
        <v>0.42917859420209586</v>
      </c>
      <c r="BH87" s="13" t="s">
        <v>50</v>
      </c>
      <c r="BI87" s="13">
        <v>2.5000000000000001E-2</v>
      </c>
      <c r="BJ87" s="18">
        <f>ABS(_xlfn.NORM.S.INV(Table1347456[[#This Row],[p_value]]/2))</f>
        <v>2.2414027276049446</v>
      </c>
      <c r="BK87" s="19">
        <f>(Table1347456[[#This Row],[lnrr]]/Table1347456[[#This Row],[z_from_p]])^2</f>
        <v>5.1566058128821339E-3</v>
      </c>
      <c r="BL87" s="16">
        <f>Table1347456[[#This Row],[v_from_sd_and_n]]</f>
        <v>0.18419426572128728</v>
      </c>
      <c r="BM87" s="20">
        <f>SQRT(Table1347456[[#This Row],[v]])</f>
        <v>0.42917859420209586</v>
      </c>
      <c r="BN87" s="20">
        <f>Table1347456[[#This Row],[lnrr]]-(1.96*Table1347456[[#This Row],[se]])</f>
        <v>-1.0021440775671475</v>
      </c>
      <c r="BO87" s="20">
        <f>Table1347456[[#This Row],[lnrr]]+(1.96 * Table1347456[[#This Row],[se]])</f>
        <v>0.68023601170506831</v>
      </c>
    </row>
    <row r="88" spans="1:67">
      <c r="A88" s="13" t="s">
        <v>94</v>
      </c>
      <c r="B88" s="13" t="s">
        <v>95</v>
      </c>
      <c r="C88" s="13" t="s">
        <v>43</v>
      </c>
      <c r="D88" s="13" t="s">
        <v>96</v>
      </c>
      <c r="E88" s="13" t="s">
        <v>97</v>
      </c>
      <c r="F88" s="13" t="s">
        <v>588</v>
      </c>
      <c r="G88" s="13" t="s">
        <v>98</v>
      </c>
      <c r="H88" s="13">
        <v>25.3</v>
      </c>
      <c r="I88" s="13">
        <v>1450</v>
      </c>
      <c r="K88" s="13" t="s">
        <v>973</v>
      </c>
      <c r="L88" s="13" t="s">
        <v>974</v>
      </c>
      <c r="N88" s="13" t="s">
        <v>99</v>
      </c>
      <c r="O88" s="13" t="s">
        <v>644</v>
      </c>
      <c r="P88" s="13" t="s">
        <v>483</v>
      </c>
      <c r="Q88" s="13" t="s">
        <v>48</v>
      </c>
      <c r="R88" s="4">
        <v>3</v>
      </c>
      <c r="S88" s="13" t="s">
        <v>594</v>
      </c>
      <c r="T88" s="13">
        <v>730</v>
      </c>
      <c r="U88" s="4" t="s">
        <v>100</v>
      </c>
      <c r="V88" s="4">
        <v>350</v>
      </c>
      <c r="W88" s="4" t="s">
        <v>42</v>
      </c>
      <c r="X88" s="4">
        <v>511.3</v>
      </c>
      <c r="Y88" s="4">
        <v>6</v>
      </c>
      <c r="AA88" s="4" t="s">
        <v>49</v>
      </c>
      <c r="AB88" s="4">
        <v>0</v>
      </c>
      <c r="AC88" s="4" t="s">
        <v>49</v>
      </c>
      <c r="AD88" s="4">
        <v>0</v>
      </c>
      <c r="AE88" s="4" t="s">
        <v>49</v>
      </c>
      <c r="AF88" s="4">
        <v>0</v>
      </c>
      <c r="AG88" s="4" t="s">
        <v>46</v>
      </c>
      <c r="AH88" s="4" t="s">
        <v>735</v>
      </c>
      <c r="AI88" s="4" t="s">
        <v>52</v>
      </c>
      <c r="AJ88" s="13">
        <v>10</v>
      </c>
      <c r="AK88" s="13">
        <v>20</v>
      </c>
      <c r="AM88" s="13" t="s">
        <v>484</v>
      </c>
      <c r="AP88" s="13" t="s">
        <v>50</v>
      </c>
      <c r="AQ88" s="13" t="s">
        <v>49</v>
      </c>
      <c r="AR88" s="13" t="s">
        <v>49</v>
      </c>
      <c r="AS88" s="13" t="s">
        <v>50</v>
      </c>
      <c r="AT88" s="13" t="s">
        <v>990</v>
      </c>
      <c r="AU88" s="13" t="s">
        <v>998</v>
      </c>
      <c r="AV88" s="14">
        <f>0.96446/1000</f>
        <v>9.6445999999999999E-4</v>
      </c>
      <c r="AW88" s="14">
        <f>0.4695/1000</f>
        <v>4.6949999999999997E-4</v>
      </c>
      <c r="AX88" s="14">
        <f>Table1347456[[#This Row],[treatment_mean]]/Table1347456[[#This Row],[control_mean]]</f>
        <v>2.0542279020234293</v>
      </c>
      <c r="AY88" s="14">
        <f>LN(Table1347456[[#This Row],[rr]])</f>
        <v>0.71990006057204559</v>
      </c>
      <c r="AZ88" s="13">
        <v>4</v>
      </c>
      <c r="BA88" s="13">
        <v>4</v>
      </c>
      <c r="BB88" s="14">
        <f>0.12691/1000</f>
        <v>1.2690999999999999E-4</v>
      </c>
      <c r="BC88" s="14">
        <f>0.1269/1000</f>
        <v>1.2690000000000002E-4</v>
      </c>
      <c r="BD88" s="15">
        <f>Table1347456[[#This Row],[treatment_se]]*SQRT(Table1347456[[#This Row],[treatment_n]])</f>
        <v>2.5381999999999998E-4</v>
      </c>
      <c r="BE88" s="14">
        <f>Table1347456[[#This Row],[control_se]]*SQRT(Table1347456[[#This Row],[control_n]])</f>
        <v>2.5380000000000004E-4</v>
      </c>
      <c r="BF8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9.0370384205420234E-2</v>
      </c>
      <c r="BG88" s="17">
        <f>SQRT(Table1347456[[#This Row],[v_from_sd_and_n]])</f>
        <v>0.30061667319930913</v>
      </c>
      <c r="BH88" s="13" t="s">
        <v>50</v>
      </c>
      <c r="BI88" s="13">
        <v>2.5000000000000001E-2</v>
      </c>
      <c r="BJ88" s="18">
        <f>ABS(_xlfn.NORM.S.INV(Table1347456[[#This Row],[p_value]]/2))</f>
        <v>2.2414027276049446</v>
      </c>
      <c r="BK88" s="19">
        <f>(Table1347456[[#This Row],[lnrr]]/Table1347456[[#This Row],[z_from_p]])^2</f>
        <v>0.10315840723466448</v>
      </c>
      <c r="BL88" s="16">
        <f>Table1347456[[#This Row],[v_from_sd_and_n]]</f>
        <v>9.0370384205420234E-2</v>
      </c>
      <c r="BM88" s="20">
        <f>SQRT(Table1347456[[#This Row],[v]])</f>
        <v>0.30061667319930913</v>
      </c>
      <c r="BN88" s="20">
        <f>Table1347456[[#This Row],[lnrr]]-(1.96*Table1347456[[#This Row],[se]])</f>
        <v>0.13069138110139966</v>
      </c>
      <c r="BO88" s="20">
        <f>Table1347456[[#This Row],[lnrr]]+(1.96 * Table1347456[[#This Row],[se]])</f>
        <v>1.3091087400426915</v>
      </c>
    </row>
    <row r="89" spans="1:67">
      <c r="A89" s="13" t="s">
        <v>94</v>
      </c>
      <c r="B89" s="13" t="s">
        <v>95</v>
      </c>
      <c r="C89" s="13" t="s">
        <v>43</v>
      </c>
      <c r="D89" s="13" t="s">
        <v>96</v>
      </c>
      <c r="E89" s="13" t="s">
        <v>97</v>
      </c>
      <c r="F89" s="13" t="s">
        <v>588</v>
      </c>
      <c r="G89" s="13" t="s">
        <v>98</v>
      </c>
      <c r="H89" s="13">
        <v>25.3</v>
      </c>
      <c r="I89" s="13">
        <v>1450</v>
      </c>
      <c r="K89" s="13" t="s">
        <v>973</v>
      </c>
      <c r="L89" s="13" t="s">
        <v>974</v>
      </c>
      <c r="N89" s="13" t="s">
        <v>99</v>
      </c>
      <c r="O89" s="13" t="s">
        <v>644</v>
      </c>
      <c r="P89" s="13" t="s">
        <v>483</v>
      </c>
      <c r="Q89" s="13" t="s">
        <v>48</v>
      </c>
      <c r="R89" s="4">
        <v>3</v>
      </c>
      <c r="S89" s="13" t="s">
        <v>594</v>
      </c>
      <c r="T89" s="13">
        <v>730</v>
      </c>
      <c r="U89" s="4" t="s">
        <v>100</v>
      </c>
      <c r="V89" s="4">
        <v>350</v>
      </c>
      <c r="W89" s="4" t="s">
        <v>42</v>
      </c>
      <c r="X89" s="4">
        <v>511.3</v>
      </c>
      <c r="Y89" s="4">
        <v>12</v>
      </c>
      <c r="AA89" s="4" t="s">
        <v>49</v>
      </c>
      <c r="AB89" s="4">
        <v>0</v>
      </c>
      <c r="AC89" s="4" t="s">
        <v>49</v>
      </c>
      <c r="AD89" s="4">
        <v>0</v>
      </c>
      <c r="AE89" s="4" t="s">
        <v>49</v>
      </c>
      <c r="AF89" s="4">
        <v>0</v>
      </c>
      <c r="AG89" s="4" t="s">
        <v>46</v>
      </c>
      <c r="AH89" s="4" t="s">
        <v>735</v>
      </c>
      <c r="AI89" s="4" t="s">
        <v>52</v>
      </c>
      <c r="AJ89" s="13">
        <v>10</v>
      </c>
      <c r="AK89" s="13">
        <v>20</v>
      </c>
      <c r="AM89" s="13" t="s">
        <v>484</v>
      </c>
      <c r="AP89" s="13" t="s">
        <v>50</v>
      </c>
      <c r="AQ89" s="13" t="s">
        <v>49</v>
      </c>
      <c r="AR89" s="13" t="s">
        <v>49</v>
      </c>
      <c r="AS89" s="13" t="s">
        <v>50</v>
      </c>
      <c r="AT89" s="13" t="s">
        <v>990</v>
      </c>
      <c r="AU89" s="13" t="s">
        <v>998</v>
      </c>
      <c r="AV89" s="14">
        <f>0.70431/1000</f>
        <v>7.0430999999999998E-4</v>
      </c>
      <c r="AW89" s="14">
        <f>0.4695/1000</f>
        <v>4.6949999999999997E-4</v>
      </c>
      <c r="AX89" s="14">
        <f>Table1347456[[#This Row],[treatment_mean]]/Table1347456[[#This Row],[control_mean]]</f>
        <v>1.5001277955271566</v>
      </c>
      <c r="AY89" s="14">
        <f>LN(Table1347456[[#This Row],[rr]])</f>
        <v>0.40555030149720894</v>
      </c>
      <c r="AZ89" s="13">
        <v>4</v>
      </c>
      <c r="BA89" s="13">
        <v>4</v>
      </c>
      <c r="BB89" s="14">
        <f>0.1269/1000</f>
        <v>1.2690000000000002E-4</v>
      </c>
      <c r="BC89" s="14">
        <f>0.1269/1000</f>
        <v>1.2690000000000002E-4</v>
      </c>
      <c r="BD89" s="15">
        <f>Table1347456[[#This Row],[treatment_se]]*SQRT(Table1347456[[#This Row],[treatment_n]])</f>
        <v>2.5380000000000004E-4</v>
      </c>
      <c r="BE89" s="14">
        <f>Table1347456[[#This Row],[control_se]]*SQRT(Table1347456[[#This Row],[control_n]])</f>
        <v>2.5380000000000004E-4</v>
      </c>
      <c r="BF8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0.10551886875078868</v>
      </c>
      <c r="BG89" s="17">
        <f>SQRT(Table1347456[[#This Row],[v_from_sd_and_n]])</f>
        <v>0.3248366801190849</v>
      </c>
      <c r="BH89" s="13" t="s">
        <v>50</v>
      </c>
      <c r="BI89" s="13">
        <v>2.5000000000000001E-2</v>
      </c>
      <c r="BJ89" s="18">
        <f>ABS(_xlfn.NORM.S.INV(Table1347456[[#This Row],[p_value]]/2))</f>
        <v>2.2414027276049446</v>
      </c>
      <c r="BK89" s="19">
        <f>(Table1347456[[#This Row],[lnrr]]/Table1347456[[#This Row],[z_from_p]])^2</f>
        <v>3.2737813101690078E-2</v>
      </c>
      <c r="BL89" s="16">
        <f>Table1347456[[#This Row],[v_from_sd_and_n]]</f>
        <v>0.10551886875078868</v>
      </c>
      <c r="BM89" s="20">
        <f>SQRT(Table1347456[[#This Row],[v]])</f>
        <v>0.3248366801190849</v>
      </c>
      <c r="BN89" s="20">
        <f>Table1347456[[#This Row],[lnrr]]-(1.96*Table1347456[[#This Row],[se]])</f>
        <v>-0.2311295915361975</v>
      </c>
      <c r="BO89" s="20">
        <f>Table1347456[[#This Row],[lnrr]]+(1.96 * Table1347456[[#This Row],[se]])</f>
        <v>1.0422301945306154</v>
      </c>
    </row>
    <row r="90" spans="1:67">
      <c r="A90" s="13" t="s">
        <v>94</v>
      </c>
      <c r="B90" s="13" t="s">
        <v>95</v>
      </c>
      <c r="C90" s="13" t="s">
        <v>43</v>
      </c>
      <c r="D90" s="13" t="s">
        <v>96</v>
      </c>
      <c r="E90" s="13" t="s">
        <v>97</v>
      </c>
      <c r="F90" s="13" t="s">
        <v>588</v>
      </c>
      <c r="G90" s="13" t="s">
        <v>98</v>
      </c>
      <c r="H90" s="13">
        <v>25.3</v>
      </c>
      <c r="I90" s="13">
        <v>1450</v>
      </c>
      <c r="J90" s="13" t="s">
        <v>650</v>
      </c>
      <c r="K90" s="13" t="s">
        <v>973</v>
      </c>
      <c r="L90" s="13" t="s">
        <v>974</v>
      </c>
      <c r="M90" s="13" t="s">
        <v>800</v>
      </c>
      <c r="N90" s="13" t="s">
        <v>84</v>
      </c>
      <c r="O90" s="13" t="s">
        <v>644</v>
      </c>
      <c r="P90" s="13" t="s">
        <v>85</v>
      </c>
      <c r="Q90" s="13" t="s">
        <v>48</v>
      </c>
      <c r="R90" s="4">
        <v>3</v>
      </c>
      <c r="S90" s="13" t="s">
        <v>594</v>
      </c>
      <c r="T90" s="13">
        <v>730</v>
      </c>
      <c r="U90" s="4" t="s">
        <v>100</v>
      </c>
      <c r="V90" s="4">
        <v>350</v>
      </c>
      <c r="W90" s="4" t="s">
        <v>42</v>
      </c>
      <c r="X90" s="4">
        <v>511.3</v>
      </c>
      <c r="Y90" s="4">
        <v>3</v>
      </c>
      <c r="AA90" s="4" t="s">
        <v>49</v>
      </c>
      <c r="AB90" s="4">
        <v>0</v>
      </c>
      <c r="AC90" s="4" t="s">
        <v>49</v>
      </c>
      <c r="AD90" s="4">
        <v>0</v>
      </c>
      <c r="AE90" s="4" t="s">
        <v>49</v>
      </c>
      <c r="AF90" s="4">
        <v>0</v>
      </c>
      <c r="AG90" s="4" t="s">
        <v>46</v>
      </c>
      <c r="AH90" s="4" t="s">
        <v>735</v>
      </c>
      <c r="AI90" s="4" t="s">
        <v>52</v>
      </c>
      <c r="AJ90" s="13">
        <v>0</v>
      </c>
      <c r="AK90" s="13">
        <v>10</v>
      </c>
      <c r="AM90" s="13" t="s">
        <v>484</v>
      </c>
      <c r="AP90" s="13" t="s">
        <v>50</v>
      </c>
      <c r="AQ90" s="13" t="s">
        <v>49</v>
      </c>
      <c r="AR90" s="13" t="s">
        <v>49</v>
      </c>
      <c r="AS90" s="13" t="s">
        <v>50</v>
      </c>
      <c r="AT90" s="13" t="s">
        <v>990</v>
      </c>
      <c r="AU90" s="13" t="s">
        <v>998</v>
      </c>
      <c r="AV90" s="23">
        <f>148.39/1000</f>
        <v>0.14838999999999999</v>
      </c>
      <c r="AW90" s="23">
        <f>4.69/1000</f>
        <v>4.6900000000000006E-3</v>
      </c>
      <c r="AX90" s="14">
        <f>Table1347456[[#This Row],[treatment_mean]]/Table1347456[[#This Row],[control_mean]]</f>
        <v>31.639658848614069</v>
      </c>
      <c r="AY90" s="14">
        <f>LN(Table1347456[[#This Row],[rr]])</f>
        <v>3.4544113605598468</v>
      </c>
      <c r="AZ90" s="13">
        <v>4</v>
      </c>
      <c r="BA90" s="13">
        <v>4</v>
      </c>
      <c r="BB90" s="14">
        <f>34.6/1000</f>
        <v>3.4599999999999999E-2</v>
      </c>
      <c r="BC90" s="14">
        <f>34.61/1000</f>
        <v>3.4610000000000002E-2</v>
      </c>
      <c r="BD90" s="15">
        <f>Table1347456[[#This Row],[treatment_se]]*SQRT(Table1347456[[#This Row],[treatment_n]])</f>
        <v>6.9199999999999998E-2</v>
      </c>
      <c r="BE90" s="14">
        <f>Table1347456[[#This Row],[control_se]]*SQRT(Table1347456[[#This Row],[control_n]])</f>
        <v>6.9220000000000004E-2</v>
      </c>
      <c r="BF9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54.511844498923423</v>
      </c>
      <c r="BG90" s="17">
        <f>SQRT(Table1347456[[#This Row],[v_from_sd_and_n]])</f>
        <v>7.3832136972272053</v>
      </c>
      <c r="BH90" s="13" t="s">
        <v>50</v>
      </c>
      <c r="BI90" s="13">
        <v>2.5000000000000001E-2</v>
      </c>
      <c r="BJ90" s="18">
        <f>ABS(_xlfn.NORM.S.INV(Table1347456[[#This Row],[p_value]]/2))</f>
        <v>2.2414027276049446</v>
      </c>
      <c r="BK90" s="19">
        <f>(Table1347456[[#This Row],[lnrr]]/Table1347456[[#This Row],[z_from_p]])^2</f>
        <v>2.3752444627617519</v>
      </c>
      <c r="BL90" s="16">
        <f>Table1347456[[#This Row],[v_from_sd_and_n]]</f>
        <v>54.511844498923423</v>
      </c>
      <c r="BM90" s="20">
        <f>SQRT(Table1347456[[#This Row],[v]])</f>
        <v>7.3832136972272053</v>
      </c>
      <c r="BN90" s="20">
        <f>Table1347456[[#This Row],[lnrr]]-(1.96*Table1347456[[#This Row],[se]])</f>
        <v>-11.016687486005475</v>
      </c>
      <c r="BO90" s="20">
        <f>Table1347456[[#This Row],[lnrr]]+(1.96 * Table1347456[[#This Row],[se]])</f>
        <v>17.925510207125168</v>
      </c>
    </row>
    <row r="91" spans="1:67">
      <c r="A91" s="13" t="s">
        <v>94</v>
      </c>
      <c r="B91" s="13" t="s">
        <v>95</v>
      </c>
      <c r="C91" s="13" t="s">
        <v>43</v>
      </c>
      <c r="D91" s="13" t="s">
        <v>96</v>
      </c>
      <c r="E91" s="13" t="s">
        <v>97</v>
      </c>
      <c r="F91" s="13" t="s">
        <v>588</v>
      </c>
      <c r="G91" s="13" t="s">
        <v>98</v>
      </c>
      <c r="H91" s="13">
        <v>25.3</v>
      </c>
      <c r="I91" s="13">
        <v>1450</v>
      </c>
      <c r="J91" s="13" t="s">
        <v>650</v>
      </c>
      <c r="K91" s="13" t="s">
        <v>973</v>
      </c>
      <c r="L91" s="13" t="s">
        <v>974</v>
      </c>
      <c r="M91" s="13" t="s">
        <v>800</v>
      </c>
      <c r="N91" s="13" t="s">
        <v>84</v>
      </c>
      <c r="O91" s="13" t="s">
        <v>644</v>
      </c>
      <c r="P91" s="13" t="s">
        <v>85</v>
      </c>
      <c r="Q91" s="13" t="s">
        <v>48</v>
      </c>
      <c r="R91" s="4">
        <v>3</v>
      </c>
      <c r="S91" s="13" t="s">
        <v>594</v>
      </c>
      <c r="T91" s="13">
        <v>730</v>
      </c>
      <c r="U91" s="4" t="s">
        <v>100</v>
      </c>
      <c r="V91" s="4">
        <v>350</v>
      </c>
      <c r="W91" s="4" t="s">
        <v>42</v>
      </c>
      <c r="X91" s="4">
        <v>511.3</v>
      </c>
      <c r="Y91" s="4">
        <v>6</v>
      </c>
      <c r="AA91" s="4" t="s">
        <v>49</v>
      </c>
      <c r="AB91" s="4">
        <v>0</v>
      </c>
      <c r="AC91" s="4" t="s">
        <v>49</v>
      </c>
      <c r="AD91" s="4">
        <v>0</v>
      </c>
      <c r="AE91" s="4" t="s">
        <v>49</v>
      </c>
      <c r="AF91" s="4">
        <v>0</v>
      </c>
      <c r="AG91" s="4" t="s">
        <v>46</v>
      </c>
      <c r="AH91" s="4" t="s">
        <v>735</v>
      </c>
      <c r="AI91" s="4" t="s">
        <v>52</v>
      </c>
      <c r="AJ91" s="13">
        <v>0</v>
      </c>
      <c r="AK91" s="13">
        <v>10</v>
      </c>
      <c r="AM91" s="13" t="s">
        <v>484</v>
      </c>
      <c r="AP91" s="13" t="s">
        <v>50</v>
      </c>
      <c r="AQ91" s="13" t="s">
        <v>49</v>
      </c>
      <c r="AR91" s="13" t="s">
        <v>49</v>
      </c>
      <c r="AS91" s="13" t="s">
        <v>50</v>
      </c>
      <c r="AT91" s="13" t="s">
        <v>990</v>
      </c>
      <c r="AU91" s="13" t="s">
        <v>998</v>
      </c>
      <c r="AV91" s="23">
        <f>145.45/1000</f>
        <v>0.14545</v>
      </c>
      <c r="AW91" s="23">
        <f>4.69/1000</f>
        <v>4.6900000000000006E-3</v>
      </c>
      <c r="AX91" s="14">
        <f>Table1347456[[#This Row],[treatment_mean]]/Table1347456[[#This Row],[control_mean]]</f>
        <v>31.012793176972277</v>
      </c>
      <c r="AY91" s="14">
        <f>LN(Table1347456[[#This Row],[rr]])</f>
        <v>3.4343998024830227</v>
      </c>
      <c r="AZ91" s="13">
        <v>4</v>
      </c>
      <c r="BA91" s="13">
        <v>4</v>
      </c>
      <c r="BB91" s="14">
        <f>34.61/1000</f>
        <v>3.4610000000000002E-2</v>
      </c>
      <c r="BC91" s="14">
        <f>34.61/1000</f>
        <v>3.4610000000000002E-2</v>
      </c>
      <c r="BD91" s="15">
        <f>Table1347456[[#This Row],[treatment_se]]*SQRT(Table1347456[[#This Row],[treatment_n]])</f>
        <v>6.9220000000000004E-2</v>
      </c>
      <c r="BE91" s="14">
        <f>Table1347456[[#This Row],[control_se]]*SQRT(Table1347456[[#This Row],[control_n]])</f>
        <v>6.9220000000000004E-2</v>
      </c>
      <c r="BF9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54.5140973195683</v>
      </c>
      <c r="BG91" s="17">
        <f>SQRT(Table1347456[[#This Row],[v_from_sd_and_n]])</f>
        <v>7.3833662593405389</v>
      </c>
      <c r="BH91" s="13" t="s">
        <v>50</v>
      </c>
      <c r="BI91" s="13">
        <v>2.5000000000000001E-2</v>
      </c>
      <c r="BJ91" s="18">
        <f>ABS(_xlfn.NORM.S.INV(Table1347456[[#This Row],[p_value]]/2))</f>
        <v>2.2414027276049446</v>
      </c>
      <c r="BK91" s="19">
        <f>(Table1347456[[#This Row],[lnrr]]/Table1347456[[#This Row],[z_from_p]])^2</f>
        <v>2.3478043816115091</v>
      </c>
      <c r="BL91" s="16">
        <f>Table1347456[[#This Row],[v_from_sd_and_n]]</f>
        <v>54.5140973195683</v>
      </c>
      <c r="BM91" s="20">
        <f>SQRT(Table1347456[[#This Row],[v]])</f>
        <v>7.3833662593405389</v>
      </c>
      <c r="BN91" s="20">
        <f>Table1347456[[#This Row],[lnrr]]-(1.96*Table1347456[[#This Row],[se]])</f>
        <v>-11.036998065824433</v>
      </c>
      <c r="BO91" s="20">
        <f>Table1347456[[#This Row],[lnrr]]+(1.96 * Table1347456[[#This Row],[se]])</f>
        <v>17.905797670790477</v>
      </c>
    </row>
    <row r="92" spans="1:67">
      <c r="A92" s="13" t="s">
        <v>94</v>
      </c>
      <c r="B92" s="13" t="s">
        <v>95</v>
      </c>
      <c r="C92" s="13" t="s">
        <v>43</v>
      </c>
      <c r="D92" s="13" t="s">
        <v>96</v>
      </c>
      <c r="E92" s="13" t="s">
        <v>97</v>
      </c>
      <c r="F92" s="13" t="s">
        <v>588</v>
      </c>
      <c r="G92" s="13" t="s">
        <v>98</v>
      </c>
      <c r="H92" s="13">
        <v>25.3</v>
      </c>
      <c r="I92" s="13">
        <v>1450</v>
      </c>
      <c r="J92" s="13" t="s">
        <v>650</v>
      </c>
      <c r="K92" s="13" t="s">
        <v>973</v>
      </c>
      <c r="L92" s="13" t="s">
        <v>974</v>
      </c>
      <c r="M92" s="13" t="s">
        <v>800</v>
      </c>
      <c r="N92" s="13" t="s">
        <v>84</v>
      </c>
      <c r="O92" s="13" t="s">
        <v>644</v>
      </c>
      <c r="P92" s="13" t="s">
        <v>85</v>
      </c>
      <c r="Q92" s="13" t="s">
        <v>48</v>
      </c>
      <c r="R92" s="4">
        <v>3</v>
      </c>
      <c r="S92" s="13" t="s">
        <v>594</v>
      </c>
      <c r="T92" s="13">
        <v>730</v>
      </c>
      <c r="U92" s="4" t="s">
        <v>100</v>
      </c>
      <c r="V92" s="4">
        <v>350</v>
      </c>
      <c r="W92" s="4" t="s">
        <v>42</v>
      </c>
      <c r="X92" s="4">
        <v>511.3</v>
      </c>
      <c r="Y92" s="4">
        <v>12</v>
      </c>
      <c r="AA92" s="4" t="s">
        <v>49</v>
      </c>
      <c r="AB92" s="4">
        <v>0</v>
      </c>
      <c r="AC92" s="4" t="s">
        <v>49</v>
      </c>
      <c r="AD92" s="4">
        <v>0</v>
      </c>
      <c r="AE92" s="4" t="s">
        <v>49</v>
      </c>
      <c r="AF92" s="4">
        <v>0</v>
      </c>
      <c r="AG92" s="4" t="s">
        <v>46</v>
      </c>
      <c r="AH92" s="4" t="s">
        <v>735</v>
      </c>
      <c r="AI92" s="4" t="s">
        <v>52</v>
      </c>
      <c r="AJ92" s="13">
        <v>0</v>
      </c>
      <c r="AK92" s="13">
        <v>10</v>
      </c>
      <c r="AM92" s="13" t="s">
        <v>484</v>
      </c>
      <c r="AP92" s="13" t="s">
        <v>50</v>
      </c>
      <c r="AQ92" s="13" t="s">
        <v>49</v>
      </c>
      <c r="AR92" s="13" t="s">
        <v>49</v>
      </c>
      <c r="AS92" s="13" t="s">
        <v>50</v>
      </c>
      <c r="AT92" s="13" t="s">
        <v>990</v>
      </c>
      <c r="AU92" s="13" t="s">
        <v>998</v>
      </c>
      <c r="AV92" s="23">
        <f>130.205/1000</f>
        <v>0.13020500000000002</v>
      </c>
      <c r="AW92" s="23">
        <f>4.69/1000</f>
        <v>4.6900000000000006E-3</v>
      </c>
      <c r="AX92" s="14">
        <f>Table1347456[[#This Row],[treatment_mean]]/Table1347456[[#This Row],[control_mean]]</f>
        <v>27.762260127931768</v>
      </c>
      <c r="AY92" s="14">
        <f>LN(Table1347456[[#This Row],[rr]])</f>
        <v>3.3236775490366828</v>
      </c>
      <c r="AZ92" s="13">
        <v>4</v>
      </c>
      <c r="BA92" s="13">
        <v>4</v>
      </c>
      <c r="BB92" s="14">
        <f>34.01/1000</f>
        <v>3.4009999999999999E-2</v>
      </c>
      <c r="BC92" s="14">
        <f>34.61/1000</f>
        <v>3.4610000000000002E-2</v>
      </c>
      <c r="BD92" s="15">
        <f>Table1347456[[#This Row],[treatment_se]]*SQRT(Table1347456[[#This Row],[treatment_n]])</f>
        <v>6.8019999999999997E-2</v>
      </c>
      <c r="BE92" s="14">
        <f>Table1347456[[#This Row],[control_se]]*SQRT(Table1347456[[#This Row],[control_n]])</f>
        <v>6.9220000000000004E-2</v>
      </c>
      <c r="BF9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54.525703814182918</v>
      </c>
      <c r="BG92" s="17">
        <f>SQRT(Table1347456[[#This Row],[v_from_sd_and_n]])</f>
        <v>7.38415220686728</v>
      </c>
      <c r="BH92" s="13" t="s">
        <v>50</v>
      </c>
      <c r="BI92" s="13">
        <v>2.5000000000000001E-2</v>
      </c>
      <c r="BJ92" s="18">
        <f>ABS(_xlfn.NORM.S.INV(Table1347456[[#This Row],[p_value]]/2))</f>
        <v>2.2414027276049446</v>
      </c>
      <c r="BK92" s="19">
        <f>(Table1347456[[#This Row],[lnrr]]/Table1347456[[#This Row],[z_from_p]])^2</f>
        <v>2.198862004052422</v>
      </c>
      <c r="BL92" s="16">
        <f>Table1347456[[#This Row],[v_from_sd_and_n]]</f>
        <v>54.525703814182918</v>
      </c>
      <c r="BM92" s="20">
        <f>SQRT(Table1347456[[#This Row],[v]])</f>
        <v>7.38415220686728</v>
      </c>
      <c r="BN92" s="20">
        <f>Table1347456[[#This Row],[lnrr]]-(1.96*Table1347456[[#This Row],[se]])</f>
        <v>-11.149260776423185</v>
      </c>
      <c r="BO92" s="20">
        <f>Table1347456[[#This Row],[lnrr]]+(1.96 * Table1347456[[#This Row],[se]])</f>
        <v>17.796615874496553</v>
      </c>
    </row>
    <row r="93" spans="1:67">
      <c r="A93" s="13" t="s">
        <v>94</v>
      </c>
      <c r="B93" s="13" t="s">
        <v>95</v>
      </c>
      <c r="C93" s="13" t="s">
        <v>43</v>
      </c>
      <c r="D93" s="13" t="s">
        <v>96</v>
      </c>
      <c r="E93" s="13" t="s">
        <v>97</v>
      </c>
      <c r="F93" s="13" t="s">
        <v>588</v>
      </c>
      <c r="G93" s="13" t="s">
        <v>98</v>
      </c>
      <c r="H93" s="13">
        <v>25.3</v>
      </c>
      <c r="I93" s="13">
        <v>1450</v>
      </c>
      <c r="J93" s="13" t="s">
        <v>650</v>
      </c>
      <c r="K93" s="13" t="s">
        <v>973</v>
      </c>
      <c r="L93" s="13" t="s">
        <v>974</v>
      </c>
      <c r="M93" s="13" t="s">
        <v>800</v>
      </c>
      <c r="N93" s="13" t="s">
        <v>84</v>
      </c>
      <c r="O93" s="13" t="s">
        <v>644</v>
      </c>
      <c r="P93" s="13" t="s">
        <v>85</v>
      </c>
      <c r="Q93" s="13" t="s">
        <v>48</v>
      </c>
      <c r="R93" s="4">
        <v>3</v>
      </c>
      <c r="S93" s="13" t="s">
        <v>594</v>
      </c>
      <c r="T93" s="13">
        <v>730</v>
      </c>
      <c r="U93" s="4" t="s">
        <v>100</v>
      </c>
      <c r="V93" s="4">
        <v>350</v>
      </c>
      <c r="W93" s="4" t="s">
        <v>42</v>
      </c>
      <c r="X93" s="4">
        <v>511.3</v>
      </c>
      <c r="Y93" s="4">
        <v>3</v>
      </c>
      <c r="AA93" s="4" t="s">
        <v>49</v>
      </c>
      <c r="AB93" s="4">
        <v>0</v>
      </c>
      <c r="AC93" s="4" t="s">
        <v>49</v>
      </c>
      <c r="AD93" s="4">
        <v>0</v>
      </c>
      <c r="AE93" s="4" t="s">
        <v>49</v>
      </c>
      <c r="AF93" s="4">
        <v>0</v>
      </c>
      <c r="AG93" s="4" t="s">
        <v>46</v>
      </c>
      <c r="AH93" s="4" t="s">
        <v>735</v>
      </c>
      <c r="AI93" s="4" t="s">
        <v>52</v>
      </c>
      <c r="AJ93" s="13">
        <v>10</v>
      </c>
      <c r="AK93" s="13">
        <v>20</v>
      </c>
      <c r="AM93" s="13" t="s">
        <v>484</v>
      </c>
      <c r="AP93" s="13" t="s">
        <v>50</v>
      </c>
      <c r="AQ93" s="13" t="s">
        <v>49</v>
      </c>
      <c r="AR93" s="13" t="s">
        <v>49</v>
      </c>
      <c r="AS93" s="13" t="s">
        <v>50</v>
      </c>
      <c r="AT93" s="13" t="s">
        <v>990</v>
      </c>
      <c r="AU93" s="13" t="s">
        <v>998</v>
      </c>
      <c r="AV93" s="23">
        <f>4.11/1000</f>
        <v>4.1099999999999999E-3</v>
      </c>
      <c r="AW93" s="23">
        <f>3.52/1000</f>
        <v>3.5200000000000001E-3</v>
      </c>
      <c r="AX93" s="14">
        <f>Table1347456[[#This Row],[treatment_mean]]/Table1347456[[#This Row],[control_mean]]</f>
        <v>1.1676136363636362</v>
      </c>
      <c r="AY93" s="14">
        <f>LN(Table1347456[[#This Row],[rr]])</f>
        <v>0.15496203889813742</v>
      </c>
      <c r="AZ93" s="13">
        <v>4</v>
      </c>
      <c r="BA93" s="13">
        <v>4</v>
      </c>
      <c r="BB93" s="14">
        <f>1.17/1000</f>
        <v>1.17E-3</v>
      </c>
      <c r="BC93" s="14">
        <f>0.59/1000</f>
        <v>5.8999999999999992E-4</v>
      </c>
      <c r="BD93" s="15">
        <f>Table1347456[[#This Row],[treatment_se]]*SQRT(Table1347456[[#This Row],[treatment_n]])</f>
        <v>2.3400000000000001E-3</v>
      </c>
      <c r="BE93" s="14">
        <f>Table1347456[[#This Row],[control_se]]*SQRT(Table1347456[[#This Row],[control_n]])</f>
        <v>1.1799999999999998E-3</v>
      </c>
      <c r="BF9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0.10913221270833984</v>
      </c>
      <c r="BG93" s="17">
        <f>SQRT(Table1347456[[#This Row],[v_from_sd_and_n]])</f>
        <v>0.33035165007661133</v>
      </c>
      <c r="BH93" s="13" t="s">
        <v>50</v>
      </c>
      <c r="BI93" s="13">
        <v>2.5000000000000001E-2</v>
      </c>
      <c r="BJ93" s="18">
        <f>ABS(_xlfn.NORM.S.INV(Table1347456[[#This Row],[p_value]]/2))</f>
        <v>2.2414027276049446</v>
      </c>
      <c r="BK93" s="19">
        <f>(Table1347456[[#This Row],[lnrr]]/Table1347456[[#This Row],[z_from_p]])^2</f>
        <v>4.7798124010253896E-3</v>
      </c>
      <c r="BL93" s="16">
        <f>Table1347456[[#This Row],[v_from_sd_and_n]]</f>
        <v>0.10913221270833984</v>
      </c>
      <c r="BM93" s="20">
        <f>SQRT(Table1347456[[#This Row],[v]])</f>
        <v>0.33035165007661133</v>
      </c>
      <c r="BN93" s="20">
        <f>Table1347456[[#This Row],[lnrr]]-(1.96*Table1347456[[#This Row],[se]])</f>
        <v>-0.49252719525202071</v>
      </c>
      <c r="BO93" s="20">
        <f>Table1347456[[#This Row],[lnrr]]+(1.96 * Table1347456[[#This Row],[se]])</f>
        <v>0.80245127304829555</v>
      </c>
    </row>
    <row r="94" spans="1:67">
      <c r="A94" s="13" t="s">
        <v>94</v>
      </c>
      <c r="B94" s="13" t="s">
        <v>95</v>
      </c>
      <c r="C94" s="13" t="s">
        <v>43</v>
      </c>
      <c r="D94" s="13" t="s">
        <v>96</v>
      </c>
      <c r="E94" s="13" t="s">
        <v>97</v>
      </c>
      <c r="F94" s="13" t="s">
        <v>588</v>
      </c>
      <c r="G94" s="13" t="s">
        <v>98</v>
      </c>
      <c r="H94" s="13">
        <v>25.3</v>
      </c>
      <c r="I94" s="13">
        <v>1450</v>
      </c>
      <c r="J94" s="13" t="s">
        <v>650</v>
      </c>
      <c r="K94" s="13" t="s">
        <v>973</v>
      </c>
      <c r="L94" s="13" t="s">
        <v>974</v>
      </c>
      <c r="M94" s="13" t="s">
        <v>800</v>
      </c>
      <c r="N94" s="13" t="s">
        <v>84</v>
      </c>
      <c r="O94" s="13" t="s">
        <v>644</v>
      </c>
      <c r="P94" s="13" t="s">
        <v>85</v>
      </c>
      <c r="Q94" s="13" t="s">
        <v>48</v>
      </c>
      <c r="R94" s="4">
        <v>3</v>
      </c>
      <c r="S94" s="13" t="s">
        <v>594</v>
      </c>
      <c r="T94" s="13">
        <v>730</v>
      </c>
      <c r="U94" s="4" t="s">
        <v>100</v>
      </c>
      <c r="V94" s="4">
        <v>350</v>
      </c>
      <c r="W94" s="4" t="s">
        <v>42</v>
      </c>
      <c r="X94" s="4">
        <v>511.3</v>
      </c>
      <c r="Y94" s="4">
        <v>6</v>
      </c>
      <c r="AA94" s="4" t="s">
        <v>49</v>
      </c>
      <c r="AB94" s="4">
        <v>0</v>
      </c>
      <c r="AC94" s="4" t="s">
        <v>49</v>
      </c>
      <c r="AD94" s="4">
        <v>0</v>
      </c>
      <c r="AE94" s="4" t="s">
        <v>49</v>
      </c>
      <c r="AF94" s="4">
        <v>0</v>
      </c>
      <c r="AG94" s="4" t="s">
        <v>46</v>
      </c>
      <c r="AH94" s="4" t="s">
        <v>735</v>
      </c>
      <c r="AI94" s="4" t="s">
        <v>52</v>
      </c>
      <c r="AJ94" s="13">
        <v>10</v>
      </c>
      <c r="AK94" s="13">
        <v>20</v>
      </c>
      <c r="AM94" s="13" t="s">
        <v>484</v>
      </c>
      <c r="AP94" s="13" t="s">
        <v>50</v>
      </c>
      <c r="AQ94" s="13" t="s">
        <v>49</v>
      </c>
      <c r="AR94" s="13" t="s">
        <v>49</v>
      </c>
      <c r="AS94" s="13" t="s">
        <v>50</v>
      </c>
      <c r="AT94" s="13" t="s">
        <v>990</v>
      </c>
      <c r="AU94" s="13" t="s">
        <v>998</v>
      </c>
      <c r="AV94" s="23">
        <f>3.52/1000</f>
        <v>3.5200000000000001E-3</v>
      </c>
      <c r="AW94" s="23">
        <f>3.52/1000</f>
        <v>3.5200000000000001E-3</v>
      </c>
      <c r="AX94" s="14">
        <f>Table1347456[[#This Row],[treatment_mean]]/Table1347456[[#This Row],[control_mean]]</f>
        <v>1</v>
      </c>
      <c r="AY94" s="14">
        <f>LN(Table1347456[[#This Row],[rr]])</f>
        <v>0</v>
      </c>
      <c r="AZ94" s="13">
        <v>4</v>
      </c>
      <c r="BA94" s="13">
        <v>4</v>
      </c>
      <c r="BB94" s="14">
        <f>0.59/1000</f>
        <v>5.8999999999999992E-4</v>
      </c>
      <c r="BC94" s="14">
        <f>0.59/1000</f>
        <v>5.8999999999999992E-4</v>
      </c>
      <c r="BD94" s="15">
        <f>Table1347456[[#This Row],[treatment_se]]*SQRT(Table1347456[[#This Row],[treatment_n]])</f>
        <v>1.1799999999999998E-3</v>
      </c>
      <c r="BE94" s="14">
        <f>Table1347456[[#This Row],[control_se]]*SQRT(Table1347456[[#This Row],[control_n]])</f>
        <v>1.1799999999999998E-3</v>
      </c>
      <c r="BF9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5.6188662190082624E-2</v>
      </c>
      <c r="BG94" s="17">
        <f>SQRT(Table1347456[[#This Row],[v_from_sd_and_n]])</f>
        <v>0.23704147778412668</v>
      </c>
      <c r="BH94" s="13" t="s">
        <v>50</v>
      </c>
      <c r="BI94" s="13">
        <v>2.5000000000000001E-2</v>
      </c>
      <c r="BJ94" s="18">
        <f>ABS(_xlfn.NORM.S.INV(Table1347456[[#This Row],[p_value]]/2))</f>
        <v>2.2414027276049446</v>
      </c>
      <c r="BK94" s="19">
        <f>(Table1347456[[#This Row],[lnrr]]/Table1347456[[#This Row],[z_from_p]])^2</f>
        <v>0</v>
      </c>
      <c r="BL94" s="16">
        <f>Table1347456[[#This Row],[v_from_sd_and_n]]</f>
        <v>5.6188662190082624E-2</v>
      </c>
      <c r="BM94" s="20">
        <f>SQRT(Table1347456[[#This Row],[v]])</f>
        <v>0.23704147778412668</v>
      </c>
      <c r="BN94" s="20">
        <f>Table1347456[[#This Row],[lnrr]]-(1.96*Table1347456[[#This Row],[se]])</f>
        <v>-0.4646012964568883</v>
      </c>
      <c r="BO94" s="20">
        <f>Table1347456[[#This Row],[lnrr]]+(1.96 * Table1347456[[#This Row],[se]])</f>
        <v>0.4646012964568883</v>
      </c>
    </row>
    <row r="95" spans="1:67">
      <c r="A95" s="13" t="s">
        <v>94</v>
      </c>
      <c r="B95" s="13" t="s">
        <v>95</v>
      </c>
      <c r="C95" s="13" t="s">
        <v>43</v>
      </c>
      <c r="D95" s="13" t="s">
        <v>96</v>
      </c>
      <c r="E95" s="13" t="s">
        <v>97</v>
      </c>
      <c r="F95" s="13" t="s">
        <v>588</v>
      </c>
      <c r="G95" s="13" t="s">
        <v>98</v>
      </c>
      <c r="H95" s="13">
        <v>25.3</v>
      </c>
      <c r="I95" s="13">
        <v>1450</v>
      </c>
      <c r="J95" s="13" t="s">
        <v>650</v>
      </c>
      <c r="K95" s="13" t="s">
        <v>973</v>
      </c>
      <c r="L95" s="13" t="s">
        <v>974</v>
      </c>
      <c r="M95" s="13" t="s">
        <v>800</v>
      </c>
      <c r="N95" s="13" t="s">
        <v>84</v>
      </c>
      <c r="O95" s="13" t="s">
        <v>644</v>
      </c>
      <c r="P95" s="13" t="s">
        <v>85</v>
      </c>
      <c r="Q95" s="13" t="s">
        <v>48</v>
      </c>
      <c r="R95" s="4">
        <v>3</v>
      </c>
      <c r="S95" s="13" t="s">
        <v>594</v>
      </c>
      <c r="T95" s="13">
        <v>730</v>
      </c>
      <c r="U95" s="4" t="s">
        <v>100</v>
      </c>
      <c r="V95" s="4">
        <v>350</v>
      </c>
      <c r="W95" s="4" t="s">
        <v>42</v>
      </c>
      <c r="X95" s="4">
        <v>511.3</v>
      </c>
      <c r="Y95" s="4">
        <v>12</v>
      </c>
      <c r="AA95" s="4" t="s">
        <v>49</v>
      </c>
      <c r="AB95" s="4">
        <v>0</v>
      </c>
      <c r="AC95" s="4" t="s">
        <v>49</v>
      </c>
      <c r="AD95" s="4">
        <v>0</v>
      </c>
      <c r="AE95" s="4" t="s">
        <v>49</v>
      </c>
      <c r="AF95" s="4">
        <v>0</v>
      </c>
      <c r="AG95" s="4" t="s">
        <v>46</v>
      </c>
      <c r="AH95" s="4" t="s">
        <v>735</v>
      </c>
      <c r="AI95" s="4" t="s">
        <v>52</v>
      </c>
      <c r="AJ95" s="13">
        <v>10</v>
      </c>
      <c r="AK95" s="13">
        <v>20</v>
      </c>
      <c r="AM95" s="13" t="s">
        <v>484</v>
      </c>
      <c r="AP95" s="13" t="s">
        <v>50</v>
      </c>
      <c r="AQ95" s="13" t="s">
        <v>49</v>
      </c>
      <c r="AR95" s="13" t="s">
        <v>49</v>
      </c>
      <c r="AS95" s="13" t="s">
        <v>50</v>
      </c>
      <c r="AT95" s="13" t="s">
        <v>990</v>
      </c>
      <c r="AU95" s="13" t="s">
        <v>998</v>
      </c>
      <c r="AV95" s="23">
        <f>3.52/1000</f>
        <v>3.5200000000000001E-3</v>
      </c>
      <c r="AW95" s="23">
        <f>3.52/1000</f>
        <v>3.5200000000000001E-3</v>
      </c>
      <c r="AX95" s="14">
        <f>Table1347456[[#This Row],[treatment_mean]]/Table1347456[[#This Row],[control_mean]]</f>
        <v>1</v>
      </c>
      <c r="AY95" s="14">
        <f>LN(Table1347456[[#This Row],[rr]])</f>
        <v>0</v>
      </c>
      <c r="AZ95" s="13">
        <v>4</v>
      </c>
      <c r="BA95" s="13">
        <v>4</v>
      </c>
      <c r="BB95" s="14">
        <f>0.59/1000</f>
        <v>5.8999999999999992E-4</v>
      </c>
      <c r="BC95" s="14">
        <f>0.59/1000</f>
        <v>5.8999999999999992E-4</v>
      </c>
      <c r="BD95" s="15">
        <f>Table1347456[[#This Row],[treatment_se]]*SQRT(Table1347456[[#This Row],[treatment_n]])</f>
        <v>1.1799999999999998E-3</v>
      </c>
      <c r="BE95" s="14">
        <f>Table1347456[[#This Row],[control_se]]*SQRT(Table1347456[[#This Row],[control_n]])</f>
        <v>1.1799999999999998E-3</v>
      </c>
      <c r="BF9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5.6188662190082624E-2</v>
      </c>
      <c r="BG95" s="17">
        <f>SQRT(Table1347456[[#This Row],[v_from_sd_and_n]])</f>
        <v>0.23704147778412668</v>
      </c>
      <c r="BH95" s="13" t="s">
        <v>50</v>
      </c>
      <c r="BI95" s="13">
        <v>2.5000000000000001E-2</v>
      </c>
      <c r="BJ95" s="18">
        <f>ABS(_xlfn.NORM.S.INV(Table1347456[[#This Row],[p_value]]/2))</f>
        <v>2.2414027276049446</v>
      </c>
      <c r="BK95" s="19">
        <f>(Table1347456[[#This Row],[lnrr]]/Table1347456[[#This Row],[z_from_p]])^2</f>
        <v>0</v>
      </c>
      <c r="BL95" s="16">
        <f>Table1347456[[#This Row],[v_from_sd_and_n]]</f>
        <v>5.6188662190082624E-2</v>
      </c>
      <c r="BM95" s="20">
        <f>SQRT(Table1347456[[#This Row],[v]])</f>
        <v>0.23704147778412668</v>
      </c>
      <c r="BN95" s="20">
        <f>Table1347456[[#This Row],[lnrr]]-(1.96*Table1347456[[#This Row],[se]])</f>
        <v>-0.4646012964568883</v>
      </c>
      <c r="BO95" s="20">
        <f>Table1347456[[#This Row],[lnrr]]+(1.96 * Table1347456[[#This Row],[se]])</f>
        <v>0.4646012964568883</v>
      </c>
    </row>
    <row r="96" spans="1:67">
      <c r="A96" s="13" t="s">
        <v>94</v>
      </c>
      <c r="B96" s="13" t="s">
        <v>95</v>
      </c>
      <c r="C96" s="13" t="s">
        <v>43</v>
      </c>
      <c r="D96" s="13" t="s">
        <v>96</v>
      </c>
      <c r="E96" s="13" t="s">
        <v>97</v>
      </c>
      <c r="F96" s="13" t="s">
        <v>588</v>
      </c>
      <c r="G96" s="13" t="s">
        <v>98</v>
      </c>
      <c r="H96" s="13">
        <v>25.3</v>
      </c>
      <c r="I96" s="13">
        <v>1450</v>
      </c>
      <c r="K96" s="13" t="s">
        <v>973</v>
      </c>
      <c r="L96" s="13" t="s">
        <v>974</v>
      </c>
      <c r="N96" s="13" t="s">
        <v>47</v>
      </c>
      <c r="O96" s="13" t="s">
        <v>645</v>
      </c>
      <c r="P96" s="13" t="s">
        <v>48</v>
      </c>
      <c r="Q96" s="13" t="s">
        <v>48</v>
      </c>
      <c r="R96" s="4">
        <v>3</v>
      </c>
      <c r="S96" s="13" t="s">
        <v>594</v>
      </c>
      <c r="T96" s="13">
        <v>730</v>
      </c>
      <c r="U96" s="4" t="s">
        <v>100</v>
      </c>
      <c r="V96" s="4">
        <v>350</v>
      </c>
      <c r="W96" s="4" t="s">
        <v>42</v>
      </c>
      <c r="X96" s="4">
        <v>511.3</v>
      </c>
      <c r="Y96" s="4">
        <v>3</v>
      </c>
      <c r="AA96" s="4" t="s">
        <v>49</v>
      </c>
      <c r="AB96" s="4">
        <v>0</v>
      </c>
      <c r="AC96" s="4" t="s">
        <v>49</v>
      </c>
      <c r="AD96" s="4">
        <v>0</v>
      </c>
      <c r="AE96" s="4" t="s">
        <v>49</v>
      </c>
      <c r="AF96" s="4">
        <v>0</v>
      </c>
      <c r="AG96" s="4" t="s">
        <v>46</v>
      </c>
      <c r="AH96" s="4" t="s">
        <v>735</v>
      </c>
      <c r="AI96" s="4" t="s">
        <v>52</v>
      </c>
      <c r="AJ96" s="13">
        <v>0</v>
      </c>
      <c r="AK96" s="13">
        <v>10</v>
      </c>
      <c r="AM96" s="13" t="s">
        <v>484</v>
      </c>
      <c r="AP96" s="13" t="s">
        <v>50</v>
      </c>
      <c r="AQ96" s="13" t="s">
        <v>49</v>
      </c>
      <c r="AR96" s="13" t="s">
        <v>49</v>
      </c>
      <c r="AS96" s="13" t="s">
        <v>50</v>
      </c>
      <c r="AT96" s="13" t="s">
        <v>990</v>
      </c>
      <c r="AU96" s="13" t="s">
        <v>998</v>
      </c>
      <c r="AV96" s="14">
        <v>0.5988</v>
      </c>
      <c r="AW96" s="14">
        <v>0.56000000000000005</v>
      </c>
      <c r="AX96" s="14">
        <f>Table1347456[[#This Row],[treatment_mean]]/Table1347456[[#This Row],[control_mean]]</f>
        <v>1.0692857142857142</v>
      </c>
      <c r="AY96" s="14">
        <f>LN(Table1347456[[#This Row],[rr]])</f>
        <v>6.6990868816278262E-2</v>
      </c>
      <c r="AZ96" s="13">
        <v>4</v>
      </c>
      <c r="BA96" s="13">
        <v>4</v>
      </c>
      <c r="BB96" s="14">
        <v>0.36908000000000002</v>
      </c>
      <c r="BC96" s="14">
        <v>0.38</v>
      </c>
      <c r="BD96" s="15">
        <f>Table1347456[[#This Row],[treatment_se]]*SQRT(Table1347456[[#This Row],[treatment_n]])</f>
        <v>0.73816000000000004</v>
      </c>
      <c r="BE96" s="14">
        <f>Table1347456[[#This Row],[control_se]]*SQRT(Table1347456[[#This Row],[control_n]])</f>
        <v>0.76</v>
      </c>
      <c r="BF9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0.84036631032936415</v>
      </c>
      <c r="BG96" s="17">
        <f>SQRT(Table1347456[[#This Row],[v_from_sd_and_n]])</f>
        <v>0.91671495587743312</v>
      </c>
      <c r="BH96" s="13" t="s">
        <v>50</v>
      </c>
      <c r="BI96" s="13">
        <v>2.5000000000000001E-2</v>
      </c>
      <c r="BJ96" s="18">
        <f>ABS(_xlfn.NORM.S.INV(Table1347456[[#This Row],[p_value]]/2))</f>
        <v>2.2414027276049446</v>
      </c>
      <c r="BK96" s="19">
        <f>(Table1347456[[#This Row],[lnrr]]/Table1347456[[#This Row],[z_from_p]])^2</f>
        <v>8.9328785275654961E-4</v>
      </c>
      <c r="BL96" s="16">
        <f>Table1347456[[#This Row],[v_from_sd_and_n]]</f>
        <v>0.84036631032936415</v>
      </c>
      <c r="BM96" s="20">
        <f>SQRT(Table1347456[[#This Row],[v]])</f>
        <v>0.91671495587743312</v>
      </c>
      <c r="BN96" s="20">
        <f>Table1347456[[#This Row],[lnrr]]-(1.96*Table1347456[[#This Row],[se]])</f>
        <v>-1.7297704447034905</v>
      </c>
      <c r="BO96" s="20">
        <f>Table1347456[[#This Row],[lnrr]]+(1.96 * Table1347456[[#This Row],[se]])</f>
        <v>1.8637521823360472</v>
      </c>
    </row>
    <row r="97" spans="1:67">
      <c r="A97" s="13" t="s">
        <v>94</v>
      </c>
      <c r="B97" s="13" t="s">
        <v>95</v>
      </c>
      <c r="C97" s="13" t="s">
        <v>43</v>
      </c>
      <c r="D97" s="13" t="s">
        <v>96</v>
      </c>
      <c r="E97" s="13" t="s">
        <v>97</v>
      </c>
      <c r="F97" s="13" t="s">
        <v>588</v>
      </c>
      <c r="G97" s="13" t="s">
        <v>98</v>
      </c>
      <c r="H97" s="13">
        <v>25.3</v>
      </c>
      <c r="I97" s="13">
        <v>1450</v>
      </c>
      <c r="K97" s="13" t="s">
        <v>973</v>
      </c>
      <c r="L97" s="13" t="s">
        <v>974</v>
      </c>
      <c r="N97" s="13" t="s">
        <v>47</v>
      </c>
      <c r="O97" s="13" t="s">
        <v>645</v>
      </c>
      <c r="P97" s="13" t="s">
        <v>48</v>
      </c>
      <c r="Q97" s="13" t="s">
        <v>48</v>
      </c>
      <c r="R97" s="4">
        <v>3</v>
      </c>
      <c r="S97" s="13" t="s">
        <v>594</v>
      </c>
      <c r="T97" s="13">
        <v>730</v>
      </c>
      <c r="U97" s="4" t="s">
        <v>100</v>
      </c>
      <c r="V97" s="4">
        <v>350</v>
      </c>
      <c r="W97" s="4" t="s">
        <v>42</v>
      </c>
      <c r="X97" s="4">
        <v>511.3</v>
      </c>
      <c r="Y97" s="4">
        <v>6</v>
      </c>
      <c r="AA97" s="4" t="s">
        <v>49</v>
      </c>
      <c r="AB97" s="4">
        <v>0</v>
      </c>
      <c r="AC97" s="4" t="s">
        <v>49</v>
      </c>
      <c r="AD97" s="4">
        <v>0</v>
      </c>
      <c r="AE97" s="4" t="s">
        <v>49</v>
      </c>
      <c r="AF97" s="4">
        <v>0</v>
      </c>
      <c r="AG97" s="4" t="s">
        <v>46</v>
      </c>
      <c r="AH97" s="4" t="s">
        <v>735</v>
      </c>
      <c r="AI97" s="4" t="s">
        <v>52</v>
      </c>
      <c r="AJ97" s="13">
        <v>0</v>
      </c>
      <c r="AK97" s="13">
        <v>10</v>
      </c>
      <c r="AM97" s="13" t="s">
        <v>484</v>
      </c>
      <c r="AP97" s="13" t="s">
        <v>50</v>
      </c>
      <c r="AQ97" s="13" t="s">
        <v>49</v>
      </c>
      <c r="AR97" s="13" t="s">
        <v>49</v>
      </c>
      <c r="AS97" s="13" t="s">
        <v>50</v>
      </c>
      <c r="AT97" s="13" t="s">
        <v>990</v>
      </c>
      <c r="AU97" s="13" t="s">
        <v>998</v>
      </c>
      <c r="AV97" s="14">
        <v>1.85</v>
      </c>
      <c r="AW97" s="14">
        <v>0.56000000000000005</v>
      </c>
      <c r="AX97" s="14">
        <f>Table1347456[[#This Row],[treatment_mean]]/Table1347456[[#This Row],[control_mean]]</f>
        <v>3.3035714285714284</v>
      </c>
      <c r="AY97" s="14">
        <f>LN(Table1347456[[#This Row],[rr]])</f>
        <v>1.1950041343431754</v>
      </c>
      <c r="AZ97" s="13">
        <v>4</v>
      </c>
      <c r="BA97" s="13">
        <v>4</v>
      </c>
      <c r="BB97" s="14">
        <v>0.36908000000000002</v>
      </c>
      <c r="BC97" s="14">
        <v>0.38</v>
      </c>
      <c r="BD97" s="15">
        <f>Table1347456[[#This Row],[treatment_se]]*SQRT(Table1347456[[#This Row],[treatment_n]])</f>
        <v>0.73816000000000004</v>
      </c>
      <c r="BE97" s="14">
        <f>Table1347456[[#This Row],[control_se]]*SQRT(Table1347456[[#This Row],[control_n]])</f>
        <v>0.76</v>
      </c>
      <c r="BF9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0.50026051205915234</v>
      </c>
      <c r="BG97" s="17">
        <f>SQRT(Table1347456[[#This Row],[v_from_sd_and_n]])</f>
        <v>0.70729096704196104</v>
      </c>
      <c r="BH97" s="13" t="s">
        <v>50</v>
      </c>
      <c r="BI97" s="13">
        <v>2.5000000000000001E-2</v>
      </c>
      <c r="BJ97" s="18">
        <f>ABS(_xlfn.NORM.S.INV(Table1347456[[#This Row],[p_value]]/2))</f>
        <v>2.2414027276049446</v>
      </c>
      <c r="BK97" s="19">
        <f>(Table1347456[[#This Row],[lnrr]]/Table1347456[[#This Row],[z_from_p]])^2</f>
        <v>0.28424905100418352</v>
      </c>
      <c r="BL97" s="16">
        <f>Table1347456[[#This Row],[v_from_sd_and_n]]</f>
        <v>0.50026051205915234</v>
      </c>
      <c r="BM97" s="20">
        <f>SQRT(Table1347456[[#This Row],[v]])</f>
        <v>0.70729096704196104</v>
      </c>
      <c r="BN97" s="20">
        <f>Table1347456[[#This Row],[lnrr]]-(1.96*Table1347456[[#This Row],[se]])</f>
        <v>-0.19128616105906815</v>
      </c>
      <c r="BO97" s="20">
        <f>Table1347456[[#This Row],[lnrr]]+(1.96 * Table1347456[[#This Row],[se]])</f>
        <v>2.581294429745419</v>
      </c>
    </row>
    <row r="98" spans="1:67">
      <c r="A98" s="13" t="s">
        <v>94</v>
      </c>
      <c r="B98" s="13" t="s">
        <v>95</v>
      </c>
      <c r="C98" s="13" t="s">
        <v>43</v>
      </c>
      <c r="D98" s="13" t="s">
        <v>96</v>
      </c>
      <c r="E98" s="13" t="s">
        <v>97</v>
      </c>
      <c r="F98" s="13" t="s">
        <v>588</v>
      </c>
      <c r="G98" s="13" t="s">
        <v>98</v>
      </c>
      <c r="H98" s="13">
        <v>25.3</v>
      </c>
      <c r="I98" s="13">
        <v>1450</v>
      </c>
      <c r="K98" s="13" t="s">
        <v>973</v>
      </c>
      <c r="L98" s="13" t="s">
        <v>974</v>
      </c>
      <c r="N98" s="13" t="s">
        <v>47</v>
      </c>
      <c r="O98" s="13" t="s">
        <v>645</v>
      </c>
      <c r="P98" s="13" t="s">
        <v>48</v>
      </c>
      <c r="Q98" s="13" t="s">
        <v>48</v>
      </c>
      <c r="R98" s="4">
        <v>3</v>
      </c>
      <c r="S98" s="13" t="s">
        <v>594</v>
      </c>
      <c r="T98" s="13">
        <v>730</v>
      </c>
      <c r="U98" s="4" t="s">
        <v>100</v>
      </c>
      <c r="V98" s="4">
        <v>350</v>
      </c>
      <c r="W98" s="4" t="s">
        <v>42</v>
      </c>
      <c r="X98" s="4">
        <v>511.3</v>
      </c>
      <c r="Y98" s="4">
        <v>12</v>
      </c>
      <c r="AA98" s="4" t="s">
        <v>49</v>
      </c>
      <c r="AB98" s="4">
        <v>0</v>
      </c>
      <c r="AC98" s="4" t="s">
        <v>49</v>
      </c>
      <c r="AD98" s="4">
        <v>0</v>
      </c>
      <c r="AE98" s="4" t="s">
        <v>49</v>
      </c>
      <c r="AF98" s="4">
        <v>0</v>
      </c>
      <c r="AG98" s="4" t="s">
        <v>46</v>
      </c>
      <c r="AH98" s="4" t="s">
        <v>735</v>
      </c>
      <c r="AI98" s="4" t="s">
        <v>52</v>
      </c>
      <c r="AJ98" s="13">
        <v>0</v>
      </c>
      <c r="AK98" s="13">
        <v>10</v>
      </c>
      <c r="AM98" s="13" t="s">
        <v>484</v>
      </c>
      <c r="AP98" s="13" t="s">
        <v>50</v>
      </c>
      <c r="AQ98" s="13" t="s">
        <v>49</v>
      </c>
      <c r="AR98" s="13" t="s">
        <v>49</v>
      </c>
      <c r="AS98" s="13" t="s">
        <v>50</v>
      </c>
      <c r="AT98" s="13" t="s">
        <v>990</v>
      </c>
      <c r="AU98" s="13" t="s">
        <v>998</v>
      </c>
      <c r="AV98" s="14">
        <v>1.9</v>
      </c>
      <c r="AW98" s="14">
        <v>0.56000000000000005</v>
      </c>
      <c r="AX98" s="14">
        <f>Table1347456[[#This Row],[treatment_mean]]/Table1347456[[#This Row],[control_mean]]</f>
        <v>3.3928571428571423</v>
      </c>
      <c r="AY98" s="14">
        <f>LN(Table1347456[[#This Row],[rr]])</f>
        <v>1.2216723814253367</v>
      </c>
      <c r="AZ98" s="13">
        <v>4</v>
      </c>
      <c r="BA98" s="13">
        <v>4</v>
      </c>
      <c r="BB98" s="14">
        <v>0.376</v>
      </c>
      <c r="BC98" s="14">
        <v>0.38</v>
      </c>
      <c r="BD98" s="15">
        <f>Table1347456[[#This Row],[treatment_se]]*SQRT(Table1347456[[#This Row],[treatment_n]])</f>
        <v>0.752</v>
      </c>
      <c r="BE98" s="14">
        <f>Table1347456[[#This Row],[control_se]]*SQRT(Table1347456[[#This Row],[control_n]])</f>
        <v>0.76</v>
      </c>
      <c r="BF9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0.49962151054327542</v>
      </c>
      <c r="BG98" s="17">
        <f>SQRT(Table1347456[[#This Row],[v_from_sd_and_n]])</f>
        <v>0.7068390980578787</v>
      </c>
      <c r="BH98" s="13" t="s">
        <v>50</v>
      </c>
      <c r="BI98" s="13">
        <v>2.5000000000000001E-2</v>
      </c>
      <c r="BJ98" s="18">
        <f>ABS(_xlfn.NORM.S.INV(Table1347456[[#This Row],[p_value]]/2))</f>
        <v>2.2414027276049446</v>
      </c>
      <c r="BK98" s="19">
        <f>(Table1347456[[#This Row],[lnrr]]/Table1347456[[#This Row],[z_from_p]])^2</f>
        <v>0.29707747187942185</v>
      </c>
      <c r="BL98" s="16">
        <f>Table1347456[[#This Row],[v_from_sd_and_n]]</f>
        <v>0.49962151054327542</v>
      </c>
      <c r="BM98" s="20">
        <f>SQRT(Table1347456[[#This Row],[v]])</f>
        <v>0.7068390980578787</v>
      </c>
      <c r="BN98" s="20">
        <f>Table1347456[[#This Row],[lnrr]]-(1.96*Table1347456[[#This Row],[se]])</f>
        <v>-0.16373225076810538</v>
      </c>
      <c r="BO98" s="20">
        <f>Table1347456[[#This Row],[lnrr]]+(1.96 * Table1347456[[#This Row],[se]])</f>
        <v>2.6070770136187789</v>
      </c>
    </row>
    <row r="99" spans="1:67">
      <c r="A99" s="13" t="s">
        <v>94</v>
      </c>
      <c r="B99" s="13" t="s">
        <v>95</v>
      </c>
      <c r="C99" s="13" t="s">
        <v>43</v>
      </c>
      <c r="D99" s="13" t="s">
        <v>96</v>
      </c>
      <c r="E99" s="13" t="s">
        <v>97</v>
      </c>
      <c r="F99" s="13" t="s">
        <v>588</v>
      </c>
      <c r="G99" s="13" t="s">
        <v>98</v>
      </c>
      <c r="H99" s="13">
        <v>25.3</v>
      </c>
      <c r="I99" s="13">
        <v>1450</v>
      </c>
      <c r="K99" s="13" t="s">
        <v>973</v>
      </c>
      <c r="L99" s="13" t="s">
        <v>974</v>
      </c>
      <c r="N99" s="13" t="s">
        <v>47</v>
      </c>
      <c r="O99" s="13" t="s">
        <v>645</v>
      </c>
      <c r="P99" s="13" t="s">
        <v>48</v>
      </c>
      <c r="Q99" s="13" t="s">
        <v>48</v>
      </c>
      <c r="R99" s="4">
        <v>3</v>
      </c>
      <c r="S99" s="13" t="s">
        <v>594</v>
      </c>
      <c r="T99" s="13">
        <v>730</v>
      </c>
      <c r="U99" s="4" t="s">
        <v>100</v>
      </c>
      <c r="V99" s="4">
        <v>350</v>
      </c>
      <c r="W99" s="4" t="s">
        <v>42</v>
      </c>
      <c r="X99" s="4">
        <v>511.3</v>
      </c>
      <c r="Y99" s="4">
        <v>3</v>
      </c>
      <c r="AA99" s="4" t="s">
        <v>49</v>
      </c>
      <c r="AB99" s="4">
        <v>0</v>
      </c>
      <c r="AC99" s="4" t="s">
        <v>49</v>
      </c>
      <c r="AD99" s="4">
        <v>0</v>
      </c>
      <c r="AE99" s="4" t="s">
        <v>49</v>
      </c>
      <c r="AF99" s="4">
        <v>0</v>
      </c>
      <c r="AG99" s="4" t="s">
        <v>46</v>
      </c>
      <c r="AH99" s="4" t="s">
        <v>735</v>
      </c>
      <c r="AI99" s="4" t="s">
        <v>52</v>
      </c>
      <c r="AJ99" s="13">
        <v>10</v>
      </c>
      <c r="AK99" s="13">
        <v>20</v>
      </c>
      <c r="AM99" s="13" t="s">
        <v>484</v>
      </c>
      <c r="AP99" s="13" t="s">
        <v>50</v>
      </c>
      <c r="AQ99" s="13" t="s">
        <v>49</v>
      </c>
      <c r="AR99" s="13" t="s">
        <v>49</v>
      </c>
      <c r="AS99" s="13" t="s">
        <v>50</v>
      </c>
      <c r="AT99" s="13" t="s">
        <v>990</v>
      </c>
      <c r="AU99" s="13" t="s">
        <v>998</v>
      </c>
      <c r="AV99" s="14">
        <v>0.42</v>
      </c>
      <c r="AW99" s="14">
        <v>0.53</v>
      </c>
      <c r="AX99" s="14">
        <f>Table1347456[[#This Row],[treatment_mean]]/Table1347456[[#This Row],[control_mean]]</f>
        <v>0.79245283018867918</v>
      </c>
      <c r="AY99" s="14">
        <f>LN(Table1347456[[#This Row],[rr]])</f>
        <v>-0.23262229526875361</v>
      </c>
      <c r="AZ99" s="13">
        <v>4</v>
      </c>
      <c r="BA99" s="13">
        <v>4</v>
      </c>
      <c r="BB99" s="14">
        <v>0.13900000000000001</v>
      </c>
      <c r="BC99" s="14">
        <v>0.13930000000000001</v>
      </c>
      <c r="BD99" s="15">
        <f>Table1347456[[#This Row],[treatment_se]]*SQRT(Table1347456[[#This Row],[treatment_n]])</f>
        <v>0.27800000000000002</v>
      </c>
      <c r="BE99" s="14">
        <f>Table1347456[[#This Row],[control_se]]*SQRT(Table1347456[[#This Row],[control_n]])</f>
        <v>0.27860000000000001</v>
      </c>
      <c r="BF9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0.17860918653921759</v>
      </c>
      <c r="BG99" s="17">
        <f>SQRT(Table1347456[[#This Row],[v_from_sd_and_n]])</f>
        <v>0.42262180083286949</v>
      </c>
      <c r="BH99" s="13" t="s">
        <v>50</v>
      </c>
      <c r="BI99" s="13">
        <v>2.5000000000000001E-2</v>
      </c>
      <c r="BJ99" s="18">
        <f>ABS(_xlfn.NORM.S.INV(Table1347456[[#This Row],[p_value]]/2))</f>
        <v>2.2414027276049446</v>
      </c>
      <c r="BK99" s="19">
        <f>(Table1347456[[#This Row],[lnrr]]/Table1347456[[#This Row],[z_from_p]])^2</f>
        <v>1.0771170014308188E-2</v>
      </c>
      <c r="BL99" s="16">
        <f>Table1347456[[#This Row],[v_from_sd_and_n]]</f>
        <v>0.17860918653921759</v>
      </c>
      <c r="BM99" s="20">
        <f>SQRT(Table1347456[[#This Row],[v]])</f>
        <v>0.42262180083286949</v>
      </c>
      <c r="BN99" s="20">
        <f>Table1347456[[#This Row],[lnrr]]-(1.96*Table1347456[[#This Row],[se]])</f>
        <v>-1.0609610249011778</v>
      </c>
      <c r="BO99" s="20">
        <f>Table1347456[[#This Row],[lnrr]]+(1.96 * Table1347456[[#This Row],[se]])</f>
        <v>0.5957164343636705</v>
      </c>
    </row>
    <row r="100" spans="1:67">
      <c r="A100" s="13" t="s">
        <v>94</v>
      </c>
      <c r="B100" s="13" t="s">
        <v>95</v>
      </c>
      <c r="C100" s="13" t="s">
        <v>43</v>
      </c>
      <c r="D100" s="13" t="s">
        <v>96</v>
      </c>
      <c r="E100" s="13" t="s">
        <v>97</v>
      </c>
      <c r="F100" s="13" t="s">
        <v>588</v>
      </c>
      <c r="G100" s="13" t="s">
        <v>98</v>
      </c>
      <c r="H100" s="13">
        <v>25.3</v>
      </c>
      <c r="I100" s="13">
        <v>1450</v>
      </c>
      <c r="K100" s="13" t="s">
        <v>973</v>
      </c>
      <c r="L100" s="13" t="s">
        <v>974</v>
      </c>
      <c r="N100" s="13" t="s">
        <v>47</v>
      </c>
      <c r="O100" s="13" t="s">
        <v>645</v>
      </c>
      <c r="P100" s="13" t="s">
        <v>48</v>
      </c>
      <c r="Q100" s="13" t="s">
        <v>48</v>
      </c>
      <c r="R100" s="4">
        <v>3</v>
      </c>
      <c r="S100" s="13" t="s">
        <v>594</v>
      </c>
      <c r="T100" s="13">
        <v>730</v>
      </c>
      <c r="U100" s="4" t="s">
        <v>100</v>
      </c>
      <c r="V100" s="4">
        <v>350</v>
      </c>
      <c r="W100" s="4" t="s">
        <v>42</v>
      </c>
      <c r="X100" s="4">
        <v>511.3</v>
      </c>
      <c r="Y100" s="4">
        <v>6</v>
      </c>
      <c r="AA100" s="4" t="s">
        <v>49</v>
      </c>
      <c r="AB100" s="4">
        <v>0</v>
      </c>
      <c r="AC100" s="4" t="s">
        <v>49</v>
      </c>
      <c r="AD100" s="4">
        <v>0</v>
      </c>
      <c r="AE100" s="4" t="s">
        <v>49</v>
      </c>
      <c r="AF100" s="4">
        <v>0</v>
      </c>
      <c r="AG100" s="4" t="s">
        <v>46</v>
      </c>
      <c r="AH100" s="4" t="s">
        <v>735</v>
      </c>
      <c r="AI100" s="4" t="s">
        <v>52</v>
      </c>
      <c r="AJ100" s="13">
        <v>10</v>
      </c>
      <c r="AK100" s="13">
        <v>20</v>
      </c>
      <c r="AM100" s="13" t="s">
        <v>484</v>
      </c>
      <c r="AP100" s="13" t="s">
        <v>50</v>
      </c>
      <c r="AQ100" s="13" t="s">
        <v>49</v>
      </c>
      <c r="AR100" s="13" t="s">
        <v>49</v>
      </c>
      <c r="AS100" s="13" t="s">
        <v>50</v>
      </c>
      <c r="AT100" s="13" t="s">
        <v>990</v>
      </c>
      <c r="AU100" s="13" t="s">
        <v>998</v>
      </c>
      <c r="AV100" s="14">
        <v>1.0580000000000001</v>
      </c>
      <c r="AW100" s="14">
        <v>0.53</v>
      </c>
      <c r="AX100" s="14">
        <f>Table1347456[[#This Row],[treatment_mean]]/Table1347456[[#This Row],[control_mean]]</f>
        <v>1.9962264150943396</v>
      </c>
      <c r="AY100" s="14">
        <f>LN(Table1347456[[#This Row],[rr]])</f>
        <v>0.69125860587207721</v>
      </c>
      <c r="AZ100" s="13">
        <v>4</v>
      </c>
      <c r="BA100" s="13">
        <v>4</v>
      </c>
      <c r="BB100" s="14">
        <v>0.13900000000000001</v>
      </c>
      <c r="BC100" s="14">
        <v>0.13930000000000001</v>
      </c>
      <c r="BD100" s="15">
        <f>Table1347456[[#This Row],[treatment_se]]*SQRT(Table1347456[[#This Row],[treatment_n]])</f>
        <v>0.27800000000000002</v>
      </c>
      <c r="BE100" s="14">
        <f>Table1347456[[#This Row],[control_se]]*SQRT(Table1347456[[#This Row],[control_n]])</f>
        <v>0.27860000000000001</v>
      </c>
      <c r="BF10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8.6340402546953604E-2</v>
      </c>
      <c r="BG100" s="17">
        <f>SQRT(Table1347456[[#This Row],[v_from_sd_and_n]])</f>
        <v>0.29383737431945856</v>
      </c>
      <c r="BH100" s="13" t="s">
        <v>50</v>
      </c>
      <c r="BI100" s="13">
        <v>2.5000000000000001E-2</v>
      </c>
      <c r="BJ100" s="18">
        <f>ABS(_xlfn.NORM.S.INV(Table1347456[[#This Row],[p_value]]/2))</f>
        <v>2.2414027276049446</v>
      </c>
      <c r="BK100" s="19">
        <f>(Table1347456[[#This Row],[lnrr]]/Table1347456[[#This Row],[z_from_p]])^2</f>
        <v>9.5113313155606713E-2</v>
      </c>
      <c r="BL100" s="16">
        <f>Table1347456[[#This Row],[v_from_sd_and_n]]</f>
        <v>8.6340402546953604E-2</v>
      </c>
      <c r="BM100" s="20">
        <f>SQRT(Table1347456[[#This Row],[v]])</f>
        <v>0.29383737431945856</v>
      </c>
      <c r="BN100" s="20">
        <f>Table1347456[[#This Row],[lnrr]]-(1.96*Table1347456[[#This Row],[se]])</f>
        <v>0.11533735220593844</v>
      </c>
      <c r="BO100" s="20">
        <f>Table1347456[[#This Row],[lnrr]]+(1.96 * Table1347456[[#This Row],[se]])</f>
        <v>1.267179859538216</v>
      </c>
    </row>
    <row r="101" spans="1:67">
      <c r="A101" s="13" t="s">
        <v>94</v>
      </c>
      <c r="B101" s="13" t="s">
        <v>95</v>
      </c>
      <c r="C101" s="13" t="s">
        <v>43</v>
      </c>
      <c r="D101" s="13" t="s">
        <v>96</v>
      </c>
      <c r="E101" s="13" t="s">
        <v>97</v>
      </c>
      <c r="F101" s="13" t="s">
        <v>588</v>
      </c>
      <c r="G101" s="13" t="s">
        <v>98</v>
      </c>
      <c r="H101" s="13">
        <v>25.3</v>
      </c>
      <c r="I101" s="13">
        <v>1450</v>
      </c>
      <c r="K101" s="13" t="s">
        <v>973</v>
      </c>
      <c r="L101" s="13" t="s">
        <v>974</v>
      </c>
      <c r="N101" s="13" t="s">
        <v>47</v>
      </c>
      <c r="O101" s="13" t="s">
        <v>645</v>
      </c>
      <c r="P101" s="13" t="s">
        <v>48</v>
      </c>
      <c r="Q101" s="13" t="s">
        <v>48</v>
      </c>
      <c r="R101" s="4">
        <v>3</v>
      </c>
      <c r="S101" s="13" t="s">
        <v>594</v>
      </c>
      <c r="T101" s="13">
        <v>730</v>
      </c>
      <c r="U101" s="4" t="s">
        <v>100</v>
      </c>
      <c r="V101" s="4">
        <v>350</v>
      </c>
      <c r="W101" s="4" t="s">
        <v>42</v>
      </c>
      <c r="X101" s="4">
        <v>511.3</v>
      </c>
      <c r="Y101" s="4">
        <v>12</v>
      </c>
      <c r="AA101" s="4" t="s">
        <v>49</v>
      </c>
      <c r="AB101" s="4">
        <v>0</v>
      </c>
      <c r="AC101" s="4" t="s">
        <v>49</v>
      </c>
      <c r="AD101" s="4">
        <v>0</v>
      </c>
      <c r="AE101" s="4" t="s">
        <v>49</v>
      </c>
      <c r="AF101" s="4">
        <v>0</v>
      </c>
      <c r="AG101" s="4" t="s">
        <v>46</v>
      </c>
      <c r="AH101" s="4" t="s">
        <v>735</v>
      </c>
      <c r="AI101" s="4" t="s">
        <v>52</v>
      </c>
      <c r="AJ101" s="13">
        <v>10</v>
      </c>
      <c r="AK101" s="13">
        <v>20</v>
      </c>
      <c r="AM101" s="13" t="s">
        <v>484</v>
      </c>
      <c r="AP101" s="13" t="s">
        <v>50</v>
      </c>
      <c r="AQ101" s="13" t="s">
        <v>49</v>
      </c>
      <c r="AR101" s="13" t="s">
        <v>49</v>
      </c>
      <c r="AS101" s="13" t="s">
        <v>50</v>
      </c>
      <c r="AT101" s="13" t="s">
        <v>990</v>
      </c>
      <c r="AU101" s="13" t="s">
        <v>998</v>
      </c>
      <c r="AV101" s="14">
        <v>0.14699999999999999</v>
      </c>
      <c r="AW101" s="14">
        <v>0.53</v>
      </c>
      <c r="AX101" s="14">
        <f>Table1347456[[#This Row],[treatment_mean]]/Table1347456[[#This Row],[control_mean]]</f>
        <v>0.27735849056603773</v>
      </c>
      <c r="AY101" s="14">
        <f>LN(Table1347456[[#This Row],[rr]])</f>
        <v>-1.2824444197674312</v>
      </c>
      <c r="AZ101" s="13">
        <v>4</v>
      </c>
      <c r="BA101" s="13">
        <v>4</v>
      </c>
      <c r="BB101" s="14">
        <v>0.13900000000000001</v>
      </c>
      <c r="BC101" s="14">
        <v>0.13930000000000001</v>
      </c>
      <c r="BD101" s="15">
        <f>Table1347456[[#This Row],[treatment_se]]*SQRT(Table1347456[[#This Row],[treatment_n]])</f>
        <v>0.27800000000000002</v>
      </c>
      <c r="BE101" s="14">
        <f>Table1347456[[#This Row],[control_se]]*SQRT(Table1347456[[#This Row],[control_n]])</f>
        <v>0.27860000000000001</v>
      </c>
      <c r="BF10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0.96319789957545288</v>
      </c>
      <c r="BG101" s="17">
        <f>SQRT(Table1347456[[#This Row],[v_from_sd_and_n]])</f>
        <v>0.98142646162382075</v>
      </c>
      <c r="BH101" s="13" t="s">
        <v>50</v>
      </c>
      <c r="BI101" s="13">
        <v>2.5000000000000001E-2</v>
      </c>
      <c r="BJ101" s="18">
        <f>ABS(_xlfn.NORM.S.INV(Table1347456[[#This Row],[p_value]]/2))</f>
        <v>2.2414027276049446</v>
      </c>
      <c r="BK101" s="19">
        <f>(Table1347456[[#This Row],[lnrr]]/Table1347456[[#This Row],[z_from_p]])^2</f>
        <v>0.32736881937041762</v>
      </c>
      <c r="BL101" s="16">
        <f>Table1347456[[#This Row],[v_from_sd_and_n]]</f>
        <v>0.96319789957545288</v>
      </c>
      <c r="BM101" s="20">
        <f>SQRT(Table1347456[[#This Row],[v]])</f>
        <v>0.98142646162382075</v>
      </c>
      <c r="BN101" s="20">
        <f>Table1347456[[#This Row],[lnrr]]-(1.96*Table1347456[[#This Row],[se]])</f>
        <v>-3.2060402845501201</v>
      </c>
      <c r="BO101" s="20">
        <f>Table1347456[[#This Row],[lnrr]]+(1.96 * Table1347456[[#This Row],[se]])</f>
        <v>0.64115144501525756</v>
      </c>
    </row>
    <row r="102" spans="1:67">
      <c r="A102" s="13" t="s">
        <v>101</v>
      </c>
      <c r="B102" s="13" t="s">
        <v>102</v>
      </c>
      <c r="C102" s="13" t="s">
        <v>43</v>
      </c>
      <c r="D102" s="13" t="s">
        <v>103</v>
      </c>
      <c r="E102" s="13" t="s">
        <v>91</v>
      </c>
      <c r="F102" s="13" t="s">
        <v>587</v>
      </c>
      <c r="G102" s="13" t="s">
        <v>104</v>
      </c>
      <c r="H102" s="13">
        <v>11.3</v>
      </c>
      <c r="I102" s="13">
        <v>251</v>
      </c>
      <c r="K102" s="13" t="s">
        <v>821</v>
      </c>
      <c r="L102" s="13" t="s">
        <v>822</v>
      </c>
      <c r="N102" s="13" t="s">
        <v>47</v>
      </c>
      <c r="O102" s="13" t="s">
        <v>645</v>
      </c>
      <c r="P102" s="13" t="s">
        <v>48</v>
      </c>
      <c r="Q102" s="13" t="s">
        <v>48</v>
      </c>
      <c r="R102" s="4">
        <v>3</v>
      </c>
      <c r="S102" s="13" t="s">
        <v>594</v>
      </c>
      <c r="T102" s="13">
        <v>730</v>
      </c>
      <c r="U102" s="4" t="s">
        <v>105</v>
      </c>
      <c r="V102" s="4">
        <v>600</v>
      </c>
      <c r="W102" s="4" t="s">
        <v>602</v>
      </c>
      <c r="X102" s="4">
        <v>483.9</v>
      </c>
      <c r="Y102" s="4">
        <v>10</v>
      </c>
      <c r="AA102" s="4" t="s">
        <v>49</v>
      </c>
      <c r="AB102" s="4" t="s">
        <v>677</v>
      </c>
      <c r="AC102" s="4" t="s">
        <v>49</v>
      </c>
      <c r="AD102" s="4">
        <v>0</v>
      </c>
      <c r="AE102" s="4" t="s">
        <v>49</v>
      </c>
      <c r="AF102" s="4">
        <v>0</v>
      </c>
      <c r="AG102" s="4" t="s">
        <v>700</v>
      </c>
      <c r="AH102" s="4" t="s">
        <v>699</v>
      </c>
      <c r="AI102" s="4" t="s">
        <v>64</v>
      </c>
      <c r="AJ102" s="13">
        <v>0</v>
      </c>
      <c r="AK102" s="13">
        <v>30</v>
      </c>
      <c r="AM102" s="13" t="s">
        <v>485</v>
      </c>
      <c r="AP102" s="13" t="s">
        <v>49</v>
      </c>
      <c r="AQ102" s="13" t="s">
        <v>49</v>
      </c>
      <c r="AR102" s="13" t="s">
        <v>50</v>
      </c>
      <c r="AS102" s="13" t="s">
        <v>49</v>
      </c>
      <c r="AT102" s="13" t="s">
        <v>992</v>
      </c>
      <c r="AU102" s="4" t="s">
        <v>1000</v>
      </c>
      <c r="AV102" s="14">
        <v>3.09</v>
      </c>
      <c r="AW102" s="14">
        <v>2.63</v>
      </c>
      <c r="AX102" s="14">
        <f>Table1347456[[#This Row],[treatment_mean]]/Table1347456[[#This Row],[control_mean]]</f>
        <v>1.1749049429657794</v>
      </c>
      <c r="AY102" s="14">
        <f>LN(Table1347456[[#This Row],[rr]])</f>
        <v>0.16118724471998086</v>
      </c>
      <c r="AZ102" s="13">
        <v>3</v>
      </c>
      <c r="BA102" s="13">
        <v>3</v>
      </c>
      <c r="BB102" s="14">
        <v>0.01</v>
      </c>
      <c r="BC102" s="14">
        <v>0.13</v>
      </c>
      <c r="BD102" s="15">
        <f>Table1347456[[#This Row],[treatment_se]]*SQRT(Table1347456[[#This Row],[treatment_n]])</f>
        <v>1.7320508075688773E-2</v>
      </c>
      <c r="BE102" s="14">
        <f>Table1347456[[#This Row],[control_se]]*SQRT(Table1347456[[#This Row],[control_n]])</f>
        <v>0.22516660498395405</v>
      </c>
      <c r="BF10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2.4537643575781175E-3</v>
      </c>
      <c r="BG102" s="17">
        <f>SQRT(Table1347456[[#This Row],[v_from_sd_and_n]])</f>
        <v>4.9535485841749022E-2</v>
      </c>
      <c r="BH102" s="13" t="s">
        <v>49</v>
      </c>
      <c r="BI102" s="13">
        <v>0.52500000000000002</v>
      </c>
      <c r="BJ102" s="18">
        <f>ABS(_xlfn.NORM.S.INV(Table1347456[[#This Row],[p_value]]/2))</f>
        <v>0.63565701369758276</v>
      </c>
      <c r="BK102" s="19">
        <f>(Table1347456[[#This Row],[lnrr]]/Table1347456[[#This Row],[z_from_p]])^2</f>
        <v>6.4300693483107157E-2</v>
      </c>
      <c r="BL102" s="16">
        <f>Table1347456[[#This Row],[v_from_sd_and_n]]</f>
        <v>2.4537643575781175E-3</v>
      </c>
      <c r="BM102" s="20">
        <f>SQRT(Table1347456[[#This Row],[v]])</f>
        <v>4.9535485841749022E-2</v>
      </c>
      <c r="BN102" s="20">
        <f>Table1347456[[#This Row],[lnrr]]-(1.96*Table1347456[[#This Row],[se]])</f>
        <v>6.4097692470152776E-2</v>
      </c>
      <c r="BO102" s="20">
        <f>Table1347456[[#This Row],[lnrr]]+(1.96 * Table1347456[[#This Row],[se]])</f>
        <v>0.25827679696980893</v>
      </c>
    </row>
    <row r="103" spans="1:67">
      <c r="A103" s="13" t="s">
        <v>101</v>
      </c>
      <c r="B103" s="13" t="s">
        <v>102</v>
      </c>
      <c r="C103" s="13" t="s">
        <v>43</v>
      </c>
      <c r="D103" s="13" t="s">
        <v>103</v>
      </c>
      <c r="E103" s="13" t="s">
        <v>91</v>
      </c>
      <c r="F103" s="13" t="s">
        <v>587</v>
      </c>
      <c r="G103" s="13" t="s">
        <v>104</v>
      </c>
      <c r="H103" s="13">
        <v>11.3</v>
      </c>
      <c r="I103" s="13">
        <v>251</v>
      </c>
      <c r="J103" s="13" t="s">
        <v>656</v>
      </c>
      <c r="K103" s="13" t="s">
        <v>821</v>
      </c>
      <c r="L103" s="13" t="s">
        <v>822</v>
      </c>
      <c r="M103" s="13" t="s">
        <v>803</v>
      </c>
      <c r="N103" s="13" t="s">
        <v>84</v>
      </c>
      <c r="O103" s="13" t="s">
        <v>644</v>
      </c>
      <c r="P103" s="13" t="s">
        <v>85</v>
      </c>
      <c r="Q103" s="13" t="s">
        <v>48</v>
      </c>
      <c r="R103" s="4">
        <v>3</v>
      </c>
      <c r="S103" s="13" t="s">
        <v>594</v>
      </c>
      <c r="T103" s="13">
        <v>730</v>
      </c>
      <c r="U103" s="4" t="s">
        <v>105</v>
      </c>
      <c r="V103" s="4">
        <v>600</v>
      </c>
      <c r="W103" s="4" t="s">
        <v>602</v>
      </c>
      <c r="X103" s="4">
        <v>483.9</v>
      </c>
      <c r="Y103" s="4">
        <v>10</v>
      </c>
      <c r="AA103" s="4" t="s">
        <v>49</v>
      </c>
      <c r="AB103" s="4" t="s">
        <v>677</v>
      </c>
      <c r="AC103" s="4" t="s">
        <v>49</v>
      </c>
      <c r="AD103" s="4">
        <v>0</v>
      </c>
      <c r="AE103" s="4" t="s">
        <v>49</v>
      </c>
      <c r="AF103" s="4">
        <v>0</v>
      </c>
      <c r="AG103" s="4" t="s">
        <v>700</v>
      </c>
      <c r="AH103" s="4" t="s">
        <v>699</v>
      </c>
      <c r="AI103" s="4" t="s">
        <v>64</v>
      </c>
      <c r="AJ103" s="13">
        <v>0</v>
      </c>
      <c r="AK103" s="13">
        <v>30</v>
      </c>
      <c r="AM103" s="13" t="s">
        <v>485</v>
      </c>
      <c r="AP103" s="13" t="s">
        <v>49</v>
      </c>
      <c r="AQ103" s="13" t="s">
        <v>49</v>
      </c>
      <c r="AR103" s="13" t="s">
        <v>50</v>
      </c>
      <c r="AS103" s="13" t="s">
        <v>49</v>
      </c>
      <c r="AT103" s="13" t="s">
        <v>992</v>
      </c>
      <c r="AU103" s="4" t="s">
        <v>1000</v>
      </c>
      <c r="AV103" s="23">
        <f>122.72/1000</f>
        <v>0.12272</v>
      </c>
      <c r="AW103" s="23">
        <f>98.91/1000</f>
        <v>9.8909999999999998E-2</v>
      </c>
      <c r="AX103" s="14">
        <f>Table1347456[[#This Row],[treatment_mean]]/Table1347456[[#This Row],[control_mean]]</f>
        <v>1.240723890405419</v>
      </c>
      <c r="AY103" s="14">
        <f>LN(Table1347456[[#This Row],[rr]])</f>
        <v>0.21569499186719659</v>
      </c>
      <c r="AZ103" s="13">
        <v>3</v>
      </c>
      <c r="BA103" s="13">
        <v>3</v>
      </c>
      <c r="BB103" s="14">
        <f>2.61/1000</f>
        <v>2.6099999999999999E-3</v>
      </c>
      <c r="BC103" s="14">
        <f>0.98/1000</f>
        <v>9.7999999999999997E-4</v>
      </c>
      <c r="BD103" s="15">
        <f>Table1347456[[#This Row],[treatment_se]]*SQRT(Table1347456[[#This Row],[treatment_n]])</f>
        <v>4.5206526077547693E-3</v>
      </c>
      <c r="BE103" s="14">
        <f>Table1347456[[#This Row],[control_se]]*SQRT(Table1347456[[#This Row],[control_n]])</f>
        <v>1.6974097914174997E-3</v>
      </c>
      <c r="BF10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5.5049312628197098E-4</v>
      </c>
      <c r="BG103" s="17">
        <f>SQRT(Table1347456[[#This Row],[v_from_sd_and_n]])</f>
        <v>2.3462589931249511E-2</v>
      </c>
      <c r="BH103" s="13" t="s">
        <v>49</v>
      </c>
      <c r="BI103" s="13">
        <v>0.52500000000000002</v>
      </c>
      <c r="BJ103" s="18">
        <f>ABS(_xlfn.NORM.S.INV(Table1347456[[#This Row],[p_value]]/2))</f>
        <v>0.63565701369758276</v>
      </c>
      <c r="BK103" s="19">
        <f>(Table1347456[[#This Row],[lnrr]]/Table1347456[[#This Row],[z_from_p]])^2</f>
        <v>0.11514217702132043</v>
      </c>
      <c r="BL103" s="16">
        <f>Table1347456[[#This Row],[v_from_sd_and_n]]</f>
        <v>5.5049312628197098E-4</v>
      </c>
      <c r="BM103" s="20">
        <f>SQRT(Table1347456[[#This Row],[v]])</f>
        <v>2.3462589931249511E-2</v>
      </c>
      <c r="BN103" s="20">
        <f>Table1347456[[#This Row],[lnrr]]-(1.96*Table1347456[[#This Row],[se]])</f>
        <v>0.16970831560194755</v>
      </c>
      <c r="BO103" s="20">
        <f>Table1347456[[#This Row],[lnrr]]+(1.96 * Table1347456[[#This Row],[se]])</f>
        <v>0.26168166813244564</v>
      </c>
    </row>
    <row r="104" spans="1:67">
      <c r="A104" s="13" t="s">
        <v>101</v>
      </c>
      <c r="B104" s="13" t="s">
        <v>102</v>
      </c>
      <c r="C104" s="13" t="s">
        <v>43</v>
      </c>
      <c r="D104" s="13" t="s">
        <v>103</v>
      </c>
      <c r="E104" s="13" t="s">
        <v>91</v>
      </c>
      <c r="F104" s="13" t="s">
        <v>587</v>
      </c>
      <c r="G104" s="13" t="s">
        <v>104</v>
      </c>
      <c r="H104" s="13">
        <v>11.3</v>
      </c>
      <c r="I104" s="13">
        <v>251</v>
      </c>
      <c r="J104" s="13" t="s">
        <v>656</v>
      </c>
      <c r="K104" s="13" t="s">
        <v>821</v>
      </c>
      <c r="L104" s="13" t="s">
        <v>822</v>
      </c>
      <c r="M104" s="13" t="s">
        <v>803</v>
      </c>
      <c r="N104" s="13" t="s">
        <v>106</v>
      </c>
      <c r="O104" s="13" t="s">
        <v>645</v>
      </c>
      <c r="P104" s="13" t="s">
        <v>48</v>
      </c>
      <c r="Q104" s="13" t="s">
        <v>48</v>
      </c>
      <c r="R104" s="4">
        <v>3</v>
      </c>
      <c r="S104" s="13" t="s">
        <v>594</v>
      </c>
      <c r="T104" s="13">
        <v>730</v>
      </c>
      <c r="U104" s="4" t="s">
        <v>105</v>
      </c>
      <c r="V104" s="4">
        <v>600</v>
      </c>
      <c r="W104" s="4" t="s">
        <v>602</v>
      </c>
      <c r="X104" s="4">
        <v>483.9</v>
      </c>
      <c r="Y104" s="4">
        <v>10</v>
      </c>
      <c r="AA104" s="4" t="s">
        <v>49</v>
      </c>
      <c r="AB104" s="4" t="s">
        <v>677</v>
      </c>
      <c r="AC104" s="4" t="s">
        <v>49</v>
      </c>
      <c r="AD104" s="4">
        <v>0</v>
      </c>
      <c r="AE104" s="4" t="s">
        <v>49</v>
      </c>
      <c r="AF104" s="4">
        <v>0</v>
      </c>
      <c r="AG104" s="4" t="s">
        <v>700</v>
      </c>
      <c r="AH104" s="4" t="s">
        <v>699</v>
      </c>
      <c r="AI104" s="4" t="s">
        <v>64</v>
      </c>
      <c r="AJ104" s="13">
        <v>0</v>
      </c>
      <c r="AK104" s="13">
        <v>30</v>
      </c>
      <c r="AM104" s="13" t="s">
        <v>485</v>
      </c>
      <c r="AP104" s="13" t="s">
        <v>49</v>
      </c>
      <c r="AQ104" s="13" t="s">
        <v>49</v>
      </c>
      <c r="AR104" s="13" t="s">
        <v>50</v>
      </c>
      <c r="AS104" s="13" t="s">
        <v>49</v>
      </c>
      <c r="AT104" s="13" t="s">
        <v>992</v>
      </c>
      <c r="AU104" s="4" t="s">
        <v>1000</v>
      </c>
      <c r="AV104" s="23">
        <v>5.16</v>
      </c>
      <c r="AW104" s="23">
        <v>4.91</v>
      </c>
      <c r="AX104" s="14">
        <f>Table1347456[[#This Row],[treatment_mean]]/Table1347456[[#This Row],[control_mean]]</f>
        <v>1.0509164969450102</v>
      </c>
      <c r="AY104" s="14">
        <f>LN(Table1347456[[#This Row],[rr]])</f>
        <v>4.9662637687042183E-2</v>
      </c>
      <c r="AZ104" s="13">
        <v>3</v>
      </c>
      <c r="BA104" s="13">
        <v>3</v>
      </c>
      <c r="BB104" s="14">
        <v>0.06</v>
      </c>
      <c r="BC104" s="14">
        <v>0.03</v>
      </c>
      <c r="BD104" s="15">
        <f>Table1347456[[#This Row],[treatment_se]]*SQRT(Table1347456[[#This Row],[treatment_n]])</f>
        <v>0.10392304845413262</v>
      </c>
      <c r="BE104" s="14">
        <f>Table1347456[[#This Row],[control_se]]*SQRT(Table1347456[[#This Row],[control_n]])</f>
        <v>5.1961524227066312E-2</v>
      </c>
      <c r="BF10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1.725400717803938E-4</v>
      </c>
      <c r="BG104" s="17">
        <f>SQRT(Table1347456[[#This Row],[v_from_sd_and_n]])</f>
        <v>1.3135450954588266E-2</v>
      </c>
      <c r="BH104" s="13" t="s">
        <v>49</v>
      </c>
      <c r="BI104" s="13">
        <v>0.52500000000000002</v>
      </c>
      <c r="BJ104" s="18">
        <f>ABS(_xlfn.NORM.S.INV(Table1347456[[#This Row],[p_value]]/2))</f>
        <v>0.63565701369758276</v>
      </c>
      <c r="BK104" s="19">
        <f>(Table1347456[[#This Row],[lnrr]]/Table1347456[[#This Row],[z_from_p]])^2</f>
        <v>6.1039909033134684E-3</v>
      </c>
      <c r="BL104" s="16">
        <f>Table1347456[[#This Row],[v_from_sd_and_n]]</f>
        <v>1.725400717803938E-4</v>
      </c>
      <c r="BM104" s="20">
        <f>SQRT(Table1347456[[#This Row],[v]])</f>
        <v>1.3135450954588266E-2</v>
      </c>
      <c r="BN104" s="20">
        <f>Table1347456[[#This Row],[lnrr]]-(1.96*Table1347456[[#This Row],[se]])</f>
        <v>2.3917153816049183E-2</v>
      </c>
      <c r="BO104" s="20">
        <f>Table1347456[[#This Row],[lnrr]]+(1.96 * Table1347456[[#This Row],[se]])</f>
        <v>7.5408121558035182E-2</v>
      </c>
    </row>
    <row r="105" spans="1:67">
      <c r="A105" s="13" t="s">
        <v>101</v>
      </c>
      <c r="B105" s="13" t="s">
        <v>102</v>
      </c>
      <c r="C105" s="13" t="s">
        <v>43</v>
      </c>
      <c r="D105" s="13" t="s">
        <v>103</v>
      </c>
      <c r="E105" s="13" t="s">
        <v>91</v>
      </c>
      <c r="F105" s="13" t="s">
        <v>587</v>
      </c>
      <c r="G105" s="13" t="s">
        <v>104</v>
      </c>
      <c r="H105" s="13">
        <v>11.3</v>
      </c>
      <c r="I105" s="13">
        <v>251</v>
      </c>
      <c r="K105" s="13" t="s">
        <v>821</v>
      </c>
      <c r="L105" s="13" t="s">
        <v>822</v>
      </c>
      <c r="N105" s="13" t="s">
        <v>99</v>
      </c>
      <c r="O105" s="13" t="s">
        <v>644</v>
      </c>
      <c r="P105" s="13" t="s">
        <v>85</v>
      </c>
      <c r="Q105" s="13" t="s">
        <v>48</v>
      </c>
      <c r="R105" s="4">
        <v>3</v>
      </c>
      <c r="S105" s="13" t="s">
        <v>594</v>
      </c>
      <c r="T105" s="13">
        <v>730</v>
      </c>
      <c r="U105" s="4" t="s">
        <v>105</v>
      </c>
      <c r="V105" s="4">
        <v>600</v>
      </c>
      <c r="W105" s="4" t="s">
        <v>602</v>
      </c>
      <c r="X105" s="4">
        <v>483.9</v>
      </c>
      <c r="Y105" s="4">
        <v>10</v>
      </c>
      <c r="AA105" s="4" t="s">
        <v>49</v>
      </c>
      <c r="AB105" s="4" t="s">
        <v>677</v>
      </c>
      <c r="AC105" s="4" t="s">
        <v>49</v>
      </c>
      <c r="AD105" s="4">
        <v>0</v>
      </c>
      <c r="AE105" s="4" t="s">
        <v>49</v>
      </c>
      <c r="AF105" s="4">
        <v>0</v>
      </c>
      <c r="AG105" s="4" t="s">
        <v>700</v>
      </c>
      <c r="AH105" s="4" t="s">
        <v>699</v>
      </c>
      <c r="AI105" s="4" t="s">
        <v>64</v>
      </c>
      <c r="AJ105" s="13">
        <v>0</v>
      </c>
      <c r="AK105" s="13">
        <v>30</v>
      </c>
      <c r="AM105" s="13" t="s">
        <v>485</v>
      </c>
      <c r="AP105" s="13" t="s">
        <v>49</v>
      </c>
      <c r="AQ105" s="13" t="s">
        <v>49</v>
      </c>
      <c r="AR105" s="13" t="s">
        <v>50</v>
      </c>
      <c r="AS105" s="13" t="s">
        <v>49</v>
      </c>
      <c r="AT105" s="13" t="s">
        <v>992</v>
      </c>
      <c r="AU105" s="4" t="s">
        <v>1000</v>
      </c>
      <c r="AV105" s="14">
        <f>181.95/1000</f>
        <v>0.18195</v>
      </c>
      <c r="AW105" s="14">
        <f>155.58/1000</f>
        <v>0.15558000000000002</v>
      </c>
      <c r="AX105" s="14">
        <f>Table1347456[[#This Row],[treatment_mean]]/Table1347456[[#This Row],[control_mean]]</f>
        <v>1.1694947936752795</v>
      </c>
      <c r="AY105" s="14">
        <f>LN(Table1347456[[#This Row],[rr]])</f>
        <v>0.15657185527954076</v>
      </c>
      <c r="AZ105" s="13">
        <v>3</v>
      </c>
      <c r="BA105" s="13">
        <v>3</v>
      </c>
      <c r="BB105" s="14">
        <f>17.11/1000</f>
        <v>1.711E-2</v>
      </c>
      <c r="BC105" s="14">
        <f>6.26/1000</f>
        <v>6.2599999999999999E-3</v>
      </c>
      <c r="BD105" s="15">
        <f>Table1347456[[#This Row],[treatment_se]]*SQRT(Table1347456[[#This Row],[treatment_n]])</f>
        <v>2.963538931750349E-2</v>
      </c>
      <c r="BE105" s="14">
        <f>Table1347456[[#This Row],[control_se]]*SQRT(Table1347456[[#This Row],[control_n]])</f>
        <v>1.0842638055381172E-2</v>
      </c>
      <c r="BF10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1.0461902826107245E-2</v>
      </c>
      <c r="BG105" s="17">
        <f>SQRT(Table1347456[[#This Row],[v_from_sd_and_n]])</f>
        <v>0.10228344355812062</v>
      </c>
      <c r="BH105" s="13" t="s">
        <v>49</v>
      </c>
      <c r="BI105" s="13">
        <v>0.52500000000000002</v>
      </c>
      <c r="BJ105" s="18">
        <f>ABS(_xlfn.NORM.S.INV(Table1347456[[#This Row],[p_value]]/2))</f>
        <v>0.63565701369758276</v>
      </c>
      <c r="BK105" s="19">
        <f>(Table1347456[[#This Row],[lnrr]]/Table1347456[[#This Row],[z_from_p]])^2</f>
        <v>6.0671077636744522E-2</v>
      </c>
      <c r="BL105" s="16">
        <f>Table1347456[[#This Row],[v_from_sd_and_n]]</f>
        <v>1.0461902826107245E-2</v>
      </c>
      <c r="BM105" s="20">
        <f>SQRT(Table1347456[[#This Row],[v]])</f>
        <v>0.10228344355812062</v>
      </c>
      <c r="BN105" s="20">
        <f>Table1347456[[#This Row],[lnrr]]-(1.96*Table1347456[[#This Row],[se]])</f>
        <v>-4.3903694094375639E-2</v>
      </c>
      <c r="BO105" s="20">
        <f>Table1347456[[#This Row],[lnrr]]+(1.96 * Table1347456[[#This Row],[se]])</f>
        <v>0.35704740465345719</v>
      </c>
    </row>
    <row r="106" spans="1:67">
      <c r="A106" s="13" t="s">
        <v>107</v>
      </c>
      <c r="B106" s="13" t="s">
        <v>108</v>
      </c>
      <c r="C106" s="13" t="s">
        <v>43</v>
      </c>
      <c r="D106" s="13" t="s">
        <v>109</v>
      </c>
      <c r="E106" s="13" t="s">
        <v>110</v>
      </c>
      <c r="F106" s="13" t="s">
        <v>586</v>
      </c>
      <c r="G106" s="13" t="s">
        <v>111</v>
      </c>
      <c r="H106" s="13">
        <v>18</v>
      </c>
      <c r="I106" s="13">
        <v>275</v>
      </c>
      <c r="K106" s="13" t="s">
        <v>823</v>
      </c>
      <c r="L106" s="13" t="s">
        <v>824</v>
      </c>
      <c r="N106" s="13" t="s">
        <v>47</v>
      </c>
      <c r="O106" s="13" t="s">
        <v>645</v>
      </c>
      <c r="P106" s="13" t="s">
        <v>48</v>
      </c>
      <c r="Q106" s="13" t="s">
        <v>48</v>
      </c>
      <c r="R106" s="4">
        <v>10</v>
      </c>
      <c r="S106" s="13" t="s">
        <v>595</v>
      </c>
      <c r="T106" s="13">
        <v>300</v>
      </c>
      <c r="U106" s="4" t="s">
        <v>112</v>
      </c>
      <c r="V106" s="4">
        <v>500</v>
      </c>
      <c r="W106" s="4" t="s">
        <v>601</v>
      </c>
      <c r="X106" s="4">
        <v>405</v>
      </c>
      <c r="Y106" s="4">
        <v>10</v>
      </c>
      <c r="AA106" s="4" t="s">
        <v>49</v>
      </c>
      <c r="AB106" s="4">
        <v>0</v>
      </c>
      <c r="AC106" s="4" t="s">
        <v>49</v>
      </c>
      <c r="AD106" s="4">
        <v>0</v>
      </c>
      <c r="AE106" s="4" t="s">
        <v>49</v>
      </c>
      <c r="AF106" s="4">
        <v>0</v>
      </c>
      <c r="AG106" s="4" t="s">
        <v>794</v>
      </c>
      <c r="AH106" s="4" t="s">
        <v>793</v>
      </c>
      <c r="AI106" s="4" t="s">
        <v>64</v>
      </c>
      <c r="AJ106" s="13">
        <v>0</v>
      </c>
      <c r="AK106" s="13">
        <v>20</v>
      </c>
      <c r="AL106" s="13" t="s">
        <v>486</v>
      </c>
      <c r="AN106" s="13" t="s">
        <v>487</v>
      </c>
      <c r="AP106" s="13" t="s">
        <v>49</v>
      </c>
      <c r="AQ106" s="13" t="s">
        <v>49</v>
      </c>
      <c r="AR106" s="13" t="s">
        <v>50</v>
      </c>
      <c r="AS106" s="13" t="s">
        <v>49</v>
      </c>
      <c r="AT106" s="13" t="s">
        <v>990</v>
      </c>
      <c r="AU106" s="13" t="s">
        <v>998</v>
      </c>
      <c r="AV106" s="14">
        <v>1.1599999999999999</v>
      </c>
      <c r="AW106" s="14">
        <v>0.5</v>
      </c>
      <c r="AX106" s="14">
        <f>Table1347456[[#This Row],[treatment_mean]]/Table1347456[[#This Row],[control_mean]]</f>
        <v>2.3199999999999998</v>
      </c>
      <c r="AY106" s="14">
        <f>LN(Table1347456[[#This Row],[rr]])</f>
        <v>0.84156718567821853</v>
      </c>
      <c r="AZ106" s="13">
        <v>3</v>
      </c>
      <c r="BA106" s="13">
        <v>3</v>
      </c>
      <c r="BB106" s="14">
        <f>Table1347456[[#This Row],[treatment_sd]]/SQRT(Table1347456[[#This Row],[treatment_n]])</f>
        <v>1.1547005383792516E-2</v>
      </c>
      <c r="BC106" s="14">
        <f>Table1347456[[#This Row],[control_sd]]/SQRT(Table1347456[[#This Row],[control_n]])</f>
        <v>1.1547005383792516E-2</v>
      </c>
      <c r="BD106" s="15">
        <v>0.02</v>
      </c>
      <c r="BE106" s="14">
        <v>0.02</v>
      </c>
      <c r="BF10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6.3242172017439558E-4</v>
      </c>
      <c r="BG106" s="17">
        <f>SQRT(Table1347456[[#This Row],[v_from_sd_and_n]])</f>
        <v>2.5147996345124508E-2</v>
      </c>
      <c r="BH106" s="13" t="s">
        <v>49</v>
      </c>
      <c r="BI106" s="13">
        <v>0.52500000000000002</v>
      </c>
      <c r="BJ106" s="18">
        <f>ABS(_xlfn.NORM.S.INV(Table1347456[[#This Row],[p_value]]/2))</f>
        <v>0.63565701369758276</v>
      </c>
      <c r="BK106" s="19">
        <f>(Table1347456[[#This Row],[lnrr]]/Table1347456[[#This Row],[z_from_p]])^2</f>
        <v>1.7527981242898418</v>
      </c>
      <c r="BL106" s="16">
        <f>Table1347456[[#This Row],[v_from_sd_and_n]]</f>
        <v>6.3242172017439558E-4</v>
      </c>
      <c r="BM106" s="20">
        <f>SQRT(Table1347456[[#This Row],[v]])</f>
        <v>2.5147996345124508E-2</v>
      </c>
      <c r="BN106" s="20">
        <f>Table1347456[[#This Row],[lnrr]]-(1.96*Table1347456[[#This Row],[se]])</f>
        <v>0.79227711284177449</v>
      </c>
      <c r="BO106" s="20">
        <f>Table1347456[[#This Row],[lnrr]]+(1.96 * Table1347456[[#This Row],[se]])</f>
        <v>0.89085725851466258</v>
      </c>
    </row>
    <row r="107" spans="1:67">
      <c r="A107" s="13" t="s">
        <v>107</v>
      </c>
      <c r="B107" s="13" t="s">
        <v>108</v>
      </c>
      <c r="C107" s="13" t="s">
        <v>43</v>
      </c>
      <c r="D107" s="13" t="s">
        <v>109</v>
      </c>
      <c r="E107" s="13" t="s">
        <v>110</v>
      </c>
      <c r="F107" s="13" t="s">
        <v>586</v>
      </c>
      <c r="G107" s="13" t="s">
        <v>111</v>
      </c>
      <c r="H107" s="13">
        <v>18</v>
      </c>
      <c r="I107" s="13">
        <v>275</v>
      </c>
      <c r="K107" s="13" t="s">
        <v>823</v>
      </c>
      <c r="L107" s="13" t="s">
        <v>824</v>
      </c>
      <c r="N107" s="13" t="s">
        <v>47</v>
      </c>
      <c r="O107" s="13" t="s">
        <v>645</v>
      </c>
      <c r="P107" s="13" t="s">
        <v>48</v>
      </c>
      <c r="Q107" s="13" t="s">
        <v>48</v>
      </c>
      <c r="R107" s="4">
        <v>10</v>
      </c>
      <c r="S107" s="13" t="s">
        <v>595</v>
      </c>
      <c r="T107" s="13">
        <v>300</v>
      </c>
      <c r="U107" s="4" t="s">
        <v>112</v>
      </c>
      <c r="V107" s="4">
        <v>500</v>
      </c>
      <c r="W107" s="4" t="s">
        <v>601</v>
      </c>
      <c r="X107" s="4">
        <v>405</v>
      </c>
      <c r="Y107" s="4">
        <v>20</v>
      </c>
      <c r="AA107" s="4" t="s">
        <v>49</v>
      </c>
      <c r="AB107" s="4">
        <v>0</v>
      </c>
      <c r="AC107" s="4" t="s">
        <v>49</v>
      </c>
      <c r="AD107" s="4">
        <v>0</v>
      </c>
      <c r="AE107" s="4" t="s">
        <v>49</v>
      </c>
      <c r="AF107" s="4">
        <v>0</v>
      </c>
      <c r="AG107" s="4" t="s">
        <v>794</v>
      </c>
      <c r="AH107" s="4" t="s">
        <v>793</v>
      </c>
      <c r="AI107" s="4" t="s">
        <v>64</v>
      </c>
      <c r="AJ107" s="13">
        <v>0</v>
      </c>
      <c r="AK107" s="13">
        <v>20</v>
      </c>
      <c r="AL107" s="13" t="s">
        <v>486</v>
      </c>
      <c r="AN107" s="13" t="s">
        <v>487</v>
      </c>
      <c r="AP107" s="13" t="s">
        <v>49</v>
      </c>
      <c r="AQ107" s="13" t="s">
        <v>49</v>
      </c>
      <c r="AR107" s="13" t="s">
        <v>50</v>
      </c>
      <c r="AS107" s="13" t="s">
        <v>49</v>
      </c>
      <c r="AT107" s="13" t="s">
        <v>990</v>
      </c>
      <c r="AU107" s="13" t="s">
        <v>998</v>
      </c>
      <c r="AV107" s="14">
        <v>1.86</v>
      </c>
      <c r="AW107" s="14">
        <v>0.5</v>
      </c>
      <c r="AX107" s="14">
        <f>Table1347456[[#This Row],[treatment_mean]]/Table1347456[[#This Row],[control_mean]]</f>
        <v>3.72</v>
      </c>
      <c r="AY107" s="14">
        <f>LN(Table1347456[[#This Row],[rr]])</f>
        <v>1.3137236682850553</v>
      </c>
      <c r="AZ107" s="13">
        <v>3</v>
      </c>
      <c r="BA107" s="13">
        <v>3</v>
      </c>
      <c r="BB107" s="14">
        <f>Table1347456[[#This Row],[treatment_sd]]/SQRT(Table1347456[[#This Row],[treatment_n]])</f>
        <v>3.4641016151377546E-2</v>
      </c>
      <c r="BC107" s="14">
        <f>Table1347456[[#This Row],[control_sd]]/SQRT(Table1347456[[#This Row],[control_n]])</f>
        <v>1.1547005383792516E-2</v>
      </c>
      <c r="BD107" s="15">
        <v>0.06</v>
      </c>
      <c r="BE107" s="14">
        <v>0.02</v>
      </c>
      <c r="BF10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8.8019424210891424E-4</v>
      </c>
      <c r="BG107" s="17">
        <f>SQRT(Table1347456[[#This Row],[v_from_sd_and_n]])</f>
        <v>2.9668067717815973E-2</v>
      </c>
      <c r="BH107" s="13" t="s">
        <v>49</v>
      </c>
      <c r="BI107" s="13">
        <v>0.52500000000000002</v>
      </c>
      <c r="BJ107" s="18">
        <f>ABS(_xlfn.NORM.S.INV(Table1347456[[#This Row],[p_value]]/2))</f>
        <v>0.63565701369758276</v>
      </c>
      <c r="BK107" s="19">
        <f>(Table1347456[[#This Row],[lnrr]]/Table1347456[[#This Row],[z_from_p]])^2</f>
        <v>4.271322486824908</v>
      </c>
      <c r="BL107" s="16">
        <f>Table1347456[[#This Row],[v_from_sd_and_n]]</f>
        <v>8.8019424210891424E-4</v>
      </c>
      <c r="BM107" s="20">
        <f>SQRT(Table1347456[[#This Row],[v]])</f>
        <v>2.9668067717815973E-2</v>
      </c>
      <c r="BN107" s="20">
        <f>Table1347456[[#This Row],[lnrr]]-(1.96*Table1347456[[#This Row],[se]])</f>
        <v>1.255574255558136</v>
      </c>
      <c r="BO107" s="20">
        <f>Table1347456[[#This Row],[lnrr]]+(1.96 * Table1347456[[#This Row],[se]])</f>
        <v>1.3718730810119746</v>
      </c>
    </row>
    <row r="108" spans="1:67">
      <c r="A108" s="13" t="s">
        <v>107</v>
      </c>
      <c r="B108" s="13" t="s">
        <v>108</v>
      </c>
      <c r="C108" s="13" t="s">
        <v>43</v>
      </c>
      <c r="D108" s="13" t="s">
        <v>109</v>
      </c>
      <c r="E108" s="13" t="s">
        <v>110</v>
      </c>
      <c r="F108" s="13" t="s">
        <v>586</v>
      </c>
      <c r="G108" s="13" t="s">
        <v>111</v>
      </c>
      <c r="H108" s="13">
        <v>18</v>
      </c>
      <c r="I108" s="13">
        <v>275</v>
      </c>
      <c r="K108" s="13" t="s">
        <v>823</v>
      </c>
      <c r="L108" s="13" t="s">
        <v>824</v>
      </c>
      <c r="N108" s="13" t="s">
        <v>47</v>
      </c>
      <c r="O108" s="13" t="s">
        <v>645</v>
      </c>
      <c r="P108" s="13" t="s">
        <v>48</v>
      </c>
      <c r="Q108" s="13" t="s">
        <v>48</v>
      </c>
      <c r="R108" s="4">
        <v>10</v>
      </c>
      <c r="S108" s="13" t="s">
        <v>595</v>
      </c>
      <c r="T108" s="13">
        <v>150</v>
      </c>
      <c r="U108" s="4" t="s">
        <v>112</v>
      </c>
      <c r="V108" s="4">
        <v>500</v>
      </c>
      <c r="W108" s="4" t="s">
        <v>601</v>
      </c>
      <c r="X108" s="4">
        <v>405</v>
      </c>
      <c r="Y108" s="4">
        <v>10</v>
      </c>
      <c r="AA108" s="4" t="s">
        <v>49</v>
      </c>
      <c r="AB108" s="4">
        <v>0</v>
      </c>
      <c r="AC108" s="4" t="s">
        <v>49</v>
      </c>
      <c r="AD108" s="4">
        <v>0</v>
      </c>
      <c r="AE108" s="4" t="s">
        <v>49</v>
      </c>
      <c r="AF108" s="4">
        <v>0</v>
      </c>
      <c r="AG108" s="4" t="s">
        <v>794</v>
      </c>
      <c r="AH108" s="4" t="s">
        <v>793</v>
      </c>
      <c r="AI108" s="4" t="s">
        <v>64</v>
      </c>
      <c r="AJ108" s="13">
        <v>0</v>
      </c>
      <c r="AK108" s="13">
        <v>20</v>
      </c>
      <c r="AL108" s="13" t="s">
        <v>486</v>
      </c>
      <c r="AN108" s="13" t="s">
        <v>487</v>
      </c>
      <c r="AP108" s="13" t="s">
        <v>49</v>
      </c>
      <c r="AQ108" s="13" t="s">
        <v>49</v>
      </c>
      <c r="AR108" s="13" t="s">
        <v>50</v>
      </c>
      <c r="AS108" s="13" t="s">
        <v>49</v>
      </c>
      <c r="AT108" s="13" t="s">
        <v>990</v>
      </c>
      <c r="AU108" s="13" t="s">
        <v>998</v>
      </c>
      <c r="AV108" s="14">
        <v>1.1000000000000001</v>
      </c>
      <c r="AW108" s="14">
        <v>0.54</v>
      </c>
      <c r="AX108" s="14">
        <f>Table1347456[[#This Row],[treatment_mean]]/Table1347456[[#This Row],[control_mean]]</f>
        <v>2.0370370370370372</v>
      </c>
      <c r="AY108" s="14">
        <f>LN(Table1347456[[#This Row],[rr]])</f>
        <v>0.71149631922814194</v>
      </c>
      <c r="AZ108" s="13">
        <v>3</v>
      </c>
      <c r="BA108" s="13">
        <v>3</v>
      </c>
      <c r="BB108" s="14">
        <f>Table1347456[[#This Row],[treatment_sd]]/SQRT(Table1347456[[#This Row],[treatment_n]])</f>
        <v>2.8867513459481291E-2</v>
      </c>
      <c r="BC108" s="14">
        <f>Table1347456[[#This Row],[control_sd]]/SQRT(Table1347456[[#This Row],[control_n]])</f>
        <v>1.1547005383792516E-2</v>
      </c>
      <c r="BD108" s="15">
        <v>0.05</v>
      </c>
      <c r="BE108" s="14">
        <v>0.02</v>
      </c>
      <c r="BF10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1.1459526049873974E-3</v>
      </c>
      <c r="BG108" s="17">
        <f>SQRT(Table1347456[[#This Row],[v_from_sd_and_n]])</f>
        <v>3.3851921732560436E-2</v>
      </c>
      <c r="BH108" s="13" t="s">
        <v>49</v>
      </c>
      <c r="BI108" s="13">
        <v>0.52500000000000002</v>
      </c>
      <c r="BJ108" s="18">
        <f>ABS(_xlfn.NORM.S.INV(Table1347456[[#This Row],[p_value]]/2))</f>
        <v>0.63565701369758276</v>
      </c>
      <c r="BK108" s="19">
        <f>(Table1347456[[#This Row],[lnrr]]/Table1347456[[#This Row],[z_from_p]])^2</f>
        <v>1.2528515911138438</v>
      </c>
      <c r="BL108" s="16">
        <f>Table1347456[[#This Row],[v_from_sd_and_n]]</f>
        <v>1.1459526049873974E-3</v>
      </c>
      <c r="BM108" s="20">
        <f>SQRT(Table1347456[[#This Row],[v]])</f>
        <v>3.3851921732560436E-2</v>
      </c>
      <c r="BN108" s="20">
        <f>Table1347456[[#This Row],[lnrr]]-(1.96*Table1347456[[#This Row],[se]])</f>
        <v>0.64514655263232346</v>
      </c>
      <c r="BO108" s="20">
        <f>Table1347456[[#This Row],[lnrr]]+(1.96 * Table1347456[[#This Row],[se]])</f>
        <v>0.77784608582396042</v>
      </c>
    </row>
    <row r="109" spans="1:67">
      <c r="A109" s="13" t="s">
        <v>107</v>
      </c>
      <c r="B109" s="13" t="s">
        <v>108</v>
      </c>
      <c r="C109" s="13" t="s">
        <v>43</v>
      </c>
      <c r="D109" s="13" t="s">
        <v>109</v>
      </c>
      <c r="E109" s="13" t="s">
        <v>110</v>
      </c>
      <c r="F109" s="13" t="s">
        <v>586</v>
      </c>
      <c r="G109" s="13" t="s">
        <v>111</v>
      </c>
      <c r="H109" s="13">
        <v>18</v>
      </c>
      <c r="I109" s="13">
        <v>275</v>
      </c>
      <c r="K109" s="13" t="s">
        <v>823</v>
      </c>
      <c r="L109" s="13" t="s">
        <v>824</v>
      </c>
      <c r="N109" s="13" t="s">
        <v>47</v>
      </c>
      <c r="O109" s="13" t="s">
        <v>645</v>
      </c>
      <c r="P109" s="13" t="s">
        <v>48</v>
      </c>
      <c r="Q109" s="13" t="s">
        <v>48</v>
      </c>
      <c r="R109" s="4">
        <v>10</v>
      </c>
      <c r="S109" s="13" t="s">
        <v>595</v>
      </c>
      <c r="T109" s="13">
        <v>150</v>
      </c>
      <c r="U109" s="4" t="s">
        <v>112</v>
      </c>
      <c r="V109" s="4">
        <v>500</v>
      </c>
      <c r="W109" s="4" t="s">
        <v>601</v>
      </c>
      <c r="X109" s="4">
        <v>405</v>
      </c>
      <c r="Y109" s="4">
        <v>20</v>
      </c>
      <c r="AA109" s="4" t="s">
        <v>49</v>
      </c>
      <c r="AB109" s="4">
        <v>0</v>
      </c>
      <c r="AC109" s="4" t="s">
        <v>49</v>
      </c>
      <c r="AD109" s="4">
        <v>0</v>
      </c>
      <c r="AE109" s="4" t="s">
        <v>49</v>
      </c>
      <c r="AF109" s="4">
        <v>0</v>
      </c>
      <c r="AG109" s="4" t="s">
        <v>794</v>
      </c>
      <c r="AH109" s="4" t="s">
        <v>793</v>
      </c>
      <c r="AI109" s="4" t="s">
        <v>64</v>
      </c>
      <c r="AJ109" s="13">
        <v>0</v>
      </c>
      <c r="AK109" s="13">
        <v>20</v>
      </c>
      <c r="AL109" s="13" t="s">
        <v>486</v>
      </c>
      <c r="AN109" s="13" t="s">
        <v>487</v>
      </c>
      <c r="AP109" s="13" t="s">
        <v>49</v>
      </c>
      <c r="AQ109" s="13" t="s">
        <v>49</v>
      </c>
      <c r="AR109" s="13" t="s">
        <v>50</v>
      </c>
      <c r="AS109" s="13" t="s">
        <v>49</v>
      </c>
      <c r="AT109" s="13" t="s">
        <v>990</v>
      </c>
      <c r="AU109" s="13" t="s">
        <v>998</v>
      </c>
      <c r="AV109" s="14">
        <v>1.81</v>
      </c>
      <c r="AW109" s="14">
        <v>0.54</v>
      </c>
      <c r="AX109" s="14">
        <f>Table1347456[[#This Row],[treatment_mean]]/Table1347456[[#This Row],[control_mean]]</f>
        <v>3.3518518518518516</v>
      </c>
      <c r="AY109" s="14">
        <f>LN(Table1347456[[#This Row],[rr]])</f>
        <v>1.2095129847015513</v>
      </c>
      <c r="AZ109" s="13">
        <v>3</v>
      </c>
      <c r="BA109" s="13">
        <v>3</v>
      </c>
      <c r="BB109" s="14">
        <f>Table1347456[[#This Row],[treatment_sd]]/SQRT(Table1347456[[#This Row],[treatment_n]])</f>
        <v>5.7735026918962581E-2</v>
      </c>
      <c r="BC109" s="14">
        <f>Table1347456[[#This Row],[control_sd]]/SQRT(Table1347456[[#This Row],[control_n]])</f>
        <v>1.1547005383792516E-2</v>
      </c>
      <c r="BD109" s="15">
        <v>0.1</v>
      </c>
      <c r="BE109" s="14">
        <v>0.02</v>
      </c>
      <c r="BF10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1.4747173300270725E-3</v>
      </c>
      <c r="BG109" s="17">
        <f>SQRT(Table1347456[[#This Row],[v_from_sd_and_n]])</f>
        <v>3.840204851342012E-2</v>
      </c>
      <c r="BH109" s="13" t="s">
        <v>49</v>
      </c>
      <c r="BI109" s="13">
        <v>0.52500000000000002</v>
      </c>
      <c r="BJ109" s="18">
        <f>ABS(_xlfn.NORM.S.INV(Table1347456[[#This Row],[p_value]]/2))</f>
        <v>0.63565701369758276</v>
      </c>
      <c r="BK109" s="19">
        <f>(Table1347456[[#This Row],[lnrr]]/Table1347456[[#This Row],[z_from_p]])^2</f>
        <v>3.6205569540253602</v>
      </c>
      <c r="BL109" s="16">
        <f>Table1347456[[#This Row],[v_from_sd_and_n]]</f>
        <v>1.4747173300270725E-3</v>
      </c>
      <c r="BM109" s="20">
        <f>SQRT(Table1347456[[#This Row],[v]])</f>
        <v>3.840204851342012E-2</v>
      </c>
      <c r="BN109" s="20">
        <f>Table1347456[[#This Row],[lnrr]]-(1.96*Table1347456[[#This Row],[se]])</f>
        <v>1.1342449696152479</v>
      </c>
      <c r="BO109" s="20">
        <f>Table1347456[[#This Row],[lnrr]]+(1.96 * Table1347456[[#This Row],[se]])</f>
        <v>1.2847809997878548</v>
      </c>
    </row>
    <row r="110" spans="1:67">
      <c r="A110" s="13" t="s">
        <v>107</v>
      </c>
      <c r="B110" s="13" t="s">
        <v>108</v>
      </c>
      <c r="C110" s="13" t="s">
        <v>43</v>
      </c>
      <c r="D110" s="13" t="s">
        <v>109</v>
      </c>
      <c r="E110" s="13" t="s">
        <v>110</v>
      </c>
      <c r="F110" s="13" t="s">
        <v>586</v>
      </c>
      <c r="G110" s="13" t="s">
        <v>111</v>
      </c>
      <c r="H110" s="13">
        <v>18</v>
      </c>
      <c r="I110" s="13">
        <v>275</v>
      </c>
      <c r="K110" s="13" t="s">
        <v>823</v>
      </c>
      <c r="L110" s="13" t="s">
        <v>824</v>
      </c>
      <c r="N110" s="13" t="s">
        <v>69</v>
      </c>
      <c r="O110" s="13" t="s">
        <v>70</v>
      </c>
      <c r="P110" s="13" t="s">
        <v>488</v>
      </c>
      <c r="Q110" s="13" t="s">
        <v>71</v>
      </c>
      <c r="R110" s="4">
        <v>10</v>
      </c>
      <c r="S110" s="13" t="s">
        <v>595</v>
      </c>
      <c r="T110" s="13">
        <v>300</v>
      </c>
      <c r="U110" s="4" t="s">
        <v>112</v>
      </c>
      <c r="V110" s="4">
        <v>500</v>
      </c>
      <c r="W110" s="4" t="s">
        <v>601</v>
      </c>
      <c r="X110" s="4">
        <v>405</v>
      </c>
      <c r="Y110" s="4">
        <v>10</v>
      </c>
      <c r="AA110" s="4" t="s">
        <v>49</v>
      </c>
      <c r="AB110" s="4">
        <v>0</v>
      </c>
      <c r="AC110" s="4" t="s">
        <v>49</v>
      </c>
      <c r="AD110" s="4">
        <v>0</v>
      </c>
      <c r="AE110" s="4" t="s">
        <v>49</v>
      </c>
      <c r="AF110" s="4">
        <v>0</v>
      </c>
      <c r="AG110" s="4" t="s">
        <v>794</v>
      </c>
      <c r="AH110" s="4" t="s">
        <v>793</v>
      </c>
      <c r="AI110" s="4" t="s">
        <v>64</v>
      </c>
      <c r="AJ110" s="13">
        <v>0</v>
      </c>
      <c r="AK110" s="13">
        <v>20</v>
      </c>
      <c r="AL110" s="13" t="s">
        <v>486</v>
      </c>
      <c r="AN110" s="13" t="s">
        <v>487</v>
      </c>
      <c r="AP110" s="13" t="s">
        <v>49</v>
      </c>
      <c r="AQ110" s="13" t="s">
        <v>49</v>
      </c>
      <c r="AR110" s="13" t="s">
        <v>50</v>
      </c>
      <c r="AS110" s="13" t="s">
        <v>49</v>
      </c>
      <c r="AT110" s="13" t="s">
        <v>990</v>
      </c>
      <c r="AU110" s="13" t="s">
        <v>998</v>
      </c>
      <c r="AV110" s="19">
        <f>(0.36/1000)*1.4*2</f>
        <v>1.0079999999999998E-3</v>
      </c>
      <c r="AW110" s="19">
        <f>(0.38/1000)*1.4*2</f>
        <v>1.0640000000000001E-3</v>
      </c>
      <c r="AX110" s="14">
        <f>Table1347456[[#This Row],[treatment_mean]]/Table1347456[[#This Row],[control_mean]]</f>
        <v>0.9473684210526313</v>
      </c>
      <c r="AY110" s="14">
        <f>LN(Table1347456[[#This Row],[rr]])</f>
        <v>-5.4067221270276057E-2</v>
      </c>
      <c r="AZ110" s="13">
        <v>3</v>
      </c>
      <c r="BA110" s="13">
        <v>3</v>
      </c>
      <c r="BB110" s="14">
        <f>Table1347456[[#This Row],[treatment_sd]]/SQRT(Table1347456[[#This Row],[treatment_n]])</f>
        <v>6.4663230149238088E-5</v>
      </c>
      <c r="BC110" s="14">
        <f>Table1347456[[#This Row],[control_sd]]/SQRT(Table1347456[[#This Row],[control_n]])</f>
        <v>1.2932646029847618E-4</v>
      </c>
      <c r="BD110" s="15">
        <f>(0.04/1000)*1.4*2</f>
        <v>1.12E-4</v>
      </c>
      <c r="BE110" s="14">
        <f>(0.08/1000)*1.4*2</f>
        <v>2.24E-4</v>
      </c>
      <c r="BF11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1.8889002884078292E-2</v>
      </c>
      <c r="BG110" s="17">
        <f>SQRT(Table1347456[[#This Row],[v_from_sd_and_n]])</f>
        <v>0.13743726890504734</v>
      </c>
      <c r="BH110" s="13" t="s">
        <v>49</v>
      </c>
      <c r="BI110" s="13">
        <v>0.52500000000000002</v>
      </c>
      <c r="BJ110" s="18">
        <f>ABS(_xlfn.NORM.S.INV(Table1347456[[#This Row],[p_value]]/2))</f>
        <v>0.63565701369758276</v>
      </c>
      <c r="BK110" s="19">
        <f>(Table1347456[[#This Row],[lnrr]]/Table1347456[[#This Row],[z_from_p]])^2</f>
        <v>7.2347314265838684E-3</v>
      </c>
      <c r="BL110" s="16">
        <f>Table1347456[[#This Row],[v_from_sd_and_n]]</f>
        <v>1.8889002884078292E-2</v>
      </c>
      <c r="BM110" s="20">
        <f>SQRT(Table1347456[[#This Row],[v]])</f>
        <v>0.13743726890504734</v>
      </c>
      <c r="BN110" s="20">
        <f>Table1347456[[#This Row],[lnrr]]-(1.96*Table1347456[[#This Row],[se]])</f>
        <v>-0.32344426832416889</v>
      </c>
      <c r="BO110" s="20">
        <f>Table1347456[[#This Row],[lnrr]]+(1.96 * Table1347456[[#This Row],[se]])</f>
        <v>0.21530982578361677</v>
      </c>
    </row>
    <row r="111" spans="1:67">
      <c r="A111" s="13" t="s">
        <v>107</v>
      </c>
      <c r="B111" s="13" t="s">
        <v>108</v>
      </c>
      <c r="C111" s="13" t="s">
        <v>43</v>
      </c>
      <c r="D111" s="13" t="s">
        <v>109</v>
      </c>
      <c r="E111" s="13" t="s">
        <v>110</v>
      </c>
      <c r="F111" s="13" t="s">
        <v>586</v>
      </c>
      <c r="G111" s="13" t="s">
        <v>111</v>
      </c>
      <c r="H111" s="13">
        <v>18</v>
      </c>
      <c r="I111" s="13">
        <v>275</v>
      </c>
      <c r="K111" s="13" t="s">
        <v>823</v>
      </c>
      <c r="L111" s="13" t="s">
        <v>824</v>
      </c>
      <c r="N111" s="13" t="s">
        <v>69</v>
      </c>
      <c r="O111" s="13" t="s">
        <v>70</v>
      </c>
      <c r="P111" s="13" t="s">
        <v>488</v>
      </c>
      <c r="Q111" s="13" t="s">
        <v>71</v>
      </c>
      <c r="R111" s="4">
        <v>10</v>
      </c>
      <c r="S111" s="13" t="s">
        <v>595</v>
      </c>
      <c r="T111" s="13">
        <v>300</v>
      </c>
      <c r="U111" s="4" t="s">
        <v>112</v>
      </c>
      <c r="V111" s="4">
        <v>500</v>
      </c>
      <c r="W111" s="4" t="s">
        <v>601</v>
      </c>
      <c r="X111" s="4">
        <v>405</v>
      </c>
      <c r="Y111" s="4">
        <v>20</v>
      </c>
      <c r="AA111" s="4" t="s">
        <v>49</v>
      </c>
      <c r="AB111" s="4">
        <v>0</v>
      </c>
      <c r="AC111" s="4" t="s">
        <v>49</v>
      </c>
      <c r="AD111" s="4">
        <v>0</v>
      </c>
      <c r="AE111" s="4" t="s">
        <v>49</v>
      </c>
      <c r="AF111" s="4">
        <v>0</v>
      </c>
      <c r="AG111" s="4" t="s">
        <v>794</v>
      </c>
      <c r="AH111" s="4" t="s">
        <v>793</v>
      </c>
      <c r="AI111" s="4" t="s">
        <v>64</v>
      </c>
      <c r="AJ111" s="13">
        <v>0</v>
      </c>
      <c r="AK111" s="13">
        <v>20</v>
      </c>
      <c r="AL111" s="13" t="s">
        <v>486</v>
      </c>
      <c r="AN111" s="13" t="s">
        <v>487</v>
      </c>
      <c r="AP111" s="13" t="s">
        <v>49</v>
      </c>
      <c r="AQ111" s="13" t="s">
        <v>49</v>
      </c>
      <c r="AR111" s="13" t="s">
        <v>50</v>
      </c>
      <c r="AS111" s="13" t="s">
        <v>49</v>
      </c>
      <c r="AT111" s="13" t="s">
        <v>990</v>
      </c>
      <c r="AU111" s="13" t="s">
        <v>998</v>
      </c>
      <c r="AV111" s="14">
        <f>(0.3/1000)*1.4*2</f>
        <v>8.3999999999999993E-4</v>
      </c>
      <c r="AW111" s="19">
        <f>(0.38/1000)*1.4*2</f>
        <v>1.0640000000000001E-3</v>
      </c>
      <c r="AX111" s="14">
        <f>Table1347456[[#This Row],[treatment_mean]]/Table1347456[[#This Row],[control_mean]]</f>
        <v>0.78947368421052622</v>
      </c>
      <c r="AY111" s="14">
        <f>LN(Table1347456[[#This Row],[rr]])</f>
        <v>-0.23638877806423053</v>
      </c>
      <c r="AZ111" s="13">
        <v>3</v>
      </c>
      <c r="BA111" s="13">
        <v>3</v>
      </c>
      <c r="BB111" s="14">
        <f>Table1347456[[#This Row],[treatment_sd]]/SQRT(Table1347456[[#This Row],[treatment_n]])</f>
        <v>6.4663230149238088E-5</v>
      </c>
      <c r="BC111" s="14">
        <f>Table1347456[[#This Row],[control_sd]]/SQRT(Table1347456[[#This Row],[control_n]])</f>
        <v>1.2932646029847618E-4</v>
      </c>
      <c r="BD111" s="15">
        <f>(0.04/1000)*1.4*2</f>
        <v>1.12E-4</v>
      </c>
      <c r="BE111" s="14">
        <f>(0.08/1000)*1.4*2</f>
        <v>2.24E-4</v>
      </c>
      <c r="BF11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2.0699702472555658E-2</v>
      </c>
      <c r="BG111" s="17">
        <f>SQRT(Table1347456[[#This Row],[v_from_sd_and_n]])</f>
        <v>0.14387391171632075</v>
      </c>
      <c r="BH111" s="13" t="s">
        <v>49</v>
      </c>
      <c r="BI111" s="13">
        <v>0.52500000000000002</v>
      </c>
      <c r="BJ111" s="18">
        <f>ABS(_xlfn.NORM.S.INV(Table1347456[[#This Row],[p_value]]/2))</f>
        <v>0.63565701369758276</v>
      </c>
      <c r="BK111" s="19">
        <f>(Table1347456[[#This Row],[lnrr]]/Table1347456[[#This Row],[z_from_p]])^2</f>
        <v>0.13829549238125904</v>
      </c>
      <c r="BL111" s="16">
        <f>Table1347456[[#This Row],[v_from_sd_and_n]]</f>
        <v>2.0699702472555658E-2</v>
      </c>
      <c r="BM111" s="20">
        <f>SQRT(Table1347456[[#This Row],[v]])</f>
        <v>0.14387391171632075</v>
      </c>
      <c r="BN111" s="20">
        <f>Table1347456[[#This Row],[lnrr]]-(1.96*Table1347456[[#This Row],[se]])</f>
        <v>-0.51838164502821926</v>
      </c>
      <c r="BO111" s="20">
        <f>Table1347456[[#This Row],[lnrr]]+(1.96 * Table1347456[[#This Row],[se]])</f>
        <v>4.5604088899758144E-2</v>
      </c>
    </row>
    <row r="112" spans="1:67">
      <c r="A112" s="13" t="s">
        <v>107</v>
      </c>
      <c r="B112" s="13" t="s">
        <v>108</v>
      </c>
      <c r="C112" s="13" t="s">
        <v>43</v>
      </c>
      <c r="D112" s="13" t="s">
        <v>109</v>
      </c>
      <c r="E112" s="13" t="s">
        <v>110</v>
      </c>
      <c r="F112" s="13" t="s">
        <v>586</v>
      </c>
      <c r="G112" s="13" t="s">
        <v>111</v>
      </c>
      <c r="H112" s="13">
        <v>18</v>
      </c>
      <c r="I112" s="13">
        <v>275</v>
      </c>
      <c r="K112" s="13" t="s">
        <v>823</v>
      </c>
      <c r="L112" s="13" t="s">
        <v>824</v>
      </c>
      <c r="N112" s="13" t="s">
        <v>69</v>
      </c>
      <c r="O112" s="13" t="s">
        <v>70</v>
      </c>
      <c r="P112" s="13" t="s">
        <v>488</v>
      </c>
      <c r="Q112" s="13" t="s">
        <v>71</v>
      </c>
      <c r="R112" s="4">
        <v>10</v>
      </c>
      <c r="S112" s="13" t="s">
        <v>595</v>
      </c>
      <c r="T112" s="13">
        <v>150</v>
      </c>
      <c r="U112" s="4" t="s">
        <v>112</v>
      </c>
      <c r="V112" s="4">
        <v>500</v>
      </c>
      <c r="W112" s="4" t="s">
        <v>601</v>
      </c>
      <c r="X112" s="4">
        <v>405</v>
      </c>
      <c r="Y112" s="4">
        <v>10</v>
      </c>
      <c r="AA112" s="4" t="s">
        <v>49</v>
      </c>
      <c r="AB112" s="4">
        <v>0</v>
      </c>
      <c r="AC112" s="4" t="s">
        <v>49</v>
      </c>
      <c r="AD112" s="4">
        <v>0</v>
      </c>
      <c r="AE112" s="4" t="s">
        <v>49</v>
      </c>
      <c r="AF112" s="4">
        <v>0</v>
      </c>
      <c r="AG112" s="4" t="s">
        <v>794</v>
      </c>
      <c r="AH112" s="4" t="s">
        <v>793</v>
      </c>
      <c r="AI112" s="4" t="s">
        <v>64</v>
      </c>
      <c r="AJ112" s="13">
        <v>0</v>
      </c>
      <c r="AK112" s="13">
        <v>20</v>
      </c>
      <c r="AL112" s="13" t="s">
        <v>486</v>
      </c>
      <c r="AN112" s="13" t="s">
        <v>487</v>
      </c>
      <c r="AP112" s="13" t="s">
        <v>49</v>
      </c>
      <c r="AQ112" s="13" t="s">
        <v>49</v>
      </c>
      <c r="AR112" s="13" t="s">
        <v>50</v>
      </c>
      <c r="AS112" s="13" t="s">
        <v>49</v>
      </c>
      <c r="AT112" s="13" t="s">
        <v>990</v>
      </c>
      <c r="AU112" s="13" t="s">
        <v>998</v>
      </c>
      <c r="AV112" s="14">
        <f>(0.54/1000)*1.4*2</f>
        <v>1.5119999999999999E-3</v>
      </c>
      <c r="AW112" s="19">
        <f>(0.69/1000)*1.4*2</f>
        <v>1.9319999999999997E-3</v>
      </c>
      <c r="AX112" s="14">
        <f>Table1347456[[#This Row],[treatment_mean]]/Table1347456[[#This Row],[control_mean]]</f>
        <v>0.78260869565217395</v>
      </c>
      <c r="AY112" s="14">
        <f>LN(Table1347456[[#This Row],[rr]])</f>
        <v>-0.24512245803298496</v>
      </c>
      <c r="AZ112" s="13">
        <v>3</v>
      </c>
      <c r="BA112" s="13">
        <v>3</v>
      </c>
      <c r="BB112" s="14">
        <f>Table1347456[[#This Row],[treatment_sd]]/SQRT(Table1347456[[#This Row],[treatment_n]])</f>
        <v>5.0114003365659516E-4</v>
      </c>
      <c r="BC112" s="14">
        <f>Table1347456[[#This Row],[control_sd]]/SQRT(Table1347456[[#This Row],[control_n]])</f>
        <v>4.8497422611928559E-5</v>
      </c>
      <c r="BD112" s="15">
        <f>(0.31/1000)*1.4*2</f>
        <v>8.6799999999999996E-4</v>
      </c>
      <c r="BE112" s="14">
        <f>(0.03/1000)*1.4*2</f>
        <v>8.3999999999999982E-5</v>
      </c>
      <c r="BF11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0.11048380056408248</v>
      </c>
      <c r="BG112" s="17">
        <f>SQRT(Table1347456[[#This Row],[v_from_sd_and_n]])</f>
        <v>0.33239103562533462</v>
      </c>
      <c r="BH112" s="13" t="s">
        <v>49</v>
      </c>
      <c r="BI112" s="13">
        <v>0.52500000000000002</v>
      </c>
      <c r="BJ112" s="18">
        <f>ABS(_xlfn.NORM.S.INV(Table1347456[[#This Row],[p_value]]/2))</f>
        <v>0.63565701369758276</v>
      </c>
      <c r="BK112" s="19">
        <f>(Table1347456[[#This Row],[lnrr]]/Table1347456[[#This Row],[z_from_p]])^2</f>
        <v>0.14870327021729751</v>
      </c>
      <c r="BL112" s="16">
        <f>Table1347456[[#This Row],[v_from_sd_and_n]]</f>
        <v>0.11048380056408248</v>
      </c>
      <c r="BM112" s="20">
        <f>SQRT(Table1347456[[#This Row],[v]])</f>
        <v>0.33239103562533462</v>
      </c>
      <c r="BN112" s="20">
        <f>Table1347456[[#This Row],[lnrr]]-(1.96*Table1347456[[#This Row],[se]])</f>
        <v>-0.89660888785864079</v>
      </c>
      <c r="BO112" s="20">
        <f>Table1347456[[#This Row],[lnrr]]+(1.96 * Table1347456[[#This Row],[se]])</f>
        <v>0.40636397179267092</v>
      </c>
    </row>
    <row r="113" spans="1:67">
      <c r="A113" s="13" t="s">
        <v>107</v>
      </c>
      <c r="B113" s="13" t="s">
        <v>108</v>
      </c>
      <c r="C113" s="13" t="s">
        <v>43</v>
      </c>
      <c r="D113" s="13" t="s">
        <v>109</v>
      </c>
      <c r="E113" s="13" t="s">
        <v>110</v>
      </c>
      <c r="F113" s="13" t="s">
        <v>586</v>
      </c>
      <c r="G113" s="13" t="s">
        <v>111</v>
      </c>
      <c r="H113" s="13">
        <v>18</v>
      </c>
      <c r="I113" s="13">
        <v>275</v>
      </c>
      <c r="K113" s="13" t="s">
        <v>823</v>
      </c>
      <c r="L113" s="13" t="s">
        <v>824</v>
      </c>
      <c r="N113" s="13" t="s">
        <v>69</v>
      </c>
      <c r="O113" s="13" t="s">
        <v>70</v>
      </c>
      <c r="P113" s="13" t="s">
        <v>488</v>
      </c>
      <c r="Q113" s="13" t="s">
        <v>71</v>
      </c>
      <c r="R113" s="4">
        <v>10</v>
      </c>
      <c r="S113" s="13" t="s">
        <v>595</v>
      </c>
      <c r="T113" s="13">
        <v>150</v>
      </c>
      <c r="U113" s="4" t="s">
        <v>112</v>
      </c>
      <c r="V113" s="4">
        <v>500</v>
      </c>
      <c r="W113" s="4" t="s">
        <v>601</v>
      </c>
      <c r="X113" s="4">
        <v>405</v>
      </c>
      <c r="Y113" s="4">
        <v>20</v>
      </c>
      <c r="AA113" s="4" t="s">
        <v>49</v>
      </c>
      <c r="AB113" s="4">
        <v>0</v>
      </c>
      <c r="AC113" s="4" t="s">
        <v>49</v>
      </c>
      <c r="AD113" s="4">
        <v>0</v>
      </c>
      <c r="AE113" s="4" t="s">
        <v>49</v>
      </c>
      <c r="AF113" s="4">
        <v>0</v>
      </c>
      <c r="AG113" s="4" t="s">
        <v>794</v>
      </c>
      <c r="AH113" s="4" t="s">
        <v>793</v>
      </c>
      <c r="AI113" s="4" t="s">
        <v>64</v>
      </c>
      <c r="AJ113" s="13">
        <v>0</v>
      </c>
      <c r="AK113" s="13">
        <v>20</v>
      </c>
      <c r="AL113" s="13" t="s">
        <v>486</v>
      </c>
      <c r="AN113" s="13" t="s">
        <v>487</v>
      </c>
      <c r="AP113" s="13" t="s">
        <v>49</v>
      </c>
      <c r="AQ113" s="13" t="s">
        <v>49</v>
      </c>
      <c r="AR113" s="13" t="s">
        <v>50</v>
      </c>
      <c r="AS113" s="13" t="s">
        <v>49</v>
      </c>
      <c r="AT113" s="13" t="s">
        <v>990</v>
      </c>
      <c r="AU113" s="13" t="s">
        <v>998</v>
      </c>
      <c r="AV113" s="14">
        <f>(0.72/1000)*1.4*2</f>
        <v>2.0159999999999996E-3</v>
      </c>
      <c r="AW113" s="19">
        <f>(0.69/1000)*1.4*2</f>
        <v>1.9319999999999997E-3</v>
      </c>
      <c r="AX113" s="14">
        <f>Table1347456[[#This Row],[treatment_mean]]/Table1347456[[#This Row],[control_mean]]</f>
        <v>1.0434782608695652</v>
      </c>
      <c r="AY113" s="14">
        <f>LN(Table1347456[[#This Row],[rr]])</f>
        <v>4.2559614418795903E-2</v>
      </c>
      <c r="AZ113" s="13">
        <v>3</v>
      </c>
      <c r="BA113" s="13">
        <v>3</v>
      </c>
      <c r="BB113" s="14">
        <f>Table1347456[[#This Row],[treatment_sd]]/SQRT(Table1347456[[#This Row],[treatment_n]])</f>
        <v>1.6165807537309521E-4</v>
      </c>
      <c r="BC113" s="14">
        <f>Table1347456[[#This Row],[control_sd]]/SQRT(Table1347456[[#This Row],[control_n]])</f>
        <v>4.8497422611928559E-5</v>
      </c>
      <c r="BD113" s="15">
        <f>(0.1/1000)*1.4*2</f>
        <v>2.7999999999999998E-4</v>
      </c>
      <c r="BE113" s="14">
        <f>(0.03/1000)*1.4*2</f>
        <v>8.3999999999999982E-5</v>
      </c>
      <c r="BF11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7.0601608750106978E-3</v>
      </c>
      <c r="BG113" s="17">
        <f>SQRT(Table1347456[[#This Row],[v_from_sd_and_n]])</f>
        <v>8.4024763462985708E-2</v>
      </c>
      <c r="BH113" s="13" t="s">
        <v>49</v>
      </c>
      <c r="BI113" s="13">
        <v>0.52500000000000002</v>
      </c>
      <c r="BJ113" s="18">
        <f>ABS(_xlfn.NORM.S.INV(Table1347456[[#This Row],[p_value]]/2))</f>
        <v>0.63565701369758276</v>
      </c>
      <c r="BK113" s="19">
        <f>(Table1347456[[#This Row],[lnrr]]/Table1347456[[#This Row],[z_from_p]])^2</f>
        <v>4.482803298831395E-3</v>
      </c>
      <c r="BL113" s="16">
        <f>Table1347456[[#This Row],[v_from_sd_and_n]]</f>
        <v>7.0601608750106978E-3</v>
      </c>
      <c r="BM113" s="20">
        <f>SQRT(Table1347456[[#This Row],[v]])</f>
        <v>8.4024763462985708E-2</v>
      </c>
      <c r="BN113" s="20">
        <f>Table1347456[[#This Row],[lnrr]]-(1.96*Table1347456[[#This Row],[se]])</f>
        <v>-0.12212892196865607</v>
      </c>
      <c r="BO113" s="20">
        <f>Table1347456[[#This Row],[lnrr]]+(1.96 * Table1347456[[#This Row],[se]])</f>
        <v>0.20724815080624789</v>
      </c>
    </row>
    <row r="114" spans="1:67">
      <c r="A114" s="13" t="s">
        <v>113</v>
      </c>
      <c r="B114" s="13" t="s">
        <v>114</v>
      </c>
      <c r="C114" s="13" t="s">
        <v>43</v>
      </c>
      <c r="D114" s="13" t="s">
        <v>90</v>
      </c>
      <c r="E114" s="13" t="s">
        <v>91</v>
      </c>
      <c r="F114" s="13" t="s">
        <v>587</v>
      </c>
      <c r="G114" s="13" t="s">
        <v>92</v>
      </c>
      <c r="H114" s="13">
        <v>13.9</v>
      </c>
      <c r="I114" s="13">
        <v>615</v>
      </c>
      <c r="K114" s="13" t="s">
        <v>825</v>
      </c>
      <c r="L114" s="13" t="s">
        <v>826</v>
      </c>
      <c r="N114" s="13" t="s">
        <v>61</v>
      </c>
      <c r="O114" s="13" t="s">
        <v>642</v>
      </c>
      <c r="P114" s="13" t="s">
        <v>71</v>
      </c>
      <c r="Q114" s="13" t="s">
        <v>48</v>
      </c>
      <c r="R114" s="4">
        <v>3</v>
      </c>
      <c r="S114" s="13" t="s">
        <v>594</v>
      </c>
      <c r="T114" s="13">
        <v>300</v>
      </c>
      <c r="U114" s="4" t="s">
        <v>93</v>
      </c>
      <c r="V114" s="4">
        <v>450</v>
      </c>
      <c r="W114" s="4" t="s">
        <v>601</v>
      </c>
      <c r="X114" s="4">
        <v>405</v>
      </c>
      <c r="Y114" s="4">
        <v>3</v>
      </c>
      <c r="AA114" s="4" t="s">
        <v>50</v>
      </c>
      <c r="AB114" s="4">
        <v>440</v>
      </c>
      <c r="AC114" s="4" t="s">
        <v>49</v>
      </c>
      <c r="AD114" s="4">
        <v>0</v>
      </c>
      <c r="AE114" s="4" t="s">
        <v>49</v>
      </c>
      <c r="AF114" s="4">
        <v>0</v>
      </c>
      <c r="AG114" s="4" t="s">
        <v>738</v>
      </c>
      <c r="AH114" s="4" t="s">
        <v>737</v>
      </c>
      <c r="AI114" s="4" t="s">
        <v>78</v>
      </c>
      <c r="AJ114" s="13">
        <v>0</v>
      </c>
      <c r="AK114" s="13">
        <v>20</v>
      </c>
      <c r="AM114" s="13" t="s">
        <v>480</v>
      </c>
      <c r="AP114" s="13" t="s">
        <v>49</v>
      </c>
      <c r="AQ114" s="13" t="s">
        <v>49</v>
      </c>
      <c r="AR114" s="13" t="s">
        <v>50</v>
      </c>
      <c r="AS114" s="13" t="s">
        <v>50</v>
      </c>
      <c r="AT114" s="13" t="s">
        <v>992</v>
      </c>
      <c r="AU114" s="4" t="s">
        <v>1000</v>
      </c>
      <c r="AV114" s="14">
        <f>(230*2)/1.4/1000</f>
        <v>0.32857142857142863</v>
      </c>
      <c r="AW114" s="14">
        <f>(223*2)/1.4/1000</f>
        <v>0.31857142857142862</v>
      </c>
      <c r="AX114" s="14">
        <f>Table1347456[[#This Row],[treatment_mean]]/Table1347456[[#This Row],[control_mean]]</f>
        <v>1.0313901345291481</v>
      </c>
      <c r="AY114" s="14">
        <f>LN(Table1347456[[#This Row],[rr]])</f>
        <v>3.0907537463076704E-2</v>
      </c>
      <c r="AZ114" s="13">
        <v>3</v>
      </c>
      <c r="BA114" s="13">
        <v>3</v>
      </c>
      <c r="BB114" s="14">
        <f>(7*2)/1.4/1000</f>
        <v>0.01</v>
      </c>
      <c r="BC114" s="14">
        <f>(13*2)/1.4/1000</f>
        <v>1.8571428571428572E-2</v>
      </c>
      <c r="BD114" s="15">
        <f>Table1347456[[#This Row],[treatment_se]]*SQRT(Table1347456[[#This Row],[treatment_n]])</f>
        <v>1.7320508075688773E-2</v>
      </c>
      <c r="BE114" s="14">
        <f>Table1347456[[#This Row],[control_se]]*SQRT(Table1347456[[#This Row],[control_n]])</f>
        <v>3.216665785485058E-2</v>
      </c>
      <c r="BF11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4.3246954257672035E-3</v>
      </c>
      <c r="BG114" s="17">
        <f>SQRT(Table1347456[[#This Row],[v_from_sd_and_n]])</f>
        <v>6.576241651404853E-2</v>
      </c>
      <c r="BH114" s="13" t="s">
        <v>50</v>
      </c>
      <c r="BI114" s="13">
        <v>2.5000000000000001E-2</v>
      </c>
      <c r="BJ114" s="18">
        <f>ABS(_xlfn.NORM.S.INV(Table1347456[[#This Row],[p_value]]/2))</f>
        <v>2.2414027276049446</v>
      </c>
      <c r="BK114" s="19">
        <f>(Table1347456[[#This Row],[lnrr]]/Table1347456[[#This Row],[z_from_p]])^2</f>
        <v>1.9014679799942997E-4</v>
      </c>
      <c r="BL114" s="16">
        <f>Table1347456[[#This Row],[v_from_sd_and_n]]</f>
        <v>4.3246954257672035E-3</v>
      </c>
      <c r="BM114" s="20">
        <f>SQRT(Table1347456[[#This Row],[v]])</f>
        <v>6.576241651404853E-2</v>
      </c>
      <c r="BN114" s="20">
        <f>Table1347456[[#This Row],[lnrr]]-(1.96*Table1347456[[#This Row],[se]])</f>
        <v>-9.7986798904458411E-2</v>
      </c>
      <c r="BO114" s="20">
        <f>Table1347456[[#This Row],[lnrr]]+(1.96 * Table1347456[[#This Row],[se]])</f>
        <v>0.15980187383061181</v>
      </c>
    </row>
    <row r="115" spans="1:67">
      <c r="A115" s="13" t="s">
        <v>113</v>
      </c>
      <c r="B115" s="13" t="s">
        <v>114</v>
      </c>
      <c r="C115" s="13" t="s">
        <v>43</v>
      </c>
      <c r="D115" s="13" t="s">
        <v>90</v>
      </c>
      <c r="E115" s="13" t="s">
        <v>91</v>
      </c>
      <c r="F115" s="13" t="s">
        <v>587</v>
      </c>
      <c r="G115" s="13" t="s">
        <v>92</v>
      </c>
      <c r="H115" s="13">
        <v>13.9</v>
      </c>
      <c r="I115" s="13">
        <v>615</v>
      </c>
      <c r="K115" s="13" t="s">
        <v>825</v>
      </c>
      <c r="L115" s="13" t="s">
        <v>826</v>
      </c>
      <c r="N115" s="13" t="s">
        <v>61</v>
      </c>
      <c r="O115" s="13" t="s">
        <v>642</v>
      </c>
      <c r="P115" s="13" t="s">
        <v>71</v>
      </c>
      <c r="Q115" s="13" t="s">
        <v>48</v>
      </c>
      <c r="R115" s="4">
        <v>3</v>
      </c>
      <c r="S115" s="13" t="s">
        <v>594</v>
      </c>
      <c r="T115" s="13">
        <v>300</v>
      </c>
      <c r="U115" s="4" t="s">
        <v>93</v>
      </c>
      <c r="V115" s="4">
        <v>450</v>
      </c>
      <c r="W115" s="4" t="s">
        <v>601</v>
      </c>
      <c r="X115" s="4">
        <v>405</v>
      </c>
      <c r="Y115" s="4">
        <v>6</v>
      </c>
      <c r="AA115" s="4" t="s">
        <v>50</v>
      </c>
      <c r="AB115" s="4">
        <v>440</v>
      </c>
      <c r="AC115" s="4" t="s">
        <v>49</v>
      </c>
      <c r="AD115" s="4">
        <v>0</v>
      </c>
      <c r="AE115" s="4" t="s">
        <v>49</v>
      </c>
      <c r="AF115" s="4">
        <v>0</v>
      </c>
      <c r="AG115" s="4" t="s">
        <v>738</v>
      </c>
      <c r="AH115" s="4" t="s">
        <v>737</v>
      </c>
      <c r="AI115" s="4" t="s">
        <v>78</v>
      </c>
      <c r="AJ115" s="13">
        <v>0</v>
      </c>
      <c r="AK115" s="13">
        <v>20</v>
      </c>
      <c r="AM115" s="13" t="s">
        <v>480</v>
      </c>
      <c r="AP115" s="13" t="s">
        <v>49</v>
      </c>
      <c r="AQ115" s="13" t="s">
        <v>49</v>
      </c>
      <c r="AR115" s="13" t="s">
        <v>50</v>
      </c>
      <c r="AS115" s="13" t="s">
        <v>50</v>
      </c>
      <c r="AT115" s="13" t="s">
        <v>992</v>
      </c>
      <c r="AU115" s="4" t="s">
        <v>1000</v>
      </c>
      <c r="AV115" s="14">
        <f>(235*2)/1.4/1000</f>
        <v>0.33571428571428574</v>
      </c>
      <c r="AW115" s="14">
        <f>(223*2)/1.4/1000</f>
        <v>0.31857142857142862</v>
      </c>
      <c r="AX115" s="14">
        <f>Table1347456[[#This Row],[treatment_mean]]/Table1347456[[#This Row],[control_mean]]</f>
        <v>1.053811659192825</v>
      </c>
      <c r="AY115" s="14">
        <f>LN(Table1347456[[#This Row],[rr]])</f>
        <v>5.2413742684040136E-2</v>
      </c>
      <c r="AZ115" s="13">
        <v>3</v>
      </c>
      <c r="BA115" s="13">
        <v>3</v>
      </c>
      <c r="BB115" s="14">
        <f>(7*2)/1.4/1000</f>
        <v>0.01</v>
      </c>
      <c r="BC115" s="14">
        <f>(13*2)/1.4/1000</f>
        <v>1.8571428571428572E-2</v>
      </c>
      <c r="BD115" s="15">
        <f>Table1347456[[#This Row],[treatment_se]]*SQRT(Table1347456[[#This Row],[treatment_n]])</f>
        <v>1.7320508075688773E-2</v>
      </c>
      <c r="BE115" s="14">
        <f>Table1347456[[#This Row],[control_se]]*SQRT(Table1347456[[#This Row],[control_n]])</f>
        <v>3.216665785485058E-2</v>
      </c>
      <c r="BF11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4.2856987452344801E-3</v>
      </c>
      <c r="BG115" s="17">
        <f>SQRT(Table1347456[[#This Row],[v_from_sd_and_n]])</f>
        <v>6.5465248378315036E-2</v>
      </c>
      <c r="BH115" s="13" t="s">
        <v>50</v>
      </c>
      <c r="BI115" s="13">
        <v>2.5000000000000001E-2</v>
      </c>
      <c r="BJ115" s="18">
        <f>ABS(_xlfn.NORM.S.INV(Table1347456[[#This Row],[p_value]]/2))</f>
        <v>2.2414027276049446</v>
      </c>
      <c r="BK115" s="19">
        <f>(Table1347456[[#This Row],[lnrr]]/Table1347456[[#This Row],[z_from_p]])^2</f>
        <v>5.4682775837664149E-4</v>
      </c>
      <c r="BL115" s="16">
        <f>Table1347456[[#This Row],[v_from_sd_and_n]]</f>
        <v>4.2856987452344801E-3</v>
      </c>
      <c r="BM115" s="20">
        <f>SQRT(Table1347456[[#This Row],[v]])</f>
        <v>6.5465248378315036E-2</v>
      </c>
      <c r="BN115" s="20">
        <f>Table1347456[[#This Row],[lnrr]]-(1.96*Table1347456[[#This Row],[se]])</f>
        <v>-7.5898144137457324E-2</v>
      </c>
      <c r="BO115" s="20">
        <f>Table1347456[[#This Row],[lnrr]]+(1.96 * Table1347456[[#This Row],[se]])</f>
        <v>0.18072562950553761</v>
      </c>
    </row>
    <row r="116" spans="1:67">
      <c r="A116" s="13" t="s">
        <v>113</v>
      </c>
      <c r="B116" s="13" t="s">
        <v>114</v>
      </c>
      <c r="C116" s="13" t="s">
        <v>43</v>
      </c>
      <c r="D116" s="13" t="s">
        <v>90</v>
      </c>
      <c r="E116" s="13" t="s">
        <v>91</v>
      </c>
      <c r="F116" s="13" t="s">
        <v>587</v>
      </c>
      <c r="G116" s="13" t="s">
        <v>92</v>
      </c>
      <c r="H116" s="13">
        <v>13.9</v>
      </c>
      <c r="I116" s="13">
        <v>615</v>
      </c>
      <c r="K116" s="13" t="s">
        <v>825</v>
      </c>
      <c r="L116" s="13" t="s">
        <v>826</v>
      </c>
      <c r="N116" s="13" t="s">
        <v>61</v>
      </c>
      <c r="O116" s="13" t="s">
        <v>642</v>
      </c>
      <c r="P116" s="13" t="s">
        <v>71</v>
      </c>
      <c r="Q116" s="13" t="s">
        <v>48</v>
      </c>
      <c r="R116" s="4">
        <v>3</v>
      </c>
      <c r="S116" s="13" t="s">
        <v>594</v>
      </c>
      <c r="T116" s="13">
        <v>300</v>
      </c>
      <c r="U116" s="4" t="s">
        <v>93</v>
      </c>
      <c r="V116" s="4">
        <v>450</v>
      </c>
      <c r="W116" s="4" t="s">
        <v>601</v>
      </c>
      <c r="X116" s="4">
        <v>405</v>
      </c>
      <c r="Y116" s="4">
        <v>12</v>
      </c>
      <c r="AA116" s="4" t="s">
        <v>50</v>
      </c>
      <c r="AB116" s="4">
        <v>440</v>
      </c>
      <c r="AC116" s="4" t="s">
        <v>49</v>
      </c>
      <c r="AD116" s="4">
        <v>0</v>
      </c>
      <c r="AE116" s="4" t="s">
        <v>49</v>
      </c>
      <c r="AF116" s="4">
        <v>0</v>
      </c>
      <c r="AG116" s="4" t="s">
        <v>738</v>
      </c>
      <c r="AH116" s="4" t="s">
        <v>737</v>
      </c>
      <c r="AI116" s="4" t="s">
        <v>78</v>
      </c>
      <c r="AJ116" s="13">
        <v>0</v>
      </c>
      <c r="AK116" s="13">
        <v>20</v>
      </c>
      <c r="AM116" s="13" t="s">
        <v>480</v>
      </c>
      <c r="AP116" s="13" t="s">
        <v>49</v>
      </c>
      <c r="AQ116" s="13" t="s">
        <v>49</v>
      </c>
      <c r="AR116" s="13" t="s">
        <v>50</v>
      </c>
      <c r="AS116" s="13" t="s">
        <v>50</v>
      </c>
      <c r="AT116" s="13" t="s">
        <v>992</v>
      </c>
      <c r="AU116" s="4" t="s">
        <v>1000</v>
      </c>
      <c r="AV116" s="14">
        <f>(236*2)/1.4/1000</f>
        <v>0.33714285714285719</v>
      </c>
      <c r="AW116" s="14">
        <f>(223*2)/1.4/1000</f>
        <v>0.31857142857142862</v>
      </c>
      <c r="AX116" s="14">
        <f>Table1347456[[#This Row],[treatment_mean]]/Table1347456[[#This Row],[control_mean]]</f>
        <v>1.0582959641255605</v>
      </c>
      <c r="AY116" s="14">
        <f>LN(Table1347456[[#This Row],[rr]])</f>
        <v>5.6660033565491263E-2</v>
      </c>
      <c r="AZ116" s="13">
        <v>3</v>
      </c>
      <c r="BA116" s="13">
        <v>3</v>
      </c>
      <c r="BB116" s="14">
        <f>(3*2)/1.4/1000</f>
        <v>4.2857142857142859E-3</v>
      </c>
      <c r="BC116" s="14">
        <f>(13*2)/1.4/1000</f>
        <v>1.8571428571428572E-2</v>
      </c>
      <c r="BD116" s="15">
        <f>Table1347456[[#This Row],[treatment_se]]*SQRT(Table1347456[[#This Row],[treatment_n]])</f>
        <v>7.4230748895809029E-3</v>
      </c>
      <c r="BE116" s="14">
        <f>Table1347456[[#This Row],[control_se]]*SQRT(Table1347456[[#This Row],[control_n]])</f>
        <v>3.216665785485058E-2</v>
      </c>
      <c r="BF11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3.5600109300249921E-3</v>
      </c>
      <c r="BG116" s="17">
        <f>SQRT(Table1347456[[#This Row],[v_from_sd_and_n]])</f>
        <v>5.9665827154452421E-2</v>
      </c>
      <c r="BH116" s="13" t="s">
        <v>50</v>
      </c>
      <c r="BI116" s="13">
        <v>2.5000000000000001E-2</v>
      </c>
      <c r="BJ116" s="18">
        <f>ABS(_xlfn.NORM.S.INV(Table1347456[[#This Row],[p_value]]/2))</f>
        <v>2.2414027276049446</v>
      </c>
      <c r="BK116" s="19">
        <f>(Table1347456[[#This Row],[lnrr]]/Table1347456[[#This Row],[z_from_p]])^2</f>
        <v>6.3901913457924814E-4</v>
      </c>
      <c r="BL116" s="16">
        <f>Table1347456[[#This Row],[v_from_sd_and_n]]</f>
        <v>3.5600109300249921E-3</v>
      </c>
      <c r="BM116" s="20">
        <f>SQRT(Table1347456[[#This Row],[v]])</f>
        <v>5.9665827154452421E-2</v>
      </c>
      <c r="BN116" s="20">
        <f>Table1347456[[#This Row],[lnrr]]-(1.96*Table1347456[[#This Row],[se]])</f>
        <v>-6.0284987657235473E-2</v>
      </c>
      <c r="BO116" s="20">
        <f>Table1347456[[#This Row],[lnrr]]+(1.96 * Table1347456[[#This Row],[se]])</f>
        <v>0.173605054788218</v>
      </c>
    </row>
    <row r="117" spans="1:67">
      <c r="A117" s="13" t="s">
        <v>113</v>
      </c>
      <c r="B117" s="13" t="s">
        <v>114</v>
      </c>
      <c r="C117" s="13" t="s">
        <v>43</v>
      </c>
      <c r="D117" s="13" t="s">
        <v>90</v>
      </c>
      <c r="E117" s="13" t="s">
        <v>91</v>
      </c>
      <c r="F117" s="13" t="s">
        <v>587</v>
      </c>
      <c r="G117" s="13" t="s">
        <v>92</v>
      </c>
      <c r="H117" s="13">
        <v>13.9</v>
      </c>
      <c r="I117" s="13">
        <v>615</v>
      </c>
      <c r="K117" s="13" t="s">
        <v>825</v>
      </c>
      <c r="L117" s="13" t="s">
        <v>826</v>
      </c>
      <c r="N117" s="13" t="s">
        <v>615</v>
      </c>
      <c r="O117" s="13" t="s">
        <v>54</v>
      </c>
      <c r="P117" s="13" t="s">
        <v>48</v>
      </c>
      <c r="Q117" s="13" t="s">
        <v>48</v>
      </c>
      <c r="R117" s="4">
        <v>3</v>
      </c>
      <c r="S117" s="13" t="s">
        <v>594</v>
      </c>
      <c r="T117" s="13">
        <v>300</v>
      </c>
      <c r="U117" s="4" t="s">
        <v>93</v>
      </c>
      <c r="V117" s="4">
        <v>450</v>
      </c>
      <c r="W117" s="4" t="s">
        <v>601</v>
      </c>
      <c r="X117" s="4">
        <v>405</v>
      </c>
      <c r="Y117" s="4">
        <v>3</v>
      </c>
      <c r="AA117" s="4" t="s">
        <v>50</v>
      </c>
      <c r="AB117" s="4">
        <v>440</v>
      </c>
      <c r="AC117" s="4" t="s">
        <v>49</v>
      </c>
      <c r="AD117" s="4">
        <v>0</v>
      </c>
      <c r="AE117" s="4" t="s">
        <v>49</v>
      </c>
      <c r="AF117" s="4">
        <v>0</v>
      </c>
      <c r="AG117" s="4" t="s">
        <v>738</v>
      </c>
      <c r="AH117" s="4" t="s">
        <v>737</v>
      </c>
      <c r="AI117" s="4" t="s">
        <v>78</v>
      </c>
      <c r="AJ117" s="13">
        <v>0</v>
      </c>
      <c r="AK117" s="13">
        <v>20</v>
      </c>
      <c r="AM117" s="13" t="s">
        <v>480</v>
      </c>
      <c r="AP117" s="13" t="s">
        <v>49</v>
      </c>
      <c r="AQ117" s="13" t="s">
        <v>49</v>
      </c>
      <c r="AR117" s="13" t="s">
        <v>50</v>
      </c>
      <c r="AS117" s="13" t="s">
        <v>50</v>
      </c>
      <c r="AT117" s="13" t="s">
        <v>992</v>
      </c>
      <c r="AU117" s="4" t="s">
        <v>1000</v>
      </c>
      <c r="AV117" s="14">
        <v>1.17</v>
      </c>
      <c r="AW117" s="14">
        <v>1.1399999999999999</v>
      </c>
      <c r="AX117" s="14">
        <f>Table1347456[[#This Row],[treatment_mean]]/Table1347456[[#This Row],[control_mean]]</f>
        <v>1.0263157894736843</v>
      </c>
      <c r="AY117" s="14">
        <f>LN(Table1347456[[#This Row],[rr]])</f>
        <v>2.5975486403260736E-2</v>
      </c>
      <c r="AZ117" s="13">
        <v>3</v>
      </c>
      <c r="BA117" s="13">
        <v>3</v>
      </c>
      <c r="BB117" s="14">
        <v>0.01</v>
      </c>
      <c r="BC117" s="14">
        <v>0.03</v>
      </c>
      <c r="BD117" s="15">
        <f>Table1347456[[#This Row],[treatment_se]]*SQRT(Table1347456[[#This Row],[treatment_n]])</f>
        <v>1.7320508075688773E-2</v>
      </c>
      <c r="BE117" s="14">
        <f>Table1347456[[#This Row],[control_se]]*SQRT(Table1347456[[#This Row],[control_n]])</f>
        <v>5.1961524227066312E-2</v>
      </c>
      <c r="BF11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7.6557213072590575E-4</v>
      </c>
      <c r="BG117" s="17">
        <f>SQRT(Table1347456[[#This Row],[v_from_sd_and_n]])</f>
        <v>2.766897415384072E-2</v>
      </c>
      <c r="BH117" s="13" t="s">
        <v>50</v>
      </c>
      <c r="BI117" s="13">
        <v>2.5000000000000001E-2</v>
      </c>
      <c r="BJ117" s="18">
        <f>ABS(_xlfn.NORM.S.INV(Table1347456[[#This Row],[p_value]]/2))</f>
        <v>2.2414027276049446</v>
      </c>
      <c r="BK117" s="19">
        <f>(Table1347456[[#This Row],[lnrr]]/Table1347456[[#This Row],[z_from_p]])^2</f>
        <v>1.3430357868966848E-4</v>
      </c>
      <c r="BL117" s="16">
        <f>Table1347456[[#This Row],[v_from_sd_and_n]]</f>
        <v>7.6557213072590575E-4</v>
      </c>
      <c r="BM117" s="20">
        <f>SQRT(Table1347456[[#This Row],[v]])</f>
        <v>2.766897415384072E-2</v>
      </c>
      <c r="BN117" s="20">
        <f>Table1347456[[#This Row],[lnrr]]-(1.96*Table1347456[[#This Row],[se]])</f>
        <v>-2.8255702938267076E-2</v>
      </c>
      <c r="BO117" s="20">
        <f>Table1347456[[#This Row],[lnrr]]+(1.96 * Table1347456[[#This Row],[se]])</f>
        <v>8.0206675744788541E-2</v>
      </c>
    </row>
    <row r="118" spans="1:67">
      <c r="A118" s="13" t="s">
        <v>113</v>
      </c>
      <c r="B118" s="13" t="s">
        <v>114</v>
      </c>
      <c r="C118" s="13" t="s">
        <v>43</v>
      </c>
      <c r="D118" s="13" t="s">
        <v>90</v>
      </c>
      <c r="E118" s="13" t="s">
        <v>91</v>
      </c>
      <c r="F118" s="13" t="s">
        <v>587</v>
      </c>
      <c r="G118" s="13" t="s">
        <v>92</v>
      </c>
      <c r="H118" s="13">
        <v>13.9</v>
      </c>
      <c r="I118" s="13">
        <v>615</v>
      </c>
      <c r="K118" s="13" t="s">
        <v>825</v>
      </c>
      <c r="L118" s="13" t="s">
        <v>826</v>
      </c>
      <c r="N118" s="13" t="s">
        <v>615</v>
      </c>
      <c r="O118" s="13" t="s">
        <v>54</v>
      </c>
      <c r="P118" s="13" t="s">
        <v>48</v>
      </c>
      <c r="Q118" s="13" t="s">
        <v>48</v>
      </c>
      <c r="R118" s="4">
        <v>3</v>
      </c>
      <c r="S118" s="13" t="s">
        <v>594</v>
      </c>
      <c r="T118" s="13">
        <v>300</v>
      </c>
      <c r="U118" s="4" t="s">
        <v>93</v>
      </c>
      <c r="V118" s="4">
        <v>450</v>
      </c>
      <c r="W118" s="4" t="s">
        <v>601</v>
      </c>
      <c r="X118" s="4">
        <v>405</v>
      </c>
      <c r="Y118" s="4">
        <v>6</v>
      </c>
      <c r="AA118" s="4" t="s">
        <v>50</v>
      </c>
      <c r="AB118" s="4">
        <v>440</v>
      </c>
      <c r="AC118" s="4" t="s">
        <v>49</v>
      </c>
      <c r="AD118" s="4">
        <v>0</v>
      </c>
      <c r="AE118" s="4" t="s">
        <v>49</v>
      </c>
      <c r="AF118" s="4">
        <v>0</v>
      </c>
      <c r="AG118" s="4" t="s">
        <v>738</v>
      </c>
      <c r="AH118" s="4" t="s">
        <v>737</v>
      </c>
      <c r="AI118" s="4" t="s">
        <v>78</v>
      </c>
      <c r="AJ118" s="13">
        <v>0</v>
      </c>
      <c r="AK118" s="13">
        <v>20</v>
      </c>
      <c r="AM118" s="13" t="s">
        <v>480</v>
      </c>
      <c r="AP118" s="13" t="s">
        <v>49</v>
      </c>
      <c r="AQ118" s="13" t="s">
        <v>49</v>
      </c>
      <c r="AR118" s="13" t="s">
        <v>50</v>
      </c>
      <c r="AS118" s="13" t="s">
        <v>50</v>
      </c>
      <c r="AT118" s="13" t="s">
        <v>992</v>
      </c>
      <c r="AU118" s="4" t="s">
        <v>1000</v>
      </c>
      <c r="AV118" s="14">
        <v>1.27</v>
      </c>
      <c r="AW118" s="14">
        <v>1.1399999999999999</v>
      </c>
      <c r="AX118" s="14">
        <f>Table1347456[[#This Row],[treatment_mean]]/Table1347456[[#This Row],[control_mean]]</f>
        <v>1.1140350877192984</v>
      </c>
      <c r="AY118" s="14">
        <f>LN(Table1347456[[#This Row],[rr]])</f>
        <v>0.10798863806409593</v>
      </c>
      <c r="AZ118" s="13">
        <v>3</v>
      </c>
      <c r="BA118" s="13">
        <v>3</v>
      </c>
      <c r="BB118" s="14">
        <v>0.03</v>
      </c>
      <c r="BC118" s="14">
        <v>0.03</v>
      </c>
      <c r="BD118" s="15">
        <f>Table1347456[[#This Row],[treatment_se]]*SQRT(Table1347456[[#This Row],[treatment_n]])</f>
        <v>5.1961524227066312E-2</v>
      </c>
      <c r="BE118" s="14">
        <f>Table1347456[[#This Row],[control_se]]*SQRT(Table1347456[[#This Row],[control_n]])</f>
        <v>5.1961524227066312E-2</v>
      </c>
      <c r="BF11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1.2505218916255005E-3</v>
      </c>
      <c r="BG118" s="17">
        <f>SQRT(Table1347456[[#This Row],[v_from_sd_and_n]])</f>
        <v>3.5362718951255721E-2</v>
      </c>
      <c r="BH118" s="13" t="s">
        <v>50</v>
      </c>
      <c r="BI118" s="13">
        <v>2.5000000000000001E-2</v>
      </c>
      <c r="BJ118" s="18">
        <f>ABS(_xlfn.NORM.S.INV(Table1347456[[#This Row],[p_value]]/2))</f>
        <v>2.2414027276049446</v>
      </c>
      <c r="BK118" s="19">
        <f>(Table1347456[[#This Row],[lnrr]]/Table1347456[[#This Row],[z_from_p]])^2</f>
        <v>2.3212201702306184E-3</v>
      </c>
      <c r="BL118" s="16">
        <f>Table1347456[[#This Row],[v_from_sd_and_n]]</f>
        <v>1.2505218916255005E-3</v>
      </c>
      <c r="BM118" s="20">
        <f>SQRT(Table1347456[[#This Row],[v]])</f>
        <v>3.5362718951255721E-2</v>
      </c>
      <c r="BN118" s="20">
        <f>Table1347456[[#This Row],[lnrr]]-(1.96*Table1347456[[#This Row],[se]])</f>
        <v>3.8677708919634721E-2</v>
      </c>
      <c r="BO118" s="20">
        <f>Table1347456[[#This Row],[lnrr]]+(1.96 * Table1347456[[#This Row],[se]])</f>
        <v>0.17729956720855716</v>
      </c>
    </row>
    <row r="119" spans="1:67">
      <c r="A119" s="13" t="s">
        <v>113</v>
      </c>
      <c r="B119" s="13" t="s">
        <v>114</v>
      </c>
      <c r="C119" s="13" t="s">
        <v>43</v>
      </c>
      <c r="D119" s="13" t="s">
        <v>90</v>
      </c>
      <c r="E119" s="13" t="s">
        <v>91</v>
      </c>
      <c r="F119" s="13" t="s">
        <v>587</v>
      </c>
      <c r="G119" s="13" t="s">
        <v>92</v>
      </c>
      <c r="H119" s="13">
        <v>13.9</v>
      </c>
      <c r="I119" s="13">
        <v>615</v>
      </c>
      <c r="K119" s="13" t="s">
        <v>825</v>
      </c>
      <c r="L119" s="13" t="s">
        <v>826</v>
      </c>
      <c r="N119" s="13" t="s">
        <v>615</v>
      </c>
      <c r="O119" s="13" t="s">
        <v>54</v>
      </c>
      <c r="P119" s="13" t="s">
        <v>48</v>
      </c>
      <c r="Q119" s="13" t="s">
        <v>48</v>
      </c>
      <c r="R119" s="4">
        <v>3</v>
      </c>
      <c r="S119" s="13" t="s">
        <v>594</v>
      </c>
      <c r="T119" s="13">
        <v>300</v>
      </c>
      <c r="U119" s="4" t="s">
        <v>93</v>
      </c>
      <c r="V119" s="4">
        <v>450</v>
      </c>
      <c r="W119" s="4" t="s">
        <v>601</v>
      </c>
      <c r="X119" s="4">
        <v>405</v>
      </c>
      <c r="Y119" s="4">
        <v>12</v>
      </c>
      <c r="AA119" s="4" t="s">
        <v>50</v>
      </c>
      <c r="AB119" s="4">
        <v>440</v>
      </c>
      <c r="AC119" s="4" t="s">
        <v>49</v>
      </c>
      <c r="AD119" s="4">
        <v>0</v>
      </c>
      <c r="AE119" s="4" t="s">
        <v>49</v>
      </c>
      <c r="AF119" s="4">
        <v>0</v>
      </c>
      <c r="AG119" s="4" t="s">
        <v>738</v>
      </c>
      <c r="AH119" s="4" t="s">
        <v>737</v>
      </c>
      <c r="AI119" s="4" t="s">
        <v>78</v>
      </c>
      <c r="AJ119" s="13">
        <v>0</v>
      </c>
      <c r="AK119" s="13">
        <v>20</v>
      </c>
      <c r="AM119" s="13" t="s">
        <v>480</v>
      </c>
      <c r="AP119" s="13" t="s">
        <v>49</v>
      </c>
      <c r="AQ119" s="13" t="s">
        <v>49</v>
      </c>
      <c r="AR119" s="13" t="s">
        <v>50</v>
      </c>
      <c r="AS119" s="13" t="s">
        <v>50</v>
      </c>
      <c r="AT119" s="13" t="s">
        <v>992</v>
      </c>
      <c r="AU119" s="4" t="s">
        <v>1000</v>
      </c>
      <c r="AV119" s="14">
        <v>1.17</v>
      </c>
      <c r="AW119" s="14">
        <v>1.1399999999999999</v>
      </c>
      <c r="AX119" s="14">
        <f>Table1347456[[#This Row],[treatment_mean]]/Table1347456[[#This Row],[control_mean]]</f>
        <v>1.0263157894736843</v>
      </c>
      <c r="AY119" s="14">
        <f>LN(Table1347456[[#This Row],[rr]])</f>
        <v>2.5975486403260736E-2</v>
      </c>
      <c r="AZ119" s="13">
        <v>3</v>
      </c>
      <c r="BA119" s="13">
        <v>3</v>
      </c>
      <c r="BB119" s="14">
        <v>0.02</v>
      </c>
      <c r="BC119" s="14">
        <v>0.03</v>
      </c>
      <c r="BD119" s="15">
        <f>Table1347456[[#This Row],[treatment_se]]*SQRT(Table1347456[[#This Row],[treatment_n]])</f>
        <v>3.4641016151377546E-2</v>
      </c>
      <c r="BE119" s="14">
        <f>Table1347456[[#This Row],[control_se]]*SQRT(Table1347456[[#This Row],[control_n]])</f>
        <v>5.1961524227066312E-2</v>
      </c>
      <c r="BF11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9.8472619603381722E-4</v>
      </c>
      <c r="BG119" s="17">
        <f>SQRT(Table1347456[[#This Row],[v_from_sd_and_n]])</f>
        <v>3.1380347289885389E-2</v>
      </c>
      <c r="BH119" s="13" t="s">
        <v>50</v>
      </c>
      <c r="BI119" s="13">
        <v>2.5000000000000001E-2</v>
      </c>
      <c r="BJ119" s="18">
        <f>ABS(_xlfn.NORM.S.INV(Table1347456[[#This Row],[p_value]]/2))</f>
        <v>2.2414027276049446</v>
      </c>
      <c r="BK119" s="19">
        <f>(Table1347456[[#This Row],[lnrr]]/Table1347456[[#This Row],[z_from_p]])^2</f>
        <v>1.3430357868966848E-4</v>
      </c>
      <c r="BL119" s="16">
        <f>Table1347456[[#This Row],[v_from_sd_and_n]]</f>
        <v>9.8472619603381722E-4</v>
      </c>
      <c r="BM119" s="20">
        <f>SQRT(Table1347456[[#This Row],[v]])</f>
        <v>3.1380347289885389E-2</v>
      </c>
      <c r="BN119" s="20">
        <f>Table1347456[[#This Row],[lnrr]]-(1.96*Table1347456[[#This Row],[se]])</f>
        <v>-3.5529994284914629E-2</v>
      </c>
      <c r="BO119" s="20">
        <f>Table1347456[[#This Row],[lnrr]]+(1.96 * Table1347456[[#This Row],[se]])</f>
        <v>8.7480967091436102E-2</v>
      </c>
    </row>
    <row r="120" spans="1:67">
      <c r="A120" s="13" t="s">
        <v>113</v>
      </c>
      <c r="B120" s="13" t="s">
        <v>114</v>
      </c>
      <c r="C120" s="13" t="s">
        <v>43</v>
      </c>
      <c r="D120" s="13" t="s">
        <v>90</v>
      </c>
      <c r="E120" s="13" t="s">
        <v>91</v>
      </c>
      <c r="F120" s="13" t="s">
        <v>587</v>
      </c>
      <c r="G120" s="13" t="s">
        <v>92</v>
      </c>
      <c r="H120" s="13">
        <v>13.9</v>
      </c>
      <c r="I120" s="13">
        <v>615</v>
      </c>
      <c r="K120" s="13" t="s">
        <v>825</v>
      </c>
      <c r="L120" s="13" t="s">
        <v>826</v>
      </c>
      <c r="N120" s="13" t="s">
        <v>53</v>
      </c>
      <c r="O120" s="13" t="s">
        <v>54</v>
      </c>
      <c r="P120" s="13" t="s">
        <v>48</v>
      </c>
      <c r="Q120" s="13" t="s">
        <v>48</v>
      </c>
      <c r="R120" s="4">
        <v>3</v>
      </c>
      <c r="S120" s="13" t="s">
        <v>594</v>
      </c>
      <c r="T120" s="13">
        <v>300</v>
      </c>
      <c r="U120" s="4" t="s">
        <v>93</v>
      </c>
      <c r="V120" s="4">
        <v>450</v>
      </c>
      <c r="W120" s="4" t="s">
        <v>601</v>
      </c>
      <c r="X120" s="4">
        <v>405</v>
      </c>
      <c r="Y120" s="4">
        <v>3</v>
      </c>
      <c r="AA120" s="4" t="s">
        <v>50</v>
      </c>
      <c r="AB120" s="4">
        <v>440</v>
      </c>
      <c r="AC120" s="4" t="s">
        <v>49</v>
      </c>
      <c r="AD120" s="4">
        <v>0</v>
      </c>
      <c r="AE120" s="4" t="s">
        <v>49</v>
      </c>
      <c r="AF120" s="4">
        <v>0</v>
      </c>
      <c r="AG120" s="4" t="s">
        <v>738</v>
      </c>
      <c r="AH120" s="4" t="s">
        <v>737</v>
      </c>
      <c r="AI120" s="4" t="s">
        <v>78</v>
      </c>
      <c r="AJ120" s="13">
        <v>0</v>
      </c>
      <c r="AK120" s="13">
        <v>20</v>
      </c>
      <c r="AM120" s="13" t="s">
        <v>480</v>
      </c>
      <c r="AP120" s="13" t="s">
        <v>49</v>
      </c>
      <c r="AQ120" s="13" t="s">
        <v>49</v>
      </c>
      <c r="AR120" s="13" t="s">
        <v>50</v>
      </c>
      <c r="AS120" s="13" t="s">
        <v>50</v>
      </c>
      <c r="AT120" s="13" t="s">
        <v>992</v>
      </c>
      <c r="AU120" s="4" t="s">
        <v>1000</v>
      </c>
      <c r="AV120" s="14">
        <v>2.08</v>
      </c>
      <c r="AW120" s="14">
        <v>1.94</v>
      </c>
      <c r="AX120" s="14">
        <f>Table1347456[[#This Row],[treatment_mean]]/Table1347456[[#This Row],[control_mean]]</f>
        <v>1.0721649484536082</v>
      </c>
      <c r="AY120" s="14">
        <f>LN(Table1347456[[#This Row],[rr]])</f>
        <v>6.9679920637989806E-2</v>
      </c>
      <c r="AZ120" s="13">
        <v>3</v>
      </c>
      <c r="BA120" s="13">
        <v>3</v>
      </c>
      <c r="BB120" s="14">
        <v>0.06</v>
      </c>
      <c r="BC120" s="14">
        <v>0.08</v>
      </c>
      <c r="BD120" s="15">
        <f>Table1347456[[#This Row],[treatment_se]]*SQRT(Table1347456[[#This Row],[treatment_n]])</f>
        <v>0.10392304845413262</v>
      </c>
      <c r="BE120" s="14">
        <f>Table1347456[[#This Row],[control_se]]*SQRT(Table1347456[[#This Row],[control_n]])</f>
        <v>0.13856406460551018</v>
      </c>
      <c r="BF12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2.5326001134504859E-3</v>
      </c>
      <c r="BG120" s="17">
        <f>SQRT(Table1347456[[#This Row],[v_from_sd_and_n]])</f>
        <v>5.0324945240412193E-2</v>
      </c>
      <c r="BH120" s="13" t="s">
        <v>50</v>
      </c>
      <c r="BI120" s="13">
        <v>2.5000000000000001E-2</v>
      </c>
      <c r="BJ120" s="18">
        <f>ABS(_xlfn.NORM.S.INV(Table1347456[[#This Row],[p_value]]/2))</f>
        <v>2.2414027276049446</v>
      </c>
      <c r="BK120" s="19">
        <f>(Table1347456[[#This Row],[lnrr]]/Table1347456[[#This Row],[z_from_p]])^2</f>
        <v>9.6644134820887803E-4</v>
      </c>
      <c r="BL120" s="16">
        <f>Table1347456[[#This Row],[v_from_sd_and_n]]</f>
        <v>2.5326001134504859E-3</v>
      </c>
      <c r="BM120" s="20">
        <f>SQRT(Table1347456[[#This Row],[v]])</f>
        <v>5.0324945240412193E-2</v>
      </c>
      <c r="BN120" s="20">
        <f>Table1347456[[#This Row],[lnrr]]-(1.96*Table1347456[[#This Row],[se]])</f>
        <v>-2.8956972033218092E-2</v>
      </c>
      <c r="BO120" s="20">
        <f>Table1347456[[#This Row],[lnrr]]+(1.96 * Table1347456[[#This Row],[se]])</f>
        <v>0.1683168133091977</v>
      </c>
    </row>
    <row r="121" spans="1:67">
      <c r="A121" s="13" t="s">
        <v>113</v>
      </c>
      <c r="B121" s="13" t="s">
        <v>114</v>
      </c>
      <c r="C121" s="13" t="s">
        <v>43</v>
      </c>
      <c r="D121" s="13" t="s">
        <v>90</v>
      </c>
      <c r="E121" s="13" t="s">
        <v>91</v>
      </c>
      <c r="F121" s="13" t="s">
        <v>587</v>
      </c>
      <c r="G121" s="13" t="s">
        <v>92</v>
      </c>
      <c r="H121" s="13">
        <v>13.9</v>
      </c>
      <c r="I121" s="13">
        <v>615</v>
      </c>
      <c r="K121" s="13" t="s">
        <v>825</v>
      </c>
      <c r="L121" s="13" t="s">
        <v>826</v>
      </c>
      <c r="N121" s="13" t="s">
        <v>53</v>
      </c>
      <c r="O121" s="13" t="s">
        <v>54</v>
      </c>
      <c r="P121" s="13" t="s">
        <v>48</v>
      </c>
      <c r="Q121" s="13" t="s">
        <v>48</v>
      </c>
      <c r="R121" s="4">
        <v>3</v>
      </c>
      <c r="S121" s="13" t="s">
        <v>594</v>
      </c>
      <c r="T121" s="13">
        <v>300</v>
      </c>
      <c r="U121" s="4" t="s">
        <v>93</v>
      </c>
      <c r="V121" s="4">
        <v>450</v>
      </c>
      <c r="W121" s="4" t="s">
        <v>601</v>
      </c>
      <c r="X121" s="4">
        <v>405</v>
      </c>
      <c r="Y121" s="4">
        <v>6</v>
      </c>
      <c r="AA121" s="4" t="s">
        <v>50</v>
      </c>
      <c r="AB121" s="4">
        <v>440</v>
      </c>
      <c r="AC121" s="4" t="s">
        <v>49</v>
      </c>
      <c r="AD121" s="4">
        <v>0</v>
      </c>
      <c r="AE121" s="4" t="s">
        <v>49</v>
      </c>
      <c r="AF121" s="4">
        <v>0</v>
      </c>
      <c r="AG121" s="4" t="s">
        <v>738</v>
      </c>
      <c r="AH121" s="4" t="s">
        <v>737</v>
      </c>
      <c r="AI121" s="4" t="s">
        <v>78</v>
      </c>
      <c r="AJ121" s="13">
        <v>0</v>
      </c>
      <c r="AK121" s="13">
        <v>20</v>
      </c>
      <c r="AM121" s="13" t="s">
        <v>480</v>
      </c>
      <c r="AP121" s="13" t="s">
        <v>49</v>
      </c>
      <c r="AQ121" s="13" t="s">
        <v>49</v>
      </c>
      <c r="AR121" s="13" t="s">
        <v>50</v>
      </c>
      <c r="AS121" s="13" t="s">
        <v>50</v>
      </c>
      <c r="AT121" s="13" t="s">
        <v>992</v>
      </c>
      <c r="AU121" s="4" t="s">
        <v>1000</v>
      </c>
      <c r="AV121" s="14">
        <v>1.93</v>
      </c>
      <c r="AW121" s="14">
        <v>1.94</v>
      </c>
      <c r="AX121" s="14">
        <f>Table1347456[[#This Row],[treatment_mean]]/Table1347456[[#This Row],[control_mean]]</f>
        <v>0.99484536082474229</v>
      </c>
      <c r="AY121" s="14">
        <f>LN(Table1347456[[#This Row],[rr]])</f>
        <v>-5.1679701584425612E-3</v>
      </c>
      <c r="AZ121" s="13">
        <v>3</v>
      </c>
      <c r="BA121" s="13">
        <v>3</v>
      </c>
      <c r="BB121" s="14">
        <v>0.03</v>
      </c>
      <c r="BC121" s="14">
        <v>0.08</v>
      </c>
      <c r="BD121" s="15">
        <f>Table1347456[[#This Row],[treatment_se]]*SQRT(Table1347456[[#This Row],[treatment_n]])</f>
        <v>5.1961524227066312E-2</v>
      </c>
      <c r="BE121" s="14">
        <f>Table1347456[[#This Row],[control_se]]*SQRT(Table1347456[[#This Row],[control_n]])</f>
        <v>0.13856406460551018</v>
      </c>
      <c r="BF12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1.9421167463579895E-3</v>
      </c>
      <c r="BG121" s="17">
        <f>SQRT(Table1347456[[#This Row],[v_from_sd_and_n]])</f>
        <v>4.4069453665299615E-2</v>
      </c>
      <c r="BH121" s="13" t="s">
        <v>50</v>
      </c>
      <c r="BI121" s="13">
        <v>2.5000000000000001E-2</v>
      </c>
      <c r="BJ121" s="18">
        <f>ABS(_xlfn.NORM.S.INV(Table1347456[[#This Row],[p_value]]/2))</f>
        <v>2.2414027276049446</v>
      </c>
      <c r="BK121" s="19">
        <f>(Table1347456[[#This Row],[lnrr]]/Table1347456[[#This Row],[z_from_p]])^2</f>
        <v>5.3161864267525148E-6</v>
      </c>
      <c r="BL121" s="16">
        <f>Table1347456[[#This Row],[v_from_sd_and_n]]</f>
        <v>1.9421167463579895E-3</v>
      </c>
      <c r="BM121" s="20">
        <f>SQRT(Table1347456[[#This Row],[v]])</f>
        <v>4.4069453665299615E-2</v>
      </c>
      <c r="BN121" s="20">
        <f>Table1347456[[#This Row],[lnrr]]-(1.96*Table1347456[[#This Row],[se]])</f>
        <v>-9.1544099342429797E-2</v>
      </c>
      <c r="BO121" s="20">
        <f>Table1347456[[#This Row],[lnrr]]+(1.96 * Table1347456[[#This Row],[se]])</f>
        <v>8.1208159025544679E-2</v>
      </c>
    </row>
    <row r="122" spans="1:67">
      <c r="A122" s="13" t="s">
        <v>113</v>
      </c>
      <c r="B122" s="13" t="s">
        <v>114</v>
      </c>
      <c r="C122" s="13" t="s">
        <v>43</v>
      </c>
      <c r="D122" s="13" t="s">
        <v>90</v>
      </c>
      <c r="E122" s="13" t="s">
        <v>91</v>
      </c>
      <c r="F122" s="13" t="s">
        <v>587</v>
      </c>
      <c r="G122" s="13" t="s">
        <v>92</v>
      </c>
      <c r="H122" s="13">
        <v>13.9</v>
      </c>
      <c r="I122" s="13">
        <v>615</v>
      </c>
      <c r="K122" s="13" t="s">
        <v>825</v>
      </c>
      <c r="L122" s="13" t="s">
        <v>826</v>
      </c>
      <c r="N122" s="13" t="s">
        <v>53</v>
      </c>
      <c r="O122" s="13" t="s">
        <v>54</v>
      </c>
      <c r="P122" s="13" t="s">
        <v>48</v>
      </c>
      <c r="Q122" s="13" t="s">
        <v>48</v>
      </c>
      <c r="R122" s="4">
        <v>3</v>
      </c>
      <c r="S122" s="13" t="s">
        <v>594</v>
      </c>
      <c r="T122" s="13">
        <v>300</v>
      </c>
      <c r="U122" s="4" t="s">
        <v>93</v>
      </c>
      <c r="V122" s="4">
        <v>450</v>
      </c>
      <c r="W122" s="4" t="s">
        <v>601</v>
      </c>
      <c r="X122" s="4">
        <v>405</v>
      </c>
      <c r="Y122" s="4">
        <v>12</v>
      </c>
      <c r="AA122" s="4" t="s">
        <v>50</v>
      </c>
      <c r="AB122" s="4">
        <v>440</v>
      </c>
      <c r="AC122" s="4" t="s">
        <v>49</v>
      </c>
      <c r="AD122" s="4">
        <v>0</v>
      </c>
      <c r="AE122" s="4" t="s">
        <v>49</v>
      </c>
      <c r="AF122" s="4">
        <v>0</v>
      </c>
      <c r="AG122" s="4" t="s">
        <v>738</v>
      </c>
      <c r="AH122" s="4" t="s">
        <v>737</v>
      </c>
      <c r="AI122" s="4" t="s">
        <v>78</v>
      </c>
      <c r="AJ122" s="13">
        <v>0</v>
      </c>
      <c r="AK122" s="13">
        <v>20</v>
      </c>
      <c r="AM122" s="13" t="s">
        <v>480</v>
      </c>
      <c r="AP122" s="13" t="s">
        <v>49</v>
      </c>
      <c r="AQ122" s="13" t="s">
        <v>49</v>
      </c>
      <c r="AR122" s="13" t="s">
        <v>50</v>
      </c>
      <c r="AS122" s="13" t="s">
        <v>50</v>
      </c>
      <c r="AT122" s="13" t="s">
        <v>992</v>
      </c>
      <c r="AU122" s="4" t="s">
        <v>1000</v>
      </c>
      <c r="AV122" s="14">
        <v>2.3199999999999998</v>
      </c>
      <c r="AW122" s="14">
        <v>1.94</v>
      </c>
      <c r="AX122" s="14">
        <f>Table1347456[[#This Row],[treatment_mean]]/Table1347456[[#This Row],[control_mean]]</f>
        <v>1.1958762886597938</v>
      </c>
      <c r="AY122" s="14">
        <f>LN(Table1347456[[#This Row],[rr]])</f>
        <v>0.17887921260298179</v>
      </c>
      <c r="AZ122" s="13">
        <v>3</v>
      </c>
      <c r="BA122" s="13">
        <v>3</v>
      </c>
      <c r="BB122" s="14">
        <v>0.06</v>
      </c>
      <c r="BC122" s="14">
        <v>0.08</v>
      </c>
      <c r="BD122" s="15">
        <f>Table1347456[[#This Row],[treatment_se]]*SQRT(Table1347456[[#This Row],[treatment_n]])</f>
        <v>0.10392304845413262</v>
      </c>
      <c r="BE122" s="14">
        <f>Table1347456[[#This Row],[control_se]]*SQRT(Table1347456[[#This Row],[control_n]])</f>
        <v>0.13856406460551018</v>
      </c>
      <c r="BF12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2.3693461329116795E-3</v>
      </c>
      <c r="BG122" s="17">
        <f>SQRT(Table1347456[[#This Row],[v_from_sd_and_n]])</f>
        <v>4.8675929707728022E-2</v>
      </c>
      <c r="BH122" s="13" t="s">
        <v>50</v>
      </c>
      <c r="BI122" s="13">
        <v>2.5000000000000001E-2</v>
      </c>
      <c r="BJ122" s="18">
        <f>ABS(_xlfn.NORM.S.INV(Table1347456[[#This Row],[p_value]]/2))</f>
        <v>2.2414027276049446</v>
      </c>
      <c r="BK122" s="19">
        <f>(Table1347456[[#This Row],[lnrr]]/Table1347456[[#This Row],[z_from_p]])^2</f>
        <v>6.3691277048146255E-3</v>
      </c>
      <c r="BL122" s="16">
        <f>Table1347456[[#This Row],[v_from_sd_and_n]]</f>
        <v>2.3693461329116795E-3</v>
      </c>
      <c r="BM122" s="20">
        <f>SQRT(Table1347456[[#This Row],[v]])</f>
        <v>4.8675929707728022E-2</v>
      </c>
      <c r="BN122" s="20">
        <f>Table1347456[[#This Row],[lnrr]]-(1.96*Table1347456[[#This Row],[se]])</f>
        <v>8.3474390375834859E-2</v>
      </c>
      <c r="BO122" s="20">
        <f>Table1347456[[#This Row],[lnrr]]+(1.96 * Table1347456[[#This Row],[se]])</f>
        <v>0.2742840348301287</v>
      </c>
    </row>
    <row r="123" spans="1:67">
      <c r="A123" s="13" t="s">
        <v>113</v>
      </c>
      <c r="B123" s="13" t="s">
        <v>114</v>
      </c>
      <c r="C123" s="13" t="s">
        <v>43</v>
      </c>
      <c r="D123" s="13" t="s">
        <v>90</v>
      </c>
      <c r="E123" s="13" t="s">
        <v>91</v>
      </c>
      <c r="F123" s="13" t="s">
        <v>587</v>
      </c>
      <c r="G123" s="13" t="s">
        <v>92</v>
      </c>
      <c r="H123" s="13">
        <v>13.9</v>
      </c>
      <c r="I123" s="13">
        <v>615</v>
      </c>
      <c r="K123" s="13" t="s">
        <v>825</v>
      </c>
      <c r="L123" s="13" t="s">
        <v>826</v>
      </c>
      <c r="N123" s="13" t="s">
        <v>69</v>
      </c>
      <c r="O123" s="13" t="s">
        <v>70</v>
      </c>
      <c r="P123" s="13" t="s">
        <v>71</v>
      </c>
      <c r="Q123" s="13" t="s">
        <v>71</v>
      </c>
      <c r="R123" s="4">
        <v>3</v>
      </c>
      <c r="S123" s="13" t="s">
        <v>594</v>
      </c>
      <c r="T123" s="13">
        <v>300</v>
      </c>
      <c r="U123" s="4" t="s">
        <v>93</v>
      </c>
      <c r="V123" s="4">
        <v>450</v>
      </c>
      <c r="W123" s="4" t="s">
        <v>601</v>
      </c>
      <c r="X123" s="4">
        <v>405</v>
      </c>
      <c r="Y123" s="4">
        <v>3</v>
      </c>
      <c r="AA123" s="4" t="s">
        <v>50</v>
      </c>
      <c r="AB123" s="4">
        <v>440</v>
      </c>
      <c r="AC123" s="4" t="s">
        <v>49</v>
      </c>
      <c r="AD123" s="4">
        <v>0</v>
      </c>
      <c r="AE123" s="4" t="s">
        <v>49</v>
      </c>
      <c r="AF123" s="4">
        <v>0</v>
      </c>
      <c r="AG123" s="4" t="s">
        <v>738</v>
      </c>
      <c r="AH123" s="4" t="s">
        <v>737</v>
      </c>
      <c r="AI123" s="4" t="s">
        <v>78</v>
      </c>
      <c r="AJ123" s="13">
        <v>0</v>
      </c>
      <c r="AK123" s="13">
        <v>20</v>
      </c>
      <c r="AM123" s="13" t="s">
        <v>480</v>
      </c>
      <c r="AP123" s="13" t="s">
        <v>49</v>
      </c>
      <c r="AQ123" s="13" t="s">
        <v>49</v>
      </c>
      <c r="AR123" s="13" t="s">
        <v>50</v>
      </c>
      <c r="AS123" s="13" t="s">
        <v>50</v>
      </c>
      <c r="AT123" s="13" t="s">
        <v>992</v>
      </c>
      <c r="AU123" s="4" t="s">
        <v>1000</v>
      </c>
      <c r="AV123" s="14">
        <v>0.84</v>
      </c>
      <c r="AW123" s="14">
        <v>1</v>
      </c>
      <c r="AX123" s="14">
        <f>Table1347456[[#This Row],[treatment_mean]]/Table1347456[[#This Row],[control_mean]]</f>
        <v>0.84</v>
      </c>
      <c r="AY123" s="14">
        <f>LN(Table1347456[[#This Row],[rr]])</f>
        <v>-0.1743533871447778</v>
      </c>
      <c r="AZ123" s="13">
        <v>3</v>
      </c>
      <c r="BA123" s="13">
        <v>3</v>
      </c>
      <c r="BB123" s="14">
        <v>0.1</v>
      </c>
      <c r="BC123" s="14">
        <v>7.0000000000000007E-2</v>
      </c>
      <c r="BD123" s="15">
        <f>Table1347456[[#This Row],[treatment_se]]*SQRT(Table1347456[[#This Row],[treatment_n]])</f>
        <v>0.17320508075688773</v>
      </c>
      <c r="BE123" s="14">
        <f>Table1347456[[#This Row],[control_se]]*SQRT(Table1347456[[#This Row],[control_n]])</f>
        <v>0.12124355652982141</v>
      </c>
      <c r="BF12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1.9072335600907032E-2</v>
      </c>
      <c r="BG123" s="17">
        <f>SQRT(Table1347456[[#This Row],[v_from_sd_and_n]])</f>
        <v>0.13810262706012161</v>
      </c>
      <c r="BH123" s="13" t="s">
        <v>50</v>
      </c>
      <c r="BI123" s="13">
        <v>2.5000000000000001E-2</v>
      </c>
      <c r="BJ123" s="18">
        <f>ABS(_xlfn.NORM.S.INV(Table1347456[[#This Row],[p_value]]/2))</f>
        <v>2.2414027276049446</v>
      </c>
      <c r="BK123" s="19">
        <f>(Table1347456[[#This Row],[lnrr]]/Table1347456[[#This Row],[z_from_p]])^2</f>
        <v>6.0509140683985448E-3</v>
      </c>
      <c r="BL123" s="16">
        <f>Table1347456[[#This Row],[v_from_sd_and_n]]</f>
        <v>1.9072335600907032E-2</v>
      </c>
      <c r="BM123" s="20">
        <f>SQRT(Table1347456[[#This Row],[v]])</f>
        <v>0.13810262706012161</v>
      </c>
      <c r="BN123" s="20">
        <f>Table1347456[[#This Row],[lnrr]]-(1.96*Table1347456[[#This Row],[se]])</f>
        <v>-0.44503453618261613</v>
      </c>
      <c r="BO123" s="20">
        <f>Table1347456[[#This Row],[lnrr]]+(1.96 * Table1347456[[#This Row],[se]])</f>
        <v>9.6327761893060554E-2</v>
      </c>
    </row>
    <row r="124" spans="1:67">
      <c r="A124" s="13" t="s">
        <v>113</v>
      </c>
      <c r="B124" s="13" t="s">
        <v>114</v>
      </c>
      <c r="C124" s="13" t="s">
        <v>43</v>
      </c>
      <c r="D124" s="13" t="s">
        <v>90</v>
      </c>
      <c r="E124" s="13" t="s">
        <v>91</v>
      </c>
      <c r="F124" s="13" t="s">
        <v>587</v>
      </c>
      <c r="G124" s="13" t="s">
        <v>92</v>
      </c>
      <c r="H124" s="13">
        <v>13.9</v>
      </c>
      <c r="I124" s="13">
        <v>615</v>
      </c>
      <c r="K124" s="13" t="s">
        <v>825</v>
      </c>
      <c r="L124" s="13" t="s">
        <v>826</v>
      </c>
      <c r="N124" s="13" t="s">
        <v>69</v>
      </c>
      <c r="O124" s="13" t="s">
        <v>70</v>
      </c>
      <c r="P124" s="13" t="s">
        <v>71</v>
      </c>
      <c r="Q124" s="13" t="s">
        <v>71</v>
      </c>
      <c r="R124" s="4">
        <v>3</v>
      </c>
      <c r="S124" s="13" t="s">
        <v>594</v>
      </c>
      <c r="T124" s="13">
        <v>300</v>
      </c>
      <c r="U124" s="4" t="s">
        <v>93</v>
      </c>
      <c r="V124" s="4">
        <v>450</v>
      </c>
      <c r="W124" s="4" t="s">
        <v>601</v>
      </c>
      <c r="X124" s="4">
        <v>405</v>
      </c>
      <c r="Y124" s="4">
        <v>6</v>
      </c>
      <c r="AA124" s="4" t="s">
        <v>50</v>
      </c>
      <c r="AB124" s="4">
        <v>440</v>
      </c>
      <c r="AC124" s="4" t="s">
        <v>49</v>
      </c>
      <c r="AD124" s="4">
        <v>0</v>
      </c>
      <c r="AE124" s="4" t="s">
        <v>49</v>
      </c>
      <c r="AF124" s="4">
        <v>0</v>
      </c>
      <c r="AG124" s="4" t="s">
        <v>738</v>
      </c>
      <c r="AH124" s="4" t="s">
        <v>737</v>
      </c>
      <c r="AI124" s="4" t="s">
        <v>78</v>
      </c>
      <c r="AJ124" s="13">
        <v>0</v>
      </c>
      <c r="AK124" s="13">
        <v>20</v>
      </c>
      <c r="AM124" s="13" t="s">
        <v>480</v>
      </c>
      <c r="AP124" s="13" t="s">
        <v>49</v>
      </c>
      <c r="AQ124" s="13" t="s">
        <v>49</v>
      </c>
      <c r="AR124" s="13" t="s">
        <v>50</v>
      </c>
      <c r="AS124" s="13" t="s">
        <v>50</v>
      </c>
      <c r="AT124" s="13" t="s">
        <v>992</v>
      </c>
      <c r="AU124" s="4" t="s">
        <v>1000</v>
      </c>
      <c r="AV124" s="14">
        <v>0.85</v>
      </c>
      <c r="AW124" s="14">
        <v>1</v>
      </c>
      <c r="AX124" s="14">
        <f>Table1347456[[#This Row],[treatment_mean]]/Table1347456[[#This Row],[control_mean]]</f>
        <v>0.85</v>
      </c>
      <c r="AY124" s="14">
        <f>LN(Table1347456[[#This Row],[rr]])</f>
        <v>-0.16251892949777494</v>
      </c>
      <c r="AZ124" s="13">
        <v>3</v>
      </c>
      <c r="BA124" s="13">
        <v>3</v>
      </c>
      <c r="BB124" s="14">
        <v>0.03</v>
      </c>
      <c r="BC124" s="14">
        <v>7.0000000000000007E-2</v>
      </c>
      <c r="BD124" s="15">
        <f>Table1347456[[#This Row],[treatment_se]]*SQRT(Table1347456[[#This Row],[treatment_n]])</f>
        <v>5.1961524227066312E-2</v>
      </c>
      <c r="BE124" s="14">
        <f>Table1347456[[#This Row],[control_se]]*SQRT(Table1347456[[#This Row],[control_n]])</f>
        <v>0.12124355652982141</v>
      </c>
      <c r="BF12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6.1456747404844293E-3</v>
      </c>
      <c r="BG124" s="17">
        <f>SQRT(Table1347456[[#This Row],[v_from_sd_and_n]])</f>
        <v>7.8394354008974584E-2</v>
      </c>
      <c r="BH124" s="13" t="s">
        <v>50</v>
      </c>
      <c r="BI124" s="13">
        <v>2.5000000000000001E-2</v>
      </c>
      <c r="BJ124" s="18">
        <f>ABS(_xlfn.NORM.S.INV(Table1347456[[#This Row],[p_value]]/2))</f>
        <v>2.2414027276049446</v>
      </c>
      <c r="BK124" s="19">
        <f>(Table1347456[[#This Row],[lnrr]]/Table1347456[[#This Row],[z_from_p]])^2</f>
        <v>5.2573648088989396E-3</v>
      </c>
      <c r="BL124" s="16">
        <f>Table1347456[[#This Row],[v_from_sd_and_n]]</f>
        <v>6.1456747404844293E-3</v>
      </c>
      <c r="BM124" s="20">
        <f>SQRT(Table1347456[[#This Row],[v]])</f>
        <v>7.8394354008974584E-2</v>
      </c>
      <c r="BN124" s="20">
        <f>Table1347456[[#This Row],[lnrr]]-(1.96*Table1347456[[#This Row],[se]])</f>
        <v>-0.31617186335536512</v>
      </c>
      <c r="BO124" s="20">
        <f>Table1347456[[#This Row],[lnrr]]+(1.96 * Table1347456[[#This Row],[se]])</f>
        <v>-8.8659956401847539E-3</v>
      </c>
    </row>
    <row r="125" spans="1:67">
      <c r="A125" s="13" t="s">
        <v>113</v>
      </c>
      <c r="B125" s="13" t="s">
        <v>114</v>
      </c>
      <c r="C125" s="13" t="s">
        <v>43</v>
      </c>
      <c r="D125" s="13" t="s">
        <v>90</v>
      </c>
      <c r="E125" s="13" t="s">
        <v>91</v>
      </c>
      <c r="F125" s="13" t="s">
        <v>587</v>
      </c>
      <c r="G125" s="13" t="s">
        <v>92</v>
      </c>
      <c r="H125" s="13">
        <v>13.9</v>
      </c>
      <c r="I125" s="13">
        <v>615</v>
      </c>
      <c r="K125" s="13" t="s">
        <v>825</v>
      </c>
      <c r="L125" s="13" t="s">
        <v>826</v>
      </c>
      <c r="N125" s="13" t="s">
        <v>69</v>
      </c>
      <c r="O125" s="13" t="s">
        <v>70</v>
      </c>
      <c r="P125" s="13" t="s">
        <v>71</v>
      </c>
      <c r="Q125" s="13" t="s">
        <v>71</v>
      </c>
      <c r="R125" s="4">
        <v>3</v>
      </c>
      <c r="S125" s="13" t="s">
        <v>594</v>
      </c>
      <c r="T125" s="13">
        <v>300</v>
      </c>
      <c r="U125" s="4" t="s">
        <v>93</v>
      </c>
      <c r="V125" s="4">
        <v>450</v>
      </c>
      <c r="W125" s="4" t="s">
        <v>601</v>
      </c>
      <c r="X125" s="4">
        <v>405</v>
      </c>
      <c r="Y125" s="4">
        <v>12</v>
      </c>
      <c r="AA125" s="4" t="s">
        <v>50</v>
      </c>
      <c r="AB125" s="4">
        <v>440</v>
      </c>
      <c r="AC125" s="4" t="s">
        <v>49</v>
      </c>
      <c r="AD125" s="4">
        <v>0</v>
      </c>
      <c r="AE125" s="4" t="s">
        <v>49</v>
      </c>
      <c r="AF125" s="4">
        <v>0</v>
      </c>
      <c r="AG125" s="4" t="s">
        <v>738</v>
      </c>
      <c r="AH125" s="4" t="s">
        <v>737</v>
      </c>
      <c r="AI125" s="4" t="s">
        <v>78</v>
      </c>
      <c r="AJ125" s="13">
        <v>0</v>
      </c>
      <c r="AK125" s="13">
        <v>20</v>
      </c>
      <c r="AM125" s="13" t="s">
        <v>480</v>
      </c>
      <c r="AP125" s="13" t="s">
        <v>49</v>
      </c>
      <c r="AQ125" s="13" t="s">
        <v>49</v>
      </c>
      <c r="AR125" s="13" t="s">
        <v>50</v>
      </c>
      <c r="AS125" s="13" t="s">
        <v>50</v>
      </c>
      <c r="AT125" s="13" t="s">
        <v>992</v>
      </c>
      <c r="AU125" s="4" t="s">
        <v>1000</v>
      </c>
      <c r="AV125" s="14">
        <v>0.81</v>
      </c>
      <c r="AW125" s="14">
        <v>1</v>
      </c>
      <c r="AX125" s="14">
        <f>Table1347456[[#This Row],[treatment_mean]]/Table1347456[[#This Row],[control_mean]]</f>
        <v>0.81</v>
      </c>
      <c r="AY125" s="14">
        <f>LN(Table1347456[[#This Row],[rr]])</f>
        <v>-0.21072103131565253</v>
      </c>
      <c r="AZ125" s="13">
        <v>3</v>
      </c>
      <c r="BA125" s="13">
        <v>3</v>
      </c>
      <c r="BB125" s="14">
        <v>0.15</v>
      </c>
      <c r="BC125" s="14">
        <v>7.0000000000000007E-2</v>
      </c>
      <c r="BD125" s="15">
        <f>Table1347456[[#This Row],[treatment_se]]*SQRT(Table1347456[[#This Row],[treatment_n]])</f>
        <v>0.25980762113533157</v>
      </c>
      <c r="BE125" s="14">
        <f>Table1347456[[#This Row],[control_se]]*SQRT(Table1347456[[#This Row],[control_n]])</f>
        <v>0.12124355652982141</v>
      </c>
      <c r="BF12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3.9193552812071319E-2</v>
      </c>
      <c r="BG125" s="17">
        <f>SQRT(Table1347456[[#This Row],[v_from_sd_and_n]])</f>
        <v>0.19797361645449457</v>
      </c>
      <c r="BH125" s="13" t="s">
        <v>50</v>
      </c>
      <c r="BI125" s="13">
        <v>2.5000000000000001E-2</v>
      </c>
      <c r="BJ125" s="18">
        <f>ABS(_xlfn.NORM.S.INV(Table1347456[[#This Row],[p_value]]/2))</f>
        <v>2.2414027276049446</v>
      </c>
      <c r="BK125" s="19">
        <f>(Table1347456[[#This Row],[lnrr]]/Table1347456[[#This Row],[z_from_p]])^2</f>
        <v>8.8384472464461752E-3</v>
      </c>
      <c r="BL125" s="16">
        <f>Table1347456[[#This Row],[v_from_sd_and_n]]</f>
        <v>3.9193552812071319E-2</v>
      </c>
      <c r="BM125" s="20">
        <f>SQRT(Table1347456[[#This Row],[v]])</f>
        <v>0.19797361645449457</v>
      </c>
      <c r="BN125" s="20">
        <f>Table1347456[[#This Row],[lnrr]]-(1.96*Table1347456[[#This Row],[se]])</f>
        <v>-0.59874931956646193</v>
      </c>
      <c r="BO125" s="20">
        <f>Table1347456[[#This Row],[lnrr]]+(1.96 * Table1347456[[#This Row],[se]])</f>
        <v>0.17730725693515684</v>
      </c>
    </row>
    <row r="126" spans="1:67">
      <c r="A126" s="13" t="s">
        <v>113</v>
      </c>
      <c r="B126" s="13" t="s">
        <v>114</v>
      </c>
      <c r="C126" s="13" t="s">
        <v>43</v>
      </c>
      <c r="D126" s="13" t="s">
        <v>90</v>
      </c>
      <c r="E126" s="13" t="s">
        <v>91</v>
      </c>
      <c r="F126" s="13" t="s">
        <v>587</v>
      </c>
      <c r="G126" s="13" t="s">
        <v>92</v>
      </c>
      <c r="H126" s="13">
        <v>13.9</v>
      </c>
      <c r="I126" s="13">
        <v>615</v>
      </c>
      <c r="K126" s="13" t="s">
        <v>825</v>
      </c>
      <c r="L126" s="13" t="s">
        <v>826</v>
      </c>
      <c r="N126" s="13" t="s">
        <v>69</v>
      </c>
      <c r="O126" s="13" t="s">
        <v>70</v>
      </c>
      <c r="P126" s="13" t="s">
        <v>71</v>
      </c>
      <c r="Q126" s="13" t="s">
        <v>71</v>
      </c>
      <c r="R126" s="4">
        <v>3</v>
      </c>
      <c r="S126" s="13" t="s">
        <v>594</v>
      </c>
      <c r="T126" s="13">
        <v>300</v>
      </c>
      <c r="U126" s="4" t="s">
        <v>93</v>
      </c>
      <c r="V126" s="4">
        <v>450</v>
      </c>
      <c r="W126" s="4" t="s">
        <v>601</v>
      </c>
      <c r="X126" s="4">
        <v>405</v>
      </c>
      <c r="Y126" s="4">
        <v>3</v>
      </c>
      <c r="AA126" s="4" t="s">
        <v>50</v>
      </c>
      <c r="AB126" s="4">
        <v>440</v>
      </c>
      <c r="AC126" s="4" t="s">
        <v>49</v>
      </c>
      <c r="AD126" s="4">
        <v>0</v>
      </c>
      <c r="AE126" s="4" t="s">
        <v>49</v>
      </c>
      <c r="AF126" s="4">
        <v>0</v>
      </c>
      <c r="AG126" s="4" t="s">
        <v>738</v>
      </c>
      <c r="AH126" s="4" t="s">
        <v>737</v>
      </c>
      <c r="AI126" s="4" t="s">
        <v>78</v>
      </c>
      <c r="AJ126" s="13">
        <v>0</v>
      </c>
      <c r="AK126" s="13">
        <v>20</v>
      </c>
      <c r="AM126" s="13" t="s">
        <v>480</v>
      </c>
      <c r="AP126" s="13" t="s">
        <v>49</v>
      </c>
      <c r="AQ126" s="13" t="s">
        <v>49</v>
      </c>
      <c r="AR126" s="13" t="s">
        <v>50</v>
      </c>
      <c r="AS126" s="13" t="s">
        <v>50</v>
      </c>
      <c r="AT126" s="13" t="s">
        <v>992</v>
      </c>
      <c r="AU126" s="4" t="s">
        <v>1000</v>
      </c>
      <c r="AV126" s="14">
        <v>1.3</v>
      </c>
      <c r="AW126" s="14">
        <v>1.39</v>
      </c>
      <c r="AX126" s="14">
        <f>Table1347456[[#This Row],[treatment_mean]]/Table1347456[[#This Row],[control_mean]]</f>
        <v>0.93525179856115115</v>
      </c>
      <c r="AY126" s="14">
        <f>LN(Table1347456[[#This Row],[rr]])</f>
        <v>-6.6939482675109269E-2</v>
      </c>
      <c r="AZ126" s="13">
        <v>3</v>
      </c>
      <c r="BA126" s="13">
        <v>3</v>
      </c>
      <c r="BB126" s="14">
        <v>0.04</v>
      </c>
      <c r="BC126" s="14">
        <v>0.02</v>
      </c>
      <c r="BD126" s="15">
        <f>Table1347456[[#This Row],[treatment_se]]*SQRT(Table1347456[[#This Row],[treatment_n]])</f>
        <v>6.9282032302755092E-2</v>
      </c>
      <c r="BE126" s="14">
        <f>Table1347456[[#This Row],[control_se]]*SQRT(Table1347456[[#This Row],[control_n]])</f>
        <v>3.4641016151377546E-2</v>
      </c>
      <c r="BF12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1.1537741838371285E-3</v>
      </c>
      <c r="BG126" s="17">
        <f>SQRT(Table1347456[[#This Row],[v_from_sd_and_n]])</f>
        <v>3.3967251637969306E-2</v>
      </c>
      <c r="BH126" s="13" t="s">
        <v>50</v>
      </c>
      <c r="BI126" s="13">
        <v>2.5000000000000001E-2</v>
      </c>
      <c r="BJ126" s="18">
        <f>ABS(_xlfn.NORM.S.INV(Table1347456[[#This Row],[p_value]]/2))</f>
        <v>2.2414027276049446</v>
      </c>
      <c r="BK126" s="19">
        <f>(Table1347456[[#This Row],[lnrr]]/Table1347456[[#This Row],[z_from_p]])^2</f>
        <v>8.9191796424953568E-4</v>
      </c>
      <c r="BL126" s="16">
        <f>Table1347456[[#This Row],[v_from_sd_and_n]]</f>
        <v>1.1537741838371285E-3</v>
      </c>
      <c r="BM126" s="20">
        <f>SQRT(Table1347456[[#This Row],[v]])</f>
        <v>3.3967251637969306E-2</v>
      </c>
      <c r="BN126" s="20">
        <f>Table1347456[[#This Row],[lnrr]]-(1.96*Table1347456[[#This Row],[se]])</f>
        <v>-0.13351529588552913</v>
      </c>
      <c r="BO126" s="20">
        <f>Table1347456[[#This Row],[lnrr]]+(1.96 * Table1347456[[#This Row],[se]])</f>
        <v>-3.6366946468942285E-4</v>
      </c>
    </row>
    <row r="127" spans="1:67">
      <c r="A127" s="13" t="s">
        <v>113</v>
      </c>
      <c r="B127" s="13" t="s">
        <v>114</v>
      </c>
      <c r="C127" s="13" t="s">
        <v>43</v>
      </c>
      <c r="D127" s="13" t="s">
        <v>90</v>
      </c>
      <c r="E127" s="13" t="s">
        <v>91</v>
      </c>
      <c r="F127" s="13" t="s">
        <v>587</v>
      </c>
      <c r="G127" s="13" t="s">
        <v>92</v>
      </c>
      <c r="H127" s="13">
        <v>13.9</v>
      </c>
      <c r="I127" s="13">
        <v>615</v>
      </c>
      <c r="K127" s="13" t="s">
        <v>825</v>
      </c>
      <c r="L127" s="13" t="s">
        <v>826</v>
      </c>
      <c r="N127" s="13" t="s">
        <v>69</v>
      </c>
      <c r="O127" s="13" t="s">
        <v>70</v>
      </c>
      <c r="P127" s="13" t="s">
        <v>71</v>
      </c>
      <c r="Q127" s="13" t="s">
        <v>71</v>
      </c>
      <c r="R127" s="4">
        <v>3</v>
      </c>
      <c r="S127" s="13" t="s">
        <v>594</v>
      </c>
      <c r="T127" s="13">
        <v>300</v>
      </c>
      <c r="U127" s="4" t="s">
        <v>93</v>
      </c>
      <c r="V127" s="4">
        <v>450</v>
      </c>
      <c r="W127" s="4" t="s">
        <v>601</v>
      </c>
      <c r="X127" s="4">
        <v>405</v>
      </c>
      <c r="Y127" s="4">
        <v>6</v>
      </c>
      <c r="AA127" s="4" t="s">
        <v>50</v>
      </c>
      <c r="AB127" s="4">
        <v>440</v>
      </c>
      <c r="AC127" s="4" t="s">
        <v>49</v>
      </c>
      <c r="AD127" s="4">
        <v>0</v>
      </c>
      <c r="AE127" s="4" t="s">
        <v>49</v>
      </c>
      <c r="AF127" s="4">
        <v>0</v>
      </c>
      <c r="AG127" s="4" t="s">
        <v>738</v>
      </c>
      <c r="AH127" s="4" t="s">
        <v>737</v>
      </c>
      <c r="AI127" s="4" t="s">
        <v>78</v>
      </c>
      <c r="AJ127" s="13">
        <v>0</v>
      </c>
      <c r="AK127" s="13">
        <v>20</v>
      </c>
      <c r="AM127" s="13" t="s">
        <v>480</v>
      </c>
      <c r="AP127" s="13" t="s">
        <v>49</v>
      </c>
      <c r="AQ127" s="13" t="s">
        <v>49</v>
      </c>
      <c r="AR127" s="13" t="s">
        <v>50</v>
      </c>
      <c r="AS127" s="13" t="s">
        <v>50</v>
      </c>
      <c r="AT127" s="13" t="s">
        <v>992</v>
      </c>
      <c r="AU127" s="4" t="s">
        <v>1000</v>
      </c>
      <c r="AV127" s="14">
        <v>1.35</v>
      </c>
      <c r="AW127" s="14">
        <v>1.39</v>
      </c>
      <c r="AX127" s="14">
        <f>Table1347456[[#This Row],[treatment_mean]]/Table1347456[[#This Row],[control_mean]]</f>
        <v>0.97122302158273399</v>
      </c>
      <c r="AY127" s="14">
        <f>LN(Table1347456[[#This Row],[rr]])</f>
        <v>-2.9199154692262124E-2</v>
      </c>
      <c r="AZ127" s="13">
        <v>3</v>
      </c>
      <c r="BA127" s="13">
        <v>3</v>
      </c>
      <c r="BB127" s="14">
        <v>7.0000000000000007E-2</v>
      </c>
      <c r="BC127" s="14">
        <v>0.02</v>
      </c>
      <c r="BD127" s="15">
        <f>Table1347456[[#This Row],[treatment_se]]*SQRT(Table1347456[[#This Row],[treatment_n]])</f>
        <v>0.12124355652982141</v>
      </c>
      <c r="BE127" s="14">
        <f>Table1347456[[#This Row],[control_se]]*SQRT(Table1347456[[#This Row],[control_n]])</f>
        <v>3.4641016151377546E-2</v>
      </c>
      <c r="BF12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2.8956431621733432E-3</v>
      </c>
      <c r="BG127" s="17">
        <f>SQRT(Table1347456[[#This Row],[v_from_sd_and_n]])</f>
        <v>5.3811180642811984E-2</v>
      </c>
      <c r="BH127" s="13" t="s">
        <v>50</v>
      </c>
      <c r="BI127" s="13">
        <v>2.5000000000000001E-2</v>
      </c>
      <c r="BJ127" s="18">
        <f>ABS(_xlfn.NORM.S.INV(Table1347456[[#This Row],[p_value]]/2))</f>
        <v>2.2414027276049446</v>
      </c>
      <c r="BK127" s="19">
        <f>(Table1347456[[#This Row],[lnrr]]/Table1347456[[#This Row],[z_from_p]])^2</f>
        <v>1.6970739442613388E-4</v>
      </c>
      <c r="BL127" s="16">
        <f>Table1347456[[#This Row],[v_from_sd_and_n]]</f>
        <v>2.8956431621733432E-3</v>
      </c>
      <c r="BM127" s="20">
        <f>SQRT(Table1347456[[#This Row],[v]])</f>
        <v>5.3811180642811984E-2</v>
      </c>
      <c r="BN127" s="20">
        <f>Table1347456[[#This Row],[lnrr]]-(1.96*Table1347456[[#This Row],[se]])</f>
        <v>-0.1346690687521736</v>
      </c>
      <c r="BO127" s="20">
        <f>Table1347456[[#This Row],[lnrr]]+(1.96 * Table1347456[[#This Row],[se]])</f>
        <v>7.6270759367649363E-2</v>
      </c>
    </row>
    <row r="128" spans="1:67">
      <c r="A128" s="13" t="s">
        <v>113</v>
      </c>
      <c r="B128" s="13" t="s">
        <v>114</v>
      </c>
      <c r="C128" s="13" t="s">
        <v>43</v>
      </c>
      <c r="D128" s="13" t="s">
        <v>90</v>
      </c>
      <c r="E128" s="13" t="s">
        <v>91</v>
      </c>
      <c r="F128" s="13" t="s">
        <v>587</v>
      </c>
      <c r="G128" s="13" t="s">
        <v>92</v>
      </c>
      <c r="H128" s="13">
        <v>13.9</v>
      </c>
      <c r="I128" s="13">
        <v>615</v>
      </c>
      <c r="K128" s="13" t="s">
        <v>825</v>
      </c>
      <c r="L128" s="13" t="s">
        <v>826</v>
      </c>
      <c r="N128" s="13" t="s">
        <v>69</v>
      </c>
      <c r="O128" s="13" t="s">
        <v>70</v>
      </c>
      <c r="P128" s="13" t="s">
        <v>71</v>
      </c>
      <c r="Q128" s="13" t="s">
        <v>71</v>
      </c>
      <c r="R128" s="4">
        <v>3</v>
      </c>
      <c r="S128" s="13" t="s">
        <v>594</v>
      </c>
      <c r="T128" s="13">
        <v>300</v>
      </c>
      <c r="U128" s="4" t="s">
        <v>93</v>
      </c>
      <c r="V128" s="4">
        <v>450</v>
      </c>
      <c r="W128" s="4" t="s">
        <v>601</v>
      </c>
      <c r="X128" s="4">
        <v>405</v>
      </c>
      <c r="Y128" s="4">
        <v>12</v>
      </c>
      <c r="AA128" s="4" t="s">
        <v>50</v>
      </c>
      <c r="AB128" s="4">
        <v>440</v>
      </c>
      <c r="AC128" s="4" t="s">
        <v>49</v>
      </c>
      <c r="AD128" s="4">
        <v>0</v>
      </c>
      <c r="AE128" s="4" t="s">
        <v>49</v>
      </c>
      <c r="AF128" s="4">
        <v>0</v>
      </c>
      <c r="AG128" s="4" t="s">
        <v>738</v>
      </c>
      <c r="AH128" s="4" t="s">
        <v>737</v>
      </c>
      <c r="AI128" s="4" t="s">
        <v>78</v>
      </c>
      <c r="AJ128" s="13">
        <v>0</v>
      </c>
      <c r="AK128" s="13">
        <v>20</v>
      </c>
      <c r="AM128" s="13" t="s">
        <v>480</v>
      </c>
      <c r="AP128" s="13" t="s">
        <v>49</v>
      </c>
      <c r="AQ128" s="13" t="s">
        <v>49</v>
      </c>
      <c r="AR128" s="13" t="s">
        <v>50</v>
      </c>
      <c r="AS128" s="13" t="s">
        <v>50</v>
      </c>
      <c r="AT128" s="13" t="s">
        <v>992</v>
      </c>
      <c r="AU128" s="4" t="s">
        <v>1000</v>
      </c>
      <c r="AV128" s="14">
        <v>1.31</v>
      </c>
      <c r="AW128" s="14">
        <v>1.39</v>
      </c>
      <c r="AX128" s="14">
        <f>Table1347456[[#This Row],[treatment_mean]]/Table1347456[[#This Row],[control_mean]]</f>
        <v>0.94244604316546776</v>
      </c>
      <c r="AY128" s="14">
        <f>LN(Table1347456[[#This Row],[rr]])</f>
        <v>-5.9276609929540071E-2</v>
      </c>
      <c r="AZ128" s="13">
        <v>3</v>
      </c>
      <c r="BA128" s="13">
        <v>3</v>
      </c>
      <c r="BB128" s="14">
        <v>7.0000000000000007E-2</v>
      </c>
      <c r="BC128" s="14">
        <v>0.02</v>
      </c>
      <c r="BD128" s="15">
        <f>Table1347456[[#This Row],[treatment_se]]*SQRT(Table1347456[[#This Row],[treatment_n]])</f>
        <v>0.12124355652982141</v>
      </c>
      <c r="BE128" s="14">
        <f>Table1347456[[#This Row],[control_se]]*SQRT(Table1347456[[#This Row],[control_n]])</f>
        <v>3.4641016151377546E-2</v>
      </c>
      <c r="BF12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3.0623400837429624E-3</v>
      </c>
      <c r="BG128" s="17">
        <f>SQRT(Table1347456[[#This Row],[v_from_sd_and_n]])</f>
        <v>5.5338414178064073E-2</v>
      </c>
      <c r="BH128" s="13" t="s">
        <v>50</v>
      </c>
      <c r="BI128" s="13">
        <v>2.5000000000000001E-2</v>
      </c>
      <c r="BJ128" s="18">
        <f>ABS(_xlfn.NORM.S.INV(Table1347456[[#This Row],[p_value]]/2))</f>
        <v>2.2414027276049446</v>
      </c>
      <c r="BK128" s="19">
        <f>(Table1347456[[#This Row],[lnrr]]/Table1347456[[#This Row],[z_from_p]])^2</f>
        <v>6.9940208709561209E-4</v>
      </c>
      <c r="BL128" s="16">
        <f>Table1347456[[#This Row],[v_from_sd_and_n]]</f>
        <v>3.0623400837429624E-3</v>
      </c>
      <c r="BM128" s="20">
        <f>SQRT(Table1347456[[#This Row],[v]])</f>
        <v>5.5338414178064073E-2</v>
      </c>
      <c r="BN128" s="20">
        <f>Table1347456[[#This Row],[lnrr]]-(1.96*Table1347456[[#This Row],[se]])</f>
        <v>-0.16773990171854566</v>
      </c>
      <c r="BO128" s="20">
        <f>Table1347456[[#This Row],[lnrr]]+(1.96 * Table1347456[[#This Row],[se]])</f>
        <v>4.9186681859465516E-2</v>
      </c>
    </row>
    <row r="129" spans="1:67">
      <c r="A129" s="13" t="s">
        <v>113</v>
      </c>
      <c r="B129" s="13" t="s">
        <v>114</v>
      </c>
      <c r="C129" s="13" t="s">
        <v>43</v>
      </c>
      <c r="D129" s="13" t="s">
        <v>90</v>
      </c>
      <c r="E129" s="13" t="s">
        <v>91</v>
      </c>
      <c r="F129" s="13" t="s">
        <v>587</v>
      </c>
      <c r="G129" s="13" t="s">
        <v>92</v>
      </c>
      <c r="H129" s="13">
        <v>13.9</v>
      </c>
      <c r="I129" s="13">
        <v>615</v>
      </c>
      <c r="K129" s="13" t="s">
        <v>825</v>
      </c>
      <c r="L129" s="13" t="s">
        <v>826</v>
      </c>
      <c r="N129" s="13" t="s">
        <v>66</v>
      </c>
      <c r="O129" s="13" t="s">
        <v>67</v>
      </c>
      <c r="P129" s="13" t="s">
        <v>71</v>
      </c>
      <c r="Q129" s="13" t="s">
        <v>48</v>
      </c>
      <c r="R129" s="4">
        <v>3</v>
      </c>
      <c r="S129" s="13" t="s">
        <v>594</v>
      </c>
      <c r="T129" s="13">
        <v>300</v>
      </c>
      <c r="U129" s="4" t="s">
        <v>93</v>
      </c>
      <c r="V129" s="4">
        <v>450</v>
      </c>
      <c r="W129" s="4" t="s">
        <v>601</v>
      </c>
      <c r="X129" s="4">
        <v>405</v>
      </c>
      <c r="Y129" s="4">
        <v>3</v>
      </c>
      <c r="AA129" s="4" t="s">
        <v>50</v>
      </c>
      <c r="AB129" s="4">
        <v>440</v>
      </c>
      <c r="AC129" s="4" t="s">
        <v>49</v>
      </c>
      <c r="AD129" s="4">
        <v>0</v>
      </c>
      <c r="AE129" s="4" t="s">
        <v>49</v>
      </c>
      <c r="AF129" s="4">
        <v>0</v>
      </c>
      <c r="AG129" s="4" t="s">
        <v>738</v>
      </c>
      <c r="AH129" s="4" t="s">
        <v>737</v>
      </c>
      <c r="AI129" s="4" t="s">
        <v>78</v>
      </c>
      <c r="AJ129" s="13">
        <v>0</v>
      </c>
      <c r="AK129" s="13">
        <v>20</v>
      </c>
      <c r="AM129" s="13" t="s">
        <v>480</v>
      </c>
      <c r="AP129" s="13" t="s">
        <v>49</v>
      </c>
      <c r="AQ129" s="13" t="s">
        <v>49</v>
      </c>
      <c r="AR129" s="13" t="s">
        <v>50</v>
      </c>
      <c r="AS129" s="13" t="s">
        <v>50</v>
      </c>
      <c r="AT129" s="13" t="s">
        <v>992</v>
      </c>
      <c r="AU129" s="4" t="s">
        <v>1000</v>
      </c>
      <c r="AV129" s="14">
        <f>(21127*2)/1.4/1000</f>
        <v>30.181428571428572</v>
      </c>
      <c r="AW129" s="14">
        <f>(20810*2)/1.4/1000</f>
        <v>29.728571428571431</v>
      </c>
      <c r="AX129" s="14">
        <f>Table1347456[[#This Row],[treatment_mean]]/Table1347456[[#This Row],[control_mean]]</f>
        <v>1.0152330610283518</v>
      </c>
      <c r="AY129" s="14">
        <f>LN(Table1347456[[#This Row],[rr]])</f>
        <v>1.5118202912554555E-2</v>
      </c>
      <c r="AZ129" s="13">
        <v>3</v>
      </c>
      <c r="BA129" s="13">
        <v>3</v>
      </c>
      <c r="BB129" s="14">
        <f>(598*2)/1.4/1000</f>
        <v>0.85428571428571431</v>
      </c>
      <c r="BC129" s="14">
        <f>(928*2)/1.4/1000</f>
        <v>1.3257142857142858</v>
      </c>
      <c r="BD129" s="15">
        <f>Table1347456[[#This Row],[treatment_se]]*SQRT(Table1347456[[#This Row],[treatment_n]])</f>
        <v>1.4796662613231266</v>
      </c>
      <c r="BE129" s="14">
        <f>Table1347456[[#This Row],[control_se]]*SQRT(Table1347456[[#This Row],[control_n]])</f>
        <v>2.2962044991770258</v>
      </c>
      <c r="BF12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2.7897936852337101E-3</v>
      </c>
      <c r="BG129" s="17">
        <f>SQRT(Table1347456[[#This Row],[v_from_sd_and_n]])</f>
        <v>5.281849756698604E-2</v>
      </c>
      <c r="BH129" s="13" t="s">
        <v>50</v>
      </c>
      <c r="BI129" s="13">
        <v>2.5000000000000001E-2</v>
      </c>
      <c r="BJ129" s="18">
        <f>ABS(_xlfn.NORM.S.INV(Table1347456[[#This Row],[p_value]]/2))</f>
        <v>2.2414027276049446</v>
      </c>
      <c r="BK129" s="19">
        <f>(Table1347456[[#This Row],[lnrr]]/Table1347456[[#This Row],[z_from_p]])^2</f>
        <v>4.5494673004790225E-5</v>
      </c>
      <c r="BL129" s="16">
        <f>Table1347456[[#This Row],[v_from_sd_and_n]]</f>
        <v>2.7897936852337101E-3</v>
      </c>
      <c r="BM129" s="20">
        <f>SQRT(Table1347456[[#This Row],[v]])</f>
        <v>5.281849756698604E-2</v>
      </c>
      <c r="BN129" s="20">
        <f>Table1347456[[#This Row],[lnrr]]-(1.96*Table1347456[[#This Row],[se]])</f>
        <v>-8.8406052318738076E-2</v>
      </c>
      <c r="BO129" s="20">
        <f>Table1347456[[#This Row],[lnrr]]+(1.96 * Table1347456[[#This Row],[se]])</f>
        <v>0.11864245814384719</v>
      </c>
    </row>
    <row r="130" spans="1:67">
      <c r="A130" s="13" t="s">
        <v>113</v>
      </c>
      <c r="B130" s="13" t="s">
        <v>114</v>
      </c>
      <c r="C130" s="13" t="s">
        <v>43</v>
      </c>
      <c r="D130" s="13" t="s">
        <v>90</v>
      </c>
      <c r="E130" s="13" t="s">
        <v>91</v>
      </c>
      <c r="F130" s="13" t="s">
        <v>587</v>
      </c>
      <c r="G130" s="13" t="s">
        <v>92</v>
      </c>
      <c r="H130" s="13">
        <v>13.9</v>
      </c>
      <c r="I130" s="13">
        <v>615</v>
      </c>
      <c r="K130" s="13" t="s">
        <v>825</v>
      </c>
      <c r="L130" s="13" t="s">
        <v>826</v>
      </c>
      <c r="N130" s="13" t="s">
        <v>66</v>
      </c>
      <c r="O130" s="13" t="s">
        <v>67</v>
      </c>
      <c r="P130" s="13" t="s">
        <v>71</v>
      </c>
      <c r="Q130" s="13" t="s">
        <v>48</v>
      </c>
      <c r="R130" s="4">
        <v>3</v>
      </c>
      <c r="S130" s="13" t="s">
        <v>594</v>
      </c>
      <c r="T130" s="13">
        <v>300</v>
      </c>
      <c r="U130" s="4" t="s">
        <v>93</v>
      </c>
      <c r="V130" s="4">
        <v>450</v>
      </c>
      <c r="W130" s="4" t="s">
        <v>601</v>
      </c>
      <c r="X130" s="4">
        <v>405</v>
      </c>
      <c r="Y130" s="4">
        <v>6</v>
      </c>
      <c r="AA130" s="4" t="s">
        <v>50</v>
      </c>
      <c r="AB130" s="4">
        <v>440</v>
      </c>
      <c r="AC130" s="4" t="s">
        <v>49</v>
      </c>
      <c r="AD130" s="4">
        <v>0</v>
      </c>
      <c r="AE130" s="4" t="s">
        <v>49</v>
      </c>
      <c r="AF130" s="4">
        <v>0</v>
      </c>
      <c r="AG130" s="4" t="s">
        <v>738</v>
      </c>
      <c r="AH130" s="4" t="s">
        <v>737</v>
      </c>
      <c r="AI130" s="4" t="s">
        <v>78</v>
      </c>
      <c r="AJ130" s="13">
        <v>0</v>
      </c>
      <c r="AK130" s="13">
        <v>20</v>
      </c>
      <c r="AM130" s="13" t="s">
        <v>480</v>
      </c>
      <c r="AP130" s="13" t="s">
        <v>49</v>
      </c>
      <c r="AQ130" s="13" t="s">
        <v>49</v>
      </c>
      <c r="AR130" s="13" t="s">
        <v>50</v>
      </c>
      <c r="AS130" s="13" t="s">
        <v>50</v>
      </c>
      <c r="AT130" s="13" t="s">
        <v>992</v>
      </c>
      <c r="AU130" s="4" t="s">
        <v>1000</v>
      </c>
      <c r="AV130" s="14">
        <f>(21221*2)/1.4/1000</f>
        <v>30.315714285714286</v>
      </c>
      <c r="AW130" s="14">
        <f>(20810*2)/1.4/1000</f>
        <v>29.728571428571431</v>
      </c>
      <c r="AX130" s="14">
        <f>Table1347456[[#This Row],[treatment_mean]]/Table1347456[[#This Row],[control_mean]]</f>
        <v>1.0197501201345507</v>
      </c>
      <c r="AY130" s="14">
        <f>LN(Table1347456[[#This Row],[rr]])</f>
        <v>1.9557617023369576E-2</v>
      </c>
      <c r="AZ130" s="13">
        <v>3</v>
      </c>
      <c r="BA130" s="13">
        <v>3</v>
      </c>
      <c r="BB130" s="14">
        <f>(556*2)/1.4/1000</f>
        <v>0.79428571428571437</v>
      </c>
      <c r="BC130" s="14">
        <f>(928*2)/1.4/1000</f>
        <v>1.3257142857142858</v>
      </c>
      <c r="BD130" s="15">
        <f>Table1347456[[#This Row],[treatment_se]]*SQRT(Table1347456[[#This Row],[treatment_n]])</f>
        <v>1.3757432128689939</v>
      </c>
      <c r="BE130" s="14">
        <f>Table1347456[[#This Row],[control_se]]*SQRT(Table1347456[[#This Row],[control_n]])</f>
        <v>2.2962044991770258</v>
      </c>
      <c r="BF13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2.6750841490478933E-3</v>
      </c>
      <c r="BG130" s="17">
        <f>SQRT(Table1347456[[#This Row],[v_from_sd_and_n]])</f>
        <v>5.1721215657096586E-2</v>
      </c>
      <c r="BH130" s="13" t="s">
        <v>50</v>
      </c>
      <c r="BI130" s="13">
        <v>2.5000000000000001E-2</v>
      </c>
      <c r="BJ130" s="18">
        <f>ABS(_xlfn.NORM.S.INV(Table1347456[[#This Row],[p_value]]/2))</f>
        <v>2.2414027276049446</v>
      </c>
      <c r="BK130" s="19">
        <f>(Table1347456[[#This Row],[lnrr]]/Table1347456[[#This Row],[z_from_p]])^2</f>
        <v>7.6136355277831288E-5</v>
      </c>
      <c r="BL130" s="16">
        <f>Table1347456[[#This Row],[v_from_sd_and_n]]</f>
        <v>2.6750841490478933E-3</v>
      </c>
      <c r="BM130" s="20">
        <f>SQRT(Table1347456[[#This Row],[v]])</f>
        <v>5.1721215657096586E-2</v>
      </c>
      <c r="BN130" s="20">
        <f>Table1347456[[#This Row],[lnrr]]-(1.96*Table1347456[[#This Row],[se]])</f>
        <v>-8.1815965664539719E-2</v>
      </c>
      <c r="BO130" s="20">
        <f>Table1347456[[#This Row],[lnrr]]+(1.96 * Table1347456[[#This Row],[se]])</f>
        <v>0.12093119971127889</v>
      </c>
    </row>
    <row r="131" spans="1:67">
      <c r="A131" s="13" t="s">
        <v>113</v>
      </c>
      <c r="B131" s="13" t="s">
        <v>114</v>
      </c>
      <c r="C131" s="13" t="s">
        <v>43</v>
      </c>
      <c r="D131" s="13" t="s">
        <v>90</v>
      </c>
      <c r="E131" s="13" t="s">
        <v>91</v>
      </c>
      <c r="F131" s="13" t="s">
        <v>587</v>
      </c>
      <c r="G131" s="13" t="s">
        <v>92</v>
      </c>
      <c r="H131" s="13">
        <v>13.9</v>
      </c>
      <c r="I131" s="13">
        <v>615</v>
      </c>
      <c r="K131" s="13" t="s">
        <v>825</v>
      </c>
      <c r="L131" s="13" t="s">
        <v>826</v>
      </c>
      <c r="N131" s="13" t="s">
        <v>66</v>
      </c>
      <c r="O131" s="13" t="s">
        <v>67</v>
      </c>
      <c r="P131" s="13" t="s">
        <v>71</v>
      </c>
      <c r="Q131" s="13" t="s">
        <v>48</v>
      </c>
      <c r="R131" s="4">
        <v>3</v>
      </c>
      <c r="S131" s="13" t="s">
        <v>594</v>
      </c>
      <c r="T131" s="13">
        <v>300</v>
      </c>
      <c r="U131" s="4" t="s">
        <v>93</v>
      </c>
      <c r="V131" s="4">
        <v>450</v>
      </c>
      <c r="W131" s="4" t="s">
        <v>601</v>
      </c>
      <c r="X131" s="4" t="s">
        <v>77</v>
      </c>
      <c r="Y131" s="4">
        <v>12</v>
      </c>
      <c r="AA131" s="4" t="s">
        <v>50</v>
      </c>
      <c r="AB131" s="4">
        <v>440</v>
      </c>
      <c r="AC131" s="4" t="s">
        <v>49</v>
      </c>
      <c r="AD131" s="4">
        <v>0</v>
      </c>
      <c r="AE131" s="4" t="s">
        <v>49</v>
      </c>
      <c r="AF131" s="4">
        <v>0</v>
      </c>
      <c r="AG131" s="4" t="s">
        <v>738</v>
      </c>
      <c r="AH131" s="4" t="s">
        <v>737</v>
      </c>
      <c r="AI131" s="4" t="s">
        <v>78</v>
      </c>
      <c r="AJ131" s="13">
        <v>0</v>
      </c>
      <c r="AK131" s="13">
        <v>20</v>
      </c>
      <c r="AM131" s="13" t="s">
        <v>480</v>
      </c>
      <c r="AP131" s="13" t="s">
        <v>49</v>
      </c>
      <c r="AQ131" s="13" t="s">
        <v>49</v>
      </c>
      <c r="AR131" s="13" t="s">
        <v>50</v>
      </c>
      <c r="AS131" s="13" t="s">
        <v>50</v>
      </c>
      <c r="AT131" s="13" t="s">
        <v>992</v>
      </c>
      <c r="AU131" s="4" t="s">
        <v>1000</v>
      </c>
      <c r="AV131" s="14">
        <f>(21294*2)/1.4/1000</f>
        <v>30.420000000000005</v>
      </c>
      <c r="AW131" s="14">
        <f>(20810*2)/1.4/1000</f>
        <v>29.728571428571431</v>
      </c>
      <c r="AX131" s="14">
        <f>Table1347456[[#This Row],[treatment_mean]]/Table1347456[[#This Row],[control_mean]]</f>
        <v>1.0232580490148968</v>
      </c>
      <c r="AY131" s="14">
        <f>LN(Table1347456[[#This Row],[rr]])</f>
        <v>2.2991702486871483E-2</v>
      </c>
      <c r="AZ131" s="13">
        <v>3</v>
      </c>
      <c r="BA131" s="13">
        <v>3</v>
      </c>
      <c r="BB131" s="14">
        <f>(123*2)/1.4/1000</f>
        <v>0.17571428571428571</v>
      </c>
      <c r="BC131" s="14">
        <f>(928*2)/1.4/1000</f>
        <v>1.3257142857142858</v>
      </c>
      <c r="BD131" s="15">
        <f>Table1347456[[#This Row],[treatment_se]]*SQRT(Table1347456[[#This Row],[treatment_n]])</f>
        <v>0.30434607047281698</v>
      </c>
      <c r="BE131" s="14">
        <f>Table1347456[[#This Row],[control_se]]*SQRT(Table1347456[[#This Row],[control_n]])</f>
        <v>2.2962044991770258</v>
      </c>
      <c r="BF13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2.0219853031205044E-3</v>
      </c>
      <c r="BG131" s="17">
        <f>SQRT(Table1347456[[#This Row],[v_from_sd_and_n]])</f>
        <v>4.4966490891779676E-2</v>
      </c>
      <c r="BH131" s="13" t="s">
        <v>50</v>
      </c>
      <c r="BI131" s="13">
        <v>2.5000000000000001E-2</v>
      </c>
      <c r="BJ131" s="18">
        <f>ABS(_xlfn.NORM.S.INV(Table1347456[[#This Row],[p_value]]/2))</f>
        <v>2.2414027276049446</v>
      </c>
      <c r="BK131" s="19">
        <f>(Table1347456[[#This Row],[lnrr]]/Table1347456[[#This Row],[z_from_p]])^2</f>
        <v>1.0522101089382814E-4</v>
      </c>
      <c r="BL131" s="16">
        <f>Table1347456[[#This Row],[v_from_sd_and_n]]</f>
        <v>2.0219853031205044E-3</v>
      </c>
      <c r="BM131" s="20">
        <f>SQRT(Table1347456[[#This Row],[v]])</f>
        <v>4.4966490891779676E-2</v>
      </c>
      <c r="BN131" s="20">
        <f>Table1347456[[#This Row],[lnrr]]-(1.96*Table1347456[[#This Row],[se]])</f>
        <v>-6.5142619661016671E-2</v>
      </c>
      <c r="BO131" s="20">
        <f>Table1347456[[#This Row],[lnrr]]+(1.96 * Table1347456[[#This Row],[se]])</f>
        <v>0.11112602463475965</v>
      </c>
    </row>
    <row r="132" spans="1:67">
      <c r="A132" s="13" t="s">
        <v>115</v>
      </c>
      <c r="B132" s="13" t="s">
        <v>116</v>
      </c>
      <c r="C132" s="13" t="s">
        <v>43</v>
      </c>
      <c r="D132" s="13" t="s">
        <v>117</v>
      </c>
      <c r="E132" s="13" t="s">
        <v>60</v>
      </c>
      <c r="F132" s="13" t="s">
        <v>585</v>
      </c>
      <c r="G132" s="13" t="s">
        <v>118</v>
      </c>
      <c r="H132" s="13">
        <v>19.7</v>
      </c>
      <c r="I132" s="13">
        <v>400</v>
      </c>
      <c r="J132" s="13" t="s">
        <v>669</v>
      </c>
      <c r="K132" s="13" t="s">
        <v>827</v>
      </c>
      <c r="L132" s="13" t="s">
        <v>828</v>
      </c>
      <c r="M132" s="13" t="s">
        <v>804</v>
      </c>
      <c r="N132" s="13" t="s">
        <v>119</v>
      </c>
      <c r="O132" s="13" t="s">
        <v>645</v>
      </c>
      <c r="P132" s="13" t="s">
        <v>85</v>
      </c>
      <c r="Q132" s="13" t="s">
        <v>48</v>
      </c>
      <c r="R132" s="4">
        <v>3</v>
      </c>
      <c r="S132" s="13" t="s">
        <v>594</v>
      </c>
      <c r="T132" s="13">
        <v>160</v>
      </c>
      <c r="U132" s="4" t="s">
        <v>120</v>
      </c>
      <c r="V132" s="4">
        <v>450</v>
      </c>
      <c r="W132" s="4" t="s">
        <v>601</v>
      </c>
      <c r="X132" s="4" t="s">
        <v>603</v>
      </c>
      <c r="Y132" s="4">
        <v>7</v>
      </c>
      <c r="AA132" s="4" t="s">
        <v>49</v>
      </c>
      <c r="AB132" s="4" t="s">
        <v>677</v>
      </c>
      <c r="AC132" s="4" t="s">
        <v>49</v>
      </c>
      <c r="AD132" s="4">
        <v>0</v>
      </c>
      <c r="AE132" s="4" t="s">
        <v>49</v>
      </c>
      <c r="AF132" s="4">
        <v>0</v>
      </c>
      <c r="AG132" s="4" t="s">
        <v>786</v>
      </c>
      <c r="AH132" s="4" t="s">
        <v>704</v>
      </c>
      <c r="AI132" s="4" t="s">
        <v>78</v>
      </c>
      <c r="AJ132" s="13">
        <v>0</v>
      </c>
      <c r="AK132" s="13">
        <v>10</v>
      </c>
      <c r="AP132" s="13" t="s">
        <v>49</v>
      </c>
      <c r="AQ132" s="13" t="s">
        <v>49</v>
      </c>
      <c r="AR132" s="13" t="s">
        <v>49</v>
      </c>
      <c r="AS132" s="13" t="s">
        <v>50</v>
      </c>
      <c r="AT132" s="13" t="s">
        <v>991</v>
      </c>
      <c r="AU132" s="13" t="s">
        <v>997</v>
      </c>
      <c r="AV132" s="23">
        <f>58/1000</f>
        <v>5.8000000000000003E-2</v>
      </c>
      <c r="AW132" s="23">
        <f>34/1000</f>
        <v>3.4000000000000002E-2</v>
      </c>
      <c r="AX132" s="14">
        <f>Table1347456[[#This Row],[treatment_mean]]/Table1347456[[#This Row],[control_mean]]</f>
        <v>1.7058823529411764</v>
      </c>
      <c r="AY132" s="14">
        <f>LN(Table1347456[[#This Row],[rr]])</f>
        <v>0.53408248593025787</v>
      </c>
      <c r="AZ132" s="13">
        <v>6</v>
      </c>
      <c r="BA132" s="13">
        <v>6</v>
      </c>
      <c r="BB132" s="14" t="s">
        <v>46</v>
      </c>
      <c r="BC132" s="14" t="s">
        <v>46</v>
      </c>
      <c r="BD132" s="15" t="s">
        <v>46</v>
      </c>
      <c r="BE132" s="14" t="s">
        <v>46</v>
      </c>
      <c r="BF13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32" s="17" t="s">
        <v>46</v>
      </c>
      <c r="BH132" s="13" t="s">
        <v>50</v>
      </c>
      <c r="BI132" s="13">
        <v>2.5000000000000001E-2</v>
      </c>
      <c r="BJ132" s="18">
        <f>ABS(_xlfn.NORM.S.INV(Table1347456[[#This Row],[p_value]]/2))</f>
        <v>2.2414027276049446</v>
      </c>
      <c r="BK132" s="19">
        <f>(Table1347456[[#This Row],[lnrr]]/Table1347456[[#This Row],[z_from_p]])^2</f>
        <v>5.6777580371480979E-2</v>
      </c>
      <c r="BL132" s="16">
        <f>Table1347456[[#This Row],[v_from_z_from_p]]</f>
        <v>5.6777580371480979E-2</v>
      </c>
      <c r="BM132" s="20">
        <f>SQRT(Table1347456[[#This Row],[v]])</f>
        <v>0.23828046577821058</v>
      </c>
      <c r="BN132" s="20">
        <f>Table1347456[[#This Row],[lnrr]]-(1.96*Table1347456[[#This Row],[se]])</f>
        <v>6.7052773004965149E-2</v>
      </c>
      <c r="BO132" s="20">
        <f>Table1347456[[#This Row],[lnrr]]+(1.96 * Table1347456[[#This Row],[se]])</f>
        <v>1.0011121988555507</v>
      </c>
    </row>
    <row r="133" spans="1:67">
      <c r="A133" s="13" t="s">
        <v>115</v>
      </c>
      <c r="B133" s="13" t="s">
        <v>116</v>
      </c>
      <c r="C133" s="13" t="s">
        <v>43</v>
      </c>
      <c r="D133" s="13" t="s">
        <v>117</v>
      </c>
      <c r="E133" s="13" t="s">
        <v>60</v>
      </c>
      <c r="F133" s="13" t="s">
        <v>585</v>
      </c>
      <c r="G133" s="13" t="s">
        <v>118</v>
      </c>
      <c r="H133" s="13">
        <v>19.7</v>
      </c>
      <c r="I133" s="13">
        <v>400</v>
      </c>
      <c r="J133" s="13" t="s">
        <v>669</v>
      </c>
      <c r="K133" s="13" t="s">
        <v>827</v>
      </c>
      <c r="L133" s="13" t="s">
        <v>828</v>
      </c>
      <c r="M133" s="13" t="s">
        <v>804</v>
      </c>
      <c r="N133" s="13" t="s">
        <v>119</v>
      </c>
      <c r="O133" s="13" t="s">
        <v>645</v>
      </c>
      <c r="P133" s="13" t="s">
        <v>85</v>
      </c>
      <c r="Q133" s="13" t="s">
        <v>48</v>
      </c>
      <c r="R133" s="4">
        <v>3</v>
      </c>
      <c r="S133" s="13" t="s">
        <v>594</v>
      </c>
      <c r="T133" s="13">
        <v>160</v>
      </c>
      <c r="U133" s="4" t="s">
        <v>120</v>
      </c>
      <c r="V133" s="4">
        <v>450</v>
      </c>
      <c r="W133" s="4" t="s">
        <v>601</v>
      </c>
      <c r="X133" s="4" t="s">
        <v>603</v>
      </c>
      <c r="Y133" s="4">
        <v>13</v>
      </c>
      <c r="AA133" s="4" t="s">
        <v>49</v>
      </c>
      <c r="AB133" s="4" t="s">
        <v>677</v>
      </c>
      <c r="AC133" s="4" t="s">
        <v>49</v>
      </c>
      <c r="AD133" s="4">
        <v>0</v>
      </c>
      <c r="AE133" s="4" t="s">
        <v>49</v>
      </c>
      <c r="AF133" s="4">
        <v>0</v>
      </c>
      <c r="AG133" s="4" t="s">
        <v>786</v>
      </c>
      <c r="AH133" s="4" t="s">
        <v>704</v>
      </c>
      <c r="AI133" s="4" t="s">
        <v>78</v>
      </c>
      <c r="AJ133" s="13">
        <v>0</v>
      </c>
      <c r="AK133" s="13">
        <v>10</v>
      </c>
      <c r="AP133" s="13" t="s">
        <v>49</v>
      </c>
      <c r="AQ133" s="13" t="s">
        <v>49</v>
      </c>
      <c r="AR133" s="13" t="s">
        <v>49</v>
      </c>
      <c r="AS133" s="13" t="s">
        <v>50</v>
      </c>
      <c r="AT133" s="13" t="s">
        <v>991</v>
      </c>
      <c r="AU133" s="13" t="s">
        <v>997</v>
      </c>
      <c r="AV133" s="23">
        <f>55/1000</f>
        <v>5.5E-2</v>
      </c>
      <c r="AW133" s="23">
        <f>34/1000</f>
        <v>3.4000000000000002E-2</v>
      </c>
      <c r="AX133" s="14">
        <f>Table1347456[[#This Row],[treatment_mean]]/Table1347456[[#This Row],[control_mean]]</f>
        <v>1.6176470588235292</v>
      </c>
      <c r="AY133" s="14">
        <f>LN(Table1347456[[#This Row],[rr]])</f>
        <v>0.48097266061630939</v>
      </c>
      <c r="AZ133" s="13">
        <v>6</v>
      </c>
      <c r="BA133" s="13">
        <v>6</v>
      </c>
      <c r="BB133" s="14" t="s">
        <v>46</v>
      </c>
      <c r="BC133" s="14" t="s">
        <v>46</v>
      </c>
      <c r="BD133" s="15" t="s">
        <v>46</v>
      </c>
      <c r="BE133" s="14" t="s">
        <v>46</v>
      </c>
      <c r="BF13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33" s="17" t="s">
        <v>46</v>
      </c>
      <c r="BH133" s="13" t="s">
        <v>50</v>
      </c>
      <c r="BI133" s="13">
        <v>2.5000000000000001E-2</v>
      </c>
      <c r="BJ133" s="18">
        <f>ABS(_xlfn.NORM.S.INV(Table1347456[[#This Row],[p_value]]/2))</f>
        <v>2.2414027276049446</v>
      </c>
      <c r="BK133" s="19">
        <f>(Table1347456[[#This Row],[lnrr]]/Table1347456[[#This Row],[z_from_p]])^2</f>
        <v>4.6046962776434407E-2</v>
      </c>
      <c r="BL133" s="16">
        <f>Table1347456[[#This Row],[v_from_z_from_p]]</f>
        <v>4.6046962776434407E-2</v>
      </c>
      <c r="BM133" s="20">
        <f>SQRT(Table1347456[[#This Row],[v]])</f>
        <v>0.21458556050311123</v>
      </c>
      <c r="BN133" s="20">
        <f>Table1347456[[#This Row],[lnrr]]-(1.96*Table1347456[[#This Row],[se]])</f>
        <v>6.0384962030211375E-2</v>
      </c>
      <c r="BO133" s="20">
        <f>Table1347456[[#This Row],[lnrr]]+(1.96 * Table1347456[[#This Row],[se]])</f>
        <v>0.9015603592024074</v>
      </c>
    </row>
    <row r="134" spans="1:67">
      <c r="A134" s="13" t="s">
        <v>115</v>
      </c>
      <c r="B134" s="13" t="s">
        <v>116</v>
      </c>
      <c r="C134" s="13" t="s">
        <v>43</v>
      </c>
      <c r="D134" s="13" t="s">
        <v>117</v>
      </c>
      <c r="E134" s="13" t="s">
        <v>60</v>
      </c>
      <c r="F134" s="13" t="s">
        <v>585</v>
      </c>
      <c r="G134" s="13" t="s">
        <v>118</v>
      </c>
      <c r="H134" s="13">
        <v>19.7</v>
      </c>
      <c r="I134" s="13">
        <v>400</v>
      </c>
      <c r="K134" s="13" t="s">
        <v>827</v>
      </c>
      <c r="L134" s="13" t="s">
        <v>828</v>
      </c>
      <c r="N134" s="13" t="s">
        <v>121</v>
      </c>
      <c r="O134" s="13" t="s">
        <v>645</v>
      </c>
      <c r="P134" s="13" t="s">
        <v>85</v>
      </c>
      <c r="Q134" s="13" t="s">
        <v>48</v>
      </c>
      <c r="R134" s="4">
        <v>3</v>
      </c>
      <c r="S134" s="13" t="s">
        <v>594</v>
      </c>
      <c r="T134" s="13">
        <v>160</v>
      </c>
      <c r="U134" s="4" t="s">
        <v>120</v>
      </c>
      <c r="V134" s="4">
        <v>450</v>
      </c>
      <c r="W134" s="4" t="s">
        <v>601</v>
      </c>
      <c r="X134" s="4" t="s">
        <v>603</v>
      </c>
      <c r="Y134" s="4">
        <v>7</v>
      </c>
      <c r="AA134" s="4" t="s">
        <v>49</v>
      </c>
      <c r="AB134" s="4" t="s">
        <v>677</v>
      </c>
      <c r="AC134" s="4" t="s">
        <v>49</v>
      </c>
      <c r="AD134" s="4">
        <v>0</v>
      </c>
      <c r="AE134" s="4" t="s">
        <v>49</v>
      </c>
      <c r="AF134" s="4">
        <v>0</v>
      </c>
      <c r="AG134" s="4" t="s">
        <v>786</v>
      </c>
      <c r="AH134" s="4" t="s">
        <v>704</v>
      </c>
      <c r="AI134" s="4" t="s">
        <v>78</v>
      </c>
      <c r="AJ134" s="13">
        <v>0</v>
      </c>
      <c r="AK134" s="13">
        <v>10</v>
      </c>
      <c r="AP134" s="13" t="s">
        <v>49</v>
      </c>
      <c r="AQ134" s="13" t="s">
        <v>49</v>
      </c>
      <c r="AR134" s="13" t="s">
        <v>49</v>
      </c>
      <c r="AS134" s="13" t="s">
        <v>50</v>
      </c>
      <c r="AT134" s="13" t="s">
        <v>991</v>
      </c>
      <c r="AU134" s="13" t="s">
        <v>997</v>
      </c>
      <c r="AV134" s="14">
        <f>186/1000</f>
        <v>0.186</v>
      </c>
      <c r="AW134" s="14">
        <f>120/1000</f>
        <v>0.12</v>
      </c>
      <c r="AX134" s="14">
        <f>Table1347456[[#This Row],[treatment_mean]]/Table1347456[[#This Row],[control_mean]]</f>
        <v>1.55</v>
      </c>
      <c r="AY134" s="14">
        <f>LN(Table1347456[[#This Row],[rr]])</f>
        <v>0.43825493093115531</v>
      </c>
      <c r="AZ134" s="13">
        <v>6</v>
      </c>
      <c r="BA134" s="13">
        <v>6</v>
      </c>
      <c r="BB134" s="14" t="s">
        <v>46</v>
      </c>
      <c r="BC134" s="14" t="s">
        <v>46</v>
      </c>
      <c r="BD134" s="15" t="s">
        <v>46</v>
      </c>
      <c r="BE134" s="14" t="s">
        <v>46</v>
      </c>
      <c r="BF13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34" s="17" t="s">
        <v>46</v>
      </c>
      <c r="BH134" s="13" t="s">
        <v>50</v>
      </c>
      <c r="BI134" s="13">
        <v>2.5000000000000001E-2</v>
      </c>
      <c r="BJ134" s="18">
        <f>ABS(_xlfn.NORM.S.INV(Table1347456[[#This Row],[p_value]]/2))</f>
        <v>2.2414027276049446</v>
      </c>
      <c r="BK134" s="19">
        <f>(Table1347456[[#This Row],[lnrr]]/Table1347456[[#This Row],[z_from_p]])^2</f>
        <v>3.8230839100303317E-2</v>
      </c>
      <c r="BL134" s="16">
        <f>Table1347456[[#This Row],[v_from_z_from_p]]</f>
        <v>3.8230839100303317E-2</v>
      </c>
      <c r="BM134" s="20">
        <f>SQRT(Table1347456[[#This Row],[v]])</f>
        <v>0.19552708022241655</v>
      </c>
      <c r="BN134" s="20">
        <f>Table1347456[[#This Row],[lnrr]]-(1.96*Table1347456[[#This Row],[se]])</f>
        <v>5.5021853695218892E-2</v>
      </c>
      <c r="BO134" s="20">
        <f>Table1347456[[#This Row],[lnrr]]+(1.96 * Table1347456[[#This Row],[se]])</f>
        <v>0.82148800816709167</v>
      </c>
    </row>
    <row r="135" spans="1:67">
      <c r="A135" s="13" t="s">
        <v>115</v>
      </c>
      <c r="B135" s="13" t="s">
        <v>116</v>
      </c>
      <c r="C135" s="13" t="s">
        <v>43</v>
      </c>
      <c r="D135" s="13" t="s">
        <v>117</v>
      </c>
      <c r="E135" s="13" t="s">
        <v>60</v>
      </c>
      <c r="F135" s="13" t="s">
        <v>585</v>
      </c>
      <c r="G135" s="13" t="s">
        <v>118</v>
      </c>
      <c r="H135" s="13">
        <v>19.7</v>
      </c>
      <c r="I135" s="13">
        <v>400</v>
      </c>
      <c r="K135" s="13" t="s">
        <v>827</v>
      </c>
      <c r="L135" s="13" t="s">
        <v>828</v>
      </c>
      <c r="N135" s="13" t="s">
        <v>121</v>
      </c>
      <c r="O135" s="13" t="s">
        <v>645</v>
      </c>
      <c r="P135" s="13" t="s">
        <v>85</v>
      </c>
      <c r="Q135" s="13" t="s">
        <v>48</v>
      </c>
      <c r="R135" s="4">
        <v>3</v>
      </c>
      <c r="S135" s="13" t="s">
        <v>594</v>
      </c>
      <c r="T135" s="13">
        <v>160</v>
      </c>
      <c r="U135" s="4" t="s">
        <v>120</v>
      </c>
      <c r="V135" s="4">
        <v>450</v>
      </c>
      <c r="W135" s="4" t="s">
        <v>601</v>
      </c>
      <c r="X135" s="4" t="s">
        <v>603</v>
      </c>
      <c r="Y135" s="4">
        <v>13</v>
      </c>
      <c r="AA135" s="4" t="s">
        <v>49</v>
      </c>
      <c r="AB135" s="4" t="s">
        <v>677</v>
      </c>
      <c r="AC135" s="4" t="s">
        <v>49</v>
      </c>
      <c r="AD135" s="4">
        <v>0</v>
      </c>
      <c r="AE135" s="4" t="s">
        <v>49</v>
      </c>
      <c r="AF135" s="4">
        <v>0</v>
      </c>
      <c r="AG135" s="4" t="s">
        <v>786</v>
      </c>
      <c r="AH135" s="4" t="s">
        <v>704</v>
      </c>
      <c r="AI135" s="4" t="s">
        <v>78</v>
      </c>
      <c r="AJ135" s="13">
        <v>0</v>
      </c>
      <c r="AK135" s="13">
        <v>10</v>
      </c>
      <c r="AP135" s="13" t="s">
        <v>49</v>
      </c>
      <c r="AQ135" s="13" t="s">
        <v>49</v>
      </c>
      <c r="AR135" s="13" t="s">
        <v>49</v>
      </c>
      <c r="AS135" s="13" t="s">
        <v>50</v>
      </c>
      <c r="AT135" s="13" t="s">
        <v>991</v>
      </c>
      <c r="AU135" s="13" t="s">
        <v>997</v>
      </c>
      <c r="AV135" s="14">
        <f>218/1000</f>
        <v>0.218</v>
      </c>
      <c r="AW135" s="14">
        <f>120/1000</f>
        <v>0.12</v>
      </c>
      <c r="AX135" s="14">
        <f>Table1347456[[#This Row],[treatment_mean]]/Table1347456[[#This Row],[control_mean]]</f>
        <v>1.8166666666666667</v>
      </c>
      <c r="AY135" s="14">
        <f>LN(Table1347456[[#This Row],[rr]])</f>
        <v>0.59700332000704304</v>
      </c>
      <c r="AZ135" s="13">
        <v>6</v>
      </c>
      <c r="BA135" s="13">
        <v>6</v>
      </c>
      <c r="BB135" s="14" t="s">
        <v>46</v>
      </c>
      <c r="BC135" s="14" t="s">
        <v>46</v>
      </c>
      <c r="BD135" s="15" t="s">
        <v>46</v>
      </c>
      <c r="BE135" s="14" t="s">
        <v>46</v>
      </c>
      <c r="BF13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35" s="17" t="s">
        <v>46</v>
      </c>
      <c r="BH135" s="13" t="s">
        <v>50</v>
      </c>
      <c r="BI135" s="13">
        <v>2.5000000000000001E-2</v>
      </c>
      <c r="BJ135" s="18">
        <f>ABS(_xlfn.NORM.S.INV(Table1347456[[#This Row],[p_value]]/2))</f>
        <v>2.2414027276049446</v>
      </c>
      <c r="BK135" s="19">
        <f>(Table1347456[[#This Row],[lnrr]]/Table1347456[[#This Row],[z_from_p]])^2</f>
        <v>7.0943678023471263E-2</v>
      </c>
      <c r="BL135" s="16">
        <f>Table1347456[[#This Row],[v_from_z_from_p]]</f>
        <v>7.0943678023471263E-2</v>
      </c>
      <c r="BM135" s="20">
        <f>SQRT(Table1347456[[#This Row],[v]])</f>
        <v>0.26635254461609947</v>
      </c>
      <c r="BN135" s="20">
        <f>Table1347456[[#This Row],[lnrr]]-(1.96*Table1347456[[#This Row],[se]])</f>
        <v>7.4952332559488077E-2</v>
      </c>
      <c r="BO135" s="20">
        <f>Table1347456[[#This Row],[lnrr]]+(1.96 * Table1347456[[#This Row],[se]])</f>
        <v>1.119054307454598</v>
      </c>
    </row>
    <row r="136" spans="1:67">
      <c r="A136" s="13" t="s">
        <v>115</v>
      </c>
      <c r="B136" s="13" t="s">
        <v>116</v>
      </c>
      <c r="C136" s="13" t="s">
        <v>43</v>
      </c>
      <c r="D136" s="13" t="s">
        <v>117</v>
      </c>
      <c r="E136" s="13" t="s">
        <v>60</v>
      </c>
      <c r="F136" s="13" t="s">
        <v>585</v>
      </c>
      <c r="G136" s="13" t="s">
        <v>118</v>
      </c>
      <c r="H136" s="13">
        <v>19.7</v>
      </c>
      <c r="I136" s="13">
        <v>400</v>
      </c>
      <c r="K136" s="13" t="s">
        <v>827</v>
      </c>
      <c r="L136" s="13" t="s">
        <v>828</v>
      </c>
      <c r="N136" s="13" t="s">
        <v>122</v>
      </c>
      <c r="O136" s="13" t="s">
        <v>645</v>
      </c>
      <c r="P136" s="13" t="s">
        <v>422</v>
      </c>
      <c r="Q136" s="13" t="s">
        <v>48</v>
      </c>
      <c r="R136" s="4">
        <v>3</v>
      </c>
      <c r="S136" s="13" t="s">
        <v>594</v>
      </c>
      <c r="T136" s="13">
        <v>160</v>
      </c>
      <c r="U136" s="4" t="s">
        <v>120</v>
      </c>
      <c r="V136" s="4">
        <v>450</v>
      </c>
      <c r="W136" s="4" t="s">
        <v>601</v>
      </c>
      <c r="X136" s="4" t="s">
        <v>603</v>
      </c>
      <c r="Y136" s="4">
        <v>7</v>
      </c>
      <c r="AA136" s="4" t="s">
        <v>49</v>
      </c>
      <c r="AB136" s="4" t="s">
        <v>677</v>
      </c>
      <c r="AC136" s="4" t="s">
        <v>49</v>
      </c>
      <c r="AD136" s="4">
        <v>0</v>
      </c>
      <c r="AE136" s="4" t="s">
        <v>49</v>
      </c>
      <c r="AF136" s="4">
        <v>0</v>
      </c>
      <c r="AG136" s="4" t="s">
        <v>786</v>
      </c>
      <c r="AH136" s="4" t="s">
        <v>704</v>
      </c>
      <c r="AI136" s="4" t="s">
        <v>78</v>
      </c>
      <c r="AJ136" s="13">
        <v>0</v>
      </c>
      <c r="AK136" s="13">
        <v>10</v>
      </c>
      <c r="AP136" s="13" t="s">
        <v>49</v>
      </c>
      <c r="AQ136" s="13" t="s">
        <v>49</v>
      </c>
      <c r="AR136" s="13" t="s">
        <v>49</v>
      </c>
      <c r="AS136" s="13" t="s">
        <v>50</v>
      </c>
      <c r="AT136" s="13" t="s">
        <v>991</v>
      </c>
      <c r="AU136" s="13" t="s">
        <v>997</v>
      </c>
      <c r="AV136" s="14">
        <f>0.06*10</f>
        <v>0.6</v>
      </c>
      <c r="AW136" s="14">
        <f>0.03*10</f>
        <v>0.3</v>
      </c>
      <c r="AX136" s="14">
        <f>Table1347456[[#This Row],[treatment_mean]]/Table1347456[[#This Row],[control_mean]]</f>
        <v>2</v>
      </c>
      <c r="AY136" s="14">
        <f>LN(Table1347456[[#This Row],[rr]])</f>
        <v>0.69314718055994529</v>
      </c>
      <c r="AZ136" s="13">
        <v>6</v>
      </c>
      <c r="BA136" s="13">
        <v>6</v>
      </c>
      <c r="BB136" s="14" t="s">
        <v>46</v>
      </c>
      <c r="BC136" s="14" t="s">
        <v>46</v>
      </c>
      <c r="BD136" s="15" t="s">
        <v>46</v>
      </c>
      <c r="BE136" s="14" t="s">
        <v>46</v>
      </c>
      <c r="BF13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36" s="17" t="s">
        <v>46</v>
      </c>
      <c r="BH136" s="13" t="s">
        <v>50</v>
      </c>
      <c r="BI136" s="13">
        <v>2.5000000000000001E-2</v>
      </c>
      <c r="BJ136" s="18">
        <f>ABS(_xlfn.NORM.S.INV(Table1347456[[#This Row],[p_value]]/2))</f>
        <v>2.2414027276049446</v>
      </c>
      <c r="BK136" s="19">
        <f>(Table1347456[[#This Row],[lnrr]]/Table1347456[[#This Row],[z_from_p]])^2</f>
        <v>9.5633737709131666E-2</v>
      </c>
      <c r="BL136" s="16">
        <f>Table1347456[[#This Row],[v_from_z_from_p]]</f>
        <v>9.5633737709131666E-2</v>
      </c>
      <c r="BM136" s="20">
        <f>SQRT(Table1347456[[#This Row],[v]])</f>
        <v>0.30924704963690708</v>
      </c>
      <c r="BN136" s="20">
        <f>Table1347456[[#This Row],[lnrr]]-(1.96*Table1347456[[#This Row],[se]])</f>
        <v>8.7022963271607412E-2</v>
      </c>
      <c r="BO136" s="20">
        <f>Table1347456[[#This Row],[lnrr]]+(1.96 * Table1347456[[#This Row],[se]])</f>
        <v>1.2992713978482833</v>
      </c>
    </row>
    <row r="137" spans="1:67">
      <c r="A137" s="13" t="s">
        <v>115</v>
      </c>
      <c r="B137" s="13" t="s">
        <v>116</v>
      </c>
      <c r="C137" s="13" t="s">
        <v>43</v>
      </c>
      <c r="D137" s="13" t="s">
        <v>117</v>
      </c>
      <c r="E137" s="13" t="s">
        <v>60</v>
      </c>
      <c r="F137" s="13" t="s">
        <v>585</v>
      </c>
      <c r="G137" s="13" t="s">
        <v>118</v>
      </c>
      <c r="H137" s="13">
        <v>19.7</v>
      </c>
      <c r="I137" s="13">
        <v>400</v>
      </c>
      <c r="K137" s="13" t="s">
        <v>827</v>
      </c>
      <c r="L137" s="13" t="s">
        <v>828</v>
      </c>
      <c r="N137" s="13" t="s">
        <v>122</v>
      </c>
      <c r="O137" s="13" t="s">
        <v>645</v>
      </c>
      <c r="P137" s="13" t="s">
        <v>422</v>
      </c>
      <c r="Q137" s="13" t="s">
        <v>48</v>
      </c>
      <c r="R137" s="4">
        <v>3</v>
      </c>
      <c r="S137" s="13" t="s">
        <v>594</v>
      </c>
      <c r="T137" s="13">
        <v>160</v>
      </c>
      <c r="U137" s="4" t="s">
        <v>120</v>
      </c>
      <c r="V137" s="4">
        <v>450</v>
      </c>
      <c r="W137" s="4" t="s">
        <v>601</v>
      </c>
      <c r="X137" s="4" t="s">
        <v>603</v>
      </c>
      <c r="Y137" s="4">
        <v>13</v>
      </c>
      <c r="AA137" s="4" t="s">
        <v>49</v>
      </c>
      <c r="AB137" s="4" t="s">
        <v>677</v>
      </c>
      <c r="AC137" s="4" t="s">
        <v>49</v>
      </c>
      <c r="AD137" s="4">
        <v>0</v>
      </c>
      <c r="AE137" s="4" t="s">
        <v>49</v>
      </c>
      <c r="AF137" s="4">
        <v>0</v>
      </c>
      <c r="AG137" s="4" t="s">
        <v>786</v>
      </c>
      <c r="AH137" s="4" t="s">
        <v>704</v>
      </c>
      <c r="AI137" s="4" t="s">
        <v>78</v>
      </c>
      <c r="AJ137" s="13">
        <v>0</v>
      </c>
      <c r="AK137" s="13">
        <v>10</v>
      </c>
      <c r="AP137" s="13" t="s">
        <v>49</v>
      </c>
      <c r="AQ137" s="13" t="s">
        <v>49</v>
      </c>
      <c r="AR137" s="13" t="s">
        <v>49</v>
      </c>
      <c r="AS137" s="13" t="s">
        <v>50</v>
      </c>
      <c r="AT137" s="13" t="s">
        <v>991</v>
      </c>
      <c r="AU137" s="13" t="s">
        <v>997</v>
      </c>
      <c r="AV137" s="14">
        <f>0.06*10</f>
        <v>0.6</v>
      </c>
      <c r="AW137" s="14">
        <f>0.03*10</f>
        <v>0.3</v>
      </c>
      <c r="AX137" s="14">
        <f>Table1347456[[#This Row],[treatment_mean]]/Table1347456[[#This Row],[control_mean]]</f>
        <v>2</v>
      </c>
      <c r="AY137" s="14">
        <f>LN(Table1347456[[#This Row],[rr]])</f>
        <v>0.69314718055994529</v>
      </c>
      <c r="AZ137" s="13">
        <v>6</v>
      </c>
      <c r="BA137" s="13">
        <v>6</v>
      </c>
      <c r="BB137" s="14" t="s">
        <v>46</v>
      </c>
      <c r="BC137" s="14" t="s">
        <v>46</v>
      </c>
      <c r="BD137" s="15" t="s">
        <v>46</v>
      </c>
      <c r="BE137" s="14" t="s">
        <v>46</v>
      </c>
      <c r="BF13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37" s="17" t="s">
        <v>46</v>
      </c>
      <c r="BH137" s="13" t="s">
        <v>50</v>
      </c>
      <c r="BI137" s="13">
        <v>2.5000000000000001E-2</v>
      </c>
      <c r="BJ137" s="18">
        <f>ABS(_xlfn.NORM.S.INV(Table1347456[[#This Row],[p_value]]/2))</f>
        <v>2.2414027276049446</v>
      </c>
      <c r="BK137" s="19">
        <f>(Table1347456[[#This Row],[lnrr]]/Table1347456[[#This Row],[z_from_p]])^2</f>
        <v>9.5633737709131666E-2</v>
      </c>
      <c r="BL137" s="16">
        <f>Table1347456[[#This Row],[v_from_z_from_p]]</f>
        <v>9.5633737709131666E-2</v>
      </c>
      <c r="BM137" s="20">
        <f>SQRT(Table1347456[[#This Row],[v]])</f>
        <v>0.30924704963690708</v>
      </c>
      <c r="BN137" s="20">
        <f>Table1347456[[#This Row],[lnrr]]-(1.96*Table1347456[[#This Row],[se]])</f>
        <v>8.7022963271607412E-2</v>
      </c>
      <c r="BO137" s="20">
        <f>Table1347456[[#This Row],[lnrr]]+(1.96 * Table1347456[[#This Row],[se]])</f>
        <v>1.2992713978482833</v>
      </c>
    </row>
    <row r="138" spans="1:67">
      <c r="A138" s="13" t="s">
        <v>123</v>
      </c>
      <c r="B138" s="13" t="s">
        <v>124</v>
      </c>
      <c r="C138" s="13" t="s">
        <v>43</v>
      </c>
      <c r="D138" s="13" t="s">
        <v>125</v>
      </c>
      <c r="E138" s="13" t="s">
        <v>126</v>
      </c>
      <c r="F138" s="13" t="s">
        <v>587</v>
      </c>
      <c r="G138" s="13" t="s">
        <v>46</v>
      </c>
      <c r="H138" s="13">
        <f t="shared" ref="H138:H152" si="0">(18+27+14)/3</f>
        <v>19.666666666666668</v>
      </c>
      <c r="I138" s="13" t="s">
        <v>46</v>
      </c>
      <c r="K138" s="13" t="s">
        <v>829</v>
      </c>
      <c r="L138" s="13" t="s">
        <v>830</v>
      </c>
      <c r="N138" s="13" t="s">
        <v>121</v>
      </c>
      <c r="O138" s="13" t="s">
        <v>645</v>
      </c>
      <c r="P138" s="13" t="s">
        <v>85</v>
      </c>
      <c r="Q138" s="13" t="s">
        <v>48</v>
      </c>
      <c r="R138" s="4">
        <v>4</v>
      </c>
      <c r="S138" s="13" t="s">
        <v>596</v>
      </c>
      <c r="T138" s="13">
        <v>90</v>
      </c>
      <c r="U138" s="4" t="s">
        <v>127</v>
      </c>
      <c r="V138" s="4">
        <v>450</v>
      </c>
      <c r="W138" s="4" t="s">
        <v>601</v>
      </c>
      <c r="X138" s="4" t="s">
        <v>46</v>
      </c>
      <c r="Y138" s="4">
        <v>28</v>
      </c>
      <c r="Z138" s="4" t="s">
        <v>489</v>
      </c>
      <c r="AA138" s="4" t="s">
        <v>49</v>
      </c>
      <c r="AB138" s="4">
        <v>0</v>
      </c>
      <c r="AC138" s="4" t="s">
        <v>49</v>
      </c>
      <c r="AD138" s="4">
        <v>0</v>
      </c>
      <c r="AE138" s="4" t="s">
        <v>49</v>
      </c>
      <c r="AF138" s="4">
        <v>0</v>
      </c>
      <c r="AG138" s="4" t="s">
        <v>749</v>
      </c>
      <c r="AH138" s="4" t="s">
        <v>748</v>
      </c>
      <c r="AI138" s="4" t="s">
        <v>52</v>
      </c>
      <c r="AJ138" s="13">
        <v>0</v>
      </c>
      <c r="AK138" s="13">
        <v>20</v>
      </c>
      <c r="AL138" s="13" t="s">
        <v>479</v>
      </c>
      <c r="AN138" s="13" t="s">
        <v>490</v>
      </c>
      <c r="AP138" s="13" t="s">
        <v>49</v>
      </c>
      <c r="AQ138" s="13" t="s">
        <v>49</v>
      </c>
      <c r="AR138" s="13" t="s">
        <v>50</v>
      </c>
      <c r="AS138" s="13" t="s">
        <v>49</v>
      </c>
      <c r="AT138" s="13" t="s">
        <v>990</v>
      </c>
      <c r="AU138" s="13" t="s">
        <v>998</v>
      </c>
      <c r="AV138" s="14">
        <f>548.62/1000</f>
        <v>0.54862</v>
      </c>
      <c r="AW138" s="14">
        <f>569.67/1000</f>
        <v>0.56967000000000001</v>
      </c>
      <c r="AX138" s="14">
        <f>Table1347456[[#This Row],[treatment_mean]]/Table1347456[[#This Row],[control_mean]]</f>
        <v>0.96304878262853932</v>
      </c>
      <c r="AY138" s="14">
        <f>LN(Table1347456[[#This Row],[rr]])</f>
        <v>-3.7651211531891222E-2</v>
      </c>
      <c r="AZ138" s="13">
        <v>3</v>
      </c>
      <c r="BA138" s="13">
        <v>3</v>
      </c>
      <c r="BB138" s="14" t="s">
        <v>46</v>
      </c>
      <c r="BC138" s="14" t="s">
        <v>46</v>
      </c>
      <c r="BD138" s="15" t="s">
        <v>46</v>
      </c>
      <c r="BE138" s="14" t="s">
        <v>46</v>
      </c>
      <c r="BF13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38" s="17" t="s">
        <v>46</v>
      </c>
      <c r="BH138" s="13" t="s">
        <v>50</v>
      </c>
      <c r="BI138" s="13">
        <v>2.5000000000000001E-2</v>
      </c>
      <c r="BJ138" s="18">
        <f>ABS(_xlfn.NORM.S.INV(Table1347456[[#This Row],[p_value]]/2))</f>
        <v>2.2414027276049446</v>
      </c>
      <c r="BK138" s="19">
        <f>(Table1347456[[#This Row],[lnrr]]/Table1347456[[#This Row],[z_from_p]])^2</f>
        <v>2.8217473027128626E-4</v>
      </c>
      <c r="BL138" s="16">
        <f>Table1347456[[#This Row],[v_from_z_from_p]]</f>
        <v>2.8217473027128626E-4</v>
      </c>
      <c r="BM138" s="20">
        <f>SQRT(Table1347456[[#This Row],[v]])</f>
        <v>1.6798057336230469E-2</v>
      </c>
      <c r="BN138" s="20">
        <f>Table1347456[[#This Row],[lnrr]]-(1.96*Table1347456[[#This Row],[se]])</f>
        <v>-7.0575403910902945E-2</v>
      </c>
      <c r="BO138" s="20">
        <f>Table1347456[[#This Row],[lnrr]]+(1.96 * Table1347456[[#This Row],[se]])</f>
        <v>-4.7270191528795066E-3</v>
      </c>
    </row>
    <row r="139" spans="1:67">
      <c r="A139" s="13" t="s">
        <v>123</v>
      </c>
      <c r="B139" s="13" t="s">
        <v>124</v>
      </c>
      <c r="C139" s="13" t="s">
        <v>43</v>
      </c>
      <c r="D139" s="13" t="s">
        <v>125</v>
      </c>
      <c r="E139" s="13" t="s">
        <v>126</v>
      </c>
      <c r="F139" s="13" t="s">
        <v>587</v>
      </c>
      <c r="G139" s="13" t="s">
        <v>46</v>
      </c>
      <c r="H139" s="13">
        <f t="shared" si="0"/>
        <v>19.666666666666668</v>
      </c>
      <c r="I139" s="13" t="s">
        <v>46</v>
      </c>
      <c r="K139" s="13" t="s">
        <v>829</v>
      </c>
      <c r="L139" s="13" t="s">
        <v>830</v>
      </c>
      <c r="N139" s="13" t="s">
        <v>121</v>
      </c>
      <c r="O139" s="13" t="s">
        <v>645</v>
      </c>
      <c r="P139" s="13" t="s">
        <v>85</v>
      </c>
      <c r="Q139" s="13" t="s">
        <v>48</v>
      </c>
      <c r="R139" s="4">
        <v>4</v>
      </c>
      <c r="S139" s="13" t="s">
        <v>596</v>
      </c>
      <c r="T139" s="13">
        <v>90</v>
      </c>
      <c r="U139" s="4" t="s">
        <v>127</v>
      </c>
      <c r="V139" s="4">
        <v>450</v>
      </c>
      <c r="W139" s="4" t="s">
        <v>601</v>
      </c>
      <c r="X139" s="4" t="s">
        <v>46</v>
      </c>
      <c r="Y139" s="4">
        <v>56</v>
      </c>
      <c r="Z139" s="4" t="s">
        <v>491</v>
      </c>
      <c r="AA139" s="4" t="s">
        <v>49</v>
      </c>
      <c r="AB139" s="4">
        <v>0</v>
      </c>
      <c r="AC139" s="4" t="s">
        <v>49</v>
      </c>
      <c r="AD139" s="4">
        <v>0</v>
      </c>
      <c r="AE139" s="4" t="s">
        <v>49</v>
      </c>
      <c r="AF139" s="4">
        <v>0</v>
      </c>
      <c r="AG139" s="4" t="s">
        <v>749</v>
      </c>
      <c r="AH139" s="4" t="s">
        <v>748</v>
      </c>
      <c r="AI139" s="4" t="s">
        <v>52</v>
      </c>
      <c r="AJ139" s="13">
        <v>0</v>
      </c>
      <c r="AK139" s="13">
        <v>20</v>
      </c>
      <c r="AL139" s="13" t="s">
        <v>479</v>
      </c>
      <c r="AN139" s="13" t="s">
        <v>490</v>
      </c>
      <c r="AP139" s="13" t="s">
        <v>49</v>
      </c>
      <c r="AQ139" s="13" t="s">
        <v>49</v>
      </c>
      <c r="AR139" s="13" t="s">
        <v>50</v>
      </c>
      <c r="AS139" s="13" t="s">
        <v>49</v>
      </c>
      <c r="AT139" s="13" t="s">
        <v>990</v>
      </c>
      <c r="AU139" s="13" t="s">
        <v>998</v>
      </c>
      <c r="AV139" s="14">
        <f>580.18/1000</f>
        <v>0.58017999999999992</v>
      </c>
      <c r="AW139" s="14">
        <f>569.67/1000</f>
        <v>0.56967000000000001</v>
      </c>
      <c r="AX139" s="14">
        <f>Table1347456[[#This Row],[treatment_mean]]/Table1347456[[#This Row],[control_mean]]</f>
        <v>1.0184492776519738</v>
      </c>
      <c r="AY139" s="14">
        <f>LN(Table1347456[[#This Row],[rr]])</f>
        <v>1.8281154415621146E-2</v>
      </c>
      <c r="AZ139" s="13">
        <v>3</v>
      </c>
      <c r="BA139" s="13">
        <v>3</v>
      </c>
      <c r="BB139" s="14" t="s">
        <v>46</v>
      </c>
      <c r="BC139" s="14" t="s">
        <v>46</v>
      </c>
      <c r="BD139" s="15" t="s">
        <v>46</v>
      </c>
      <c r="BE139" s="14" t="s">
        <v>46</v>
      </c>
      <c r="BF13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39" s="17" t="s">
        <v>46</v>
      </c>
      <c r="BH139" s="13" t="s">
        <v>50</v>
      </c>
      <c r="BI139" s="13">
        <v>2.5000000000000001E-2</v>
      </c>
      <c r="BJ139" s="18">
        <f>ABS(_xlfn.NORM.S.INV(Table1347456[[#This Row],[p_value]]/2))</f>
        <v>2.2414027276049446</v>
      </c>
      <c r="BK139" s="19">
        <f>(Table1347456[[#This Row],[lnrr]]/Table1347456[[#This Row],[z_from_p]])^2</f>
        <v>6.652232839422754E-5</v>
      </c>
      <c r="BL139" s="16">
        <f>Table1347456[[#This Row],[v_from_z_from_p]]</f>
        <v>6.652232839422754E-5</v>
      </c>
      <c r="BM139" s="20">
        <f>SQRT(Table1347456[[#This Row],[v]])</f>
        <v>8.1561221419389953E-3</v>
      </c>
      <c r="BN139" s="20">
        <f>Table1347456[[#This Row],[lnrr]]-(1.96*Table1347456[[#This Row],[se]])</f>
        <v>2.2951550174207143E-3</v>
      </c>
      <c r="BO139" s="20">
        <f>Table1347456[[#This Row],[lnrr]]+(1.96 * Table1347456[[#This Row],[se]])</f>
        <v>3.4267153813821574E-2</v>
      </c>
    </row>
    <row r="140" spans="1:67">
      <c r="A140" s="13" t="s">
        <v>123</v>
      </c>
      <c r="B140" s="13" t="s">
        <v>124</v>
      </c>
      <c r="C140" s="13" t="s">
        <v>43</v>
      </c>
      <c r="D140" s="13" t="s">
        <v>125</v>
      </c>
      <c r="E140" s="13" t="s">
        <v>126</v>
      </c>
      <c r="F140" s="13" t="s">
        <v>587</v>
      </c>
      <c r="G140" s="13" t="s">
        <v>46</v>
      </c>
      <c r="H140" s="13">
        <f t="shared" si="0"/>
        <v>19.666666666666668</v>
      </c>
      <c r="I140" s="13" t="s">
        <v>46</v>
      </c>
      <c r="K140" s="13" t="s">
        <v>829</v>
      </c>
      <c r="L140" s="13" t="s">
        <v>830</v>
      </c>
      <c r="N140" s="13" t="s">
        <v>121</v>
      </c>
      <c r="O140" s="13" t="s">
        <v>645</v>
      </c>
      <c r="P140" s="13" t="s">
        <v>85</v>
      </c>
      <c r="Q140" s="13" t="s">
        <v>48</v>
      </c>
      <c r="R140" s="4">
        <v>4</v>
      </c>
      <c r="S140" s="13" t="s">
        <v>596</v>
      </c>
      <c r="T140" s="13">
        <v>90</v>
      </c>
      <c r="U140" s="4" t="s">
        <v>127</v>
      </c>
      <c r="V140" s="4">
        <v>450</v>
      </c>
      <c r="W140" s="4" t="s">
        <v>601</v>
      </c>
      <c r="X140" s="4" t="s">
        <v>46</v>
      </c>
      <c r="Y140" s="4">
        <v>112</v>
      </c>
      <c r="Z140" s="4" t="s">
        <v>492</v>
      </c>
      <c r="AA140" s="4" t="s">
        <v>49</v>
      </c>
      <c r="AB140" s="4">
        <v>0</v>
      </c>
      <c r="AC140" s="4" t="s">
        <v>49</v>
      </c>
      <c r="AD140" s="4">
        <v>0</v>
      </c>
      <c r="AE140" s="4" t="s">
        <v>49</v>
      </c>
      <c r="AF140" s="4">
        <v>0</v>
      </c>
      <c r="AG140" s="4" t="s">
        <v>749</v>
      </c>
      <c r="AH140" s="4" t="s">
        <v>748</v>
      </c>
      <c r="AI140" s="4" t="s">
        <v>52</v>
      </c>
      <c r="AJ140" s="13">
        <v>0</v>
      </c>
      <c r="AK140" s="13">
        <v>20</v>
      </c>
      <c r="AL140" s="13" t="s">
        <v>479</v>
      </c>
      <c r="AN140" s="13" t="s">
        <v>490</v>
      </c>
      <c r="AP140" s="13" t="s">
        <v>49</v>
      </c>
      <c r="AQ140" s="13" t="s">
        <v>49</v>
      </c>
      <c r="AR140" s="13" t="s">
        <v>50</v>
      </c>
      <c r="AS140" s="13" t="s">
        <v>49</v>
      </c>
      <c r="AT140" s="13" t="s">
        <v>990</v>
      </c>
      <c r="AU140" s="13" t="s">
        <v>998</v>
      </c>
      <c r="AV140" s="14">
        <f>611.72/1000</f>
        <v>0.61172000000000004</v>
      </c>
      <c r="AW140" s="14">
        <f>569.67/1000</f>
        <v>0.56967000000000001</v>
      </c>
      <c r="AX140" s="14">
        <f>Table1347456[[#This Row],[treatment_mean]]/Table1347456[[#This Row],[control_mean]]</f>
        <v>1.0738146646304001</v>
      </c>
      <c r="AY140" s="14">
        <f>LN(Table1347456[[#This Row],[rr]])</f>
        <v>7.1217415674487514E-2</v>
      </c>
      <c r="AZ140" s="13">
        <v>3</v>
      </c>
      <c r="BA140" s="13">
        <v>3</v>
      </c>
      <c r="BB140" s="14" t="s">
        <v>46</v>
      </c>
      <c r="BC140" s="14" t="s">
        <v>46</v>
      </c>
      <c r="BD140" s="15" t="s">
        <v>46</v>
      </c>
      <c r="BE140" s="14" t="s">
        <v>46</v>
      </c>
      <c r="BF14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40" s="17" t="s">
        <v>46</v>
      </c>
      <c r="BH140" s="13" t="s">
        <v>50</v>
      </c>
      <c r="BI140" s="13">
        <v>2.5000000000000001E-2</v>
      </c>
      <c r="BJ140" s="18">
        <f>ABS(_xlfn.NORM.S.INV(Table1347456[[#This Row],[p_value]]/2))</f>
        <v>2.2414027276049446</v>
      </c>
      <c r="BK140" s="19">
        <f>(Table1347456[[#This Row],[lnrr]]/Table1347456[[#This Row],[z_from_p]])^2</f>
        <v>1.0095611457439338E-3</v>
      </c>
      <c r="BL140" s="16">
        <f>Table1347456[[#This Row],[v_from_z_from_p]]</f>
        <v>1.0095611457439338E-3</v>
      </c>
      <c r="BM140" s="20">
        <f>SQRT(Table1347456[[#This Row],[v]])</f>
        <v>3.1773591955331928E-2</v>
      </c>
      <c r="BN140" s="20">
        <f>Table1347456[[#This Row],[lnrr]]-(1.96*Table1347456[[#This Row],[se]])</f>
        <v>8.9411754420369374E-3</v>
      </c>
      <c r="BO140" s="20">
        <f>Table1347456[[#This Row],[lnrr]]+(1.96 * Table1347456[[#This Row],[se]])</f>
        <v>0.1334936559069381</v>
      </c>
    </row>
    <row r="141" spans="1:67">
      <c r="A141" s="13" t="s">
        <v>123</v>
      </c>
      <c r="B141" s="13" t="s">
        <v>124</v>
      </c>
      <c r="C141" s="13" t="s">
        <v>43</v>
      </c>
      <c r="D141" s="13" t="s">
        <v>125</v>
      </c>
      <c r="E141" s="13" t="s">
        <v>126</v>
      </c>
      <c r="F141" s="13" t="s">
        <v>587</v>
      </c>
      <c r="G141" s="13" t="s">
        <v>46</v>
      </c>
      <c r="H141" s="13">
        <f t="shared" si="0"/>
        <v>19.666666666666668</v>
      </c>
      <c r="I141" s="13" t="s">
        <v>46</v>
      </c>
      <c r="J141" s="13" t="s">
        <v>651</v>
      </c>
      <c r="K141" s="13" t="s">
        <v>829</v>
      </c>
      <c r="L141" s="13" t="s">
        <v>830</v>
      </c>
      <c r="M141" s="13" t="s">
        <v>659</v>
      </c>
      <c r="N141" s="13" t="s">
        <v>84</v>
      </c>
      <c r="O141" s="13" t="s">
        <v>644</v>
      </c>
      <c r="P141" s="13" t="s">
        <v>85</v>
      </c>
      <c r="Q141" s="13" t="s">
        <v>48</v>
      </c>
      <c r="R141" s="4">
        <v>4</v>
      </c>
      <c r="S141" s="13" t="s">
        <v>596</v>
      </c>
      <c r="T141" s="13">
        <v>90</v>
      </c>
      <c r="U141" s="4" t="s">
        <v>127</v>
      </c>
      <c r="V141" s="4">
        <v>450</v>
      </c>
      <c r="W141" s="4" t="s">
        <v>601</v>
      </c>
      <c r="X141" s="4" t="s">
        <v>46</v>
      </c>
      <c r="Y141" s="4">
        <v>28</v>
      </c>
      <c r="Z141" s="4" t="s">
        <v>489</v>
      </c>
      <c r="AA141" s="4" t="s">
        <v>49</v>
      </c>
      <c r="AB141" s="4">
        <v>0</v>
      </c>
      <c r="AC141" s="4" t="s">
        <v>49</v>
      </c>
      <c r="AD141" s="4">
        <v>0</v>
      </c>
      <c r="AE141" s="4" t="s">
        <v>49</v>
      </c>
      <c r="AF141" s="4">
        <v>0</v>
      </c>
      <c r="AG141" s="4" t="s">
        <v>749</v>
      </c>
      <c r="AH141" s="4" t="s">
        <v>748</v>
      </c>
      <c r="AI141" s="4" t="s">
        <v>52</v>
      </c>
      <c r="AJ141" s="13">
        <v>0</v>
      </c>
      <c r="AK141" s="13">
        <v>20</v>
      </c>
      <c r="AL141" s="13" t="s">
        <v>479</v>
      </c>
      <c r="AN141" s="13" t="s">
        <v>490</v>
      </c>
      <c r="AP141" s="13" t="s">
        <v>49</v>
      </c>
      <c r="AQ141" s="13" t="s">
        <v>49</v>
      </c>
      <c r="AR141" s="13" t="s">
        <v>50</v>
      </c>
      <c r="AS141" s="13" t="s">
        <v>49</v>
      </c>
      <c r="AT141" s="13" t="s">
        <v>990</v>
      </c>
      <c r="AU141" s="13" t="s">
        <v>998</v>
      </c>
      <c r="AV141" s="23">
        <f>19.33/1000</f>
        <v>1.933E-2</v>
      </c>
      <c r="AW141" s="23">
        <f>18.43/1000</f>
        <v>1.8429999999999998E-2</v>
      </c>
      <c r="AX141" s="14">
        <f>Table1347456[[#This Row],[treatment_mean]]/Table1347456[[#This Row],[control_mean]]</f>
        <v>1.0488334237655996</v>
      </c>
      <c r="AY141" s="14">
        <f>LN(Table1347456[[#This Row],[rr]])</f>
        <v>4.767852153850767E-2</v>
      </c>
      <c r="AZ141" s="13">
        <v>3</v>
      </c>
      <c r="BA141" s="13">
        <v>3</v>
      </c>
      <c r="BB141" s="14" t="s">
        <v>46</v>
      </c>
      <c r="BC141" s="14" t="s">
        <v>46</v>
      </c>
      <c r="BD141" s="15" t="s">
        <v>46</v>
      </c>
      <c r="BE141" s="14" t="s">
        <v>46</v>
      </c>
      <c r="BF14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41" s="17" t="s">
        <v>46</v>
      </c>
      <c r="BH141" s="13" t="s">
        <v>50</v>
      </c>
      <c r="BI141" s="13">
        <v>2.5000000000000001E-2</v>
      </c>
      <c r="BJ141" s="18">
        <f>ABS(_xlfn.NORM.S.INV(Table1347456[[#This Row],[p_value]]/2))</f>
        <v>2.2414027276049446</v>
      </c>
      <c r="BK141" s="19">
        <f>(Table1347456[[#This Row],[lnrr]]/Table1347456[[#This Row],[z_from_p]])^2</f>
        <v>4.5248664705776673E-4</v>
      </c>
      <c r="BL141" s="16">
        <f>Table1347456[[#This Row],[v_from_z_from_p]]</f>
        <v>4.5248664705776673E-4</v>
      </c>
      <c r="BM141" s="20">
        <f>SQRT(Table1347456[[#This Row],[v]])</f>
        <v>2.1271733522629666E-2</v>
      </c>
      <c r="BN141" s="20">
        <f>Table1347456[[#This Row],[lnrr]]-(1.96*Table1347456[[#This Row],[se]])</f>
        <v>5.9859238341535281E-3</v>
      </c>
      <c r="BO141" s="20">
        <f>Table1347456[[#This Row],[lnrr]]+(1.96 * Table1347456[[#This Row],[se]])</f>
        <v>8.9371119242861813E-2</v>
      </c>
    </row>
    <row r="142" spans="1:67">
      <c r="A142" s="13" t="s">
        <v>123</v>
      </c>
      <c r="B142" s="13" t="s">
        <v>124</v>
      </c>
      <c r="C142" s="13" t="s">
        <v>43</v>
      </c>
      <c r="D142" s="13" t="s">
        <v>125</v>
      </c>
      <c r="E142" s="13" t="s">
        <v>126</v>
      </c>
      <c r="F142" s="13" t="s">
        <v>587</v>
      </c>
      <c r="G142" s="13" t="s">
        <v>46</v>
      </c>
      <c r="H142" s="13">
        <f t="shared" si="0"/>
        <v>19.666666666666668</v>
      </c>
      <c r="I142" s="13" t="s">
        <v>46</v>
      </c>
      <c r="J142" s="13" t="s">
        <v>651</v>
      </c>
      <c r="K142" s="13" t="s">
        <v>829</v>
      </c>
      <c r="L142" s="13" t="s">
        <v>830</v>
      </c>
      <c r="M142" s="13" t="s">
        <v>659</v>
      </c>
      <c r="N142" s="13" t="s">
        <v>84</v>
      </c>
      <c r="O142" s="13" t="s">
        <v>644</v>
      </c>
      <c r="P142" s="13" t="s">
        <v>85</v>
      </c>
      <c r="Q142" s="13" t="s">
        <v>48</v>
      </c>
      <c r="R142" s="4">
        <v>4</v>
      </c>
      <c r="S142" s="13" t="s">
        <v>596</v>
      </c>
      <c r="T142" s="13">
        <v>90</v>
      </c>
      <c r="U142" s="4" t="s">
        <v>127</v>
      </c>
      <c r="V142" s="4">
        <v>450</v>
      </c>
      <c r="W142" s="4" t="s">
        <v>601</v>
      </c>
      <c r="X142" s="4" t="s">
        <v>46</v>
      </c>
      <c r="Y142" s="4">
        <v>56</v>
      </c>
      <c r="Z142" s="4" t="s">
        <v>491</v>
      </c>
      <c r="AA142" s="4" t="s">
        <v>49</v>
      </c>
      <c r="AB142" s="4">
        <v>0</v>
      </c>
      <c r="AC142" s="4" t="s">
        <v>49</v>
      </c>
      <c r="AD142" s="4">
        <v>0</v>
      </c>
      <c r="AE142" s="4" t="s">
        <v>49</v>
      </c>
      <c r="AF142" s="4">
        <v>0</v>
      </c>
      <c r="AG142" s="4" t="s">
        <v>749</v>
      </c>
      <c r="AH142" s="4" t="s">
        <v>748</v>
      </c>
      <c r="AI142" s="4" t="s">
        <v>52</v>
      </c>
      <c r="AJ142" s="13">
        <v>0</v>
      </c>
      <c r="AK142" s="13">
        <v>20</v>
      </c>
      <c r="AL142" s="13" t="s">
        <v>479</v>
      </c>
      <c r="AN142" s="13" t="s">
        <v>490</v>
      </c>
      <c r="AP142" s="13" t="s">
        <v>49</v>
      </c>
      <c r="AQ142" s="13" t="s">
        <v>49</v>
      </c>
      <c r="AR142" s="13" t="s">
        <v>50</v>
      </c>
      <c r="AS142" s="13" t="s">
        <v>49</v>
      </c>
      <c r="AT142" s="13" t="s">
        <v>990</v>
      </c>
      <c r="AU142" s="13" t="s">
        <v>998</v>
      </c>
      <c r="AV142" s="23">
        <f>21.76/1000</f>
        <v>2.1760000000000002E-2</v>
      </c>
      <c r="AW142" s="23">
        <f>18.43/1000</f>
        <v>1.8429999999999998E-2</v>
      </c>
      <c r="AX142" s="14">
        <f>Table1347456[[#This Row],[treatment_mean]]/Table1347456[[#This Row],[control_mean]]</f>
        <v>1.1806836679327186</v>
      </c>
      <c r="AY142" s="14">
        <f>LN(Table1347456[[#This Row],[rr]])</f>
        <v>0.16609365030601014</v>
      </c>
      <c r="AZ142" s="13">
        <v>3</v>
      </c>
      <c r="BA142" s="13">
        <v>3</v>
      </c>
      <c r="BB142" s="14" t="s">
        <v>46</v>
      </c>
      <c r="BC142" s="14" t="s">
        <v>46</v>
      </c>
      <c r="BD142" s="15" t="s">
        <v>46</v>
      </c>
      <c r="BE142" s="14" t="s">
        <v>46</v>
      </c>
      <c r="BF14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42" s="17" t="s">
        <v>46</v>
      </c>
      <c r="BH142" s="13" t="s">
        <v>50</v>
      </c>
      <c r="BI142" s="13">
        <v>2.5000000000000001E-2</v>
      </c>
      <c r="BJ142" s="18">
        <f>ABS(_xlfn.NORM.S.INV(Table1347456[[#This Row],[p_value]]/2))</f>
        <v>2.2414027276049446</v>
      </c>
      <c r="BK142" s="19">
        <f>(Table1347456[[#This Row],[lnrr]]/Table1347456[[#This Row],[z_from_p]])^2</f>
        <v>5.4911874280973022E-3</v>
      </c>
      <c r="BL142" s="16">
        <f>Table1347456[[#This Row],[v_from_z_from_p]]</f>
        <v>5.4911874280973022E-3</v>
      </c>
      <c r="BM142" s="20">
        <f>SQRT(Table1347456[[#This Row],[v]])</f>
        <v>7.4102546704531702E-2</v>
      </c>
      <c r="BN142" s="20">
        <f>Table1347456[[#This Row],[lnrr]]-(1.96*Table1347456[[#This Row],[se]])</f>
        <v>2.0852658765128013E-2</v>
      </c>
      <c r="BO142" s="20">
        <f>Table1347456[[#This Row],[lnrr]]+(1.96 * Table1347456[[#This Row],[se]])</f>
        <v>0.3113346418468923</v>
      </c>
    </row>
    <row r="143" spans="1:67">
      <c r="A143" s="13" t="s">
        <v>123</v>
      </c>
      <c r="B143" s="13" t="s">
        <v>124</v>
      </c>
      <c r="C143" s="13" t="s">
        <v>43</v>
      </c>
      <c r="D143" s="13" t="s">
        <v>125</v>
      </c>
      <c r="E143" s="13" t="s">
        <v>126</v>
      </c>
      <c r="F143" s="13" t="s">
        <v>587</v>
      </c>
      <c r="G143" s="13" t="s">
        <v>46</v>
      </c>
      <c r="H143" s="13">
        <f t="shared" si="0"/>
        <v>19.666666666666668</v>
      </c>
      <c r="I143" s="13" t="s">
        <v>46</v>
      </c>
      <c r="J143" s="13" t="s">
        <v>651</v>
      </c>
      <c r="K143" s="13" t="s">
        <v>829</v>
      </c>
      <c r="L143" s="13" t="s">
        <v>830</v>
      </c>
      <c r="M143" s="13" t="s">
        <v>659</v>
      </c>
      <c r="N143" s="13" t="s">
        <v>84</v>
      </c>
      <c r="O143" s="13" t="s">
        <v>644</v>
      </c>
      <c r="P143" s="13" t="s">
        <v>85</v>
      </c>
      <c r="Q143" s="13" t="s">
        <v>48</v>
      </c>
      <c r="R143" s="4">
        <v>4</v>
      </c>
      <c r="S143" s="13" t="s">
        <v>596</v>
      </c>
      <c r="T143" s="13">
        <v>90</v>
      </c>
      <c r="U143" s="4" t="s">
        <v>127</v>
      </c>
      <c r="V143" s="4">
        <v>450</v>
      </c>
      <c r="W143" s="4" t="s">
        <v>601</v>
      </c>
      <c r="X143" s="4" t="s">
        <v>46</v>
      </c>
      <c r="Y143" s="4">
        <v>112</v>
      </c>
      <c r="Z143" s="4" t="s">
        <v>492</v>
      </c>
      <c r="AA143" s="4" t="s">
        <v>49</v>
      </c>
      <c r="AB143" s="4">
        <v>0</v>
      </c>
      <c r="AC143" s="4" t="s">
        <v>49</v>
      </c>
      <c r="AD143" s="4">
        <v>0</v>
      </c>
      <c r="AE143" s="4" t="s">
        <v>49</v>
      </c>
      <c r="AF143" s="4">
        <v>0</v>
      </c>
      <c r="AG143" s="4" t="s">
        <v>749</v>
      </c>
      <c r="AH143" s="4" t="s">
        <v>748</v>
      </c>
      <c r="AI143" s="4" t="s">
        <v>52</v>
      </c>
      <c r="AJ143" s="13">
        <v>0</v>
      </c>
      <c r="AK143" s="13">
        <v>20</v>
      </c>
      <c r="AL143" s="13" t="s">
        <v>479</v>
      </c>
      <c r="AN143" s="13" t="s">
        <v>490</v>
      </c>
      <c r="AP143" s="13" t="s">
        <v>49</v>
      </c>
      <c r="AQ143" s="13" t="s">
        <v>49</v>
      </c>
      <c r="AR143" s="13" t="s">
        <v>50</v>
      </c>
      <c r="AS143" s="13" t="s">
        <v>49</v>
      </c>
      <c r="AT143" s="13" t="s">
        <v>990</v>
      </c>
      <c r="AU143" s="13" t="s">
        <v>998</v>
      </c>
      <c r="AV143" s="23">
        <f>23.98/1000</f>
        <v>2.3980000000000001E-2</v>
      </c>
      <c r="AW143" s="23">
        <f>18.43/1000</f>
        <v>1.8429999999999998E-2</v>
      </c>
      <c r="AX143" s="14">
        <f>Table1347456[[#This Row],[treatment_mean]]/Table1347456[[#This Row],[control_mean]]</f>
        <v>1.3011394465545307</v>
      </c>
      <c r="AY143" s="14">
        <f>LN(Table1347456[[#This Row],[rr]])</f>
        <v>0.26324037791763633</v>
      </c>
      <c r="AZ143" s="13">
        <v>3</v>
      </c>
      <c r="BA143" s="13">
        <v>3</v>
      </c>
      <c r="BB143" s="14" t="s">
        <v>46</v>
      </c>
      <c r="BC143" s="14" t="s">
        <v>46</v>
      </c>
      <c r="BD143" s="15" t="s">
        <v>46</v>
      </c>
      <c r="BE143" s="14" t="s">
        <v>46</v>
      </c>
      <c r="BF14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43" s="17" t="s">
        <v>46</v>
      </c>
      <c r="BH143" s="13" t="s">
        <v>50</v>
      </c>
      <c r="BI143" s="13">
        <v>2.5000000000000001E-2</v>
      </c>
      <c r="BJ143" s="18">
        <f>ABS(_xlfn.NORM.S.INV(Table1347456[[#This Row],[p_value]]/2))</f>
        <v>2.2414027276049446</v>
      </c>
      <c r="BK143" s="19">
        <f>(Table1347456[[#This Row],[lnrr]]/Table1347456[[#This Row],[z_from_p]])^2</f>
        <v>1.3793205893315893E-2</v>
      </c>
      <c r="BL143" s="16">
        <f>Table1347456[[#This Row],[v_from_z_from_p]]</f>
        <v>1.3793205893315893E-2</v>
      </c>
      <c r="BM143" s="20">
        <f>SQRT(Table1347456[[#This Row],[v]])</f>
        <v>0.11744448004617285</v>
      </c>
      <c r="BN143" s="20">
        <f>Table1347456[[#This Row],[lnrr]]-(1.96*Table1347456[[#This Row],[se]])</f>
        <v>3.3049197027137545E-2</v>
      </c>
      <c r="BO143" s="20">
        <f>Table1347456[[#This Row],[lnrr]]+(1.96 * Table1347456[[#This Row],[se]])</f>
        <v>0.49343155880813511</v>
      </c>
    </row>
    <row r="144" spans="1:67">
      <c r="A144" s="13" t="s">
        <v>123</v>
      </c>
      <c r="B144" s="13" t="s">
        <v>124</v>
      </c>
      <c r="C144" s="13" t="s">
        <v>43</v>
      </c>
      <c r="D144" s="13" t="s">
        <v>125</v>
      </c>
      <c r="E144" s="13" t="s">
        <v>126</v>
      </c>
      <c r="F144" s="13" t="s">
        <v>587</v>
      </c>
      <c r="G144" s="13" t="s">
        <v>46</v>
      </c>
      <c r="H144" s="13">
        <f t="shared" si="0"/>
        <v>19.666666666666668</v>
      </c>
      <c r="I144" s="13" t="s">
        <v>46</v>
      </c>
      <c r="K144" s="13" t="s">
        <v>829</v>
      </c>
      <c r="L144" s="13" t="s">
        <v>830</v>
      </c>
      <c r="N144" s="13" t="s">
        <v>47</v>
      </c>
      <c r="O144" s="13" t="s">
        <v>645</v>
      </c>
      <c r="P144" s="13" t="s">
        <v>48</v>
      </c>
      <c r="Q144" s="13" t="s">
        <v>48</v>
      </c>
      <c r="R144" s="4">
        <v>4</v>
      </c>
      <c r="S144" s="13" t="s">
        <v>596</v>
      </c>
      <c r="T144" s="13">
        <v>90</v>
      </c>
      <c r="U144" s="4" t="s">
        <v>127</v>
      </c>
      <c r="V144" s="4">
        <v>450</v>
      </c>
      <c r="W144" s="4" t="s">
        <v>601</v>
      </c>
      <c r="X144" s="4" t="s">
        <v>46</v>
      </c>
      <c r="Y144" s="4">
        <v>28</v>
      </c>
      <c r="Z144" s="4" t="s">
        <v>489</v>
      </c>
      <c r="AA144" s="4" t="s">
        <v>49</v>
      </c>
      <c r="AB144" s="4">
        <v>0</v>
      </c>
      <c r="AC144" s="4" t="s">
        <v>49</v>
      </c>
      <c r="AD144" s="4">
        <v>0</v>
      </c>
      <c r="AE144" s="4" t="s">
        <v>49</v>
      </c>
      <c r="AF144" s="4">
        <v>0</v>
      </c>
      <c r="AG144" s="4" t="s">
        <v>749</v>
      </c>
      <c r="AH144" s="4" t="s">
        <v>748</v>
      </c>
      <c r="AI144" s="4" t="s">
        <v>52</v>
      </c>
      <c r="AJ144" s="13">
        <v>0</v>
      </c>
      <c r="AK144" s="13">
        <v>20</v>
      </c>
      <c r="AL144" s="13" t="s">
        <v>479</v>
      </c>
      <c r="AN144" s="13" t="s">
        <v>490</v>
      </c>
      <c r="AP144" s="13" t="s">
        <v>49</v>
      </c>
      <c r="AQ144" s="13" t="s">
        <v>49</v>
      </c>
      <c r="AR144" s="13" t="s">
        <v>50</v>
      </c>
      <c r="AS144" s="13" t="s">
        <v>49</v>
      </c>
      <c r="AT144" s="13" t="s">
        <v>990</v>
      </c>
      <c r="AU144" s="13" t="s">
        <v>998</v>
      </c>
      <c r="AV144" s="14">
        <v>0.15</v>
      </c>
      <c r="AW144" s="14">
        <v>0.21</v>
      </c>
      <c r="AX144" s="14">
        <f>Table1347456[[#This Row],[treatment_mean]]/Table1347456[[#This Row],[control_mean]]</f>
        <v>0.7142857142857143</v>
      </c>
      <c r="AY144" s="14">
        <f>LN(Table1347456[[#This Row],[rr]])</f>
        <v>-0.33647223662121289</v>
      </c>
      <c r="AZ144" s="13">
        <v>3</v>
      </c>
      <c r="BA144" s="13">
        <v>3</v>
      </c>
      <c r="BB144" s="14" t="s">
        <v>46</v>
      </c>
      <c r="BC144" s="14" t="s">
        <v>46</v>
      </c>
      <c r="BD144" s="15" t="s">
        <v>46</v>
      </c>
      <c r="BE144" s="14" t="s">
        <v>46</v>
      </c>
      <c r="BF14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44" s="17" t="s">
        <v>46</v>
      </c>
      <c r="BH144" s="13" t="s">
        <v>50</v>
      </c>
      <c r="BI144" s="13">
        <v>2.5000000000000001E-2</v>
      </c>
      <c r="BJ144" s="18">
        <f>ABS(_xlfn.NORM.S.INV(Table1347456[[#This Row],[p_value]]/2))</f>
        <v>2.2414027276049446</v>
      </c>
      <c r="BK144" s="19">
        <f>(Table1347456[[#This Row],[lnrr]]/Table1347456[[#This Row],[z_from_p]])^2</f>
        <v>2.2535057880638549E-2</v>
      </c>
      <c r="BL144" s="16">
        <f>Table1347456[[#This Row],[v_from_z_from_p]]</f>
        <v>2.2535057880638549E-2</v>
      </c>
      <c r="BM144" s="20">
        <f>SQRT(Table1347456[[#This Row],[v]])</f>
        <v>0.15011681411700206</v>
      </c>
      <c r="BN144" s="20">
        <f>Table1347456[[#This Row],[lnrr]]-(1.96*Table1347456[[#This Row],[se]])</f>
        <v>-0.630701192290537</v>
      </c>
      <c r="BO144" s="20">
        <f>Table1347456[[#This Row],[lnrr]]+(1.96 * Table1347456[[#This Row],[se]])</f>
        <v>-4.224328095188884E-2</v>
      </c>
    </row>
    <row r="145" spans="1:67">
      <c r="A145" s="13" t="s">
        <v>123</v>
      </c>
      <c r="B145" s="13" t="s">
        <v>124</v>
      </c>
      <c r="C145" s="13" t="s">
        <v>43</v>
      </c>
      <c r="D145" s="13" t="s">
        <v>125</v>
      </c>
      <c r="E145" s="13" t="s">
        <v>126</v>
      </c>
      <c r="F145" s="13" t="s">
        <v>587</v>
      </c>
      <c r="G145" s="13" t="s">
        <v>46</v>
      </c>
      <c r="H145" s="13">
        <f t="shared" si="0"/>
        <v>19.666666666666668</v>
      </c>
      <c r="I145" s="13" t="s">
        <v>46</v>
      </c>
      <c r="K145" s="13" t="s">
        <v>829</v>
      </c>
      <c r="L145" s="13" t="s">
        <v>830</v>
      </c>
      <c r="N145" s="13" t="s">
        <v>47</v>
      </c>
      <c r="O145" s="13" t="s">
        <v>645</v>
      </c>
      <c r="P145" s="13" t="s">
        <v>48</v>
      </c>
      <c r="Q145" s="13" t="s">
        <v>48</v>
      </c>
      <c r="R145" s="4">
        <v>4</v>
      </c>
      <c r="S145" s="13" t="s">
        <v>596</v>
      </c>
      <c r="T145" s="13">
        <v>90</v>
      </c>
      <c r="U145" s="4" t="s">
        <v>127</v>
      </c>
      <c r="V145" s="4">
        <v>450</v>
      </c>
      <c r="W145" s="4" t="s">
        <v>601</v>
      </c>
      <c r="X145" s="4" t="s">
        <v>46</v>
      </c>
      <c r="Y145" s="4">
        <v>56</v>
      </c>
      <c r="Z145" s="4" t="s">
        <v>491</v>
      </c>
      <c r="AA145" s="4" t="s">
        <v>49</v>
      </c>
      <c r="AB145" s="4">
        <v>0</v>
      </c>
      <c r="AC145" s="4" t="s">
        <v>49</v>
      </c>
      <c r="AD145" s="4">
        <v>0</v>
      </c>
      <c r="AE145" s="4" t="s">
        <v>49</v>
      </c>
      <c r="AF145" s="4">
        <v>0</v>
      </c>
      <c r="AG145" s="4" t="s">
        <v>749</v>
      </c>
      <c r="AH145" s="4" t="s">
        <v>748</v>
      </c>
      <c r="AI145" s="4" t="s">
        <v>52</v>
      </c>
      <c r="AJ145" s="13">
        <v>0</v>
      </c>
      <c r="AK145" s="13">
        <v>20</v>
      </c>
      <c r="AL145" s="13" t="s">
        <v>479</v>
      </c>
      <c r="AN145" s="13" t="s">
        <v>490</v>
      </c>
      <c r="AP145" s="13" t="s">
        <v>49</v>
      </c>
      <c r="AQ145" s="13" t="s">
        <v>49</v>
      </c>
      <c r="AR145" s="13" t="s">
        <v>50</v>
      </c>
      <c r="AS145" s="13" t="s">
        <v>49</v>
      </c>
      <c r="AT145" s="13" t="s">
        <v>990</v>
      </c>
      <c r="AU145" s="13" t="s">
        <v>998</v>
      </c>
      <c r="AV145" s="14">
        <v>0.95</v>
      </c>
      <c r="AW145" s="14">
        <v>0.21</v>
      </c>
      <c r="AX145" s="14">
        <f>Table1347456[[#This Row],[treatment_mean]]/Table1347456[[#This Row],[control_mean]]</f>
        <v>4.5238095238095237</v>
      </c>
      <c r="AY145" s="14">
        <f>LN(Table1347456[[#This Row],[rr]])</f>
        <v>1.5093544538771178</v>
      </c>
      <c r="AZ145" s="13">
        <v>3</v>
      </c>
      <c r="BA145" s="13">
        <v>3</v>
      </c>
      <c r="BB145" s="14" t="s">
        <v>46</v>
      </c>
      <c r="BC145" s="14" t="s">
        <v>46</v>
      </c>
      <c r="BD145" s="15" t="s">
        <v>46</v>
      </c>
      <c r="BE145" s="14" t="s">
        <v>46</v>
      </c>
      <c r="BF14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45" s="17" t="s">
        <v>46</v>
      </c>
      <c r="BH145" s="13" t="s">
        <v>50</v>
      </c>
      <c r="BI145" s="13">
        <v>2.5000000000000001E-2</v>
      </c>
      <c r="BJ145" s="18">
        <f>ABS(_xlfn.NORM.S.INV(Table1347456[[#This Row],[p_value]]/2))</f>
        <v>2.2414027276049446</v>
      </c>
      <c r="BK145" s="19">
        <f>(Table1347456[[#This Row],[lnrr]]/Table1347456[[#This Row],[z_from_p]])^2</f>
        <v>0.45346386890509849</v>
      </c>
      <c r="BL145" s="16">
        <f>Table1347456[[#This Row],[v_from_z_from_p]]</f>
        <v>0.45346386890509849</v>
      </c>
      <c r="BM145" s="20">
        <f>SQRT(Table1347456[[#This Row],[v]])</f>
        <v>0.67339725935371797</v>
      </c>
      <c r="BN145" s="20">
        <f>Table1347456[[#This Row],[lnrr]]-(1.96*Table1347456[[#This Row],[se]])</f>
        <v>0.1894958255438306</v>
      </c>
      <c r="BO145" s="20">
        <f>Table1347456[[#This Row],[lnrr]]+(1.96 * Table1347456[[#This Row],[se]])</f>
        <v>2.8292130822104049</v>
      </c>
    </row>
    <row r="146" spans="1:67">
      <c r="A146" s="13" t="s">
        <v>123</v>
      </c>
      <c r="B146" s="13" t="s">
        <v>124</v>
      </c>
      <c r="C146" s="13" t="s">
        <v>43</v>
      </c>
      <c r="D146" s="13" t="s">
        <v>125</v>
      </c>
      <c r="E146" s="13" t="s">
        <v>126</v>
      </c>
      <c r="F146" s="13" t="s">
        <v>587</v>
      </c>
      <c r="G146" s="13" t="s">
        <v>46</v>
      </c>
      <c r="H146" s="13">
        <f t="shared" si="0"/>
        <v>19.666666666666668</v>
      </c>
      <c r="I146" s="13" t="s">
        <v>46</v>
      </c>
      <c r="K146" s="13" t="s">
        <v>829</v>
      </c>
      <c r="L146" s="13" t="s">
        <v>830</v>
      </c>
      <c r="N146" s="13" t="s">
        <v>47</v>
      </c>
      <c r="O146" s="13" t="s">
        <v>645</v>
      </c>
      <c r="P146" s="13" t="s">
        <v>48</v>
      </c>
      <c r="Q146" s="13" t="s">
        <v>48</v>
      </c>
      <c r="R146" s="4">
        <v>4</v>
      </c>
      <c r="S146" s="13" t="s">
        <v>596</v>
      </c>
      <c r="T146" s="13">
        <v>90</v>
      </c>
      <c r="U146" s="4" t="s">
        <v>127</v>
      </c>
      <c r="V146" s="4">
        <v>450</v>
      </c>
      <c r="W146" s="4" t="s">
        <v>601</v>
      </c>
      <c r="X146" s="4" t="s">
        <v>46</v>
      </c>
      <c r="Y146" s="4">
        <v>112</v>
      </c>
      <c r="Z146" s="4" t="s">
        <v>492</v>
      </c>
      <c r="AA146" s="4" t="s">
        <v>49</v>
      </c>
      <c r="AB146" s="4">
        <v>0</v>
      </c>
      <c r="AC146" s="4" t="s">
        <v>49</v>
      </c>
      <c r="AD146" s="4">
        <v>0</v>
      </c>
      <c r="AE146" s="4" t="s">
        <v>49</v>
      </c>
      <c r="AF146" s="4">
        <v>0</v>
      </c>
      <c r="AG146" s="4" t="s">
        <v>749</v>
      </c>
      <c r="AH146" s="4" t="s">
        <v>748</v>
      </c>
      <c r="AI146" s="4" t="s">
        <v>52</v>
      </c>
      <c r="AJ146" s="13">
        <v>0</v>
      </c>
      <c r="AK146" s="13">
        <v>20</v>
      </c>
      <c r="AL146" s="13" t="s">
        <v>479</v>
      </c>
      <c r="AN146" s="13" t="s">
        <v>490</v>
      </c>
      <c r="AP146" s="13" t="s">
        <v>49</v>
      </c>
      <c r="AQ146" s="13" t="s">
        <v>49</v>
      </c>
      <c r="AR146" s="13" t="s">
        <v>50</v>
      </c>
      <c r="AS146" s="13" t="s">
        <v>49</v>
      </c>
      <c r="AT146" s="13" t="s">
        <v>990</v>
      </c>
      <c r="AU146" s="13" t="s">
        <v>998</v>
      </c>
      <c r="AV146" s="14">
        <v>0.73</v>
      </c>
      <c r="AW146" s="14">
        <v>0.21</v>
      </c>
      <c r="AX146" s="14">
        <f>Table1347456[[#This Row],[treatment_mean]]/Table1347456[[#This Row],[control_mean]]</f>
        <v>3.4761904761904763</v>
      </c>
      <c r="AY146" s="14">
        <f>LN(Table1347456[[#This Row],[rr]])</f>
        <v>1.2459370034249682</v>
      </c>
      <c r="AZ146" s="13">
        <v>3</v>
      </c>
      <c r="BA146" s="13">
        <v>3</v>
      </c>
      <c r="BB146" s="14" t="s">
        <v>46</v>
      </c>
      <c r="BC146" s="14" t="s">
        <v>46</v>
      </c>
      <c r="BD146" s="15" t="s">
        <v>46</v>
      </c>
      <c r="BE146" s="14" t="s">
        <v>46</v>
      </c>
      <c r="BF14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46" s="17" t="s">
        <v>46</v>
      </c>
      <c r="BH146" s="13" t="s">
        <v>50</v>
      </c>
      <c r="BI146" s="13">
        <v>2.5000000000000001E-2</v>
      </c>
      <c r="BJ146" s="18">
        <f>ABS(_xlfn.NORM.S.INV(Table1347456[[#This Row],[p_value]]/2))</f>
        <v>2.2414027276049446</v>
      </c>
      <c r="BK146" s="19">
        <f>(Table1347456[[#This Row],[lnrr]]/Table1347456[[#This Row],[z_from_p]])^2</f>
        <v>0.30899565766900416</v>
      </c>
      <c r="BL146" s="16">
        <f>Table1347456[[#This Row],[v_from_z_from_p]]</f>
        <v>0.30899565766900416</v>
      </c>
      <c r="BM146" s="20">
        <f>SQRT(Table1347456[[#This Row],[v]])</f>
        <v>0.55587377854060016</v>
      </c>
      <c r="BN146" s="20">
        <f>Table1347456[[#This Row],[lnrr]]-(1.96*Table1347456[[#This Row],[se]])</f>
        <v>0.15642439748539183</v>
      </c>
      <c r="BO146" s="20">
        <f>Table1347456[[#This Row],[lnrr]]+(1.96 * Table1347456[[#This Row],[se]])</f>
        <v>2.3354496093645443</v>
      </c>
    </row>
    <row r="147" spans="1:67">
      <c r="A147" s="13" t="s">
        <v>123</v>
      </c>
      <c r="B147" s="13" t="s">
        <v>124</v>
      </c>
      <c r="C147" s="13" t="s">
        <v>43</v>
      </c>
      <c r="D147" s="13" t="s">
        <v>125</v>
      </c>
      <c r="E147" s="13" t="s">
        <v>126</v>
      </c>
      <c r="F147" s="13" t="s">
        <v>587</v>
      </c>
      <c r="G147" s="13" t="s">
        <v>46</v>
      </c>
      <c r="H147" s="13">
        <f t="shared" si="0"/>
        <v>19.666666666666668</v>
      </c>
      <c r="I147" s="13" t="s">
        <v>46</v>
      </c>
      <c r="K147" s="13" t="s">
        <v>829</v>
      </c>
      <c r="L147" s="13" t="s">
        <v>830</v>
      </c>
      <c r="N147" s="13" t="s">
        <v>615</v>
      </c>
      <c r="O147" s="13" t="s">
        <v>54</v>
      </c>
      <c r="P147" s="13" t="s">
        <v>85</v>
      </c>
      <c r="Q147" s="13" t="s">
        <v>48</v>
      </c>
      <c r="R147" s="4">
        <v>4</v>
      </c>
      <c r="S147" s="13" t="s">
        <v>596</v>
      </c>
      <c r="T147" s="13">
        <v>90</v>
      </c>
      <c r="U147" s="4" t="s">
        <v>127</v>
      </c>
      <c r="V147" s="4">
        <v>450</v>
      </c>
      <c r="W147" s="4" t="s">
        <v>601</v>
      </c>
      <c r="X147" s="4" t="s">
        <v>46</v>
      </c>
      <c r="Y147" s="4">
        <v>28</v>
      </c>
      <c r="Z147" s="4" t="s">
        <v>489</v>
      </c>
      <c r="AA147" s="4" t="s">
        <v>49</v>
      </c>
      <c r="AB147" s="4">
        <v>0</v>
      </c>
      <c r="AC147" s="4" t="s">
        <v>49</v>
      </c>
      <c r="AD147" s="4">
        <v>0</v>
      </c>
      <c r="AE147" s="4" t="s">
        <v>49</v>
      </c>
      <c r="AF147" s="4">
        <v>0</v>
      </c>
      <c r="AG147" s="4" t="s">
        <v>749</v>
      </c>
      <c r="AH147" s="4" t="s">
        <v>748</v>
      </c>
      <c r="AI147" s="4" t="s">
        <v>52</v>
      </c>
      <c r="AJ147" s="13">
        <v>0</v>
      </c>
      <c r="AK147" s="13">
        <v>20</v>
      </c>
      <c r="AL147" s="13" t="s">
        <v>479</v>
      </c>
      <c r="AN147" s="13" t="s">
        <v>490</v>
      </c>
      <c r="AP147" s="13" t="s">
        <v>49</v>
      </c>
      <c r="AQ147" s="13" t="s">
        <v>49</v>
      </c>
      <c r="AR147" s="13" t="s">
        <v>50</v>
      </c>
      <c r="AS147" s="13" t="s">
        <v>49</v>
      </c>
      <c r="AT147" s="13" t="s">
        <v>990</v>
      </c>
      <c r="AU147" s="13" t="s">
        <v>998</v>
      </c>
      <c r="AV147" s="14">
        <f>15.46/1000</f>
        <v>1.5460000000000002E-2</v>
      </c>
      <c r="AW147" s="14">
        <f>11.37/1000</f>
        <v>1.137E-2</v>
      </c>
      <c r="AX147" s="14">
        <f>Table1347456[[#This Row],[treatment_mean]]/Table1347456[[#This Row],[control_mean]]</f>
        <v>1.3597185576077397</v>
      </c>
      <c r="AY147" s="14">
        <f>LN(Table1347456[[#This Row],[rr]])</f>
        <v>0.30727773539683129</v>
      </c>
      <c r="AZ147" s="13">
        <v>3</v>
      </c>
      <c r="BA147" s="13">
        <v>3</v>
      </c>
      <c r="BB147" s="14" t="s">
        <v>46</v>
      </c>
      <c r="BC147" s="14" t="s">
        <v>46</v>
      </c>
      <c r="BD147" s="15" t="s">
        <v>46</v>
      </c>
      <c r="BE147" s="14" t="s">
        <v>46</v>
      </c>
      <c r="BF14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47" s="17" t="s">
        <v>46</v>
      </c>
      <c r="BH147" s="13" t="s">
        <v>50</v>
      </c>
      <c r="BI147" s="13">
        <v>2.5000000000000001E-2</v>
      </c>
      <c r="BJ147" s="18">
        <f>ABS(_xlfn.NORM.S.INV(Table1347456[[#This Row],[p_value]]/2))</f>
        <v>2.2414027276049446</v>
      </c>
      <c r="BK147" s="19">
        <f>(Table1347456[[#This Row],[lnrr]]/Table1347456[[#This Row],[z_from_p]])^2</f>
        <v>1.8794137277434914E-2</v>
      </c>
      <c r="BL147" s="16">
        <f>Table1347456[[#This Row],[v_from_z_from_p]]</f>
        <v>1.8794137277434914E-2</v>
      </c>
      <c r="BM147" s="20">
        <f>SQRT(Table1347456[[#This Row],[v]])</f>
        <v>0.13709171119157756</v>
      </c>
      <c r="BN147" s="20">
        <f>Table1347456[[#This Row],[lnrr]]-(1.96*Table1347456[[#This Row],[se]])</f>
        <v>3.8577981461339284E-2</v>
      </c>
      <c r="BO147" s="20">
        <f>Table1347456[[#This Row],[lnrr]]+(1.96 * Table1347456[[#This Row],[se]])</f>
        <v>0.57597748933232329</v>
      </c>
    </row>
    <row r="148" spans="1:67">
      <c r="A148" s="13" t="s">
        <v>123</v>
      </c>
      <c r="B148" s="13" t="s">
        <v>124</v>
      </c>
      <c r="C148" s="13" t="s">
        <v>43</v>
      </c>
      <c r="D148" s="13" t="s">
        <v>125</v>
      </c>
      <c r="E148" s="13" t="s">
        <v>126</v>
      </c>
      <c r="F148" s="13" t="s">
        <v>587</v>
      </c>
      <c r="G148" s="13" t="s">
        <v>46</v>
      </c>
      <c r="H148" s="13">
        <f t="shared" si="0"/>
        <v>19.666666666666668</v>
      </c>
      <c r="I148" s="13" t="s">
        <v>46</v>
      </c>
      <c r="K148" s="13" t="s">
        <v>829</v>
      </c>
      <c r="L148" s="13" t="s">
        <v>830</v>
      </c>
      <c r="N148" s="13" t="s">
        <v>615</v>
      </c>
      <c r="O148" s="13" t="s">
        <v>54</v>
      </c>
      <c r="P148" s="13" t="s">
        <v>85</v>
      </c>
      <c r="Q148" s="13" t="s">
        <v>48</v>
      </c>
      <c r="R148" s="4">
        <v>4</v>
      </c>
      <c r="S148" s="13" t="s">
        <v>596</v>
      </c>
      <c r="T148" s="13">
        <v>90</v>
      </c>
      <c r="U148" s="4" t="s">
        <v>127</v>
      </c>
      <c r="V148" s="4">
        <v>450</v>
      </c>
      <c r="W148" s="4" t="s">
        <v>601</v>
      </c>
      <c r="X148" s="4" t="s">
        <v>46</v>
      </c>
      <c r="Y148" s="4">
        <v>56</v>
      </c>
      <c r="Z148" s="4" t="s">
        <v>491</v>
      </c>
      <c r="AA148" s="4" t="s">
        <v>49</v>
      </c>
      <c r="AB148" s="4">
        <v>0</v>
      </c>
      <c r="AC148" s="4" t="s">
        <v>49</v>
      </c>
      <c r="AD148" s="4">
        <v>0</v>
      </c>
      <c r="AE148" s="4" t="s">
        <v>49</v>
      </c>
      <c r="AF148" s="4">
        <v>0</v>
      </c>
      <c r="AG148" s="4" t="s">
        <v>749</v>
      </c>
      <c r="AH148" s="4" t="s">
        <v>748</v>
      </c>
      <c r="AI148" s="4" t="s">
        <v>52</v>
      </c>
      <c r="AJ148" s="13">
        <v>0</v>
      </c>
      <c r="AK148" s="13">
        <v>20</v>
      </c>
      <c r="AL148" s="13" t="s">
        <v>479</v>
      </c>
      <c r="AN148" s="13" t="s">
        <v>490</v>
      </c>
      <c r="AP148" s="13" t="s">
        <v>49</v>
      </c>
      <c r="AQ148" s="13" t="s">
        <v>49</v>
      </c>
      <c r="AR148" s="13" t="s">
        <v>50</v>
      </c>
      <c r="AS148" s="13" t="s">
        <v>49</v>
      </c>
      <c r="AT148" s="13" t="s">
        <v>990</v>
      </c>
      <c r="AU148" s="13" t="s">
        <v>998</v>
      </c>
      <c r="AV148" s="14">
        <f>22.99969/1000</f>
        <v>2.299969E-2</v>
      </c>
      <c r="AW148" s="14">
        <f>11.37/1000</f>
        <v>1.137E-2</v>
      </c>
      <c r="AX148" s="14">
        <f>Table1347456[[#This Row],[treatment_mean]]/Table1347456[[#This Row],[control_mean]]</f>
        <v>2.0228399296394017</v>
      </c>
      <c r="AY148" s="14">
        <f>LN(Table1347456[[#This Row],[rr]])</f>
        <v>0.70450242981500277</v>
      </c>
      <c r="AZ148" s="13">
        <v>3</v>
      </c>
      <c r="BA148" s="13">
        <v>3</v>
      </c>
      <c r="BB148" s="14" t="s">
        <v>46</v>
      </c>
      <c r="BC148" s="14" t="s">
        <v>46</v>
      </c>
      <c r="BD148" s="15" t="s">
        <v>46</v>
      </c>
      <c r="BE148" s="14" t="s">
        <v>46</v>
      </c>
      <c r="BF14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48" s="17" t="s">
        <v>46</v>
      </c>
      <c r="BH148" s="13" t="s">
        <v>50</v>
      </c>
      <c r="BI148" s="13">
        <v>2.5000000000000001E-2</v>
      </c>
      <c r="BJ148" s="18">
        <f>ABS(_xlfn.NORM.S.INV(Table1347456[[#This Row],[p_value]]/2))</f>
        <v>2.2414027276049446</v>
      </c>
      <c r="BK148" s="19">
        <f>(Table1347456[[#This Row],[lnrr]]/Table1347456[[#This Row],[z_from_p]])^2</f>
        <v>9.8792778162140826E-2</v>
      </c>
      <c r="BL148" s="16">
        <f>Table1347456[[#This Row],[v_from_z_from_p]]</f>
        <v>9.8792778162140826E-2</v>
      </c>
      <c r="BM148" s="20">
        <f>SQRT(Table1347456[[#This Row],[v]])</f>
        <v>0.31431318483662252</v>
      </c>
      <c r="BN148" s="20">
        <f>Table1347456[[#This Row],[lnrr]]-(1.96*Table1347456[[#This Row],[se]])</f>
        <v>8.8448587535222667E-2</v>
      </c>
      <c r="BO148" s="20">
        <f>Table1347456[[#This Row],[lnrr]]+(1.96 * Table1347456[[#This Row],[se]])</f>
        <v>1.320556272094783</v>
      </c>
    </row>
    <row r="149" spans="1:67">
      <c r="A149" s="13" t="s">
        <v>123</v>
      </c>
      <c r="B149" s="13" t="s">
        <v>124</v>
      </c>
      <c r="C149" s="13" t="s">
        <v>43</v>
      </c>
      <c r="D149" s="13" t="s">
        <v>125</v>
      </c>
      <c r="E149" s="13" t="s">
        <v>126</v>
      </c>
      <c r="F149" s="13" t="s">
        <v>587</v>
      </c>
      <c r="G149" s="13" t="s">
        <v>46</v>
      </c>
      <c r="H149" s="13">
        <f t="shared" si="0"/>
        <v>19.666666666666668</v>
      </c>
      <c r="I149" s="13" t="s">
        <v>46</v>
      </c>
      <c r="K149" s="13" t="s">
        <v>829</v>
      </c>
      <c r="L149" s="13" t="s">
        <v>830</v>
      </c>
      <c r="N149" s="13" t="s">
        <v>615</v>
      </c>
      <c r="O149" s="13" t="s">
        <v>54</v>
      </c>
      <c r="P149" s="13" t="s">
        <v>85</v>
      </c>
      <c r="Q149" s="13" t="s">
        <v>48</v>
      </c>
      <c r="R149" s="4">
        <v>4</v>
      </c>
      <c r="S149" s="13" t="s">
        <v>596</v>
      </c>
      <c r="T149" s="13">
        <v>90</v>
      </c>
      <c r="U149" s="4" t="s">
        <v>127</v>
      </c>
      <c r="V149" s="4">
        <v>450</v>
      </c>
      <c r="W149" s="4" t="s">
        <v>601</v>
      </c>
      <c r="X149" s="4" t="s">
        <v>46</v>
      </c>
      <c r="Y149" s="4">
        <v>112</v>
      </c>
      <c r="Z149" s="4" t="s">
        <v>492</v>
      </c>
      <c r="AA149" s="4" t="s">
        <v>49</v>
      </c>
      <c r="AB149" s="4">
        <v>0</v>
      </c>
      <c r="AC149" s="4" t="s">
        <v>49</v>
      </c>
      <c r="AD149" s="4">
        <v>0</v>
      </c>
      <c r="AE149" s="4" t="s">
        <v>49</v>
      </c>
      <c r="AF149" s="4">
        <v>0</v>
      </c>
      <c r="AG149" s="4" t="s">
        <v>749</v>
      </c>
      <c r="AH149" s="4" t="s">
        <v>748</v>
      </c>
      <c r="AI149" s="4" t="s">
        <v>52</v>
      </c>
      <c r="AJ149" s="13">
        <v>0</v>
      </c>
      <c r="AK149" s="13">
        <v>20</v>
      </c>
      <c r="AL149" s="13" t="s">
        <v>479</v>
      </c>
      <c r="AN149" s="13" t="s">
        <v>490</v>
      </c>
      <c r="AP149" s="13" t="s">
        <v>49</v>
      </c>
      <c r="AQ149" s="13" t="s">
        <v>49</v>
      </c>
      <c r="AR149" s="13" t="s">
        <v>50</v>
      </c>
      <c r="AS149" s="13" t="s">
        <v>49</v>
      </c>
      <c r="AT149" s="13" t="s">
        <v>990</v>
      </c>
      <c r="AU149" s="13" t="s">
        <v>998</v>
      </c>
      <c r="AV149" s="14">
        <f>33.09/1000</f>
        <v>3.3090000000000001E-2</v>
      </c>
      <c r="AW149" s="14">
        <f>11.37/1000</f>
        <v>1.137E-2</v>
      </c>
      <c r="AX149" s="14">
        <f>Table1347456[[#This Row],[treatment_mean]]/Table1347456[[#This Row],[control_mean]]</f>
        <v>2.9102902374670188</v>
      </c>
      <c r="AY149" s="14">
        <f>LN(Table1347456[[#This Row],[rr]])</f>
        <v>1.0682528141710763</v>
      </c>
      <c r="AZ149" s="13">
        <v>3</v>
      </c>
      <c r="BA149" s="13">
        <v>3</v>
      </c>
      <c r="BB149" s="14" t="s">
        <v>46</v>
      </c>
      <c r="BC149" s="14" t="s">
        <v>46</v>
      </c>
      <c r="BD149" s="15" t="s">
        <v>46</v>
      </c>
      <c r="BE149" s="14" t="s">
        <v>46</v>
      </c>
      <c r="BF14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49" s="17" t="s">
        <v>46</v>
      </c>
      <c r="BH149" s="13" t="s">
        <v>50</v>
      </c>
      <c r="BI149" s="13">
        <v>2.5000000000000001E-2</v>
      </c>
      <c r="BJ149" s="18">
        <f>ABS(_xlfn.NORM.S.INV(Table1347456[[#This Row],[p_value]]/2))</f>
        <v>2.2414027276049446</v>
      </c>
      <c r="BK149" s="19">
        <f>(Table1347456[[#This Row],[lnrr]]/Table1347456[[#This Row],[z_from_p]])^2</f>
        <v>0.22714767660657167</v>
      </c>
      <c r="BL149" s="16">
        <f>Table1347456[[#This Row],[v_from_z_from_p]]</f>
        <v>0.22714767660657167</v>
      </c>
      <c r="BM149" s="20">
        <f>SQRT(Table1347456[[#This Row],[v]])</f>
        <v>0.47660012233167931</v>
      </c>
      <c r="BN149" s="20">
        <f>Table1347456[[#This Row],[lnrr]]-(1.96*Table1347456[[#This Row],[se]])</f>
        <v>0.1341165744009849</v>
      </c>
      <c r="BO149" s="20">
        <f>Table1347456[[#This Row],[lnrr]]+(1.96 * Table1347456[[#This Row],[se]])</f>
        <v>2.002389053941168</v>
      </c>
    </row>
    <row r="150" spans="1:67">
      <c r="A150" s="13" t="s">
        <v>123</v>
      </c>
      <c r="B150" s="13" t="s">
        <v>124</v>
      </c>
      <c r="C150" s="13" t="s">
        <v>43</v>
      </c>
      <c r="D150" s="13" t="s">
        <v>125</v>
      </c>
      <c r="E150" s="13" t="s">
        <v>126</v>
      </c>
      <c r="F150" s="13" t="s">
        <v>587</v>
      </c>
      <c r="G150" s="13" t="s">
        <v>46</v>
      </c>
      <c r="H150" s="13">
        <f t="shared" si="0"/>
        <v>19.666666666666668</v>
      </c>
      <c r="I150" s="13" t="s">
        <v>46</v>
      </c>
      <c r="K150" s="13" t="s">
        <v>829</v>
      </c>
      <c r="L150" s="13" t="s">
        <v>830</v>
      </c>
      <c r="N150" s="13" t="s">
        <v>53</v>
      </c>
      <c r="O150" s="13" t="s">
        <v>54</v>
      </c>
      <c r="P150" s="13" t="s">
        <v>85</v>
      </c>
      <c r="Q150" s="13" t="s">
        <v>48</v>
      </c>
      <c r="R150" s="4">
        <v>4</v>
      </c>
      <c r="S150" s="13" t="s">
        <v>596</v>
      </c>
      <c r="T150" s="13">
        <v>90</v>
      </c>
      <c r="U150" s="4" t="s">
        <v>127</v>
      </c>
      <c r="V150" s="4">
        <v>450</v>
      </c>
      <c r="W150" s="4" t="s">
        <v>601</v>
      </c>
      <c r="X150" s="4" t="s">
        <v>46</v>
      </c>
      <c r="Y150" s="4">
        <v>28</v>
      </c>
      <c r="Z150" s="4" t="s">
        <v>489</v>
      </c>
      <c r="AA150" s="4" t="s">
        <v>49</v>
      </c>
      <c r="AB150" s="4">
        <v>0</v>
      </c>
      <c r="AC150" s="4" t="s">
        <v>49</v>
      </c>
      <c r="AD150" s="4">
        <v>0</v>
      </c>
      <c r="AE150" s="4" t="s">
        <v>49</v>
      </c>
      <c r="AF150" s="4">
        <v>0</v>
      </c>
      <c r="AG150" s="4" t="s">
        <v>749</v>
      </c>
      <c r="AH150" s="4" t="s">
        <v>748</v>
      </c>
      <c r="AI150" s="4" t="s">
        <v>52</v>
      </c>
      <c r="AJ150" s="13">
        <v>0</v>
      </c>
      <c r="AK150" s="13">
        <v>20</v>
      </c>
      <c r="AL150" s="13" t="s">
        <v>479</v>
      </c>
      <c r="AN150" s="13" t="s">
        <v>490</v>
      </c>
      <c r="AP150" s="13" t="s">
        <v>49</v>
      </c>
      <c r="AQ150" s="13" t="s">
        <v>49</v>
      </c>
      <c r="AR150" s="13" t="s">
        <v>50</v>
      </c>
      <c r="AS150" s="13" t="s">
        <v>49</v>
      </c>
      <c r="AT150" s="13" t="s">
        <v>990</v>
      </c>
      <c r="AU150" s="13" t="s">
        <v>998</v>
      </c>
      <c r="AV150" s="14">
        <f>7.38/1000</f>
        <v>7.3800000000000003E-3</v>
      </c>
      <c r="AW150" s="14">
        <f>5.59/1000</f>
        <v>5.5899999999999995E-3</v>
      </c>
      <c r="AX150" s="14">
        <f>Table1347456[[#This Row],[treatment_mean]]/Table1347456[[#This Row],[control_mean]]</f>
        <v>1.3202146690518786</v>
      </c>
      <c r="AY150" s="14">
        <f>LN(Table1347456[[#This Row],[rr]])</f>
        <v>0.27779435144537351</v>
      </c>
      <c r="AZ150" s="13">
        <v>3</v>
      </c>
      <c r="BA150" s="13">
        <v>3</v>
      </c>
      <c r="BB150" s="14" t="s">
        <v>46</v>
      </c>
      <c r="BC150" s="14" t="s">
        <v>46</v>
      </c>
      <c r="BD150" s="15" t="s">
        <v>46</v>
      </c>
      <c r="BE150" s="14" t="s">
        <v>46</v>
      </c>
      <c r="BF15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50" s="17" t="s">
        <v>46</v>
      </c>
      <c r="BH150" s="13" t="s">
        <v>50</v>
      </c>
      <c r="BI150" s="13">
        <v>2.5000000000000001E-2</v>
      </c>
      <c r="BJ150" s="18">
        <f>ABS(_xlfn.NORM.S.INV(Table1347456[[#This Row],[p_value]]/2))</f>
        <v>2.2414027276049446</v>
      </c>
      <c r="BK150" s="19">
        <f>(Table1347456[[#This Row],[lnrr]]/Table1347456[[#This Row],[z_from_p]])^2</f>
        <v>1.5360559299652557E-2</v>
      </c>
      <c r="BL150" s="16">
        <f>Table1347456[[#This Row],[v_from_z_from_p]]</f>
        <v>1.5360559299652557E-2</v>
      </c>
      <c r="BM150" s="20">
        <f>SQRT(Table1347456[[#This Row],[v]])</f>
        <v>0.12393772347293038</v>
      </c>
      <c r="BN150" s="20">
        <f>Table1347456[[#This Row],[lnrr]]-(1.96*Table1347456[[#This Row],[se]])</f>
        <v>3.4876413438429982E-2</v>
      </c>
      <c r="BO150" s="20">
        <f>Table1347456[[#This Row],[lnrr]]+(1.96 * Table1347456[[#This Row],[se]])</f>
        <v>0.52071228945231707</v>
      </c>
    </row>
    <row r="151" spans="1:67">
      <c r="A151" s="13" t="s">
        <v>123</v>
      </c>
      <c r="B151" s="13" t="s">
        <v>124</v>
      </c>
      <c r="C151" s="13" t="s">
        <v>43</v>
      </c>
      <c r="D151" s="13" t="s">
        <v>125</v>
      </c>
      <c r="E151" s="13" t="s">
        <v>126</v>
      </c>
      <c r="F151" s="13" t="s">
        <v>587</v>
      </c>
      <c r="G151" s="13" t="s">
        <v>46</v>
      </c>
      <c r="H151" s="13">
        <f t="shared" si="0"/>
        <v>19.666666666666668</v>
      </c>
      <c r="I151" s="13" t="s">
        <v>46</v>
      </c>
      <c r="K151" s="13" t="s">
        <v>829</v>
      </c>
      <c r="L151" s="13" t="s">
        <v>830</v>
      </c>
      <c r="N151" s="13" t="s">
        <v>53</v>
      </c>
      <c r="O151" s="13" t="s">
        <v>54</v>
      </c>
      <c r="P151" s="13" t="s">
        <v>85</v>
      </c>
      <c r="Q151" s="13" t="s">
        <v>48</v>
      </c>
      <c r="R151" s="4">
        <v>4</v>
      </c>
      <c r="S151" s="13" t="s">
        <v>596</v>
      </c>
      <c r="T151" s="13">
        <v>90</v>
      </c>
      <c r="U151" s="4" t="s">
        <v>127</v>
      </c>
      <c r="V151" s="4">
        <v>450</v>
      </c>
      <c r="W151" s="4" t="s">
        <v>601</v>
      </c>
      <c r="X151" s="4" t="s">
        <v>46</v>
      </c>
      <c r="Y151" s="4">
        <v>56</v>
      </c>
      <c r="Z151" s="4" t="s">
        <v>491</v>
      </c>
      <c r="AA151" s="4" t="s">
        <v>49</v>
      </c>
      <c r="AB151" s="4">
        <v>0</v>
      </c>
      <c r="AC151" s="4" t="s">
        <v>49</v>
      </c>
      <c r="AD151" s="4">
        <v>0</v>
      </c>
      <c r="AE151" s="4" t="s">
        <v>49</v>
      </c>
      <c r="AF151" s="4">
        <v>0</v>
      </c>
      <c r="AG151" s="4" t="s">
        <v>749</v>
      </c>
      <c r="AH151" s="4" t="s">
        <v>748</v>
      </c>
      <c r="AI151" s="4" t="s">
        <v>52</v>
      </c>
      <c r="AJ151" s="13">
        <v>0</v>
      </c>
      <c r="AK151" s="13">
        <v>20</v>
      </c>
      <c r="AL151" s="13" t="s">
        <v>479</v>
      </c>
      <c r="AN151" s="13" t="s">
        <v>490</v>
      </c>
      <c r="AP151" s="13" t="s">
        <v>49</v>
      </c>
      <c r="AQ151" s="13" t="s">
        <v>49</v>
      </c>
      <c r="AR151" s="13" t="s">
        <v>50</v>
      </c>
      <c r="AS151" s="13" t="s">
        <v>49</v>
      </c>
      <c r="AT151" s="13" t="s">
        <v>990</v>
      </c>
      <c r="AU151" s="13" t="s">
        <v>998</v>
      </c>
      <c r="AV151" s="14">
        <f>12.21/1000</f>
        <v>1.221E-2</v>
      </c>
      <c r="AW151" s="14">
        <f>5.59/1000</f>
        <v>5.5899999999999995E-3</v>
      </c>
      <c r="AX151" s="14">
        <f>Table1347456[[#This Row],[treatment_mean]]/Table1347456[[#This Row],[control_mean]]</f>
        <v>2.1842576028622545</v>
      </c>
      <c r="AY151" s="14">
        <f>LN(Table1347456[[#This Row],[rr]])</f>
        <v>0.78127600095560568</v>
      </c>
      <c r="AZ151" s="13">
        <v>3</v>
      </c>
      <c r="BA151" s="13">
        <v>3</v>
      </c>
      <c r="BB151" s="14" t="s">
        <v>46</v>
      </c>
      <c r="BC151" s="14" t="s">
        <v>46</v>
      </c>
      <c r="BD151" s="15" t="s">
        <v>46</v>
      </c>
      <c r="BE151" s="14" t="s">
        <v>46</v>
      </c>
      <c r="BF15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51" s="17" t="s">
        <v>46</v>
      </c>
      <c r="BH151" s="13" t="s">
        <v>50</v>
      </c>
      <c r="BI151" s="13">
        <v>2.5000000000000001E-2</v>
      </c>
      <c r="BJ151" s="18">
        <f>ABS(_xlfn.NORM.S.INV(Table1347456[[#This Row],[p_value]]/2))</f>
        <v>2.2414027276049446</v>
      </c>
      <c r="BK151" s="19">
        <f>(Table1347456[[#This Row],[lnrr]]/Table1347456[[#This Row],[z_from_p]])^2</f>
        <v>0.12149801307410181</v>
      </c>
      <c r="BL151" s="16">
        <f>Table1347456[[#This Row],[v_from_z_from_p]]</f>
        <v>0.12149801307410181</v>
      </c>
      <c r="BM151" s="20">
        <f>SQRT(Table1347456[[#This Row],[v]])</f>
        <v>0.34856565102445453</v>
      </c>
      <c r="BN151" s="20">
        <f>Table1347456[[#This Row],[lnrr]]-(1.96*Table1347456[[#This Row],[se]])</f>
        <v>9.8087324947674803E-2</v>
      </c>
      <c r="BO151" s="20">
        <f>Table1347456[[#This Row],[lnrr]]+(1.96 * Table1347456[[#This Row],[se]])</f>
        <v>1.4644646769635365</v>
      </c>
    </row>
    <row r="152" spans="1:67">
      <c r="A152" s="13" t="s">
        <v>123</v>
      </c>
      <c r="B152" s="13" t="s">
        <v>124</v>
      </c>
      <c r="C152" s="13" t="s">
        <v>43</v>
      </c>
      <c r="D152" s="13" t="s">
        <v>125</v>
      </c>
      <c r="E152" s="13" t="s">
        <v>126</v>
      </c>
      <c r="F152" s="13" t="s">
        <v>587</v>
      </c>
      <c r="G152" s="13" t="s">
        <v>46</v>
      </c>
      <c r="H152" s="13">
        <f t="shared" si="0"/>
        <v>19.666666666666668</v>
      </c>
      <c r="I152" s="13" t="s">
        <v>46</v>
      </c>
      <c r="K152" s="13" t="s">
        <v>829</v>
      </c>
      <c r="L152" s="13" t="s">
        <v>830</v>
      </c>
      <c r="N152" s="13" t="s">
        <v>53</v>
      </c>
      <c r="O152" s="13" t="s">
        <v>54</v>
      </c>
      <c r="P152" s="13" t="s">
        <v>85</v>
      </c>
      <c r="Q152" s="13" t="s">
        <v>48</v>
      </c>
      <c r="R152" s="4">
        <v>4</v>
      </c>
      <c r="S152" s="13" t="s">
        <v>596</v>
      </c>
      <c r="T152" s="13">
        <v>90</v>
      </c>
      <c r="U152" s="4" t="s">
        <v>127</v>
      </c>
      <c r="V152" s="4">
        <v>450</v>
      </c>
      <c r="W152" s="4" t="s">
        <v>601</v>
      </c>
      <c r="X152" s="4" t="s">
        <v>46</v>
      </c>
      <c r="Y152" s="4">
        <v>112</v>
      </c>
      <c r="Z152" s="4" t="s">
        <v>492</v>
      </c>
      <c r="AA152" s="4" t="s">
        <v>49</v>
      </c>
      <c r="AB152" s="4">
        <v>0</v>
      </c>
      <c r="AC152" s="4" t="s">
        <v>49</v>
      </c>
      <c r="AD152" s="4">
        <v>0</v>
      </c>
      <c r="AE152" s="4" t="s">
        <v>49</v>
      </c>
      <c r="AF152" s="4">
        <v>0</v>
      </c>
      <c r="AG152" s="4" t="s">
        <v>749</v>
      </c>
      <c r="AH152" s="4" t="s">
        <v>748</v>
      </c>
      <c r="AI152" s="4" t="s">
        <v>52</v>
      </c>
      <c r="AJ152" s="13">
        <v>0</v>
      </c>
      <c r="AK152" s="13">
        <v>20</v>
      </c>
      <c r="AL152" s="13" t="s">
        <v>479</v>
      </c>
      <c r="AN152" s="13" t="s">
        <v>490</v>
      </c>
      <c r="AP152" s="13" t="s">
        <v>49</v>
      </c>
      <c r="AQ152" s="13" t="s">
        <v>49</v>
      </c>
      <c r="AR152" s="13" t="s">
        <v>50</v>
      </c>
      <c r="AS152" s="13" t="s">
        <v>49</v>
      </c>
      <c r="AT152" s="13" t="s">
        <v>990</v>
      </c>
      <c r="AU152" s="13" t="s">
        <v>998</v>
      </c>
      <c r="AV152" s="14">
        <f>17.74/1000</f>
        <v>1.7739999999999999E-2</v>
      </c>
      <c r="AW152" s="14">
        <f>5.59/1000</f>
        <v>5.5899999999999995E-3</v>
      </c>
      <c r="AX152" s="14">
        <f>Table1347456[[#This Row],[treatment_mean]]/Table1347456[[#This Row],[control_mean]]</f>
        <v>3.1735241502683365</v>
      </c>
      <c r="AY152" s="14">
        <f>LN(Table1347456[[#This Row],[rr]])</f>
        <v>1.1548426897144257</v>
      </c>
      <c r="AZ152" s="13">
        <v>3</v>
      </c>
      <c r="BA152" s="13">
        <v>3</v>
      </c>
      <c r="BB152" s="14" t="s">
        <v>46</v>
      </c>
      <c r="BC152" s="14" t="s">
        <v>46</v>
      </c>
      <c r="BD152" s="15" t="s">
        <v>46</v>
      </c>
      <c r="BE152" s="14" t="s">
        <v>46</v>
      </c>
      <c r="BF15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52" s="17" t="s">
        <v>46</v>
      </c>
      <c r="BH152" s="13" t="s">
        <v>50</v>
      </c>
      <c r="BI152" s="13">
        <v>2.5000000000000001E-2</v>
      </c>
      <c r="BJ152" s="18">
        <f>ABS(_xlfn.NORM.S.INV(Table1347456[[#This Row],[p_value]]/2))</f>
        <v>2.2414027276049446</v>
      </c>
      <c r="BK152" s="19">
        <f>(Table1347456[[#This Row],[lnrr]]/Table1347456[[#This Row],[z_from_p]])^2</f>
        <v>0.26546414235145144</v>
      </c>
      <c r="BL152" s="16">
        <f>Table1347456[[#This Row],[v_from_z_from_p]]</f>
        <v>0.26546414235145144</v>
      </c>
      <c r="BM152" s="20">
        <f>SQRT(Table1347456[[#This Row],[v]])</f>
        <v>0.51523212472773028</v>
      </c>
      <c r="BN152" s="20">
        <f>Table1347456[[#This Row],[lnrr]]-(1.96*Table1347456[[#This Row],[se]])</f>
        <v>0.14498772524807446</v>
      </c>
      <c r="BO152" s="20">
        <f>Table1347456[[#This Row],[lnrr]]+(1.96 * Table1347456[[#This Row],[se]])</f>
        <v>2.164697654180777</v>
      </c>
    </row>
    <row r="153" spans="1:67">
      <c r="A153" s="13" t="s">
        <v>128</v>
      </c>
      <c r="B153" s="13" t="s">
        <v>129</v>
      </c>
      <c r="C153" s="13" t="s">
        <v>130</v>
      </c>
      <c r="D153" s="13" t="s">
        <v>131</v>
      </c>
      <c r="E153" s="13" t="s">
        <v>132</v>
      </c>
      <c r="F153" s="13" t="s">
        <v>589</v>
      </c>
      <c r="G153" s="13" t="s">
        <v>46</v>
      </c>
      <c r="H153" s="13">
        <v>28</v>
      </c>
      <c r="I153" s="13" t="s">
        <v>46</v>
      </c>
      <c r="K153" s="13" t="s">
        <v>831</v>
      </c>
      <c r="L153" s="13" t="s">
        <v>832</v>
      </c>
      <c r="N153" s="13" t="s">
        <v>47</v>
      </c>
      <c r="O153" s="13" t="s">
        <v>645</v>
      </c>
      <c r="P153" s="13" t="s">
        <v>85</v>
      </c>
      <c r="Q153" s="13" t="s">
        <v>48</v>
      </c>
      <c r="R153" s="4">
        <v>4</v>
      </c>
      <c r="S153" s="13" t="s">
        <v>596</v>
      </c>
      <c r="T153" s="13">
        <v>45</v>
      </c>
      <c r="U153" s="4" t="s">
        <v>133</v>
      </c>
      <c r="V153" s="4">
        <v>400</v>
      </c>
      <c r="W153" s="4" t="s">
        <v>42</v>
      </c>
      <c r="X153" s="4" t="s">
        <v>46</v>
      </c>
      <c r="Y153" s="4">
        <v>80</v>
      </c>
      <c r="AA153" s="4" t="s">
        <v>49</v>
      </c>
      <c r="AB153" s="4">
        <v>0</v>
      </c>
      <c r="AC153" s="4" t="s">
        <v>49</v>
      </c>
      <c r="AD153" s="4">
        <v>0</v>
      </c>
      <c r="AE153" s="4" t="s">
        <v>49</v>
      </c>
      <c r="AF153" s="4">
        <v>0</v>
      </c>
      <c r="AG153" s="4" t="s">
        <v>46</v>
      </c>
      <c r="AH153" s="4" t="s">
        <v>722</v>
      </c>
      <c r="AI153" s="4" t="s">
        <v>78</v>
      </c>
      <c r="AJ153" s="13">
        <v>0</v>
      </c>
      <c r="AK153" s="13">
        <v>20</v>
      </c>
      <c r="AL153" s="13" t="s">
        <v>493</v>
      </c>
      <c r="AM153" s="13">
        <v>1.6</v>
      </c>
      <c r="AN153" s="13" t="s">
        <v>494</v>
      </c>
      <c r="AO153" s="13" t="s">
        <v>495</v>
      </c>
      <c r="AP153" s="13" t="s">
        <v>50</v>
      </c>
      <c r="AQ153" s="13" t="s">
        <v>49</v>
      </c>
      <c r="AR153" s="13" t="s">
        <v>50</v>
      </c>
      <c r="AS153" s="13" t="s">
        <v>49</v>
      </c>
      <c r="AT153" s="13" t="s">
        <v>990</v>
      </c>
      <c r="AU153" s="13" t="s">
        <v>998</v>
      </c>
      <c r="AV153" s="14">
        <f>828.12/1000</f>
        <v>0.82811999999999997</v>
      </c>
      <c r="AW153" s="14">
        <f>319.31/1000</f>
        <v>0.31930999999999998</v>
      </c>
      <c r="AX153" s="14">
        <f>Table1347456[[#This Row],[treatment_mean]]/Table1347456[[#This Row],[control_mean]]</f>
        <v>2.593467163571451</v>
      </c>
      <c r="AY153" s="14">
        <f>LN(Table1347456[[#This Row],[rr]])</f>
        <v>0.95299565368094974</v>
      </c>
      <c r="AZ153" s="13">
        <v>4</v>
      </c>
      <c r="BA153" s="13">
        <v>4</v>
      </c>
      <c r="BB153" s="14">
        <f>77.03/1000</f>
        <v>7.7030000000000001E-2</v>
      </c>
      <c r="BC153" s="14">
        <f>29.64/1000</f>
        <v>2.964E-2</v>
      </c>
      <c r="BD153" s="15">
        <f>Table1347456[[#This Row],[treatment_se]]*SQRT(Table1347456[[#This Row],[treatment_n]])</f>
        <v>0.15406</v>
      </c>
      <c r="BE153" s="14">
        <f>Table1347456[[#This Row],[control_se]]*SQRT(Table1347456[[#This Row],[control_n]])</f>
        <v>5.9279999999999999E-2</v>
      </c>
      <c r="BF15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1.726884272071701E-2</v>
      </c>
      <c r="BG153" s="17">
        <f>SQRT(Table1347456[[#This Row],[v_from_sd_and_n]])</f>
        <v>0.13141096879909611</v>
      </c>
      <c r="BH153" s="13" t="s">
        <v>50</v>
      </c>
      <c r="BI153" s="13">
        <v>2.5000000000000001E-2</v>
      </c>
      <c r="BJ153" s="18">
        <f>ABS(_xlfn.NORM.S.INV(Table1347456[[#This Row],[p_value]]/2))</f>
        <v>2.2414027276049446</v>
      </c>
      <c r="BK153" s="19">
        <f>(Table1347456[[#This Row],[lnrr]]/Table1347456[[#This Row],[z_from_p]])^2</f>
        <v>0.1807765307717264</v>
      </c>
      <c r="BL153" s="16">
        <f>Table1347456[[#This Row],[v_from_sd_and_n]]</f>
        <v>1.726884272071701E-2</v>
      </c>
      <c r="BM153" s="20">
        <f>SQRT(Table1347456[[#This Row],[v]])</f>
        <v>0.13141096879909611</v>
      </c>
      <c r="BN153" s="20">
        <f>Table1347456[[#This Row],[lnrr]]-(1.96*Table1347456[[#This Row],[se]])</f>
        <v>0.69543015483472137</v>
      </c>
      <c r="BO153" s="20">
        <f>Table1347456[[#This Row],[lnrr]]+(1.96 * Table1347456[[#This Row],[se]])</f>
        <v>1.2105611525271782</v>
      </c>
    </row>
    <row r="154" spans="1:67">
      <c r="A154" s="13" t="s">
        <v>128</v>
      </c>
      <c r="B154" s="13" t="s">
        <v>129</v>
      </c>
      <c r="C154" s="13" t="s">
        <v>130</v>
      </c>
      <c r="D154" s="13" t="s">
        <v>131</v>
      </c>
      <c r="E154" s="13" t="s">
        <v>132</v>
      </c>
      <c r="F154" s="13" t="s">
        <v>589</v>
      </c>
      <c r="G154" s="13" t="s">
        <v>46</v>
      </c>
      <c r="H154" s="13">
        <v>28</v>
      </c>
      <c r="I154" s="13" t="s">
        <v>46</v>
      </c>
      <c r="K154" s="13" t="s">
        <v>831</v>
      </c>
      <c r="L154" s="13" t="s">
        <v>832</v>
      </c>
      <c r="N154" s="13" t="s">
        <v>47</v>
      </c>
      <c r="O154" s="13" t="s">
        <v>645</v>
      </c>
      <c r="P154" s="13" t="s">
        <v>85</v>
      </c>
      <c r="Q154" s="13" t="s">
        <v>48</v>
      </c>
      <c r="R154" s="4">
        <v>4</v>
      </c>
      <c r="S154" s="13" t="s">
        <v>596</v>
      </c>
      <c r="T154" s="13">
        <v>45</v>
      </c>
      <c r="U154" s="4" t="s">
        <v>133</v>
      </c>
      <c r="V154" s="4">
        <v>500</v>
      </c>
      <c r="W154" s="4" t="s">
        <v>601</v>
      </c>
      <c r="X154" s="4" t="s">
        <v>46</v>
      </c>
      <c r="Y154" s="4">
        <v>80</v>
      </c>
      <c r="AA154" s="4" t="s">
        <v>49</v>
      </c>
      <c r="AB154" s="4">
        <v>0</v>
      </c>
      <c r="AC154" s="4" t="s">
        <v>49</v>
      </c>
      <c r="AD154" s="4">
        <v>0</v>
      </c>
      <c r="AE154" s="4" t="s">
        <v>49</v>
      </c>
      <c r="AF154" s="4">
        <v>0</v>
      </c>
      <c r="AG154" s="4" t="s">
        <v>46</v>
      </c>
      <c r="AH154" s="4" t="s">
        <v>722</v>
      </c>
      <c r="AI154" s="4" t="s">
        <v>78</v>
      </c>
      <c r="AJ154" s="13">
        <v>0</v>
      </c>
      <c r="AK154" s="13">
        <v>20</v>
      </c>
      <c r="AL154" s="13" t="s">
        <v>493</v>
      </c>
      <c r="AM154" s="13">
        <v>1.6</v>
      </c>
      <c r="AN154" s="13" t="s">
        <v>494</v>
      </c>
      <c r="AO154" s="13" t="s">
        <v>495</v>
      </c>
      <c r="AP154" s="13" t="s">
        <v>50</v>
      </c>
      <c r="AQ154" s="13" t="s">
        <v>49</v>
      </c>
      <c r="AR154" s="13" t="s">
        <v>50</v>
      </c>
      <c r="AS154" s="13" t="s">
        <v>49</v>
      </c>
      <c r="AT154" s="13" t="s">
        <v>990</v>
      </c>
      <c r="AU154" s="13" t="s">
        <v>998</v>
      </c>
      <c r="AV154" s="14">
        <f>786.29/1000</f>
        <v>0.78628999999999993</v>
      </c>
      <c r="AW154" s="14">
        <f t="shared" ref="AW154:AW164" si="1">319.31/1000</f>
        <v>0.31930999999999998</v>
      </c>
      <c r="AX154" s="14">
        <f>Table1347456[[#This Row],[treatment_mean]]/Table1347456[[#This Row],[control_mean]]</f>
        <v>2.4624659421878423</v>
      </c>
      <c r="AY154" s="14">
        <f>LN(Table1347456[[#This Row],[rr]])</f>
        <v>0.9011632633848462</v>
      </c>
      <c r="AZ154" s="13">
        <v>4</v>
      </c>
      <c r="BA154" s="13">
        <v>4</v>
      </c>
      <c r="BB154" s="14">
        <f>47.4/1000</f>
        <v>4.7399999999999998E-2</v>
      </c>
      <c r="BC154" s="14">
        <f t="shared" ref="BC154:BC164" si="2">29.64/1000</f>
        <v>2.964E-2</v>
      </c>
      <c r="BD154" s="15">
        <f>Table1347456[[#This Row],[treatment_se]]*SQRT(Table1347456[[#This Row],[treatment_n]])</f>
        <v>9.4799999999999995E-2</v>
      </c>
      <c r="BE154" s="14">
        <f>Table1347456[[#This Row],[control_se]]*SQRT(Table1347456[[#This Row],[control_n]])</f>
        <v>5.9279999999999999E-2</v>
      </c>
      <c r="BF15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1.2250561604561649E-2</v>
      </c>
      <c r="BG154" s="17">
        <f>SQRT(Table1347456[[#This Row],[v_from_sd_and_n]])</f>
        <v>0.11068225514761455</v>
      </c>
      <c r="BH154" s="13" t="s">
        <v>50</v>
      </c>
      <c r="BI154" s="13">
        <v>2.5000000000000001E-2</v>
      </c>
      <c r="BJ154" s="18">
        <f>ABS(_xlfn.NORM.S.INV(Table1347456[[#This Row],[p_value]]/2))</f>
        <v>2.2414027276049446</v>
      </c>
      <c r="BK154" s="19">
        <f>(Table1347456[[#This Row],[lnrr]]/Table1347456[[#This Row],[z_from_p]])^2</f>
        <v>0.16164682020960866</v>
      </c>
      <c r="BL154" s="16">
        <f>Table1347456[[#This Row],[v_from_sd_and_n]]</f>
        <v>1.2250561604561649E-2</v>
      </c>
      <c r="BM154" s="20">
        <f>SQRT(Table1347456[[#This Row],[v]])</f>
        <v>0.11068225514761455</v>
      </c>
      <c r="BN154" s="20">
        <f>Table1347456[[#This Row],[lnrr]]-(1.96*Table1347456[[#This Row],[se]])</f>
        <v>0.68422604329552172</v>
      </c>
      <c r="BO154" s="20">
        <f>Table1347456[[#This Row],[lnrr]]+(1.96 * Table1347456[[#This Row],[se]])</f>
        <v>1.1181004834741708</v>
      </c>
    </row>
    <row r="155" spans="1:67">
      <c r="A155" s="13" t="s">
        <v>128</v>
      </c>
      <c r="B155" s="13" t="s">
        <v>129</v>
      </c>
      <c r="C155" s="13" t="s">
        <v>130</v>
      </c>
      <c r="D155" s="13" t="s">
        <v>131</v>
      </c>
      <c r="E155" s="13" t="s">
        <v>132</v>
      </c>
      <c r="F155" s="13" t="s">
        <v>589</v>
      </c>
      <c r="G155" s="13" t="s">
        <v>46</v>
      </c>
      <c r="H155" s="13">
        <v>28</v>
      </c>
      <c r="I155" s="13" t="s">
        <v>46</v>
      </c>
      <c r="K155" s="13" t="s">
        <v>831</v>
      </c>
      <c r="L155" s="13" t="s">
        <v>832</v>
      </c>
      <c r="N155" s="13" t="s">
        <v>47</v>
      </c>
      <c r="O155" s="13" t="s">
        <v>645</v>
      </c>
      <c r="P155" s="13" t="s">
        <v>85</v>
      </c>
      <c r="Q155" s="13" t="s">
        <v>48</v>
      </c>
      <c r="R155" s="4">
        <v>4</v>
      </c>
      <c r="S155" s="13" t="s">
        <v>596</v>
      </c>
      <c r="T155" s="13">
        <v>45</v>
      </c>
      <c r="U155" s="4" t="s">
        <v>133</v>
      </c>
      <c r="V155" s="4">
        <v>600</v>
      </c>
      <c r="W155" s="4" t="s">
        <v>602</v>
      </c>
      <c r="X155" s="4" t="s">
        <v>46</v>
      </c>
      <c r="Y155" s="4">
        <v>80</v>
      </c>
      <c r="AA155" s="4" t="s">
        <v>49</v>
      </c>
      <c r="AB155" s="4">
        <v>0</v>
      </c>
      <c r="AC155" s="4" t="s">
        <v>49</v>
      </c>
      <c r="AD155" s="4">
        <v>0</v>
      </c>
      <c r="AE155" s="4" t="s">
        <v>49</v>
      </c>
      <c r="AF155" s="4">
        <v>0</v>
      </c>
      <c r="AG155" s="4" t="s">
        <v>46</v>
      </c>
      <c r="AH155" s="4" t="s">
        <v>722</v>
      </c>
      <c r="AI155" s="4" t="s">
        <v>78</v>
      </c>
      <c r="AJ155" s="13">
        <v>0</v>
      </c>
      <c r="AK155" s="13">
        <v>20</v>
      </c>
      <c r="AL155" s="13" t="s">
        <v>493</v>
      </c>
      <c r="AM155" s="13">
        <v>1.6</v>
      </c>
      <c r="AN155" s="13" t="s">
        <v>494</v>
      </c>
      <c r="AO155" s="13" t="s">
        <v>495</v>
      </c>
      <c r="AP155" s="13" t="s">
        <v>50</v>
      </c>
      <c r="AQ155" s="13" t="s">
        <v>49</v>
      </c>
      <c r="AR155" s="13" t="s">
        <v>50</v>
      </c>
      <c r="AS155" s="13" t="s">
        <v>49</v>
      </c>
      <c r="AT155" s="13" t="s">
        <v>990</v>
      </c>
      <c r="AU155" s="13" t="s">
        <v>998</v>
      </c>
      <c r="AV155" s="14">
        <f>679.28/1000</f>
        <v>0.67927999999999999</v>
      </c>
      <c r="AW155" s="14">
        <f t="shared" si="1"/>
        <v>0.31930999999999998</v>
      </c>
      <c r="AX155" s="14">
        <f>Table1347456[[#This Row],[treatment_mean]]/Table1347456[[#This Row],[control_mean]]</f>
        <v>2.1273370705583918</v>
      </c>
      <c r="AY155" s="14">
        <f>LN(Table1347456[[#This Row],[rr]])</f>
        <v>0.75487099595154716</v>
      </c>
      <c r="AZ155" s="13">
        <v>4</v>
      </c>
      <c r="BA155" s="13">
        <v>4</v>
      </c>
      <c r="BB155" s="14">
        <f>53.33/1000</f>
        <v>5.3329999999999995E-2</v>
      </c>
      <c r="BC155" s="14">
        <f t="shared" si="2"/>
        <v>2.964E-2</v>
      </c>
      <c r="BD155" s="15">
        <f>Table1347456[[#This Row],[treatment_se]]*SQRT(Table1347456[[#This Row],[treatment_n]])</f>
        <v>0.10665999999999999</v>
      </c>
      <c r="BE155" s="14">
        <f>Table1347456[[#This Row],[control_se]]*SQRT(Table1347456[[#This Row],[control_n]])</f>
        <v>5.9279999999999999E-2</v>
      </c>
      <c r="BF15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1.4780266300125102E-2</v>
      </c>
      <c r="BG155" s="17">
        <f>SQRT(Table1347456[[#This Row],[v_from_sd_and_n]])</f>
        <v>0.12157411854554037</v>
      </c>
      <c r="BH155" s="13" t="s">
        <v>50</v>
      </c>
      <c r="BI155" s="13">
        <v>2.5000000000000001E-2</v>
      </c>
      <c r="BJ155" s="18">
        <f>ABS(_xlfn.NORM.S.INV(Table1347456[[#This Row],[p_value]]/2))</f>
        <v>2.2414027276049446</v>
      </c>
      <c r="BK155" s="19">
        <f>(Table1347456[[#This Row],[lnrr]]/Table1347456[[#This Row],[z_from_p]])^2</f>
        <v>0.11342418981697468</v>
      </c>
      <c r="BL155" s="16">
        <f>Table1347456[[#This Row],[v_from_sd_and_n]]</f>
        <v>1.4780266300125102E-2</v>
      </c>
      <c r="BM155" s="20">
        <f>SQRT(Table1347456[[#This Row],[v]])</f>
        <v>0.12157411854554037</v>
      </c>
      <c r="BN155" s="20">
        <f>Table1347456[[#This Row],[lnrr]]-(1.96*Table1347456[[#This Row],[se]])</f>
        <v>0.51658572360228805</v>
      </c>
      <c r="BO155" s="20">
        <f>Table1347456[[#This Row],[lnrr]]+(1.96 * Table1347456[[#This Row],[se]])</f>
        <v>0.99315626830080628</v>
      </c>
    </row>
    <row r="156" spans="1:67">
      <c r="A156" s="13" t="s">
        <v>128</v>
      </c>
      <c r="B156" s="13" t="s">
        <v>129</v>
      </c>
      <c r="C156" s="13" t="s">
        <v>130</v>
      </c>
      <c r="D156" s="13" t="s">
        <v>131</v>
      </c>
      <c r="E156" s="13" t="s">
        <v>132</v>
      </c>
      <c r="F156" s="13" t="s">
        <v>589</v>
      </c>
      <c r="G156" s="13" t="s">
        <v>46</v>
      </c>
      <c r="H156" s="13">
        <v>28</v>
      </c>
      <c r="I156" s="13" t="s">
        <v>46</v>
      </c>
      <c r="K156" s="13" t="s">
        <v>831</v>
      </c>
      <c r="L156" s="13" t="s">
        <v>832</v>
      </c>
      <c r="N156" s="13" t="s">
        <v>47</v>
      </c>
      <c r="O156" s="13" t="s">
        <v>645</v>
      </c>
      <c r="P156" s="13" t="s">
        <v>85</v>
      </c>
      <c r="Q156" s="13" t="s">
        <v>48</v>
      </c>
      <c r="R156" s="4">
        <v>4</v>
      </c>
      <c r="S156" s="13" t="s">
        <v>596</v>
      </c>
      <c r="T156" s="13">
        <v>45</v>
      </c>
      <c r="U156" s="4" t="s">
        <v>134</v>
      </c>
      <c r="V156" s="4">
        <v>400</v>
      </c>
      <c r="W156" s="4" t="s">
        <v>42</v>
      </c>
      <c r="X156" s="4" t="s">
        <v>46</v>
      </c>
      <c r="Y156" s="4">
        <v>80</v>
      </c>
      <c r="AA156" s="4" t="s">
        <v>49</v>
      </c>
      <c r="AB156" s="4">
        <v>0</v>
      </c>
      <c r="AC156" s="4" t="s">
        <v>49</v>
      </c>
      <c r="AD156" s="4">
        <v>0</v>
      </c>
      <c r="AE156" s="4" t="s">
        <v>49</v>
      </c>
      <c r="AF156" s="4">
        <v>0</v>
      </c>
      <c r="AG156" s="4" t="s">
        <v>46</v>
      </c>
      <c r="AH156" s="4" t="s">
        <v>722</v>
      </c>
      <c r="AI156" s="4" t="s">
        <v>78</v>
      </c>
      <c r="AJ156" s="13">
        <v>0</v>
      </c>
      <c r="AK156" s="13">
        <v>20</v>
      </c>
      <c r="AL156" s="13" t="s">
        <v>493</v>
      </c>
      <c r="AM156" s="13">
        <v>1.6</v>
      </c>
      <c r="AN156" s="13" t="s">
        <v>494</v>
      </c>
      <c r="AO156" s="13" t="s">
        <v>495</v>
      </c>
      <c r="AP156" s="13" t="s">
        <v>50</v>
      </c>
      <c r="AQ156" s="13" t="s">
        <v>49</v>
      </c>
      <c r="AR156" s="13" t="s">
        <v>50</v>
      </c>
      <c r="AS156" s="13" t="s">
        <v>49</v>
      </c>
      <c r="AT156" s="13" t="s">
        <v>990</v>
      </c>
      <c r="AU156" s="13" t="s">
        <v>998</v>
      </c>
      <c r="AV156" s="14">
        <f>1206.21/1000</f>
        <v>1.20621</v>
      </c>
      <c r="AW156" s="14">
        <f t="shared" si="1"/>
        <v>0.31930999999999998</v>
      </c>
      <c r="AX156" s="14">
        <f>Table1347456[[#This Row],[treatment_mean]]/Table1347456[[#This Row],[control_mean]]</f>
        <v>3.7775515956280734</v>
      </c>
      <c r="AY156" s="14">
        <f>LN(Table1347456[[#This Row],[rr]])</f>
        <v>1.3290760737420475</v>
      </c>
      <c r="AZ156" s="13">
        <v>4</v>
      </c>
      <c r="BA156" s="13">
        <v>4</v>
      </c>
      <c r="BB156" s="14">
        <f>195.55/1000</f>
        <v>0.19555</v>
      </c>
      <c r="BC156" s="14">
        <f t="shared" si="2"/>
        <v>2.964E-2</v>
      </c>
      <c r="BD156" s="15">
        <f>Table1347456[[#This Row],[treatment_se]]*SQRT(Table1347456[[#This Row],[treatment_n]])</f>
        <v>0.3911</v>
      </c>
      <c r="BE156" s="14">
        <f>Table1347456[[#This Row],[control_se]]*SQRT(Table1347456[[#This Row],[control_n]])</f>
        <v>5.9279999999999999E-2</v>
      </c>
      <c r="BF15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3.4899197967283663E-2</v>
      </c>
      <c r="BG156" s="17">
        <f>SQRT(Table1347456[[#This Row],[v_from_sd_and_n]])</f>
        <v>0.18681327031901043</v>
      </c>
      <c r="BH156" s="13" t="s">
        <v>50</v>
      </c>
      <c r="BI156" s="13">
        <v>2.5000000000000001E-2</v>
      </c>
      <c r="BJ156" s="18">
        <f>ABS(_xlfn.NORM.S.INV(Table1347456[[#This Row],[p_value]]/2))</f>
        <v>2.2414027276049446</v>
      </c>
      <c r="BK156" s="19">
        <f>(Table1347456[[#This Row],[lnrr]]/Table1347456[[#This Row],[z_from_p]])^2</f>
        <v>0.3516089226411569</v>
      </c>
      <c r="BL156" s="16">
        <f>Table1347456[[#This Row],[v_from_sd_and_n]]</f>
        <v>3.4899197967283663E-2</v>
      </c>
      <c r="BM156" s="20">
        <f>SQRT(Table1347456[[#This Row],[v]])</f>
        <v>0.18681327031901043</v>
      </c>
      <c r="BN156" s="20">
        <f>Table1347456[[#This Row],[lnrr]]-(1.96*Table1347456[[#This Row],[se]])</f>
        <v>0.96292206391678703</v>
      </c>
      <c r="BO156" s="20">
        <f>Table1347456[[#This Row],[lnrr]]+(1.96 * Table1347456[[#This Row],[se]])</f>
        <v>1.695230083567308</v>
      </c>
    </row>
    <row r="157" spans="1:67">
      <c r="A157" s="13" t="s">
        <v>128</v>
      </c>
      <c r="B157" s="13" t="s">
        <v>129</v>
      </c>
      <c r="C157" s="13" t="s">
        <v>130</v>
      </c>
      <c r="D157" s="13" t="s">
        <v>131</v>
      </c>
      <c r="E157" s="13" t="s">
        <v>132</v>
      </c>
      <c r="F157" s="13" t="s">
        <v>589</v>
      </c>
      <c r="G157" s="13" t="s">
        <v>46</v>
      </c>
      <c r="H157" s="13">
        <v>28</v>
      </c>
      <c r="I157" s="13" t="s">
        <v>46</v>
      </c>
      <c r="K157" s="13" t="s">
        <v>831</v>
      </c>
      <c r="L157" s="13" t="s">
        <v>832</v>
      </c>
      <c r="N157" s="13" t="s">
        <v>47</v>
      </c>
      <c r="O157" s="13" t="s">
        <v>645</v>
      </c>
      <c r="P157" s="13" t="s">
        <v>85</v>
      </c>
      <c r="Q157" s="13" t="s">
        <v>48</v>
      </c>
      <c r="R157" s="4">
        <v>4</v>
      </c>
      <c r="S157" s="13" t="s">
        <v>596</v>
      </c>
      <c r="T157" s="13">
        <v>45</v>
      </c>
      <c r="U157" s="4" t="s">
        <v>134</v>
      </c>
      <c r="V157" s="4">
        <v>500</v>
      </c>
      <c r="W157" s="4" t="s">
        <v>601</v>
      </c>
      <c r="X157" s="4" t="s">
        <v>46</v>
      </c>
      <c r="Y157" s="4">
        <v>80</v>
      </c>
      <c r="AA157" s="4" t="s">
        <v>49</v>
      </c>
      <c r="AB157" s="4">
        <v>0</v>
      </c>
      <c r="AC157" s="4" t="s">
        <v>49</v>
      </c>
      <c r="AD157" s="4">
        <v>0</v>
      </c>
      <c r="AE157" s="4" t="s">
        <v>49</v>
      </c>
      <c r="AF157" s="4">
        <v>0</v>
      </c>
      <c r="AG157" s="4" t="s">
        <v>46</v>
      </c>
      <c r="AH157" s="4" t="s">
        <v>722</v>
      </c>
      <c r="AI157" s="4" t="s">
        <v>78</v>
      </c>
      <c r="AJ157" s="13">
        <v>0</v>
      </c>
      <c r="AK157" s="13">
        <v>20</v>
      </c>
      <c r="AL157" s="13" t="s">
        <v>493</v>
      </c>
      <c r="AM157" s="13">
        <v>1.6</v>
      </c>
      <c r="AN157" s="13" t="s">
        <v>494</v>
      </c>
      <c r="AO157" s="13" t="s">
        <v>495</v>
      </c>
      <c r="AP157" s="13" t="s">
        <v>50</v>
      </c>
      <c r="AQ157" s="13" t="s">
        <v>49</v>
      </c>
      <c r="AR157" s="13" t="s">
        <v>50</v>
      </c>
      <c r="AS157" s="13" t="s">
        <v>49</v>
      </c>
      <c r="AT157" s="13" t="s">
        <v>990</v>
      </c>
      <c r="AU157" s="13" t="s">
        <v>998</v>
      </c>
      <c r="AV157" s="14">
        <f>891.78/1000</f>
        <v>0.89178000000000002</v>
      </c>
      <c r="AW157" s="14">
        <f t="shared" si="1"/>
        <v>0.31930999999999998</v>
      </c>
      <c r="AX157" s="14">
        <f>Table1347456[[#This Row],[treatment_mean]]/Table1347456[[#This Row],[control_mean]]</f>
        <v>2.7928345494973539</v>
      </c>
      <c r="AY157" s="14">
        <f>LN(Table1347456[[#This Row],[rr]])</f>
        <v>1.0270570476492977</v>
      </c>
      <c r="AZ157" s="13">
        <v>4</v>
      </c>
      <c r="BA157" s="13">
        <v>4</v>
      </c>
      <c r="BB157" s="14">
        <f>112.61/1000</f>
        <v>0.11261</v>
      </c>
      <c r="BC157" s="14">
        <f t="shared" si="2"/>
        <v>2.964E-2</v>
      </c>
      <c r="BD157" s="15">
        <f>Table1347456[[#This Row],[treatment_se]]*SQRT(Table1347456[[#This Row],[treatment_n]])</f>
        <v>0.22522</v>
      </c>
      <c r="BE157" s="14">
        <f>Table1347456[[#This Row],[control_se]]*SQRT(Table1347456[[#This Row],[control_n]])</f>
        <v>5.9279999999999999E-2</v>
      </c>
      <c r="BF15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2.4562020961223084E-2</v>
      </c>
      <c r="BG157" s="17">
        <f>SQRT(Table1347456[[#This Row],[v_from_sd_and_n]])</f>
        <v>0.15672275189398341</v>
      </c>
      <c r="BH157" s="13" t="s">
        <v>50</v>
      </c>
      <c r="BI157" s="13">
        <v>2.5000000000000001E-2</v>
      </c>
      <c r="BJ157" s="18">
        <f>ABS(_xlfn.NORM.S.INV(Table1347456[[#This Row],[p_value]]/2))</f>
        <v>2.2414027276049446</v>
      </c>
      <c r="BK157" s="19">
        <f>(Table1347456[[#This Row],[lnrr]]/Table1347456[[#This Row],[z_from_p]])^2</f>
        <v>0.20996617753593558</v>
      </c>
      <c r="BL157" s="16">
        <f>Table1347456[[#This Row],[v_from_sd_and_n]]</f>
        <v>2.4562020961223084E-2</v>
      </c>
      <c r="BM157" s="20">
        <f>SQRT(Table1347456[[#This Row],[v]])</f>
        <v>0.15672275189398341</v>
      </c>
      <c r="BN157" s="20">
        <f>Table1347456[[#This Row],[lnrr]]-(1.96*Table1347456[[#This Row],[se]])</f>
        <v>0.71988045393709021</v>
      </c>
      <c r="BO157" s="20">
        <f>Table1347456[[#This Row],[lnrr]]+(1.96 * Table1347456[[#This Row],[se]])</f>
        <v>1.3342336413615052</v>
      </c>
    </row>
    <row r="158" spans="1:67">
      <c r="A158" s="13" t="s">
        <v>128</v>
      </c>
      <c r="B158" s="13" t="s">
        <v>129</v>
      </c>
      <c r="C158" s="13" t="s">
        <v>130</v>
      </c>
      <c r="D158" s="13" t="s">
        <v>131</v>
      </c>
      <c r="E158" s="13" t="s">
        <v>132</v>
      </c>
      <c r="F158" s="13" t="s">
        <v>589</v>
      </c>
      <c r="G158" s="13" t="s">
        <v>46</v>
      </c>
      <c r="H158" s="13">
        <v>28</v>
      </c>
      <c r="I158" s="13" t="s">
        <v>46</v>
      </c>
      <c r="K158" s="13" t="s">
        <v>831</v>
      </c>
      <c r="L158" s="13" t="s">
        <v>832</v>
      </c>
      <c r="N158" s="13" t="s">
        <v>47</v>
      </c>
      <c r="O158" s="13" t="s">
        <v>645</v>
      </c>
      <c r="P158" s="13" t="s">
        <v>85</v>
      </c>
      <c r="Q158" s="13" t="s">
        <v>48</v>
      </c>
      <c r="R158" s="4">
        <v>4</v>
      </c>
      <c r="S158" s="13" t="s">
        <v>596</v>
      </c>
      <c r="T158" s="13">
        <v>45</v>
      </c>
      <c r="U158" s="4" t="s">
        <v>134</v>
      </c>
      <c r="V158" s="4">
        <v>600</v>
      </c>
      <c r="W158" s="4" t="s">
        <v>602</v>
      </c>
      <c r="X158" s="4" t="s">
        <v>46</v>
      </c>
      <c r="Y158" s="4">
        <v>80</v>
      </c>
      <c r="AA158" s="4" t="s">
        <v>49</v>
      </c>
      <c r="AB158" s="4">
        <v>0</v>
      </c>
      <c r="AC158" s="4" t="s">
        <v>49</v>
      </c>
      <c r="AD158" s="4">
        <v>0</v>
      </c>
      <c r="AE158" s="4" t="s">
        <v>49</v>
      </c>
      <c r="AF158" s="4">
        <v>0</v>
      </c>
      <c r="AG158" s="4" t="s">
        <v>46</v>
      </c>
      <c r="AH158" s="4" t="s">
        <v>722</v>
      </c>
      <c r="AI158" s="4" t="s">
        <v>78</v>
      </c>
      <c r="AJ158" s="13">
        <v>0</v>
      </c>
      <c r="AK158" s="13">
        <v>20</v>
      </c>
      <c r="AL158" s="13" t="s">
        <v>493</v>
      </c>
      <c r="AM158" s="13">
        <v>1.6</v>
      </c>
      <c r="AN158" s="13" t="s">
        <v>494</v>
      </c>
      <c r="AO158" s="13" t="s">
        <v>495</v>
      </c>
      <c r="AP158" s="13" t="s">
        <v>50</v>
      </c>
      <c r="AQ158" s="13" t="s">
        <v>49</v>
      </c>
      <c r="AR158" s="13" t="s">
        <v>50</v>
      </c>
      <c r="AS158" s="13" t="s">
        <v>49</v>
      </c>
      <c r="AT158" s="13" t="s">
        <v>990</v>
      </c>
      <c r="AU158" s="13" t="s">
        <v>998</v>
      </c>
      <c r="AV158" s="14">
        <f>903.29/1000</f>
        <v>0.90328999999999993</v>
      </c>
      <c r="AW158" s="14">
        <f t="shared" si="1"/>
        <v>0.31930999999999998</v>
      </c>
      <c r="AX158" s="14">
        <f>Table1347456[[#This Row],[treatment_mean]]/Table1347456[[#This Row],[control_mean]]</f>
        <v>2.82888102470953</v>
      </c>
      <c r="AY158" s="14">
        <f>LN(Table1347456[[#This Row],[rr]])</f>
        <v>1.0398812358357508</v>
      </c>
      <c r="AZ158" s="13">
        <v>4</v>
      </c>
      <c r="BA158" s="13">
        <v>4</v>
      </c>
      <c r="BB158" s="14">
        <f>112.59/1000</f>
        <v>0.11259000000000001</v>
      </c>
      <c r="BC158" s="14">
        <f t="shared" si="2"/>
        <v>2.964E-2</v>
      </c>
      <c r="BD158" s="15">
        <f>Table1347456[[#This Row],[treatment_se]]*SQRT(Table1347456[[#This Row],[treatment_n]])</f>
        <v>0.22518000000000002</v>
      </c>
      <c r="BE158" s="14">
        <f>Table1347456[[#This Row],[control_se]]*SQRT(Table1347456[[#This Row],[control_n]])</f>
        <v>5.9279999999999999E-2</v>
      </c>
      <c r="BF15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2.4152724650701701E-2</v>
      </c>
      <c r="BG158" s="17">
        <f>SQRT(Table1347456[[#This Row],[v_from_sd_and_n]])</f>
        <v>0.15541146885188911</v>
      </c>
      <c r="BH158" s="13" t="s">
        <v>50</v>
      </c>
      <c r="BI158" s="13">
        <v>2.5000000000000001E-2</v>
      </c>
      <c r="BJ158" s="18">
        <f>ABS(_xlfn.NORM.S.INV(Table1347456[[#This Row],[p_value]]/2))</f>
        <v>2.2414027276049446</v>
      </c>
      <c r="BK158" s="19">
        <f>(Table1347456[[#This Row],[lnrr]]/Table1347456[[#This Row],[z_from_p]])^2</f>
        <v>0.2152423331909194</v>
      </c>
      <c r="BL158" s="16">
        <f>Table1347456[[#This Row],[v_from_sd_and_n]]</f>
        <v>2.4152724650701701E-2</v>
      </c>
      <c r="BM158" s="20">
        <f>SQRT(Table1347456[[#This Row],[v]])</f>
        <v>0.15541146885188911</v>
      </c>
      <c r="BN158" s="20">
        <f>Table1347456[[#This Row],[lnrr]]-(1.96*Table1347456[[#This Row],[se]])</f>
        <v>0.73527475688604804</v>
      </c>
      <c r="BO158" s="20">
        <f>Table1347456[[#This Row],[lnrr]]+(1.96 * Table1347456[[#This Row],[se]])</f>
        <v>1.3444877147854535</v>
      </c>
    </row>
    <row r="159" spans="1:67">
      <c r="A159" s="13" t="s">
        <v>128</v>
      </c>
      <c r="B159" s="13" t="s">
        <v>129</v>
      </c>
      <c r="C159" s="13" t="s">
        <v>130</v>
      </c>
      <c r="D159" s="13" t="s">
        <v>131</v>
      </c>
      <c r="E159" s="13" t="s">
        <v>132</v>
      </c>
      <c r="F159" s="13" t="s">
        <v>589</v>
      </c>
      <c r="G159" s="13" t="s">
        <v>46</v>
      </c>
      <c r="H159" s="13">
        <v>28</v>
      </c>
      <c r="I159" s="13" t="s">
        <v>46</v>
      </c>
      <c r="K159" s="13" t="s">
        <v>831</v>
      </c>
      <c r="L159" s="13" t="s">
        <v>832</v>
      </c>
      <c r="N159" s="13" t="s">
        <v>47</v>
      </c>
      <c r="O159" s="13" t="s">
        <v>645</v>
      </c>
      <c r="P159" s="13" t="s">
        <v>85</v>
      </c>
      <c r="Q159" s="13" t="s">
        <v>48</v>
      </c>
      <c r="R159" s="4">
        <v>4</v>
      </c>
      <c r="S159" s="13" t="s">
        <v>596</v>
      </c>
      <c r="T159" s="13">
        <v>45</v>
      </c>
      <c r="U159" s="4" t="s">
        <v>135</v>
      </c>
      <c r="V159" s="4">
        <v>400</v>
      </c>
      <c r="W159" s="4" t="s">
        <v>42</v>
      </c>
      <c r="X159" s="4" t="s">
        <v>46</v>
      </c>
      <c r="Y159" s="4">
        <v>80</v>
      </c>
      <c r="AA159" s="4" t="s">
        <v>49</v>
      </c>
      <c r="AB159" s="4">
        <v>0</v>
      </c>
      <c r="AC159" s="4" t="s">
        <v>49</v>
      </c>
      <c r="AD159" s="4">
        <v>0</v>
      </c>
      <c r="AE159" s="4" t="s">
        <v>49</v>
      </c>
      <c r="AF159" s="4">
        <v>0</v>
      </c>
      <c r="AG159" s="4" t="s">
        <v>46</v>
      </c>
      <c r="AH159" s="4" t="s">
        <v>722</v>
      </c>
      <c r="AI159" s="4" t="s">
        <v>78</v>
      </c>
      <c r="AJ159" s="13">
        <v>0</v>
      </c>
      <c r="AK159" s="13">
        <v>20</v>
      </c>
      <c r="AL159" s="13" t="s">
        <v>493</v>
      </c>
      <c r="AM159" s="13">
        <v>1.6</v>
      </c>
      <c r="AN159" s="13" t="s">
        <v>494</v>
      </c>
      <c r="AO159" s="13" t="s">
        <v>495</v>
      </c>
      <c r="AP159" s="13" t="s">
        <v>50</v>
      </c>
      <c r="AQ159" s="13" t="s">
        <v>49</v>
      </c>
      <c r="AR159" s="13" t="s">
        <v>50</v>
      </c>
      <c r="AS159" s="13" t="s">
        <v>49</v>
      </c>
      <c r="AT159" s="13" t="s">
        <v>990</v>
      </c>
      <c r="AU159" s="13" t="s">
        <v>998</v>
      </c>
      <c r="AV159" s="14">
        <f>482.07/1000</f>
        <v>0.48207</v>
      </c>
      <c r="AW159" s="14">
        <f t="shared" si="1"/>
        <v>0.31930999999999998</v>
      </c>
      <c r="AX159" s="14">
        <f>Table1347456[[#This Row],[treatment_mean]]/Table1347456[[#This Row],[control_mean]]</f>
        <v>1.509724092574614</v>
      </c>
      <c r="AY159" s="14">
        <f>LN(Table1347456[[#This Row],[rr]])</f>
        <v>0.41192691398221049</v>
      </c>
      <c r="AZ159" s="13">
        <v>4</v>
      </c>
      <c r="BA159" s="13">
        <v>4</v>
      </c>
      <c r="BB159" s="14">
        <f>94.82/1000</f>
        <v>9.4819999999999988E-2</v>
      </c>
      <c r="BC159" s="14">
        <f t="shared" si="2"/>
        <v>2.964E-2</v>
      </c>
      <c r="BD159" s="15">
        <f>Table1347456[[#This Row],[treatment_se]]*SQRT(Table1347456[[#This Row],[treatment_n]])</f>
        <v>0.18963999999999998</v>
      </c>
      <c r="BE159" s="14">
        <f>Table1347456[[#This Row],[control_se]]*SQRT(Table1347456[[#This Row],[control_n]])</f>
        <v>5.9279999999999999E-2</v>
      </c>
      <c r="BF15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4.7304813195679175E-2</v>
      </c>
      <c r="BG159" s="17">
        <f>SQRT(Table1347456[[#This Row],[v_from_sd_and_n]])</f>
        <v>0.21749669697648094</v>
      </c>
      <c r="BH159" s="13" t="s">
        <v>50</v>
      </c>
      <c r="BI159" s="13">
        <v>2.5000000000000001E-2</v>
      </c>
      <c r="BJ159" s="18">
        <f>ABS(_xlfn.NORM.S.INV(Table1347456[[#This Row],[p_value]]/2))</f>
        <v>2.2414027276049446</v>
      </c>
      <c r="BK159" s="19">
        <f>(Table1347456[[#This Row],[lnrr]]/Table1347456[[#This Row],[z_from_p]])^2</f>
        <v>3.3775403370273849E-2</v>
      </c>
      <c r="BL159" s="16">
        <f>Table1347456[[#This Row],[v_from_sd_and_n]]</f>
        <v>4.7304813195679175E-2</v>
      </c>
      <c r="BM159" s="20">
        <f>SQRT(Table1347456[[#This Row],[v]])</f>
        <v>0.21749669697648094</v>
      </c>
      <c r="BN159" s="20">
        <f>Table1347456[[#This Row],[lnrr]]-(1.96*Table1347456[[#This Row],[se]])</f>
        <v>-1.4366612091692155E-2</v>
      </c>
      <c r="BO159" s="20">
        <f>Table1347456[[#This Row],[lnrr]]+(1.96 * Table1347456[[#This Row],[se]])</f>
        <v>0.83822044005611307</v>
      </c>
    </row>
    <row r="160" spans="1:67">
      <c r="A160" s="13" t="s">
        <v>128</v>
      </c>
      <c r="B160" s="13" t="s">
        <v>129</v>
      </c>
      <c r="C160" s="13" t="s">
        <v>130</v>
      </c>
      <c r="D160" s="13" t="s">
        <v>131</v>
      </c>
      <c r="E160" s="13" t="s">
        <v>132</v>
      </c>
      <c r="F160" s="13" t="s">
        <v>589</v>
      </c>
      <c r="G160" s="13" t="s">
        <v>46</v>
      </c>
      <c r="H160" s="13">
        <v>28</v>
      </c>
      <c r="I160" s="13" t="s">
        <v>46</v>
      </c>
      <c r="K160" s="13" t="s">
        <v>831</v>
      </c>
      <c r="L160" s="13" t="s">
        <v>832</v>
      </c>
      <c r="N160" s="13" t="s">
        <v>47</v>
      </c>
      <c r="O160" s="13" t="s">
        <v>645</v>
      </c>
      <c r="P160" s="13" t="s">
        <v>85</v>
      </c>
      <c r="Q160" s="13" t="s">
        <v>48</v>
      </c>
      <c r="R160" s="4">
        <v>4</v>
      </c>
      <c r="S160" s="13" t="s">
        <v>596</v>
      </c>
      <c r="T160" s="13">
        <v>45</v>
      </c>
      <c r="U160" s="4" t="s">
        <v>135</v>
      </c>
      <c r="V160" s="4">
        <v>500</v>
      </c>
      <c r="W160" s="4" t="s">
        <v>601</v>
      </c>
      <c r="X160" s="4" t="s">
        <v>46</v>
      </c>
      <c r="Y160" s="4">
        <v>80</v>
      </c>
      <c r="AA160" s="4" t="s">
        <v>49</v>
      </c>
      <c r="AB160" s="4">
        <v>0</v>
      </c>
      <c r="AC160" s="4" t="s">
        <v>49</v>
      </c>
      <c r="AD160" s="4">
        <v>0</v>
      </c>
      <c r="AE160" s="4" t="s">
        <v>49</v>
      </c>
      <c r="AF160" s="4">
        <v>0</v>
      </c>
      <c r="AG160" s="4" t="s">
        <v>46</v>
      </c>
      <c r="AH160" s="4" t="s">
        <v>722</v>
      </c>
      <c r="AI160" s="4" t="s">
        <v>78</v>
      </c>
      <c r="AJ160" s="13">
        <v>0</v>
      </c>
      <c r="AK160" s="13">
        <v>20</v>
      </c>
      <c r="AL160" s="13" t="s">
        <v>493</v>
      </c>
      <c r="AM160" s="13">
        <v>1.6</v>
      </c>
      <c r="AN160" s="13" t="s">
        <v>494</v>
      </c>
      <c r="AO160" s="13" t="s">
        <v>495</v>
      </c>
      <c r="AP160" s="13" t="s">
        <v>50</v>
      </c>
      <c r="AQ160" s="13" t="s">
        <v>49</v>
      </c>
      <c r="AR160" s="13" t="s">
        <v>50</v>
      </c>
      <c r="AS160" s="13" t="s">
        <v>49</v>
      </c>
      <c r="AT160" s="13" t="s">
        <v>990</v>
      </c>
      <c r="AU160" s="13" t="s">
        <v>998</v>
      </c>
      <c r="AV160" s="14">
        <f>517.28/1000</f>
        <v>0.51727999999999996</v>
      </c>
      <c r="AW160" s="14">
        <f t="shared" si="1"/>
        <v>0.31930999999999998</v>
      </c>
      <c r="AX160" s="14">
        <f>Table1347456[[#This Row],[treatment_mean]]/Table1347456[[#This Row],[control_mean]]</f>
        <v>1.6199931101437475</v>
      </c>
      <c r="AY160" s="14">
        <f>LN(Table1347456[[#This Row],[rr]])</f>
        <v>0.48242189623756193</v>
      </c>
      <c r="AZ160" s="13">
        <v>4</v>
      </c>
      <c r="BA160" s="13">
        <v>4</v>
      </c>
      <c r="BB160" s="14">
        <f>77.04/1000</f>
        <v>7.7040000000000011E-2</v>
      </c>
      <c r="BC160" s="14">
        <f t="shared" si="2"/>
        <v>2.964E-2</v>
      </c>
      <c r="BD160" s="15">
        <f>Table1347456[[#This Row],[treatment_se]]*SQRT(Table1347456[[#This Row],[treatment_n]])</f>
        <v>0.15408000000000002</v>
      </c>
      <c r="BE160" s="14">
        <f>Table1347456[[#This Row],[control_se]]*SQRT(Table1347456[[#This Row],[control_n]])</f>
        <v>5.9279999999999999E-2</v>
      </c>
      <c r="BF16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3.0797511908738272E-2</v>
      </c>
      <c r="BG160" s="17">
        <f>SQRT(Table1347456[[#This Row],[v_from_sd_and_n]])</f>
        <v>0.17549219899681659</v>
      </c>
      <c r="BH160" s="13" t="s">
        <v>50</v>
      </c>
      <c r="BI160" s="13">
        <v>2.5000000000000001E-2</v>
      </c>
      <c r="BJ160" s="18">
        <f>ABS(_xlfn.NORM.S.INV(Table1347456[[#This Row],[p_value]]/2))</f>
        <v>2.2414027276049446</v>
      </c>
      <c r="BK160" s="19">
        <f>(Table1347456[[#This Row],[lnrr]]/Table1347456[[#This Row],[z_from_p]])^2</f>
        <v>4.6324872278572175E-2</v>
      </c>
      <c r="BL160" s="16">
        <f>Table1347456[[#This Row],[v_from_sd_and_n]]</f>
        <v>3.0797511908738272E-2</v>
      </c>
      <c r="BM160" s="20">
        <f>SQRT(Table1347456[[#This Row],[v]])</f>
        <v>0.17549219899681659</v>
      </c>
      <c r="BN160" s="20">
        <f>Table1347456[[#This Row],[lnrr]]-(1.96*Table1347456[[#This Row],[se]])</f>
        <v>0.13845718620380143</v>
      </c>
      <c r="BO160" s="20">
        <f>Table1347456[[#This Row],[lnrr]]+(1.96 * Table1347456[[#This Row],[se]])</f>
        <v>0.82638660627132243</v>
      </c>
    </row>
    <row r="161" spans="1:67">
      <c r="A161" s="13" t="s">
        <v>128</v>
      </c>
      <c r="B161" s="13" t="s">
        <v>129</v>
      </c>
      <c r="C161" s="13" t="s">
        <v>130</v>
      </c>
      <c r="D161" s="13" t="s">
        <v>131</v>
      </c>
      <c r="E161" s="13" t="s">
        <v>132</v>
      </c>
      <c r="F161" s="13" t="s">
        <v>589</v>
      </c>
      <c r="G161" s="13" t="s">
        <v>46</v>
      </c>
      <c r="H161" s="13">
        <v>28</v>
      </c>
      <c r="I161" s="13" t="s">
        <v>46</v>
      </c>
      <c r="K161" s="13" t="s">
        <v>831</v>
      </c>
      <c r="L161" s="13" t="s">
        <v>832</v>
      </c>
      <c r="N161" s="13" t="s">
        <v>47</v>
      </c>
      <c r="O161" s="13" t="s">
        <v>645</v>
      </c>
      <c r="P161" s="13" t="s">
        <v>85</v>
      </c>
      <c r="Q161" s="13" t="s">
        <v>48</v>
      </c>
      <c r="R161" s="4">
        <v>4</v>
      </c>
      <c r="S161" s="13" t="s">
        <v>596</v>
      </c>
      <c r="T161" s="13">
        <v>45</v>
      </c>
      <c r="U161" s="4" t="s">
        <v>135</v>
      </c>
      <c r="V161" s="4">
        <v>600</v>
      </c>
      <c r="W161" s="4" t="s">
        <v>602</v>
      </c>
      <c r="X161" s="4" t="s">
        <v>46</v>
      </c>
      <c r="Y161" s="4">
        <v>80</v>
      </c>
      <c r="AA161" s="4" t="s">
        <v>49</v>
      </c>
      <c r="AB161" s="4">
        <v>0</v>
      </c>
      <c r="AC161" s="4" t="s">
        <v>49</v>
      </c>
      <c r="AD161" s="4">
        <v>0</v>
      </c>
      <c r="AE161" s="4" t="s">
        <v>49</v>
      </c>
      <c r="AF161" s="4">
        <v>0</v>
      </c>
      <c r="AG161" s="4" t="s">
        <v>46</v>
      </c>
      <c r="AH161" s="4" t="s">
        <v>722</v>
      </c>
      <c r="AI161" s="4" t="s">
        <v>78</v>
      </c>
      <c r="AJ161" s="13">
        <v>0</v>
      </c>
      <c r="AK161" s="13">
        <v>20</v>
      </c>
      <c r="AL161" s="13" t="s">
        <v>493</v>
      </c>
      <c r="AM161" s="13">
        <v>1.6</v>
      </c>
      <c r="AN161" s="13" t="s">
        <v>494</v>
      </c>
      <c r="AO161" s="13" t="s">
        <v>495</v>
      </c>
      <c r="AP161" s="13" t="s">
        <v>50</v>
      </c>
      <c r="AQ161" s="13" t="s">
        <v>49</v>
      </c>
      <c r="AR161" s="13" t="s">
        <v>50</v>
      </c>
      <c r="AS161" s="13" t="s">
        <v>49</v>
      </c>
      <c r="AT161" s="13" t="s">
        <v>990</v>
      </c>
      <c r="AU161" s="13" t="s">
        <v>998</v>
      </c>
      <c r="AV161" s="14">
        <f>582.12/1000</f>
        <v>0.58211999999999997</v>
      </c>
      <c r="AW161" s="14">
        <f t="shared" si="1"/>
        <v>0.31930999999999998</v>
      </c>
      <c r="AX161" s="14">
        <f>Table1347456[[#This Row],[treatment_mean]]/Table1347456[[#This Row],[control_mean]]</f>
        <v>1.8230559644232878</v>
      </c>
      <c r="AY161" s="14">
        <f>LN(Table1347456[[#This Row],[rr]])</f>
        <v>0.60051419430556452</v>
      </c>
      <c r="AZ161" s="13">
        <v>4</v>
      </c>
      <c r="BA161" s="13">
        <v>4</v>
      </c>
      <c r="BB161" s="14">
        <f>225.19/1000</f>
        <v>0.22519</v>
      </c>
      <c r="BC161" s="14">
        <f t="shared" si="2"/>
        <v>2.964E-2</v>
      </c>
      <c r="BD161" s="15">
        <f>Table1347456[[#This Row],[treatment_se]]*SQRT(Table1347456[[#This Row],[treatment_n]])</f>
        <v>0.45038</v>
      </c>
      <c r="BE161" s="14">
        <f>Table1347456[[#This Row],[control_se]]*SQRT(Table1347456[[#This Row],[control_n]])</f>
        <v>5.9279999999999999E-2</v>
      </c>
      <c r="BF16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0.1582652823149211</v>
      </c>
      <c r="BG161" s="17">
        <f>SQRT(Table1347456[[#This Row],[v_from_sd_and_n]])</f>
        <v>0.39782569338206536</v>
      </c>
      <c r="BH161" s="13" t="s">
        <v>50</v>
      </c>
      <c r="BI161" s="13">
        <v>2.5000000000000001E-2</v>
      </c>
      <c r="BJ161" s="18">
        <f>ABS(_xlfn.NORM.S.INV(Table1347456[[#This Row],[p_value]]/2))</f>
        <v>2.2414027276049446</v>
      </c>
      <c r="BK161" s="19">
        <f>(Table1347456[[#This Row],[lnrr]]/Table1347456[[#This Row],[z_from_p]])^2</f>
        <v>7.1780546795229119E-2</v>
      </c>
      <c r="BL161" s="16">
        <f>Table1347456[[#This Row],[v_from_sd_and_n]]</f>
        <v>0.1582652823149211</v>
      </c>
      <c r="BM161" s="20">
        <f>SQRT(Table1347456[[#This Row],[v]])</f>
        <v>0.39782569338206536</v>
      </c>
      <c r="BN161" s="20">
        <f>Table1347456[[#This Row],[lnrr]]-(1.96*Table1347456[[#This Row],[se]])</f>
        <v>-0.17922416472328362</v>
      </c>
      <c r="BO161" s="20">
        <f>Table1347456[[#This Row],[lnrr]]+(1.96 * Table1347456[[#This Row],[se]])</f>
        <v>1.3802525533344125</v>
      </c>
    </row>
    <row r="162" spans="1:67">
      <c r="A162" s="13" t="s">
        <v>128</v>
      </c>
      <c r="B162" s="13" t="s">
        <v>129</v>
      </c>
      <c r="C162" s="13" t="s">
        <v>130</v>
      </c>
      <c r="D162" s="13" t="s">
        <v>131</v>
      </c>
      <c r="E162" s="13" t="s">
        <v>132</v>
      </c>
      <c r="F162" s="13" t="s">
        <v>589</v>
      </c>
      <c r="G162" s="13" t="s">
        <v>46</v>
      </c>
      <c r="H162" s="13">
        <v>28</v>
      </c>
      <c r="I162" s="13" t="s">
        <v>46</v>
      </c>
      <c r="K162" s="13" t="s">
        <v>831</v>
      </c>
      <c r="L162" s="13" t="s">
        <v>832</v>
      </c>
      <c r="N162" s="13" t="s">
        <v>47</v>
      </c>
      <c r="O162" s="13" t="s">
        <v>645</v>
      </c>
      <c r="P162" s="13" t="s">
        <v>85</v>
      </c>
      <c r="Q162" s="13" t="s">
        <v>48</v>
      </c>
      <c r="R162" s="4">
        <v>4</v>
      </c>
      <c r="S162" s="13" t="s">
        <v>596</v>
      </c>
      <c r="T162" s="13">
        <v>45</v>
      </c>
      <c r="U162" s="4" t="s">
        <v>136</v>
      </c>
      <c r="V162" s="4">
        <v>400</v>
      </c>
      <c r="W162" s="4" t="s">
        <v>42</v>
      </c>
      <c r="X162" s="4" t="s">
        <v>46</v>
      </c>
      <c r="Y162" s="4">
        <v>80</v>
      </c>
      <c r="AA162" s="4" t="s">
        <v>49</v>
      </c>
      <c r="AB162" s="4">
        <v>0</v>
      </c>
      <c r="AC162" s="4" t="s">
        <v>49</v>
      </c>
      <c r="AD162" s="4">
        <v>0</v>
      </c>
      <c r="AE162" s="4" t="s">
        <v>49</v>
      </c>
      <c r="AF162" s="4">
        <v>0</v>
      </c>
      <c r="AG162" s="4" t="s">
        <v>46</v>
      </c>
      <c r="AH162" s="4" t="s">
        <v>722</v>
      </c>
      <c r="AI162" s="4" t="s">
        <v>78</v>
      </c>
      <c r="AJ162" s="13">
        <v>0</v>
      </c>
      <c r="AK162" s="13">
        <v>20</v>
      </c>
      <c r="AL162" s="13" t="s">
        <v>493</v>
      </c>
      <c r="AM162" s="13">
        <v>1.6</v>
      </c>
      <c r="AN162" s="13" t="s">
        <v>494</v>
      </c>
      <c r="AO162" s="13" t="s">
        <v>495</v>
      </c>
      <c r="AP162" s="13" t="s">
        <v>50</v>
      </c>
      <c r="AQ162" s="13" t="s">
        <v>49</v>
      </c>
      <c r="AR162" s="13" t="s">
        <v>50</v>
      </c>
      <c r="AS162" s="13" t="s">
        <v>49</v>
      </c>
      <c r="AT162" s="13" t="s">
        <v>990</v>
      </c>
      <c r="AU162" s="13" t="s">
        <v>998</v>
      </c>
      <c r="AV162" s="14">
        <f>729.79/1000</f>
        <v>0.72978999999999994</v>
      </c>
      <c r="AW162" s="14">
        <f t="shared" si="1"/>
        <v>0.31930999999999998</v>
      </c>
      <c r="AX162" s="14">
        <f>Table1347456[[#This Row],[treatment_mean]]/Table1347456[[#This Row],[control_mean]]</f>
        <v>2.2855219066111303</v>
      </c>
      <c r="AY162" s="14">
        <f>LN(Table1347456[[#This Row],[rr]])</f>
        <v>0.82659440378469284</v>
      </c>
      <c r="AZ162" s="13">
        <v>4</v>
      </c>
      <c r="BA162" s="13">
        <v>4</v>
      </c>
      <c r="BB162" s="14">
        <f>71.12/1000</f>
        <v>7.1120000000000003E-2</v>
      </c>
      <c r="BC162" s="14">
        <f t="shared" si="2"/>
        <v>2.964E-2</v>
      </c>
      <c r="BD162" s="15">
        <f>Table1347456[[#This Row],[treatment_se]]*SQRT(Table1347456[[#This Row],[treatment_n]])</f>
        <v>0.14224000000000001</v>
      </c>
      <c r="BE162" s="14">
        <f>Table1347456[[#This Row],[control_se]]*SQRT(Table1347456[[#This Row],[control_n]])</f>
        <v>5.9279999999999999E-2</v>
      </c>
      <c r="BF16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1.8113536412222742E-2</v>
      </c>
      <c r="BG162" s="17">
        <f>SQRT(Table1347456[[#This Row],[v_from_sd_and_n]])</f>
        <v>0.13458653874820745</v>
      </c>
      <c r="BH162" s="13" t="s">
        <v>50</v>
      </c>
      <c r="BI162" s="13">
        <v>2.5000000000000001E-2</v>
      </c>
      <c r="BJ162" s="18">
        <f>ABS(_xlfn.NORM.S.INV(Table1347456[[#This Row],[p_value]]/2))</f>
        <v>2.2414027276049446</v>
      </c>
      <c r="BK162" s="19">
        <f>(Table1347456[[#This Row],[lnrr]]/Table1347456[[#This Row],[z_from_p]])^2</f>
        <v>0.13600194807226565</v>
      </c>
      <c r="BL162" s="16">
        <f>Table1347456[[#This Row],[v_from_sd_and_n]]</f>
        <v>1.8113536412222742E-2</v>
      </c>
      <c r="BM162" s="20">
        <f>SQRT(Table1347456[[#This Row],[v]])</f>
        <v>0.13458653874820745</v>
      </c>
      <c r="BN162" s="20">
        <f>Table1347456[[#This Row],[lnrr]]-(1.96*Table1347456[[#This Row],[se]])</f>
        <v>0.56280478783820631</v>
      </c>
      <c r="BO162" s="20">
        <f>Table1347456[[#This Row],[lnrr]]+(1.96 * Table1347456[[#This Row],[se]])</f>
        <v>1.0903840197311794</v>
      </c>
    </row>
    <row r="163" spans="1:67">
      <c r="A163" s="13" t="s">
        <v>128</v>
      </c>
      <c r="B163" s="13" t="s">
        <v>129</v>
      </c>
      <c r="C163" s="13" t="s">
        <v>130</v>
      </c>
      <c r="D163" s="13" t="s">
        <v>131</v>
      </c>
      <c r="E163" s="13" t="s">
        <v>132</v>
      </c>
      <c r="F163" s="13" t="s">
        <v>589</v>
      </c>
      <c r="G163" s="13" t="s">
        <v>46</v>
      </c>
      <c r="H163" s="13">
        <v>28</v>
      </c>
      <c r="I163" s="13" t="s">
        <v>46</v>
      </c>
      <c r="K163" s="13" t="s">
        <v>831</v>
      </c>
      <c r="L163" s="13" t="s">
        <v>832</v>
      </c>
      <c r="N163" s="13" t="s">
        <v>47</v>
      </c>
      <c r="O163" s="13" t="s">
        <v>645</v>
      </c>
      <c r="P163" s="13" t="s">
        <v>85</v>
      </c>
      <c r="Q163" s="13" t="s">
        <v>48</v>
      </c>
      <c r="R163" s="4">
        <v>4</v>
      </c>
      <c r="S163" s="13" t="s">
        <v>596</v>
      </c>
      <c r="T163" s="13">
        <v>45</v>
      </c>
      <c r="U163" s="4" t="s">
        <v>136</v>
      </c>
      <c r="V163" s="4">
        <v>500</v>
      </c>
      <c r="W163" s="4" t="s">
        <v>601</v>
      </c>
      <c r="X163" s="4" t="s">
        <v>46</v>
      </c>
      <c r="Y163" s="4">
        <v>80</v>
      </c>
      <c r="AA163" s="4" t="s">
        <v>49</v>
      </c>
      <c r="AB163" s="4">
        <v>0</v>
      </c>
      <c r="AC163" s="4" t="s">
        <v>49</v>
      </c>
      <c r="AD163" s="4">
        <v>0</v>
      </c>
      <c r="AE163" s="4" t="s">
        <v>49</v>
      </c>
      <c r="AF163" s="4">
        <v>0</v>
      </c>
      <c r="AG163" s="4" t="s">
        <v>46</v>
      </c>
      <c r="AH163" s="4" t="s">
        <v>722</v>
      </c>
      <c r="AI163" s="4" t="s">
        <v>78</v>
      </c>
      <c r="AJ163" s="13">
        <v>0</v>
      </c>
      <c r="AK163" s="13">
        <v>20</v>
      </c>
      <c r="AL163" s="13" t="s">
        <v>493</v>
      </c>
      <c r="AM163" s="13">
        <v>1.6</v>
      </c>
      <c r="AN163" s="13" t="s">
        <v>494</v>
      </c>
      <c r="AO163" s="13" t="s">
        <v>495</v>
      </c>
      <c r="AP163" s="13" t="s">
        <v>50</v>
      </c>
      <c r="AQ163" s="13" t="s">
        <v>49</v>
      </c>
      <c r="AR163" s="13" t="s">
        <v>50</v>
      </c>
      <c r="AS163" s="13" t="s">
        <v>49</v>
      </c>
      <c r="AT163" s="13" t="s">
        <v>990</v>
      </c>
      <c r="AU163" s="13" t="s">
        <v>998</v>
      </c>
      <c r="AV163" s="14">
        <f>658.34/1000</f>
        <v>0.65834000000000004</v>
      </c>
      <c r="AW163" s="14">
        <f t="shared" si="1"/>
        <v>0.31930999999999998</v>
      </c>
      <c r="AX163" s="14">
        <f>Table1347456[[#This Row],[treatment_mean]]/Table1347456[[#This Row],[control_mean]]</f>
        <v>2.0617581660455357</v>
      </c>
      <c r="AY163" s="14">
        <f>LN(Table1347456[[#This Row],[rr]])</f>
        <v>0.72355909745855651</v>
      </c>
      <c r="AZ163" s="13">
        <v>4</v>
      </c>
      <c r="BA163" s="13">
        <v>4</v>
      </c>
      <c r="BB163" s="14">
        <f>112.59/1000</f>
        <v>0.11259000000000001</v>
      </c>
      <c r="BC163" s="14">
        <f t="shared" si="2"/>
        <v>2.964E-2</v>
      </c>
      <c r="BD163" s="15">
        <f>Table1347456[[#This Row],[treatment_se]]*SQRT(Table1347456[[#This Row],[treatment_n]])</f>
        <v>0.22518000000000002</v>
      </c>
      <c r="BE163" s="14">
        <f>Table1347456[[#This Row],[control_se]]*SQRT(Table1347456[[#This Row],[control_n]])</f>
        <v>5.9279999999999999E-2</v>
      </c>
      <c r="BF16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3.7864709812054857E-2</v>
      </c>
      <c r="BG163" s="17">
        <f>SQRT(Table1347456[[#This Row],[v_from_sd_and_n]])</f>
        <v>0.19458856547098255</v>
      </c>
      <c r="BH163" s="13" t="s">
        <v>50</v>
      </c>
      <c r="BI163" s="13">
        <v>2.5000000000000001E-2</v>
      </c>
      <c r="BJ163" s="18">
        <f>ABS(_xlfn.NORM.S.INV(Table1347456[[#This Row],[p_value]]/2))</f>
        <v>2.2414027276049446</v>
      </c>
      <c r="BK163" s="19">
        <f>(Table1347456[[#This Row],[lnrr]]/Table1347456[[#This Row],[z_from_p]])^2</f>
        <v>0.10420971892973076</v>
      </c>
      <c r="BL163" s="16">
        <f>Table1347456[[#This Row],[v_from_sd_and_n]]</f>
        <v>3.7864709812054857E-2</v>
      </c>
      <c r="BM163" s="20">
        <f>SQRT(Table1347456[[#This Row],[v]])</f>
        <v>0.19458856547098255</v>
      </c>
      <c r="BN163" s="20">
        <f>Table1347456[[#This Row],[lnrr]]-(1.96*Table1347456[[#This Row],[se]])</f>
        <v>0.3421655091354307</v>
      </c>
      <c r="BO163" s="20">
        <f>Table1347456[[#This Row],[lnrr]]+(1.96 * Table1347456[[#This Row],[se]])</f>
        <v>1.1049526857816823</v>
      </c>
    </row>
    <row r="164" spans="1:67">
      <c r="A164" s="13" t="s">
        <v>128</v>
      </c>
      <c r="B164" s="13" t="s">
        <v>129</v>
      </c>
      <c r="C164" s="13" t="s">
        <v>130</v>
      </c>
      <c r="D164" s="13" t="s">
        <v>131</v>
      </c>
      <c r="E164" s="13" t="s">
        <v>132</v>
      </c>
      <c r="F164" s="13" t="s">
        <v>589</v>
      </c>
      <c r="G164" s="13" t="s">
        <v>46</v>
      </c>
      <c r="H164" s="13">
        <v>28</v>
      </c>
      <c r="I164" s="13" t="s">
        <v>46</v>
      </c>
      <c r="K164" s="13" t="s">
        <v>831</v>
      </c>
      <c r="L164" s="13" t="s">
        <v>832</v>
      </c>
      <c r="N164" s="13" t="s">
        <v>47</v>
      </c>
      <c r="O164" s="13" t="s">
        <v>645</v>
      </c>
      <c r="P164" s="13" t="s">
        <v>85</v>
      </c>
      <c r="Q164" s="13" t="s">
        <v>48</v>
      </c>
      <c r="R164" s="4">
        <v>4</v>
      </c>
      <c r="S164" s="13" t="s">
        <v>596</v>
      </c>
      <c r="T164" s="13">
        <v>45</v>
      </c>
      <c r="U164" s="4" t="s">
        <v>136</v>
      </c>
      <c r="V164" s="4">
        <v>600</v>
      </c>
      <c r="W164" s="4" t="s">
        <v>602</v>
      </c>
      <c r="X164" s="4" t="s">
        <v>46</v>
      </c>
      <c r="Y164" s="4">
        <v>80</v>
      </c>
      <c r="AA164" s="4" t="s">
        <v>49</v>
      </c>
      <c r="AB164" s="4">
        <v>0</v>
      </c>
      <c r="AC164" s="4" t="s">
        <v>49</v>
      </c>
      <c r="AD164" s="4">
        <v>0</v>
      </c>
      <c r="AE164" s="4" t="s">
        <v>49</v>
      </c>
      <c r="AF164" s="4">
        <v>0</v>
      </c>
      <c r="AG164" s="4" t="s">
        <v>46</v>
      </c>
      <c r="AH164" s="4" t="s">
        <v>722</v>
      </c>
      <c r="AI164" s="4" t="s">
        <v>78</v>
      </c>
      <c r="AJ164" s="13">
        <v>0</v>
      </c>
      <c r="AK164" s="13">
        <v>20</v>
      </c>
      <c r="AL164" s="13" t="s">
        <v>493</v>
      </c>
      <c r="AM164" s="13">
        <v>1.6</v>
      </c>
      <c r="AN164" s="13" t="s">
        <v>494</v>
      </c>
      <c r="AO164" s="13" t="s">
        <v>495</v>
      </c>
      <c r="AP164" s="13" t="s">
        <v>50</v>
      </c>
      <c r="AQ164" s="13" t="s">
        <v>49</v>
      </c>
      <c r="AR164" s="13" t="s">
        <v>50</v>
      </c>
      <c r="AS164" s="13" t="s">
        <v>49</v>
      </c>
      <c r="AT164" s="13" t="s">
        <v>990</v>
      </c>
      <c r="AU164" s="13" t="s">
        <v>998</v>
      </c>
      <c r="AV164" s="14">
        <f>711.31/1000</f>
        <v>0.71131</v>
      </c>
      <c r="AW164" s="14">
        <f t="shared" si="1"/>
        <v>0.31930999999999998</v>
      </c>
      <c r="AX164" s="14">
        <f>Table1347456[[#This Row],[treatment_mean]]/Table1347456[[#This Row],[control_mean]]</f>
        <v>2.227647114089756</v>
      </c>
      <c r="AY164" s="14">
        <f>LN(Table1347456[[#This Row],[rr]])</f>
        <v>0.80094592266672526</v>
      </c>
      <c r="AZ164" s="13">
        <v>4</v>
      </c>
      <c r="BA164" s="13">
        <v>4</v>
      </c>
      <c r="BB164" s="14">
        <f>154.09/1000</f>
        <v>0.15409</v>
      </c>
      <c r="BC164" s="14">
        <f t="shared" si="2"/>
        <v>2.964E-2</v>
      </c>
      <c r="BD164" s="15">
        <f>Table1347456[[#This Row],[treatment_se]]*SQRT(Table1347456[[#This Row],[treatment_n]])</f>
        <v>0.30818000000000001</v>
      </c>
      <c r="BE164" s="14">
        <f>Table1347456[[#This Row],[control_se]]*SQRT(Table1347456[[#This Row],[control_n]])</f>
        <v>5.9279999999999999E-2</v>
      </c>
      <c r="BF16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5.5544405103913799E-2</v>
      </c>
      <c r="BG164" s="17">
        <f>SQRT(Table1347456[[#This Row],[v_from_sd_and_n]])</f>
        <v>0.23567860552861772</v>
      </c>
      <c r="BH164" s="13" t="s">
        <v>50</v>
      </c>
      <c r="BI164" s="13">
        <v>2.5000000000000001E-2</v>
      </c>
      <c r="BJ164" s="18">
        <f>ABS(_xlfn.NORM.S.INV(Table1347456[[#This Row],[p_value]]/2))</f>
        <v>2.2414027276049446</v>
      </c>
      <c r="BK164" s="19">
        <f>(Table1347456[[#This Row],[lnrr]]/Table1347456[[#This Row],[z_from_p]])^2</f>
        <v>0.12769285511607534</v>
      </c>
      <c r="BL164" s="16">
        <f>Table1347456[[#This Row],[v_from_sd_and_n]]</f>
        <v>5.5544405103913799E-2</v>
      </c>
      <c r="BM164" s="20">
        <f>SQRT(Table1347456[[#This Row],[v]])</f>
        <v>0.23567860552861772</v>
      </c>
      <c r="BN164" s="20">
        <f>Table1347456[[#This Row],[lnrr]]-(1.96*Table1347456[[#This Row],[se]])</f>
        <v>0.33901585583063454</v>
      </c>
      <c r="BO164" s="20">
        <f>Table1347456[[#This Row],[lnrr]]+(1.96 * Table1347456[[#This Row],[se]])</f>
        <v>1.2628759895028159</v>
      </c>
    </row>
    <row r="165" spans="1:67">
      <c r="A165" s="13" t="s">
        <v>128</v>
      </c>
      <c r="B165" s="13" t="s">
        <v>129</v>
      </c>
      <c r="C165" s="13" t="s">
        <v>130</v>
      </c>
      <c r="D165" s="13" t="s">
        <v>131</v>
      </c>
      <c r="E165" s="13" t="s">
        <v>132</v>
      </c>
      <c r="F165" s="13" t="s">
        <v>589</v>
      </c>
      <c r="G165" s="13" t="s">
        <v>46</v>
      </c>
      <c r="H165" s="13">
        <v>28</v>
      </c>
      <c r="I165" s="13" t="s">
        <v>46</v>
      </c>
      <c r="J165" s="13" t="s">
        <v>653</v>
      </c>
      <c r="K165" s="13" t="s">
        <v>831</v>
      </c>
      <c r="L165" s="13" t="s">
        <v>832</v>
      </c>
      <c r="M165" s="13" t="s">
        <v>802</v>
      </c>
      <c r="N165" s="13" t="s">
        <v>119</v>
      </c>
      <c r="O165" s="13" t="s">
        <v>645</v>
      </c>
      <c r="P165" s="13" t="s">
        <v>85</v>
      </c>
      <c r="Q165" s="13" t="s">
        <v>48</v>
      </c>
      <c r="R165" s="4">
        <v>4</v>
      </c>
      <c r="S165" s="13" t="s">
        <v>596</v>
      </c>
      <c r="T165" s="13">
        <v>45</v>
      </c>
      <c r="U165" s="4" t="s">
        <v>133</v>
      </c>
      <c r="V165" s="4">
        <v>400</v>
      </c>
      <c r="W165" s="4" t="s">
        <v>42</v>
      </c>
      <c r="X165" s="4" t="s">
        <v>46</v>
      </c>
      <c r="Y165" s="4">
        <v>80</v>
      </c>
      <c r="AA165" s="4" t="s">
        <v>49</v>
      </c>
      <c r="AB165" s="4">
        <v>0</v>
      </c>
      <c r="AC165" s="4" t="s">
        <v>49</v>
      </c>
      <c r="AD165" s="4">
        <v>0</v>
      </c>
      <c r="AE165" s="4" t="s">
        <v>49</v>
      </c>
      <c r="AF165" s="4">
        <v>0</v>
      </c>
      <c r="AG165" s="4" t="s">
        <v>46</v>
      </c>
      <c r="AH165" s="4" t="s">
        <v>722</v>
      </c>
      <c r="AI165" s="4" t="s">
        <v>78</v>
      </c>
      <c r="AJ165" s="13">
        <v>0</v>
      </c>
      <c r="AK165" s="13">
        <v>20</v>
      </c>
      <c r="AL165" s="13" t="s">
        <v>493</v>
      </c>
      <c r="AM165" s="13">
        <v>1.6</v>
      </c>
      <c r="AN165" s="13" t="s">
        <v>494</v>
      </c>
      <c r="AO165" s="13" t="s">
        <v>495</v>
      </c>
      <c r="AP165" s="13" t="s">
        <v>50</v>
      </c>
      <c r="AQ165" s="13" t="s">
        <v>49</v>
      </c>
      <c r="AR165" s="13" t="s">
        <v>50</v>
      </c>
      <c r="AS165" s="13" t="s">
        <v>49</v>
      </c>
      <c r="AT165" s="13" t="s">
        <v>990</v>
      </c>
      <c r="AU165" s="13" t="s">
        <v>998</v>
      </c>
      <c r="AV165" s="23">
        <f>114.42/1000</f>
        <v>0.11442000000000001</v>
      </c>
      <c r="AW165" s="23">
        <f>104.52/1000</f>
        <v>0.10452</v>
      </c>
      <c r="AX165" s="14">
        <f>Table1347456[[#This Row],[treatment_mean]]/Table1347456[[#This Row],[control_mean]]</f>
        <v>1.0947187141216992</v>
      </c>
      <c r="AY165" s="14">
        <f>LN(Table1347456[[#This Row],[rr]])</f>
        <v>9.0497448187970952E-2</v>
      </c>
      <c r="AZ165" s="13">
        <v>4</v>
      </c>
      <c r="BA165" s="13">
        <v>4</v>
      </c>
      <c r="BB165" s="14">
        <f>9.23/1000</f>
        <v>9.2300000000000004E-3</v>
      </c>
      <c r="BC165" s="14">
        <f>17.7/1000</f>
        <v>1.77E-2</v>
      </c>
      <c r="BD165" s="15">
        <f>Table1347456[[#This Row],[treatment_se]]*SQRT(Table1347456[[#This Row],[treatment_n]])</f>
        <v>1.8460000000000001E-2</v>
      </c>
      <c r="BE165" s="14">
        <f>Table1347456[[#This Row],[control_se]]*SQRT(Table1347456[[#This Row],[control_n]])</f>
        <v>3.5400000000000001E-2</v>
      </c>
      <c r="BF16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3.5185205708942451E-2</v>
      </c>
      <c r="BG165" s="17">
        <f>SQRT(Table1347456[[#This Row],[v_from_sd_and_n]])</f>
        <v>0.18757719933121522</v>
      </c>
      <c r="BH165" s="13" t="s">
        <v>50</v>
      </c>
      <c r="BI165" s="13">
        <v>2.5000000000000001E-2</v>
      </c>
      <c r="BJ165" s="18">
        <f>ABS(_xlfn.NORM.S.INV(Table1347456[[#This Row],[p_value]]/2))</f>
        <v>2.2414027276049446</v>
      </c>
      <c r="BK165" s="19">
        <f>(Table1347456[[#This Row],[lnrr]]/Table1347456[[#This Row],[z_from_p]])^2</f>
        <v>1.6301699169088224E-3</v>
      </c>
      <c r="BL165" s="16">
        <f>Table1347456[[#This Row],[v_from_sd_and_n]]</f>
        <v>3.5185205708942451E-2</v>
      </c>
      <c r="BM165" s="20">
        <f>SQRT(Table1347456[[#This Row],[v]])</f>
        <v>0.18757719933121522</v>
      </c>
      <c r="BN165" s="20">
        <f>Table1347456[[#This Row],[lnrr]]-(1.96*Table1347456[[#This Row],[se]])</f>
        <v>-0.27715386250121088</v>
      </c>
      <c r="BO165" s="20">
        <f>Table1347456[[#This Row],[lnrr]]+(1.96 * Table1347456[[#This Row],[se]])</f>
        <v>0.45814875887715278</v>
      </c>
    </row>
    <row r="166" spans="1:67">
      <c r="A166" s="13" t="s">
        <v>128</v>
      </c>
      <c r="B166" s="13" t="s">
        <v>129</v>
      </c>
      <c r="C166" s="13" t="s">
        <v>130</v>
      </c>
      <c r="D166" s="13" t="s">
        <v>131</v>
      </c>
      <c r="E166" s="13" t="s">
        <v>132</v>
      </c>
      <c r="F166" s="13" t="s">
        <v>589</v>
      </c>
      <c r="G166" s="13" t="s">
        <v>46</v>
      </c>
      <c r="H166" s="13">
        <v>28</v>
      </c>
      <c r="I166" s="13" t="s">
        <v>46</v>
      </c>
      <c r="J166" s="13" t="s">
        <v>653</v>
      </c>
      <c r="K166" s="13" t="s">
        <v>831</v>
      </c>
      <c r="L166" s="13" t="s">
        <v>832</v>
      </c>
      <c r="M166" s="13" t="s">
        <v>802</v>
      </c>
      <c r="N166" s="13" t="s">
        <v>119</v>
      </c>
      <c r="O166" s="13" t="s">
        <v>645</v>
      </c>
      <c r="P166" s="13" t="s">
        <v>85</v>
      </c>
      <c r="Q166" s="13" t="s">
        <v>48</v>
      </c>
      <c r="R166" s="4">
        <v>4</v>
      </c>
      <c r="S166" s="13" t="s">
        <v>596</v>
      </c>
      <c r="T166" s="13">
        <v>45</v>
      </c>
      <c r="U166" s="4" t="s">
        <v>133</v>
      </c>
      <c r="V166" s="4">
        <v>500</v>
      </c>
      <c r="W166" s="4" t="s">
        <v>601</v>
      </c>
      <c r="X166" s="4" t="s">
        <v>46</v>
      </c>
      <c r="Y166" s="4">
        <v>80</v>
      </c>
      <c r="AA166" s="4" t="s">
        <v>49</v>
      </c>
      <c r="AB166" s="4">
        <v>0</v>
      </c>
      <c r="AC166" s="4" t="s">
        <v>49</v>
      </c>
      <c r="AD166" s="4">
        <v>0</v>
      </c>
      <c r="AE166" s="4" t="s">
        <v>49</v>
      </c>
      <c r="AF166" s="4">
        <v>0</v>
      </c>
      <c r="AG166" s="4" t="s">
        <v>46</v>
      </c>
      <c r="AH166" s="4" t="s">
        <v>722</v>
      </c>
      <c r="AI166" s="4" t="s">
        <v>78</v>
      </c>
      <c r="AJ166" s="13">
        <v>0</v>
      </c>
      <c r="AK166" s="13">
        <v>20</v>
      </c>
      <c r="AL166" s="13" t="s">
        <v>493</v>
      </c>
      <c r="AM166" s="13">
        <v>1.6</v>
      </c>
      <c r="AN166" s="13" t="s">
        <v>494</v>
      </c>
      <c r="AO166" s="13" t="s">
        <v>495</v>
      </c>
      <c r="AP166" s="13" t="s">
        <v>50</v>
      </c>
      <c r="AQ166" s="13" t="s">
        <v>49</v>
      </c>
      <c r="AR166" s="13" t="s">
        <v>50</v>
      </c>
      <c r="AS166" s="13" t="s">
        <v>49</v>
      </c>
      <c r="AT166" s="13" t="s">
        <v>990</v>
      </c>
      <c r="AU166" s="13" t="s">
        <v>998</v>
      </c>
      <c r="AV166" s="23">
        <f>114.37/1000</f>
        <v>0.11437</v>
      </c>
      <c r="AW166" s="23">
        <f t="shared" ref="AW166:AW176" si="3">104.52/1000</f>
        <v>0.10452</v>
      </c>
      <c r="AX166" s="14">
        <f>Table1347456[[#This Row],[treatment_mean]]/Table1347456[[#This Row],[control_mean]]</f>
        <v>1.0942403367776501</v>
      </c>
      <c r="AY166" s="14">
        <f>LN(Table1347456[[#This Row],[rr]])</f>
        <v>9.0060366140713513E-2</v>
      </c>
      <c r="AZ166" s="13">
        <v>4</v>
      </c>
      <c r="BA166" s="13">
        <v>4</v>
      </c>
      <c r="BB166" s="14">
        <f>3.85/1000</f>
        <v>3.8500000000000001E-3</v>
      </c>
      <c r="BC166" s="14">
        <f t="shared" ref="BC166:BC176" si="4">17.7/1000</f>
        <v>1.77E-2</v>
      </c>
      <c r="BD166" s="15">
        <f>Table1347456[[#This Row],[treatment_se]]*SQRT(Table1347456[[#This Row],[treatment_n]])</f>
        <v>7.7000000000000002E-3</v>
      </c>
      <c r="BE166" s="14">
        <f>Table1347456[[#This Row],[control_se]]*SQRT(Table1347456[[#This Row],[control_n]])</f>
        <v>3.5400000000000001E-2</v>
      </c>
      <c r="BF16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2.981110100143284E-2</v>
      </c>
      <c r="BG166" s="17">
        <f>SQRT(Table1347456[[#This Row],[v_from_sd_and_n]])</f>
        <v>0.17265891520982299</v>
      </c>
      <c r="BH166" s="13" t="s">
        <v>50</v>
      </c>
      <c r="BI166" s="13">
        <v>2.5000000000000001E-2</v>
      </c>
      <c r="BJ166" s="18">
        <f>ABS(_xlfn.NORM.S.INV(Table1347456[[#This Row],[p_value]]/2))</f>
        <v>2.2414027276049446</v>
      </c>
      <c r="BK166" s="19">
        <f>(Table1347456[[#This Row],[lnrr]]/Table1347456[[#This Row],[z_from_p]])^2</f>
        <v>1.6144612451370821E-3</v>
      </c>
      <c r="BL166" s="16">
        <f>Table1347456[[#This Row],[v_from_sd_and_n]]</f>
        <v>2.981110100143284E-2</v>
      </c>
      <c r="BM166" s="20">
        <f>SQRT(Table1347456[[#This Row],[v]])</f>
        <v>0.17265891520982299</v>
      </c>
      <c r="BN166" s="20">
        <f>Table1347456[[#This Row],[lnrr]]-(1.96*Table1347456[[#This Row],[se]])</f>
        <v>-0.24835110767053953</v>
      </c>
      <c r="BO166" s="20">
        <f>Table1347456[[#This Row],[lnrr]]+(1.96 * Table1347456[[#This Row],[se]])</f>
        <v>0.42847183995196653</v>
      </c>
    </row>
    <row r="167" spans="1:67">
      <c r="A167" s="13" t="s">
        <v>128</v>
      </c>
      <c r="B167" s="13" t="s">
        <v>129</v>
      </c>
      <c r="C167" s="13" t="s">
        <v>130</v>
      </c>
      <c r="D167" s="13" t="s">
        <v>131</v>
      </c>
      <c r="E167" s="13" t="s">
        <v>132</v>
      </c>
      <c r="F167" s="13" t="s">
        <v>589</v>
      </c>
      <c r="G167" s="13" t="s">
        <v>46</v>
      </c>
      <c r="H167" s="13">
        <v>28</v>
      </c>
      <c r="I167" s="13" t="s">
        <v>46</v>
      </c>
      <c r="J167" s="13" t="s">
        <v>653</v>
      </c>
      <c r="K167" s="13" t="s">
        <v>831</v>
      </c>
      <c r="L167" s="13" t="s">
        <v>832</v>
      </c>
      <c r="M167" s="13" t="s">
        <v>802</v>
      </c>
      <c r="N167" s="13" t="s">
        <v>119</v>
      </c>
      <c r="O167" s="13" t="s">
        <v>645</v>
      </c>
      <c r="P167" s="13" t="s">
        <v>85</v>
      </c>
      <c r="Q167" s="13" t="s">
        <v>48</v>
      </c>
      <c r="R167" s="4">
        <v>4</v>
      </c>
      <c r="S167" s="13" t="s">
        <v>596</v>
      </c>
      <c r="T167" s="13">
        <v>45</v>
      </c>
      <c r="U167" s="4" t="s">
        <v>133</v>
      </c>
      <c r="V167" s="4">
        <v>600</v>
      </c>
      <c r="W167" s="4" t="s">
        <v>602</v>
      </c>
      <c r="X167" s="4" t="s">
        <v>46</v>
      </c>
      <c r="Y167" s="4">
        <v>80</v>
      </c>
      <c r="AA167" s="4" t="s">
        <v>49</v>
      </c>
      <c r="AB167" s="4">
        <v>0</v>
      </c>
      <c r="AC167" s="4" t="s">
        <v>49</v>
      </c>
      <c r="AD167" s="4">
        <v>0</v>
      </c>
      <c r="AE167" s="4" t="s">
        <v>49</v>
      </c>
      <c r="AF167" s="4">
        <v>0</v>
      </c>
      <c r="AG167" s="4" t="s">
        <v>46</v>
      </c>
      <c r="AH167" s="4" t="s">
        <v>722</v>
      </c>
      <c r="AI167" s="4" t="s">
        <v>78</v>
      </c>
      <c r="AJ167" s="13">
        <v>0</v>
      </c>
      <c r="AK167" s="13">
        <v>20</v>
      </c>
      <c r="AL167" s="13" t="s">
        <v>493</v>
      </c>
      <c r="AM167" s="13">
        <v>1.6</v>
      </c>
      <c r="AN167" s="13" t="s">
        <v>494</v>
      </c>
      <c r="AO167" s="13" t="s">
        <v>495</v>
      </c>
      <c r="AP167" s="13" t="s">
        <v>50</v>
      </c>
      <c r="AQ167" s="13" t="s">
        <v>49</v>
      </c>
      <c r="AR167" s="13" t="s">
        <v>50</v>
      </c>
      <c r="AS167" s="13" t="s">
        <v>49</v>
      </c>
      <c r="AT167" s="13" t="s">
        <v>990</v>
      </c>
      <c r="AU167" s="13" t="s">
        <v>998</v>
      </c>
      <c r="AV167" s="23">
        <f>112.79/1000</f>
        <v>0.11279</v>
      </c>
      <c r="AW167" s="23">
        <f t="shared" si="3"/>
        <v>0.10452</v>
      </c>
      <c r="AX167" s="14">
        <f>Table1347456[[#This Row],[treatment_mean]]/Table1347456[[#This Row],[control_mean]]</f>
        <v>1.0791236127057022</v>
      </c>
      <c r="AY167" s="14">
        <f>LN(Table1347456[[#This Row],[rr]])</f>
        <v>7.6149241999413683E-2</v>
      </c>
      <c r="AZ167" s="13">
        <v>4</v>
      </c>
      <c r="BA167" s="13">
        <v>4</v>
      </c>
      <c r="BB167" s="14">
        <f>10.77/1000</f>
        <v>1.077E-2</v>
      </c>
      <c r="BC167" s="14">
        <f t="shared" si="4"/>
        <v>1.77E-2</v>
      </c>
      <c r="BD167" s="15">
        <f>Table1347456[[#This Row],[treatment_se]]*SQRT(Table1347456[[#This Row],[treatment_n]])</f>
        <v>2.154E-2</v>
      </c>
      <c r="BE167" s="14">
        <f>Table1347456[[#This Row],[control_se]]*SQRT(Table1347456[[#This Row],[control_n]])</f>
        <v>3.5400000000000001E-2</v>
      </c>
      <c r="BF16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3.7795728578559944E-2</v>
      </c>
      <c r="BG167" s="17">
        <f>SQRT(Table1347456[[#This Row],[v_from_sd_and_n]])</f>
        <v>0.19441123573127131</v>
      </c>
      <c r="BH167" s="13" t="s">
        <v>50</v>
      </c>
      <c r="BI167" s="13">
        <v>2.5000000000000001E-2</v>
      </c>
      <c r="BJ167" s="18">
        <f>ABS(_xlfn.NORM.S.INV(Table1347456[[#This Row],[p_value]]/2))</f>
        <v>2.2414027276049446</v>
      </c>
      <c r="BK167" s="19">
        <f>(Table1347456[[#This Row],[lnrr]]/Table1347456[[#This Row],[z_from_p]])^2</f>
        <v>1.154227393074066E-3</v>
      </c>
      <c r="BL167" s="16">
        <f>Table1347456[[#This Row],[v_from_sd_and_n]]</f>
        <v>3.7795728578559944E-2</v>
      </c>
      <c r="BM167" s="20">
        <f>SQRT(Table1347456[[#This Row],[v]])</f>
        <v>0.19441123573127131</v>
      </c>
      <c r="BN167" s="20">
        <f>Table1347456[[#This Row],[lnrr]]-(1.96*Table1347456[[#This Row],[se]])</f>
        <v>-0.30489678003387805</v>
      </c>
      <c r="BO167" s="20">
        <f>Table1347456[[#This Row],[lnrr]]+(1.96 * Table1347456[[#This Row],[se]])</f>
        <v>0.45719526403270544</v>
      </c>
    </row>
    <row r="168" spans="1:67">
      <c r="A168" s="13" t="s">
        <v>128</v>
      </c>
      <c r="B168" s="13" t="s">
        <v>129</v>
      </c>
      <c r="C168" s="13" t="s">
        <v>130</v>
      </c>
      <c r="D168" s="13" t="s">
        <v>131</v>
      </c>
      <c r="E168" s="13" t="s">
        <v>132</v>
      </c>
      <c r="F168" s="13" t="s">
        <v>589</v>
      </c>
      <c r="G168" s="13" t="s">
        <v>46</v>
      </c>
      <c r="H168" s="13">
        <v>28</v>
      </c>
      <c r="I168" s="13" t="s">
        <v>46</v>
      </c>
      <c r="J168" s="13" t="s">
        <v>653</v>
      </c>
      <c r="K168" s="13" t="s">
        <v>831</v>
      </c>
      <c r="L168" s="13" t="s">
        <v>832</v>
      </c>
      <c r="M168" s="13" t="s">
        <v>802</v>
      </c>
      <c r="N168" s="13" t="s">
        <v>119</v>
      </c>
      <c r="O168" s="13" t="s">
        <v>645</v>
      </c>
      <c r="P168" s="13" t="s">
        <v>85</v>
      </c>
      <c r="Q168" s="13" t="s">
        <v>48</v>
      </c>
      <c r="R168" s="4">
        <v>4</v>
      </c>
      <c r="S168" s="13" t="s">
        <v>596</v>
      </c>
      <c r="T168" s="13">
        <v>45</v>
      </c>
      <c r="U168" s="4" t="s">
        <v>134</v>
      </c>
      <c r="V168" s="4">
        <v>400</v>
      </c>
      <c r="W168" s="4" t="s">
        <v>42</v>
      </c>
      <c r="X168" s="4" t="s">
        <v>46</v>
      </c>
      <c r="Y168" s="4">
        <v>80</v>
      </c>
      <c r="AA168" s="4" t="s">
        <v>49</v>
      </c>
      <c r="AB168" s="4">
        <v>0</v>
      </c>
      <c r="AC168" s="4" t="s">
        <v>49</v>
      </c>
      <c r="AD168" s="4">
        <v>0</v>
      </c>
      <c r="AE168" s="4" t="s">
        <v>49</v>
      </c>
      <c r="AF168" s="4">
        <v>0</v>
      </c>
      <c r="AG168" s="4" t="s">
        <v>46</v>
      </c>
      <c r="AH168" s="4" t="s">
        <v>722</v>
      </c>
      <c r="AI168" s="4" t="s">
        <v>78</v>
      </c>
      <c r="AJ168" s="13">
        <v>0</v>
      </c>
      <c r="AK168" s="13">
        <v>20</v>
      </c>
      <c r="AL168" s="13" t="s">
        <v>493</v>
      </c>
      <c r="AM168" s="13">
        <v>1.6</v>
      </c>
      <c r="AN168" s="13" t="s">
        <v>494</v>
      </c>
      <c r="AO168" s="13" t="s">
        <v>495</v>
      </c>
      <c r="AP168" s="13" t="s">
        <v>50</v>
      </c>
      <c r="AQ168" s="13" t="s">
        <v>49</v>
      </c>
      <c r="AR168" s="13" t="s">
        <v>50</v>
      </c>
      <c r="AS168" s="13" t="s">
        <v>49</v>
      </c>
      <c r="AT168" s="13" t="s">
        <v>990</v>
      </c>
      <c r="AU168" s="13" t="s">
        <v>998</v>
      </c>
      <c r="AV168" s="23">
        <f>134.27/1000</f>
        <v>0.13427</v>
      </c>
      <c r="AW168" s="23">
        <f t="shared" si="3"/>
        <v>0.10452</v>
      </c>
      <c r="AX168" s="14">
        <f>Table1347456[[#This Row],[treatment_mean]]/Table1347456[[#This Row],[control_mean]]</f>
        <v>1.2846345197091467</v>
      </c>
      <c r="AY168" s="14">
        <f>LN(Table1347456[[#This Row],[rr]])</f>
        <v>0.25047425743220508</v>
      </c>
      <c r="AZ168" s="13">
        <v>4</v>
      </c>
      <c r="BA168" s="13">
        <v>4</v>
      </c>
      <c r="BB168" s="14">
        <f>7.69/1000</f>
        <v>7.6900000000000007E-3</v>
      </c>
      <c r="BC168" s="14">
        <f t="shared" si="4"/>
        <v>1.77E-2</v>
      </c>
      <c r="BD168" s="15">
        <f>Table1347456[[#This Row],[treatment_se]]*SQRT(Table1347456[[#This Row],[treatment_n]])</f>
        <v>1.5380000000000001E-2</v>
      </c>
      <c r="BE168" s="14">
        <f>Table1347456[[#This Row],[control_se]]*SQRT(Table1347456[[#This Row],[control_n]])</f>
        <v>3.5400000000000001E-2</v>
      </c>
      <c r="BF16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3.1958082929368185E-2</v>
      </c>
      <c r="BG168" s="17">
        <f>SQRT(Table1347456[[#This Row],[v_from_sd_and_n]])</f>
        <v>0.17876823803284572</v>
      </c>
      <c r="BH168" s="13" t="s">
        <v>50</v>
      </c>
      <c r="BI168" s="13">
        <v>2.5000000000000001E-2</v>
      </c>
      <c r="BJ168" s="18">
        <f>ABS(_xlfn.NORM.S.INV(Table1347456[[#This Row],[p_value]]/2))</f>
        <v>2.2414027276049446</v>
      </c>
      <c r="BK168" s="19">
        <f>(Table1347456[[#This Row],[lnrr]]/Table1347456[[#This Row],[z_from_p]])^2</f>
        <v>1.2487813476870533E-2</v>
      </c>
      <c r="BL168" s="16">
        <f>Table1347456[[#This Row],[v_from_sd_and_n]]</f>
        <v>3.1958082929368185E-2</v>
      </c>
      <c r="BM168" s="20">
        <f>SQRT(Table1347456[[#This Row],[v]])</f>
        <v>0.17876823803284572</v>
      </c>
      <c r="BN168" s="20">
        <f>Table1347456[[#This Row],[lnrr]]-(1.96*Table1347456[[#This Row],[se]])</f>
        <v>-9.9911489112172513E-2</v>
      </c>
      <c r="BO168" s="20">
        <f>Table1347456[[#This Row],[lnrr]]+(1.96 * Table1347456[[#This Row],[se]])</f>
        <v>0.60086000397658268</v>
      </c>
    </row>
    <row r="169" spans="1:67">
      <c r="A169" s="13" t="s">
        <v>128</v>
      </c>
      <c r="B169" s="13" t="s">
        <v>129</v>
      </c>
      <c r="C169" s="13" t="s">
        <v>130</v>
      </c>
      <c r="D169" s="13" t="s">
        <v>131</v>
      </c>
      <c r="E169" s="13" t="s">
        <v>132</v>
      </c>
      <c r="F169" s="13" t="s">
        <v>589</v>
      </c>
      <c r="G169" s="13" t="s">
        <v>46</v>
      </c>
      <c r="H169" s="13">
        <v>28</v>
      </c>
      <c r="I169" s="13" t="s">
        <v>46</v>
      </c>
      <c r="J169" s="13" t="s">
        <v>653</v>
      </c>
      <c r="K169" s="13" t="s">
        <v>831</v>
      </c>
      <c r="L169" s="13" t="s">
        <v>832</v>
      </c>
      <c r="M169" s="13" t="s">
        <v>802</v>
      </c>
      <c r="N169" s="13" t="s">
        <v>119</v>
      </c>
      <c r="O169" s="13" t="s">
        <v>645</v>
      </c>
      <c r="P169" s="13" t="s">
        <v>85</v>
      </c>
      <c r="Q169" s="13" t="s">
        <v>48</v>
      </c>
      <c r="R169" s="4">
        <v>4</v>
      </c>
      <c r="S169" s="13" t="s">
        <v>596</v>
      </c>
      <c r="T169" s="13">
        <v>45</v>
      </c>
      <c r="U169" s="4" t="s">
        <v>134</v>
      </c>
      <c r="V169" s="4">
        <v>500</v>
      </c>
      <c r="W169" s="4" t="s">
        <v>601</v>
      </c>
      <c r="X169" s="4" t="s">
        <v>46</v>
      </c>
      <c r="Y169" s="4">
        <v>80</v>
      </c>
      <c r="AA169" s="4" t="s">
        <v>49</v>
      </c>
      <c r="AB169" s="4">
        <v>0</v>
      </c>
      <c r="AC169" s="4" t="s">
        <v>49</v>
      </c>
      <c r="AD169" s="4">
        <v>0</v>
      </c>
      <c r="AE169" s="4" t="s">
        <v>49</v>
      </c>
      <c r="AF169" s="4">
        <v>0</v>
      </c>
      <c r="AG169" s="4" t="s">
        <v>46</v>
      </c>
      <c r="AH169" s="4" t="s">
        <v>722</v>
      </c>
      <c r="AI169" s="4" t="s">
        <v>78</v>
      </c>
      <c r="AJ169" s="13">
        <v>0</v>
      </c>
      <c r="AK169" s="13">
        <v>20</v>
      </c>
      <c r="AL169" s="13" t="s">
        <v>493</v>
      </c>
      <c r="AM169" s="13">
        <v>1.6</v>
      </c>
      <c r="AN169" s="13" t="s">
        <v>494</v>
      </c>
      <c r="AO169" s="13" t="s">
        <v>495</v>
      </c>
      <c r="AP169" s="13" t="s">
        <v>50</v>
      </c>
      <c r="AQ169" s="13" t="s">
        <v>49</v>
      </c>
      <c r="AR169" s="13" t="s">
        <v>50</v>
      </c>
      <c r="AS169" s="13" t="s">
        <v>49</v>
      </c>
      <c r="AT169" s="13" t="s">
        <v>990</v>
      </c>
      <c r="AU169" s="13" t="s">
        <v>998</v>
      </c>
      <c r="AV169" s="23">
        <f>129.6/1000</f>
        <v>0.12959999999999999</v>
      </c>
      <c r="AW169" s="23">
        <f t="shared" si="3"/>
        <v>0.10452</v>
      </c>
      <c r="AX169" s="14">
        <f>Table1347456[[#This Row],[treatment_mean]]/Table1347456[[#This Row],[control_mean]]</f>
        <v>1.2399540757749712</v>
      </c>
      <c r="AY169" s="14">
        <f>LN(Table1347456[[#This Row],[rr]])</f>
        <v>0.2150743432657625</v>
      </c>
      <c r="AZ169" s="13">
        <v>4</v>
      </c>
      <c r="BA169" s="13">
        <v>4</v>
      </c>
      <c r="BB169" s="14">
        <f>6.93/1000</f>
        <v>6.9299999999999995E-3</v>
      </c>
      <c r="BC169" s="14">
        <f t="shared" si="4"/>
        <v>1.77E-2</v>
      </c>
      <c r="BD169" s="15">
        <f>Table1347456[[#This Row],[treatment_se]]*SQRT(Table1347456[[#This Row],[treatment_n]])</f>
        <v>1.3859999999999999E-2</v>
      </c>
      <c r="BE169" s="14">
        <f>Table1347456[[#This Row],[control_se]]*SQRT(Table1347456[[#This Row],[control_n]])</f>
        <v>3.5400000000000001E-2</v>
      </c>
      <c r="BF16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3.153720394492554E-2</v>
      </c>
      <c r="BG169" s="17">
        <f>SQRT(Table1347456[[#This Row],[v_from_sd_and_n]])</f>
        <v>0.17758717280514813</v>
      </c>
      <c r="BH169" s="13" t="s">
        <v>50</v>
      </c>
      <c r="BI169" s="13">
        <v>2.5000000000000001E-2</v>
      </c>
      <c r="BJ169" s="18">
        <f>ABS(_xlfn.NORM.S.INV(Table1347456[[#This Row],[p_value]]/2))</f>
        <v>2.2414027276049446</v>
      </c>
      <c r="BK169" s="19">
        <f>(Table1347456[[#This Row],[lnrr]]/Table1347456[[#This Row],[z_from_p]])^2</f>
        <v>9.2074086487062678E-3</v>
      </c>
      <c r="BL169" s="16">
        <f>Table1347456[[#This Row],[v_from_sd_and_n]]</f>
        <v>3.153720394492554E-2</v>
      </c>
      <c r="BM169" s="20">
        <f>SQRT(Table1347456[[#This Row],[v]])</f>
        <v>0.17758717280514813</v>
      </c>
      <c r="BN169" s="20">
        <f>Table1347456[[#This Row],[lnrr]]-(1.96*Table1347456[[#This Row],[se]])</f>
        <v>-0.13299651543232785</v>
      </c>
      <c r="BO169" s="20">
        <f>Table1347456[[#This Row],[lnrr]]+(1.96 * Table1347456[[#This Row],[se]])</f>
        <v>0.56314520196385287</v>
      </c>
    </row>
    <row r="170" spans="1:67">
      <c r="A170" s="13" t="s">
        <v>128</v>
      </c>
      <c r="B170" s="13" t="s">
        <v>129</v>
      </c>
      <c r="C170" s="13" t="s">
        <v>130</v>
      </c>
      <c r="D170" s="13" t="s">
        <v>131</v>
      </c>
      <c r="E170" s="13" t="s">
        <v>132</v>
      </c>
      <c r="F170" s="13" t="s">
        <v>589</v>
      </c>
      <c r="G170" s="13" t="s">
        <v>46</v>
      </c>
      <c r="H170" s="13">
        <v>28</v>
      </c>
      <c r="I170" s="13" t="s">
        <v>46</v>
      </c>
      <c r="J170" s="13" t="s">
        <v>653</v>
      </c>
      <c r="K170" s="13" t="s">
        <v>831</v>
      </c>
      <c r="L170" s="13" t="s">
        <v>832</v>
      </c>
      <c r="M170" s="13" t="s">
        <v>802</v>
      </c>
      <c r="N170" s="13" t="s">
        <v>119</v>
      </c>
      <c r="O170" s="13" t="s">
        <v>645</v>
      </c>
      <c r="P170" s="13" t="s">
        <v>85</v>
      </c>
      <c r="Q170" s="13" t="s">
        <v>48</v>
      </c>
      <c r="R170" s="4">
        <v>4</v>
      </c>
      <c r="S170" s="13" t="s">
        <v>596</v>
      </c>
      <c r="T170" s="13">
        <v>45</v>
      </c>
      <c r="U170" s="4" t="s">
        <v>134</v>
      </c>
      <c r="V170" s="4">
        <v>600</v>
      </c>
      <c r="W170" s="4" t="s">
        <v>602</v>
      </c>
      <c r="X170" s="4" t="s">
        <v>46</v>
      </c>
      <c r="Y170" s="4">
        <v>80</v>
      </c>
      <c r="AA170" s="4" t="s">
        <v>49</v>
      </c>
      <c r="AB170" s="4">
        <v>0</v>
      </c>
      <c r="AC170" s="4" t="s">
        <v>49</v>
      </c>
      <c r="AD170" s="4">
        <v>0</v>
      </c>
      <c r="AE170" s="4" t="s">
        <v>49</v>
      </c>
      <c r="AF170" s="4">
        <v>0</v>
      </c>
      <c r="AG170" s="4" t="s">
        <v>46</v>
      </c>
      <c r="AH170" s="4" t="s">
        <v>722</v>
      </c>
      <c r="AI170" s="4" t="s">
        <v>78</v>
      </c>
      <c r="AJ170" s="13">
        <v>0</v>
      </c>
      <c r="AK170" s="13">
        <v>20</v>
      </c>
      <c r="AL170" s="13" t="s">
        <v>493</v>
      </c>
      <c r="AM170" s="13">
        <v>1.6</v>
      </c>
      <c r="AN170" s="13" t="s">
        <v>494</v>
      </c>
      <c r="AO170" s="13" t="s">
        <v>495</v>
      </c>
      <c r="AP170" s="13" t="s">
        <v>50</v>
      </c>
      <c r="AQ170" s="13" t="s">
        <v>49</v>
      </c>
      <c r="AR170" s="13" t="s">
        <v>50</v>
      </c>
      <c r="AS170" s="13" t="s">
        <v>49</v>
      </c>
      <c r="AT170" s="13" t="s">
        <v>990</v>
      </c>
      <c r="AU170" s="13" t="s">
        <v>998</v>
      </c>
      <c r="AV170" s="23">
        <f>121.87/1000</f>
        <v>0.12187000000000001</v>
      </c>
      <c r="AW170" s="23">
        <f t="shared" si="3"/>
        <v>0.10452</v>
      </c>
      <c r="AX170" s="14">
        <f>Table1347456[[#This Row],[treatment_mean]]/Table1347456[[#This Row],[control_mean]]</f>
        <v>1.1659969383849982</v>
      </c>
      <c r="AY170" s="14">
        <f>LN(Table1347456[[#This Row],[rr]])</f>
        <v>0.15357646218299933</v>
      </c>
      <c r="AZ170" s="13">
        <v>4</v>
      </c>
      <c r="BA170" s="13">
        <v>4</v>
      </c>
      <c r="BB170" s="14">
        <f>8.46/1000</f>
        <v>8.4600000000000005E-3</v>
      </c>
      <c r="BC170" s="14">
        <f t="shared" si="4"/>
        <v>1.77E-2</v>
      </c>
      <c r="BD170" s="15">
        <f>Table1347456[[#This Row],[treatment_se]]*SQRT(Table1347456[[#This Row],[treatment_n]])</f>
        <v>1.6920000000000001E-2</v>
      </c>
      <c r="BE170" s="14">
        <f>Table1347456[[#This Row],[control_se]]*SQRT(Table1347456[[#This Row],[control_n]])</f>
        <v>3.5400000000000001E-2</v>
      </c>
      <c r="BF17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3.3496816404919291E-2</v>
      </c>
      <c r="BG170" s="17">
        <f>SQRT(Table1347456[[#This Row],[v_from_sd_and_n]])</f>
        <v>0.18302135505158759</v>
      </c>
      <c r="BH170" s="13" t="s">
        <v>50</v>
      </c>
      <c r="BI170" s="13">
        <v>2.5000000000000001E-2</v>
      </c>
      <c r="BJ170" s="18">
        <f>ABS(_xlfn.NORM.S.INV(Table1347456[[#This Row],[p_value]]/2))</f>
        <v>2.2414027276049446</v>
      </c>
      <c r="BK170" s="19">
        <f>(Table1347456[[#This Row],[lnrr]]/Table1347456[[#This Row],[z_from_p]])^2</f>
        <v>4.6947181638388354E-3</v>
      </c>
      <c r="BL170" s="16">
        <f>Table1347456[[#This Row],[v_from_sd_and_n]]</f>
        <v>3.3496816404919291E-2</v>
      </c>
      <c r="BM170" s="20">
        <f>SQRT(Table1347456[[#This Row],[v]])</f>
        <v>0.18302135505158759</v>
      </c>
      <c r="BN170" s="20">
        <f>Table1347456[[#This Row],[lnrr]]-(1.96*Table1347456[[#This Row],[se]])</f>
        <v>-0.20514539371811233</v>
      </c>
      <c r="BO170" s="20">
        <f>Table1347456[[#This Row],[lnrr]]+(1.96 * Table1347456[[#This Row],[se]])</f>
        <v>0.51229831808411097</v>
      </c>
    </row>
    <row r="171" spans="1:67">
      <c r="A171" s="13" t="s">
        <v>128</v>
      </c>
      <c r="B171" s="13" t="s">
        <v>129</v>
      </c>
      <c r="C171" s="13" t="s">
        <v>130</v>
      </c>
      <c r="D171" s="13" t="s">
        <v>131</v>
      </c>
      <c r="E171" s="13" t="s">
        <v>132</v>
      </c>
      <c r="F171" s="13" t="s">
        <v>589</v>
      </c>
      <c r="G171" s="13" t="s">
        <v>46</v>
      </c>
      <c r="H171" s="13">
        <v>28</v>
      </c>
      <c r="I171" s="13" t="s">
        <v>46</v>
      </c>
      <c r="J171" s="13" t="s">
        <v>653</v>
      </c>
      <c r="K171" s="13" t="s">
        <v>831</v>
      </c>
      <c r="L171" s="13" t="s">
        <v>832</v>
      </c>
      <c r="M171" s="13" t="s">
        <v>802</v>
      </c>
      <c r="N171" s="13" t="s">
        <v>119</v>
      </c>
      <c r="O171" s="13" t="s">
        <v>645</v>
      </c>
      <c r="P171" s="13" t="s">
        <v>85</v>
      </c>
      <c r="Q171" s="13" t="s">
        <v>48</v>
      </c>
      <c r="R171" s="4">
        <v>4</v>
      </c>
      <c r="S171" s="13" t="s">
        <v>596</v>
      </c>
      <c r="T171" s="13">
        <v>45</v>
      </c>
      <c r="U171" s="4" t="s">
        <v>135</v>
      </c>
      <c r="V171" s="4">
        <v>400</v>
      </c>
      <c r="W171" s="4" t="s">
        <v>42</v>
      </c>
      <c r="X171" s="4" t="s">
        <v>46</v>
      </c>
      <c r="Y171" s="4">
        <v>80</v>
      </c>
      <c r="AA171" s="4" t="s">
        <v>49</v>
      </c>
      <c r="AB171" s="4">
        <v>0</v>
      </c>
      <c r="AC171" s="4" t="s">
        <v>49</v>
      </c>
      <c r="AD171" s="4">
        <v>0</v>
      </c>
      <c r="AE171" s="4" t="s">
        <v>49</v>
      </c>
      <c r="AF171" s="4">
        <v>0</v>
      </c>
      <c r="AG171" s="4" t="s">
        <v>46</v>
      </c>
      <c r="AH171" s="4" t="s">
        <v>722</v>
      </c>
      <c r="AI171" s="4" t="s">
        <v>78</v>
      </c>
      <c r="AJ171" s="13">
        <v>0</v>
      </c>
      <c r="AK171" s="13">
        <v>20</v>
      </c>
      <c r="AL171" s="13" t="s">
        <v>493</v>
      </c>
      <c r="AM171" s="13">
        <v>1.6</v>
      </c>
      <c r="AN171" s="13" t="s">
        <v>494</v>
      </c>
      <c r="AO171" s="13" t="s">
        <v>495</v>
      </c>
      <c r="AP171" s="13" t="s">
        <v>50</v>
      </c>
      <c r="AQ171" s="13" t="s">
        <v>49</v>
      </c>
      <c r="AR171" s="13" t="s">
        <v>50</v>
      </c>
      <c r="AS171" s="13" t="s">
        <v>49</v>
      </c>
      <c r="AT171" s="13" t="s">
        <v>990</v>
      </c>
      <c r="AU171" s="13" t="s">
        <v>998</v>
      </c>
      <c r="AV171" s="23">
        <f>100.27/1000</f>
        <v>0.10027</v>
      </c>
      <c r="AW171" s="23">
        <f t="shared" si="3"/>
        <v>0.10452</v>
      </c>
      <c r="AX171" s="14">
        <f>Table1347456[[#This Row],[treatment_mean]]/Table1347456[[#This Row],[control_mean]]</f>
        <v>0.95933792575583621</v>
      </c>
      <c r="AY171" s="14">
        <f>LN(Table1347456[[#This Row],[rr]])</f>
        <v>-4.1511893116577755E-2</v>
      </c>
      <c r="AZ171" s="13">
        <v>4</v>
      </c>
      <c r="BA171" s="13">
        <v>4</v>
      </c>
      <c r="BB171" s="14">
        <f>11.54/1000</f>
        <v>1.154E-2</v>
      </c>
      <c r="BC171" s="14">
        <f t="shared" si="4"/>
        <v>1.77E-2</v>
      </c>
      <c r="BD171" s="15">
        <f>Table1347456[[#This Row],[treatment_se]]*SQRT(Table1347456[[#This Row],[treatment_n]])</f>
        <v>2.308E-2</v>
      </c>
      <c r="BE171" s="14">
        <f>Table1347456[[#This Row],[control_se]]*SQRT(Table1347456[[#This Row],[control_n]])</f>
        <v>3.5400000000000001E-2</v>
      </c>
      <c r="BF17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4.1923462932872593E-2</v>
      </c>
      <c r="BG171" s="17">
        <f>SQRT(Table1347456[[#This Row],[v_from_sd_and_n]])</f>
        <v>0.20475219884746682</v>
      </c>
      <c r="BH171" s="13" t="s">
        <v>50</v>
      </c>
      <c r="BI171" s="13">
        <v>2.5000000000000001E-2</v>
      </c>
      <c r="BJ171" s="18">
        <f>ABS(_xlfn.NORM.S.INV(Table1347456[[#This Row],[p_value]]/2))</f>
        <v>2.2414027276049446</v>
      </c>
      <c r="BK171" s="19">
        <f>(Table1347456[[#This Row],[lnrr]]/Table1347456[[#This Row],[z_from_p]])^2</f>
        <v>3.4300881944206494E-4</v>
      </c>
      <c r="BL171" s="16">
        <f>Table1347456[[#This Row],[v_from_sd_and_n]]</f>
        <v>4.1923462932872593E-2</v>
      </c>
      <c r="BM171" s="20">
        <f>SQRT(Table1347456[[#This Row],[v]])</f>
        <v>0.20475219884746682</v>
      </c>
      <c r="BN171" s="20">
        <f>Table1347456[[#This Row],[lnrr]]-(1.96*Table1347456[[#This Row],[se]])</f>
        <v>-0.44282620285761271</v>
      </c>
      <c r="BO171" s="20">
        <f>Table1347456[[#This Row],[lnrr]]+(1.96 * Table1347456[[#This Row],[se]])</f>
        <v>0.35980241662445717</v>
      </c>
    </row>
    <row r="172" spans="1:67">
      <c r="A172" s="13" t="s">
        <v>128</v>
      </c>
      <c r="B172" s="13" t="s">
        <v>129</v>
      </c>
      <c r="C172" s="13" t="s">
        <v>130</v>
      </c>
      <c r="D172" s="13" t="s">
        <v>131</v>
      </c>
      <c r="E172" s="13" t="s">
        <v>132</v>
      </c>
      <c r="F172" s="13" t="s">
        <v>589</v>
      </c>
      <c r="G172" s="13" t="s">
        <v>46</v>
      </c>
      <c r="H172" s="13">
        <v>28</v>
      </c>
      <c r="I172" s="13" t="s">
        <v>46</v>
      </c>
      <c r="J172" s="13" t="s">
        <v>653</v>
      </c>
      <c r="K172" s="13" t="s">
        <v>831</v>
      </c>
      <c r="L172" s="13" t="s">
        <v>832</v>
      </c>
      <c r="M172" s="13" t="s">
        <v>802</v>
      </c>
      <c r="N172" s="13" t="s">
        <v>119</v>
      </c>
      <c r="O172" s="13" t="s">
        <v>645</v>
      </c>
      <c r="P172" s="13" t="s">
        <v>85</v>
      </c>
      <c r="Q172" s="13" t="s">
        <v>48</v>
      </c>
      <c r="R172" s="4">
        <v>4</v>
      </c>
      <c r="S172" s="13" t="s">
        <v>596</v>
      </c>
      <c r="T172" s="13">
        <v>45</v>
      </c>
      <c r="U172" s="4" t="s">
        <v>135</v>
      </c>
      <c r="V172" s="4">
        <v>500</v>
      </c>
      <c r="W172" s="4" t="s">
        <v>601</v>
      </c>
      <c r="X172" s="4" t="s">
        <v>46</v>
      </c>
      <c r="Y172" s="4">
        <v>80</v>
      </c>
      <c r="AA172" s="4" t="s">
        <v>49</v>
      </c>
      <c r="AB172" s="4">
        <v>0</v>
      </c>
      <c r="AC172" s="4" t="s">
        <v>49</v>
      </c>
      <c r="AD172" s="4">
        <v>0</v>
      </c>
      <c r="AE172" s="4" t="s">
        <v>49</v>
      </c>
      <c r="AF172" s="4">
        <v>0</v>
      </c>
      <c r="AG172" s="4" t="s">
        <v>46</v>
      </c>
      <c r="AH172" s="4" t="s">
        <v>722</v>
      </c>
      <c r="AI172" s="4" t="s">
        <v>78</v>
      </c>
      <c r="AJ172" s="13">
        <v>0</v>
      </c>
      <c r="AK172" s="13">
        <v>20</v>
      </c>
      <c r="AL172" s="13" t="s">
        <v>493</v>
      </c>
      <c r="AM172" s="13">
        <v>1.6</v>
      </c>
      <c r="AN172" s="13" t="s">
        <v>494</v>
      </c>
      <c r="AO172" s="13" t="s">
        <v>495</v>
      </c>
      <c r="AP172" s="13" t="s">
        <v>50</v>
      </c>
      <c r="AQ172" s="13" t="s">
        <v>49</v>
      </c>
      <c r="AR172" s="13" t="s">
        <v>50</v>
      </c>
      <c r="AS172" s="13" t="s">
        <v>49</v>
      </c>
      <c r="AT172" s="13" t="s">
        <v>990</v>
      </c>
      <c r="AU172" s="13" t="s">
        <v>998</v>
      </c>
      <c r="AV172" s="23">
        <f>106.37/1000</f>
        <v>0.10637000000000001</v>
      </c>
      <c r="AW172" s="23">
        <f t="shared" si="3"/>
        <v>0.10452</v>
      </c>
      <c r="AX172" s="14">
        <f>Table1347456[[#This Row],[treatment_mean]]/Table1347456[[#This Row],[control_mean]]</f>
        <v>1.0176999617298126</v>
      </c>
      <c r="AY172" s="14">
        <f>LN(Table1347456[[#This Row],[rr]])</f>
        <v>1.7545141611161871E-2</v>
      </c>
      <c r="AZ172" s="13">
        <v>4</v>
      </c>
      <c r="BA172" s="13">
        <v>4</v>
      </c>
      <c r="BB172" s="14">
        <f>7.7/1000</f>
        <v>7.7000000000000002E-3</v>
      </c>
      <c r="BC172" s="14">
        <f t="shared" si="4"/>
        <v>1.77E-2</v>
      </c>
      <c r="BD172" s="15">
        <f>Table1347456[[#This Row],[treatment_se]]*SQRT(Table1347456[[#This Row],[treatment_n]])</f>
        <v>1.54E-2</v>
      </c>
      <c r="BE172" s="14">
        <f>Table1347456[[#This Row],[control_se]]*SQRT(Table1347456[[#This Row],[control_n]])</f>
        <v>3.5400000000000001E-2</v>
      </c>
      <c r="BF17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3.3918068312420252E-2</v>
      </c>
      <c r="BG172" s="17">
        <f>SQRT(Table1347456[[#This Row],[v_from_sd_and_n]])</f>
        <v>0.18416858666021263</v>
      </c>
      <c r="BH172" s="13" t="s">
        <v>50</v>
      </c>
      <c r="BI172" s="13">
        <v>2.5000000000000001E-2</v>
      </c>
      <c r="BJ172" s="18">
        <f>ABS(_xlfn.NORM.S.INV(Table1347456[[#This Row],[p_value]]/2))</f>
        <v>2.2414027276049446</v>
      </c>
      <c r="BK172" s="19">
        <f>(Table1347456[[#This Row],[lnrr]]/Table1347456[[#This Row],[z_from_p]])^2</f>
        <v>6.1273679911974806E-5</v>
      </c>
      <c r="BL172" s="16">
        <f>Table1347456[[#This Row],[v_from_sd_and_n]]</f>
        <v>3.3918068312420252E-2</v>
      </c>
      <c r="BM172" s="20">
        <f>SQRT(Table1347456[[#This Row],[v]])</f>
        <v>0.18416858666021263</v>
      </c>
      <c r="BN172" s="20">
        <f>Table1347456[[#This Row],[lnrr]]-(1.96*Table1347456[[#This Row],[se]])</f>
        <v>-0.34342528824285484</v>
      </c>
      <c r="BO172" s="20">
        <f>Table1347456[[#This Row],[lnrr]]+(1.96 * Table1347456[[#This Row],[se]])</f>
        <v>0.37851557146517861</v>
      </c>
    </row>
    <row r="173" spans="1:67">
      <c r="A173" s="13" t="s">
        <v>128</v>
      </c>
      <c r="B173" s="13" t="s">
        <v>129</v>
      </c>
      <c r="C173" s="13" t="s">
        <v>130</v>
      </c>
      <c r="D173" s="13" t="s">
        <v>131</v>
      </c>
      <c r="E173" s="13" t="s">
        <v>132</v>
      </c>
      <c r="F173" s="13" t="s">
        <v>589</v>
      </c>
      <c r="G173" s="13" t="s">
        <v>46</v>
      </c>
      <c r="H173" s="13">
        <v>28</v>
      </c>
      <c r="I173" s="13" t="s">
        <v>46</v>
      </c>
      <c r="J173" s="13" t="s">
        <v>653</v>
      </c>
      <c r="K173" s="13" t="s">
        <v>831</v>
      </c>
      <c r="L173" s="13" t="s">
        <v>832</v>
      </c>
      <c r="M173" s="13" t="s">
        <v>802</v>
      </c>
      <c r="N173" s="13" t="s">
        <v>119</v>
      </c>
      <c r="O173" s="13" t="s">
        <v>645</v>
      </c>
      <c r="P173" s="13" t="s">
        <v>85</v>
      </c>
      <c r="Q173" s="13" t="s">
        <v>48</v>
      </c>
      <c r="R173" s="4">
        <v>4</v>
      </c>
      <c r="S173" s="13" t="s">
        <v>596</v>
      </c>
      <c r="T173" s="13">
        <v>45</v>
      </c>
      <c r="U173" s="4" t="s">
        <v>135</v>
      </c>
      <c r="V173" s="4">
        <v>600</v>
      </c>
      <c r="W173" s="4" t="s">
        <v>602</v>
      </c>
      <c r="X173" s="4" t="s">
        <v>46</v>
      </c>
      <c r="Y173" s="4">
        <v>80</v>
      </c>
      <c r="AA173" s="4" t="s">
        <v>49</v>
      </c>
      <c r="AB173" s="4">
        <v>0</v>
      </c>
      <c r="AC173" s="4" t="s">
        <v>49</v>
      </c>
      <c r="AD173" s="4">
        <v>0</v>
      </c>
      <c r="AE173" s="4" t="s">
        <v>49</v>
      </c>
      <c r="AF173" s="4">
        <v>0</v>
      </c>
      <c r="AG173" s="4" t="s">
        <v>46</v>
      </c>
      <c r="AH173" s="4" t="s">
        <v>722</v>
      </c>
      <c r="AI173" s="4" t="s">
        <v>78</v>
      </c>
      <c r="AJ173" s="13">
        <v>0</v>
      </c>
      <c r="AK173" s="13">
        <v>20</v>
      </c>
      <c r="AL173" s="13" t="s">
        <v>493</v>
      </c>
      <c r="AM173" s="13">
        <v>1.6</v>
      </c>
      <c r="AN173" s="13" t="s">
        <v>494</v>
      </c>
      <c r="AO173" s="13" t="s">
        <v>495</v>
      </c>
      <c r="AP173" s="13" t="s">
        <v>50</v>
      </c>
      <c r="AQ173" s="13" t="s">
        <v>49</v>
      </c>
      <c r="AR173" s="13" t="s">
        <v>50</v>
      </c>
      <c r="AS173" s="13" t="s">
        <v>49</v>
      </c>
      <c r="AT173" s="13" t="s">
        <v>990</v>
      </c>
      <c r="AU173" s="13" t="s">
        <v>998</v>
      </c>
      <c r="AV173" s="23">
        <f>121.4/1000</f>
        <v>0.12140000000000001</v>
      </c>
      <c r="AW173" s="23">
        <f t="shared" si="3"/>
        <v>0.10452</v>
      </c>
      <c r="AX173" s="14">
        <f>Table1347456[[#This Row],[treatment_mean]]/Table1347456[[#This Row],[control_mean]]</f>
        <v>1.1615001913509377</v>
      </c>
      <c r="AY173" s="14">
        <f>LN(Table1347456[[#This Row],[rr]])</f>
        <v>0.14971243797298625</v>
      </c>
      <c r="AZ173" s="13">
        <v>4</v>
      </c>
      <c r="BA173" s="13">
        <v>4</v>
      </c>
      <c r="BB173" s="14">
        <f>7.69/1000</f>
        <v>7.6900000000000007E-3</v>
      </c>
      <c r="BC173" s="14">
        <f t="shared" si="4"/>
        <v>1.77E-2</v>
      </c>
      <c r="BD173" s="15">
        <f>Table1347456[[#This Row],[treatment_se]]*SQRT(Table1347456[[#This Row],[treatment_n]])</f>
        <v>1.5380000000000001E-2</v>
      </c>
      <c r="BE173" s="14">
        <f>Table1347456[[#This Row],[control_se]]*SQRT(Table1347456[[#This Row],[control_n]])</f>
        <v>3.5400000000000001E-2</v>
      </c>
      <c r="BF17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3.2690427804288671E-2</v>
      </c>
      <c r="BG173" s="17">
        <f>SQRT(Table1347456[[#This Row],[v_from_sd_and_n]])</f>
        <v>0.180804944081429</v>
      </c>
      <c r="BH173" s="13" t="s">
        <v>50</v>
      </c>
      <c r="BI173" s="13">
        <v>2.5000000000000001E-2</v>
      </c>
      <c r="BJ173" s="18">
        <f>ABS(_xlfn.NORM.S.INV(Table1347456[[#This Row],[p_value]]/2))</f>
        <v>2.2414027276049446</v>
      </c>
      <c r="BK173" s="19">
        <f>(Table1347456[[#This Row],[lnrr]]/Table1347456[[#This Row],[z_from_p]])^2</f>
        <v>4.4614494134857701E-3</v>
      </c>
      <c r="BL173" s="16">
        <f>Table1347456[[#This Row],[v_from_sd_and_n]]</f>
        <v>3.2690427804288671E-2</v>
      </c>
      <c r="BM173" s="20">
        <f>SQRT(Table1347456[[#This Row],[v]])</f>
        <v>0.180804944081429</v>
      </c>
      <c r="BN173" s="20">
        <f>Table1347456[[#This Row],[lnrr]]-(1.96*Table1347456[[#This Row],[se]])</f>
        <v>-0.20466525242661457</v>
      </c>
      <c r="BO173" s="20">
        <f>Table1347456[[#This Row],[lnrr]]+(1.96 * Table1347456[[#This Row],[se]])</f>
        <v>0.50409012837258704</v>
      </c>
    </row>
    <row r="174" spans="1:67">
      <c r="A174" s="13" t="s">
        <v>128</v>
      </c>
      <c r="B174" s="13" t="s">
        <v>129</v>
      </c>
      <c r="C174" s="13" t="s">
        <v>130</v>
      </c>
      <c r="D174" s="13" t="s">
        <v>131</v>
      </c>
      <c r="E174" s="13" t="s">
        <v>132</v>
      </c>
      <c r="F174" s="13" t="s">
        <v>589</v>
      </c>
      <c r="G174" s="13" t="s">
        <v>46</v>
      </c>
      <c r="H174" s="13">
        <v>28</v>
      </c>
      <c r="I174" s="13" t="s">
        <v>46</v>
      </c>
      <c r="J174" s="13" t="s">
        <v>653</v>
      </c>
      <c r="K174" s="13" t="s">
        <v>831</v>
      </c>
      <c r="L174" s="13" t="s">
        <v>832</v>
      </c>
      <c r="M174" s="13" t="s">
        <v>802</v>
      </c>
      <c r="N174" s="13" t="s">
        <v>119</v>
      </c>
      <c r="O174" s="13" t="s">
        <v>645</v>
      </c>
      <c r="P174" s="13" t="s">
        <v>85</v>
      </c>
      <c r="Q174" s="13" t="s">
        <v>48</v>
      </c>
      <c r="R174" s="4">
        <v>4</v>
      </c>
      <c r="S174" s="13" t="s">
        <v>596</v>
      </c>
      <c r="T174" s="13">
        <v>45</v>
      </c>
      <c r="U174" s="4" t="s">
        <v>136</v>
      </c>
      <c r="V174" s="4">
        <v>400</v>
      </c>
      <c r="W174" s="4" t="s">
        <v>42</v>
      </c>
      <c r="X174" s="4" t="s">
        <v>46</v>
      </c>
      <c r="Y174" s="4">
        <v>80</v>
      </c>
      <c r="AA174" s="4" t="s">
        <v>49</v>
      </c>
      <c r="AB174" s="4">
        <v>0</v>
      </c>
      <c r="AC174" s="4" t="s">
        <v>49</v>
      </c>
      <c r="AD174" s="4">
        <v>0</v>
      </c>
      <c r="AE174" s="4" t="s">
        <v>49</v>
      </c>
      <c r="AF174" s="4">
        <v>0</v>
      </c>
      <c r="AG174" s="4" t="s">
        <v>46</v>
      </c>
      <c r="AH174" s="4" t="s">
        <v>722</v>
      </c>
      <c r="AI174" s="4" t="s">
        <v>78</v>
      </c>
      <c r="AJ174" s="13">
        <v>0</v>
      </c>
      <c r="AK174" s="13">
        <v>20</v>
      </c>
      <c r="AL174" s="13" t="s">
        <v>493</v>
      </c>
      <c r="AM174" s="13">
        <v>1.6</v>
      </c>
      <c r="AN174" s="13" t="s">
        <v>494</v>
      </c>
      <c r="AO174" s="13" t="s">
        <v>495</v>
      </c>
      <c r="AP174" s="13" t="s">
        <v>50</v>
      </c>
      <c r="AQ174" s="13" t="s">
        <v>49</v>
      </c>
      <c r="AR174" s="13" t="s">
        <v>50</v>
      </c>
      <c r="AS174" s="13" t="s">
        <v>49</v>
      </c>
      <c r="AT174" s="13" t="s">
        <v>990</v>
      </c>
      <c r="AU174" s="13" t="s">
        <v>998</v>
      </c>
      <c r="AV174" s="23">
        <f>117.8/1000</f>
        <v>0.1178</v>
      </c>
      <c r="AW174" s="23">
        <f t="shared" si="3"/>
        <v>0.10452</v>
      </c>
      <c r="AX174" s="14">
        <f>Table1347456[[#This Row],[treatment_mean]]/Table1347456[[#This Row],[control_mean]]</f>
        <v>1.1270570225794105</v>
      </c>
      <c r="AY174" s="14">
        <f>LN(Table1347456[[#This Row],[rr]])</f>
        <v>0.1196098305650745</v>
      </c>
      <c r="AZ174" s="13">
        <v>4</v>
      </c>
      <c r="BA174" s="13">
        <v>4</v>
      </c>
      <c r="BB174" s="14">
        <f>5.39/1000</f>
        <v>5.3899999999999998E-3</v>
      </c>
      <c r="BC174" s="14">
        <f t="shared" si="4"/>
        <v>1.77E-2</v>
      </c>
      <c r="BD174" s="15">
        <f>Table1347456[[#This Row],[treatment_se]]*SQRT(Table1347456[[#This Row],[treatment_n]])</f>
        <v>1.078E-2</v>
      </c>
      <c r="BE174" s="14">
        <f>Table1347456[[#This Row],[control_se]]*SQRT(Table1347456[[#This Row],[control_n]])</f>
        <v>3.5400000000000001E-2</v>
      </c>
      <c r="BF17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3.0771492807143731E-2</v>
      </c>
      <c r="BG174" s="17">
        <f>SQRT(Table1347456[[#This Row],[v_from_sd_and_n]])</f>
        <v>0.17541805154300322</v>
      </c>
      <c r="BH174" s="13" t="s">
        <v>50</v>
      </c>
      <c r="BI174" s="13">
        <v>2.5000000000000001E-2</v>
      </c>
      <c r="BJ174" s="18">
        <f>ABS(_xlfn.NORM.S.INV(Table1347456[[#This Row],[p_value]]/2))</f>
        <v>2.2414027276049446</v>
      </c>
      <c r="BK174" s="19">
        <f>(Table1347456[[#This Row],[lnrr]]/Table1347456[[#This Row],[z_from_p]])^2</f>
        <v>2.8476981831175247E-3</v>
      </c>
      <c r="BL174" s="16">
        <f>Table1347456[[#This Row],[v_from_sd_and_n]]</f>
        <v>3.0771492807143731E-2</v>
      </c>
      <c r="BM174" s="20">
        <f>SQRT(Table1347456[[#This Row],[v]])</f>
        <v>0.17541805154300322</v>
      </c>
      <c r="BN174" s="20">
        <f>Table1347456[[#This Row],[lnrr]]-(1.96*Table1347456[[#This Row],[se]])</f>
        <v>-0.22420955045921176</v>
      </c>
      <c r="BO174" s="20">
        <f>Table1347456[[#This Row],[lnrr]]+(1.96 * Table1347456[[#This Row],[se]])</f>
        <v>0.46342921158936079</v>
      </c>
    </row>
    <row r="175" spans="1:67">
      <c r="A175" s="13" t="s">
        <v>128</v>
      </c>
      <c r="B175" s="13" t="s">
        <v>129</v>
      </c>
      <c r="C175" s="13" t="s">
        <v>130</v>
      </c>
      <c r="D175" s="13" t="s">
        <v>131</v>
      </c>
      <c r="E175" s="13" t="s">
        <v>132</v>
      </c>
      <c r="F175" s="13" t="s">
        <v>589</v>
      </c>
      <c r="G175" s="13" t="s">
        <v>46</v>
      </c>
      <c r="H175" s="13">
        <v>28</v>
      </c>
      <c r="I175" s="13" t="s">
        <v>46</v>
      </c>
      <c r="J175" s="13" t="s">
        <v>653</v>
      </c>
      <c r="K175" s="13" t="s">
        <v>831</v>
      </c>
      <c r="L175" s="13" t="s">
        <v>832</v>
      </c>
      <c r="M175" s="13" t="s">
        <v>802</v>
      </c>
      <c r="N175" s="13" t="s">
        <v>119</v>
      </c>
      <c r="O175" s="13" t="s">
        <v>645</v>
      </c>
      <c r="P175" s="13" t="s">
        <v>85</v>
      </c>
      <c r="Q175" s="13" t="s">
        <v>48</v>
      </c>
      <c r="R175" s="4">
        <v>4</v>
      </c>
      <c r="S175" s="13" t="s">
        <v>596</v>
      </c>
      <c r="T175" s="13">
        <v>45</v>
      </c>
      <c r="U175" s="4" t="s">
        <v>136</v>
      </c>
      <c r="V175" s="4">
        <v>500</v>
      </c>
      <c r="W175" s="4" t="s">
        <v>601</v>
      </c>
      <c r="X175" s="4" t="s">
        <v>46</v>
      </c>
      <c r="Y175" s="4">
        <v>80</v>
      </c>
      <c r="AA175" s="4" t="s">
        <v>49</v>
      </c>
      <c r="AB175" s="4">
        <v>0</v>
      </c>
      <c r="AC175" s="4" t="s">
        <v>49</v>
      </c>
      <c r="AD175" s="4">
        <v>0</v>
      </c>
      <c r="AE175" s="4" t="s">
        <v>49</v>
      </c>
      <c r="AF175" s="4">
        <v>0</v>
      </c>
      <c r="AG175" s="4" t="s">
        <v>46</v>
      </c>
      <c r="AH175" s="4" t="s">
        <v>722</v>
      </c>
      <c r="AI175" s="4" t="s">
        <v>78</v>
      </c>
      <c r="AJ175" s="13">
        <v>0</v>
      </c>
      <c r="AK175" s="13">
        <v>20</v>
      </c>
      <c r="AL175" s="13" t="s">
        <v>493</v>
      </c>
      <c r="AM175" s="13">
        <v>1.6</v>
      </c>
      <c r="AN175" s="13" t="s">
        <v>494</v>
      </c>
      <c r="AO175" s="13" t="s">
        <v>495</v>
      </c>
      <c r="AP175" s="13" t="s">
        <v>50</v>
      </c>
      <c r="AQ175" s="13" t="s">
        <v>49</v>
      </c>
      <c r="AR175" s="13" t="s">
        <v>50</v>
      </c>
      <c r="AS175" s="13" t="s">
        <v>49</v>
      </c>
      <c r="AT175" s="13" t="s">
        <v>990</v>
      </c>
      <c r="AU175" s="13" t="s">
        <v>998</v>
      </c>
      <c r="AV175" s="23">
        <f>121.61/1000</f>
        <v>0.12161</v>
      </c>
      <c r="AW175" s="23">
        <f t="shared" si="3"/>
        <v>0.10452</v>
      </c>
      <c r="AX175" s="14">
        <f>Table1347456[[#This Row],[treatment_mean]]/Table1347456[[#This Row],[control_mean]]</f>
        <v>1.1635093761959432</v>
      </c>
      <c r="AY175" s="14">
        <f>LN(Table1347456[[#This Row],[rr]])</f>
        <v>0.15144076234049628</v>
      </c>
      <c r="AZ175" s="13">
        <v>4</v>
      </c>
      <c r="BA175" s="13">
        <v>4</v>
      </c>
      <c r="BB175" s="14">
        <f>6.92/1000</f>
        <v>6.9199999999999999E-3</v>
      </c>
      <c r="BC175" s="14">
        <f t="shared" si="4"/>
        <v>1.77E-2</v>
      </c>
      <c r="BD175" s="15">
        <f>Table1347456[[#This Row],[treatment_se]]*SQRT(Table1347456[[#This Row],[treatment_n]])</f>
        <v>1.384E-2</v>
      </c>
      <c r="BE175" s="14">
        <f>Table1347456[[#This Row],[control_se]]*SQRT(Table1347456[[#This Row],[control_n]])</f>
        <v>3.5400000000000001E-2</v>
      </c>
      <c r="BF17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3.1915901295198619E-2</v>
      </c>
      <c r="BG175" s="17">
        <f>SQRT(Table1347456[[#This Row],[v_from_sd_and_n]])</f>
        <v>0.17865022052938703</v>
      </c>
      <c r="BH175" s="13" t="s">
        <v>50</v>
      </c>
      <c r="BI175" s="13">
        <v>2.5000000000000001E-2</v>
      </c>
      <c r="BJ175" s="18">
        <f>ABS(_xlfn.NORM.S.INV(Table1347456[[#This Row],[p_value]]/2))</f>
        <v>2.2414027276049446</v>
      </c>
      <c r="BK175" s="19">
        <f>(Table1347456[[#This Row],[lnrr]]/Table1347456[[#This Row],[z_from_p]])^2</f>
        <v>4.5650525595462106E-3</v>
      </c>
      <c r="BL175" s="16">
        <f>Table1347456[[#This Row],[v_from_sd_and_n]]</f>
        <v>3.1915901295198619E-2</v>
      </c>
      <c r="BM175" s="20">
        <f>SQRT(Table1347456[[#This Row],[v]])</f>
        <v>0.17865022052938703</v>
      </c>
      <c r="BN175" s="20">
        <f>Table1347456[[#This Row],[lnrr]]-(1.96*Table1347456[[#This Row],[se]])</f>
        <v>-0.19871366989710229</v>
      </c>
      <c r="BO175" s="20">
        <f>Table1347456[[#This Row],[lnrr]]+(1.96 * Table1347456[[#This Row],[se]])</f>
        <v>0.50159519457809487</v>
      </c>
    </row>
    <row r="176" spans="1:67">
      <c r="A176" s="13" t="s">
        <v>128</v>
      </c>
      <c r="B176" s="13" t="s">
        <v>129</v>
      </c>
      <c r="C176" s="13" t="s">
        <v>130</v>
      </c>
      <c r="D176" s="13" t="s">
        <v>131</v>
      </c>
      <c r="E176" s="13" t="s">
        <v>132</v>
      </c>
      <c r="F176" s="13" t="s">
        <v>589</v>
      </c>
      <c r="G176" s="13" t="s">
        <v>46</v>
      </c>
      <c r="H176" s="13">
        <v>28</v>
      </c>
      <c r="I176" s="13" t="s">
        <v>46</v>
      </c>
      <c r="J176" s="13" t="s">
        <v>653</v>
      </c>
      <c r="K176" s="13" t="s">
        <v>831</v>
      </c>
      <c r="L176" s="13" t="s">
        <v>832</v>
      </c>
      <c r="M176" s="13" t="s">
        <v>802</v>
      </c>
      <c r="N176" s="13" t="s">
        <v>119</v>
      </c>
      <c r="O176" s="13" t="s">
        <v>645</v>
      </c>
      <c r="P176" s="13" t="s">
        <v>85</v>
      </c>
      <c r="Q176" s="13" t="s">
        <v>48</v>
      </c>
      <c r="R176" s="4">
        <v>4</v>
      </c>
      <c r="S176" s="13" t="s">
        <v>596</v>
      </c>
      <c r="T176" s="13">
        <v>45</v>
      </c>
      <c r="U176" s="4" t="s">
        <v>136</v>
      </c>
      <c r="V176" s="4">
        <v>600</v>
      </c>
      <c r="W176" s="4" t="s">
        <v>602</v>
      </c>
      <c r="X176" s="4" t="s">
        <v>46</v>
      </c>
      <c r="Y176" s="4">
        <v>80</v>
      </c>
      <c r="AA176" s="4" t="s">
        <v>49</v>
      </c>
      <c r="AB176" s="4">
        <v>0</v>
      </c>
      <c r="AC176" s="4" t="s">
        <v>49</v>
      </c>
      <c r="AD176" s="4">
        <v>0</v>
      </c>
      <c r="AE176" s="4" t="s">
        <v>49</v>
      </c>
      <c r="AF176" s="4">
        <v>0</v>
      </c>
      <c r="AG176" s="4" t="s">
        <v>46</v>
      </c>
      <c r="AH176" s="4" t="s">
        <v>722</v>
      </c>
      <c r="AI176" s="4" t="s">
        <v>78</v>
      </c>
      <c r="AJ176" s="13">
        <v>0</v>
      </c>
      <c r="AK176" s="13">
        <v>20</v>
      </c>
      <c r="AL176" s="13" t="s">
        <v>493</v>
      </c>
      <c r="AM176" s="13">
        <v>1.6</v>
      </c>
      <c r="AN176" s="13" t="s">
        <v>494</v>
      </c>
      <c r="AO176" s="13" t="s">
        <v>495</v>
      </c>
      <c r="AP176" s="13" t="s">
        <v>50</v>
      </c>
      <c r="AQ176" s="13" t="s">
        <v>49</v>
      </c>
      <c r="AR176" s="13" t="s">
        <v>50</v>
      </c>
      <c r="AS176" s="13" t="s">
        <v>49</v>
      </c>
      <c r="AT176" s="13" t="s">
        <v>990</v>
      </c>
      <c r="AU176" s="13" t="s">
        <v>998</v>
      </c>
      <c r="AV176" s="23">
        <f>113.86/1000</f>
        <v>0.11386</v>
      </c>
      <c r="AW176" s="23">
        <f t="shared" si="3"/>
        <v>0.10452</v>
      </c>
      <c r="AX176" s="14">
        <f>Table1347456[[#This Row],[treatment_mean]]/Table1347456[[#This Row],[control_mean]]</f>
        <v>1.0893608878683505</v>
      </c>
      <c r="AY176" s="14">
        <f>LN(Table1347456[[#This Row],[rr]])</f>
        <v>8.5591182870524044E-2</v>
      </c>
      <c r="AZ176" s="13">
        <v>4</v>
      </c>
      <c r="BA176" s="13">
        <v>4</v>
      </c>
      <c r="BB176" s="14">
        <f>14.62/1000</f>
        <v>1.4619999999999999E-2</v>
      </c>
      <c r="BC176" s="14">
        <f t="shared" si="4"/>
        <v>1.77E-2</v>
      </c>
      <c r="BD176" s="15">
        <f>Table1347456[[#This Row],[treatment_se]]*SQRT(Table1347456[[#This Row],[treatment_n]])</f>
        <v>2.9239999999999999E-2</v>
      </c>
      <c r="BE176" s="14">
        <f>Table1347456[[#This Row],[control_se]]*SQRT(Table1347456[[#This Row],[control_n]])</f>
        <v>3.5400000000000001E-2</v>
      </c>
      <c r="BF17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4.5165333437363168E-2</v>
      </c>
      <c r="BG176" s="17">
        <f>SQRT(Table1347456[[#This Row],[v_from_sd_and_n]])</f>
        <v>0.21252137171908891</v>
      </c>
      <c r="BH176" s="13" t="s">
        <v>50</v>
      </c>
      <c r="BI176" s="13">
        <v>2.5000000000000001E-2</v>
      </c>
      <c r="BJ176" s="18">
        <f>ABS(_xlfn.NORM.S.INV(Table1347456[[#This Row],[p_value]]/2))</f>
        <v>2.2414027276049446</v>
      </c>
      <c r="BK176" s="19">
        <f>(Table1347456[[#This Row],[lnrr]]/Table1347456[[#This Row],[z_from_p]])^2</f>
        <v>1.4582039305892263E-3</v>
      </c>
      <c r="BL176" s="16">
        <f>Table1347456[[#This Row],[v_from_sd_and_n]]</f>
        <v>4.5165333437363168E-2</v>
      </c>
      <c r="BM176" s="20">
        <f>SQRT(Table1347456[[#This Row],[v]])</f>
        <v>0.21252137171908891</v>
      </c>
      <c r="BN176" s="20">
        <f>Table1347456[[#This Row],[lnrr]]-(1.96*Table1347456[[#This Row],[se]])</f>
        <v>-0.33095070569889024</v>
      </c>
      <c r="BO176" s="20">
        <f>Table1347456[[#This Row],[lnrr]]+(1.96 * Table1347456[[#This Row],[se]])</f>
        <v>0.50213307143993835</v>
      </c>
    </row>
    <row r="177" spans="1:67">
      <c r="A177" s="13" t="s">
        <v>128</v>
      </c>
      <c r="B177" s="13" t="s">
        <v>129</v>
      </c>
      <c r="C177" s="13" t="s">
        <v>130</v>
      </c>
      <c r="D177" s="13" t="s">
        <v>131</v>
      </c>
      <c r="E177" s="13" t="s">
        <v>132</v>
      </c>
      <c r="F177" s="13" t="s">
        <v>589</v>
      </c>
      <c r="G177" s="13" t="s">
        <v>46</v>
      </c>
      <c r="H177" s="13">
        <v>28</v>
      </c>
      <c r="I177" s="13" t="s">
        <v>46</v>
      </c>
      <c r="K177" s="13" t="s">
        <v>831</v>
      </c>
      <c r="L177" s="13" t="s">
        <v>832</v>
      </c>
      <c r="N177" s="13" t="s">
        <v>121</v>
      </c>
      <c r="O177" s="13" t="s">
        <v>645</v>
      </c>
      <c r="P177" s="13" t="s">
        <v>85</v>
      </c>
      <c r="Q177" s="13" t="s">
        <v>48</v>
      </c>
      <c r="R177" s="4">
        <v>4</v>
      </c>
      <c r="S177" s="13" t="s">
        <v>596</v>
      </c>
      <c r="T177" s="13">
        <v>45</v>
      </c>
      <c r="U177" s="4" t="s">
        <v>133</v>
      </c>
      <c r="V177" s="4">
        <v>400</v>
      </c>
      <c r="W177" s="4" t="s">
        <v>42</v>
      </c>
      <c r="X177" s="4" t="s">
        <v>46</v>
      </c>
      <c r="Y177" s="4">
        <v>80</v>
      </c>
      <c r="AA177" s="4" t="s">
        <v>49</v>
      </c>
      <c r="AB177" s="4">
        <v>0</v>
      </c>
      <c r="AC177" s="4" t="s">
        <v>49</v>
      </c>
      <c r="AD177" s="4">
        <v>0</v>
      </c>
      <c r="AE177" s="4" t="s">
        <v>49</v>
      </c>
      <c r="AF177" s="4">
        <v>0</v>
      </c>
      <c r="AG177" s="4" t="s">
        <v>46</v>
      </c>
      <c r="AH177" s="4" t="s">
        <v>722</v>
      </c>
      <c r="AI177" s="4" t="s">
        <v>78</v>
      </c>
      <c r="AJ177" s="13">
        <v>0</v>
      </c>
      <c r="AK177" s="13">
        <v>20</v>
      </c>
      <c r="AL177" s="13" t="s">
        <v>493</v>
      </c>
      <c r="AM177" s="13">
        <v>1.6</v>
      </c>
      <c r="AN177" s="13" t="s">
        <v>494</v>
      </c>
      <c r="AO177" s="13" t="s">
        <v>495</v>
      </c>
      <c r="AP177" s="13" t="s">
        <v>50</v>
      </c>
      <c r="AQ177" s="13" t="s">
        <v>49</v>
      </c>
      <c r="AR177" s="13" t="s">
        <v>50</v>
      </c>
      <c r="AS177" s="13" t="s">
        <v>49</v>
      </c>
      <c r="AT177" s="13" t="s">
        <v>990</v>
      </c>
      <c r="AU177" s="13" t="s">
        <v>998</v>
      </c>
      <c r="AV177" s="14">
        <f>718.63/1000</f>
        <v>0.71862999999999999</v>
      </c>
      <c r="AW177" s="14">
        <f>53.23/1000</f>
        <v>5.323E-2</v>
      </c>
      <c r="AX177" s="14">
        <f>Table1347456[[#This Row],[treatment_mean]]/Table1347456[[#This Row],[control_mean]]</f>
        <v>13.500469659966184</v>
      </c>
      <c r="AY177" s="14">
        <f>LN(Table1347456[[#This Row],[rr]])</f>
        <v>2.6027244744663633</v>
      </c>
      <c r="AZ177" s="13">
        <v>4</v>
      </c>
      <c r="BA177" s="13">
        <v>4</v>
      </c>
      <c r="BB177" s="14">
        <f>11.41/1000</f>
        <v>1.141E-2</v>
      </c>
      <c r="BC177" s="14">
        <f>15.12/1000</f>
        <v>1.512E-2</v>
      </c>
      <c r="BD177" s="15">
        <f>Table1347456[[#This Row],[treatment_se]]*SQRT(Table1347456[[#This Row],[treatment_n]])</f>
        <v>2.282E-2</v>
      </c>
      <c r="BE177" s="14">
        <f>Table1347456[[#This Row],[control_se]]*SQRT(Table1347456[[#This Row],[control_n]])</f>
        <v>3.024E-2</v>
      </c>
      <c r="BF17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8.0936692835304136E-2</v>
      </c>
      <c r="BG177" s="17">
        <f>SQRT(Table1347456[[#This Row],[v_from_sd_and_n]])</f>
        <v>0.28449374832376217</v>
      </c>
      <c r="BH177" s="13" t="s">
        <v>50</v>
      </c>
      <c r="BI177" s="13">
        <v>2.5000000000000001E-2</v>
      </c>
      <c r="BJ177" s="18">
        <f>ABS(_xlfn.NORM.S.INV(Table1347456[[#This Row],[p_value]]/2))</f>
        <v>2.2414027276049446</v>
      </c>
      <c r="BK177" s="19">
        <f>(Table1347456[[#This Row],[lnrr]]/Table1347456[[#This Row],[z_from_p]])^2</f>
        <v>1.3483933428051638</v>
      </c>
      <c r="BL177" s="16">
        <f>Table1347456[[#This Row],[v_from_sd_and_n]]</f>
        <v>8.0936692835304136E-2</v>
      </c>
      <c r="BM177" s="20">
        <f>SQRT(Table1347456[[#This Row],[v]])</f>
        <v>0.28449374832376217</v>
      </c>
      <c r="BN177" s="20">
        <f>Table1347456[[#This Row],[lnrr]]-(1.96*Table1347456[[#This Row],[se]])</f>
        <v>2.0451167277517897</v>
      </c>
      <c r="BO177" s="20">
        <f>Table1347456[[#This Row],[lnrr]]+(1.96 * Table1347456[[#This Row],[se]])</f>
        <v>3.160332221180937</v>
      </c>
    </row>
    <row r="178" spans="1:67">
      <c r="A178" s="13" t="s">
        <v>128</v>
      </c>
      <c r="B178" s="13" t="s">
        <v>129</v>
      </c>
      <c r="C178" s="13" t="s">
        <v>130</v>
      </c>
      <c r="D178" s="13" t="s">
        <v>131</v>
      </c>
      <c r="E178" s="13" t="s">
        <v>132</v>
      </c>
      <c r="F178" s="13" t="s">
        <v>589</v>
      </c>
      <c r="G178" s="13" t="s">
        <v>46</v>
      </c>
      <c r="H178" s="13">
        <v>28</v>
      </c>
      <c r="I178" s="13" t="s">
        <v>46</v>
      </c>
      <c r="K178" s="13" t="s">
        <v>831</v>
      </c>
      <c r="L178" s="13" t="s">
        <v>832</v>
      </c>
      <c r="N178" s="13" t="s">
        <v>121</v>
      </c>
      <c r="O178" s="13" t="s">
        <v>645</v>
      </c>
      <c r="P178" s="13" t="s">
        <v>85</v>
      </c>
      <c r="Q178" s="13" t="s">
        <v>48</v>
      </c>
      <c r="R178" s="4">
        <v>4</v>
      </c>
      <c r="S178" s="13" t="s">
        <v>596</v>
      </c>
      <c r="T178" s="13">
        <v>45</v>
      </c>
      <c r="U178" s="4" t="s">
        <v>133</v>
      </c>
      <c r="V178" s="4">
        <v>500</v>
      </c>
      <c r="W178" s="4" t="s">
        <v>601</v>
      </c>
      <c r="X178" s="4" t="s">
        <v>46</v>
      </c>
      <c r="Y178" s="4">
        <v>80</v>
      </c>
      <c r="AA178" s="4" t="s">
        <v>49</v>
      </c>
      <c r="AB178" s="4">
        <v>0</v>
      </c>
      <c r="AC178" s="4" t="s">
        <v>49</v>
      </c>
      <c r="AD178" s="4">
        <v>0</v>
      </c>
      <c r="AE178" s="4" t="s">
        <v>49</v>
      </c>
      <c r="AF178" s="4">
        <v>0</v>
      </c>
      <c r="AG178" s="4" t="s">
        <v>46</v>
      </c>
      <c r="AH178" s="4" t="s">
        <v>722</v>
      </c>
      <c r="AI178" s="4" t="s">
        <v>78</v>
      </c>
      <c r="AJ178" s="13">
        <v>0</v>
      </c>
      <c r="AK178" s="13">
        <v>20</v>
      </c>
      <c r="AL178" s="13" t="s">
        <v>493</v>
      </c>
      <c r="AM178" s="13">
        <v>1.6</v>
      </c>
      <c r="AN178" s="13" t="s">
        <v>494</v>
      </c>
      <c r="AO178" s="13" t="s">
        <v>495</v>
      </c>
      <c r="AP178" s="13" t="s">
        <v>50</v>
      </c>
      <c r="AQ178" s="13" t="s">
        <v>49</v>
      </c>
      <c r="AR178" s="13" t="s">
        <v>50</v>
      </c>
      <c r="AS178" s="13" t="s">
        <v>49</v>
      </c>
      <c r="AT178" s="13" t="s">
        <v>990</v>
      </c>
      <c r="AU178" s="13" t="s">
        <v>998</v>
      </c>
      <c r="AV178" s="14">
        <f>718.63/1000</f>
        <v>0.71862999999999999</v>
      </c>
      <c r="AW178" s="14">
        <f t="shared" ref="AW178:AW188" si="5">53.23/1000</f>
        <v>5.323E-2</v>
      </c>
      <c r="AX178" s="14">
        <f>Table1347456[[#This Row],[treatment_mean]]/Table1347456[[#This Row],[control_mean]]</f>
        <v>13.500469659966184</v>
      </c>
      <c r="AY178" s="14">
        <f>LN(Table1347456[[#This Row],[rr]])</f>
        <v>2.6027244744663633</v>
      </c>
      <c r="AZ178" s="13">
        <v>4</v>
      </c>
      <c r="BA178" s="13">
        <v>4</v>
      </c>
      <c r="BB178" s="14">
        <f>57.04/1000</f>
        <v>5.704E-2</v>
      </c>
      <c r="BC178" s="14">
        <f t="shared" ref="BC178:BC188" si="6">15.12/1000</f>
        <v>1.512E-2</v>
      </c>
      <c r="BD178" s="15">
        <f>Table1347456[[#This Row],[treatment_se]]*SQRT(Table1347456[[#This Row],[treatment_n]])</f>
        <v>0.11408</v>
      </c>
      <c r="BE178" s="14">
        <f>Table1347456[[#This Row],[control_se]]*SQRT(Table1347456[[#This Row],[control_n]])</f>
        <v>3.024E-2</v>
      </c>
      <c r="BF17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8.6984713056684509E-2</v>
      </c>
      <c r="BG178" s="17">
        <f>SQRT(Table1347456[[#This Row],[v_from_sd_and_n]])</f>
        <v>0.29493170914075095</v>
      </c>
      <c r="BH178" s="13" t="s">
        <v>50</v>
      </c>
      <c r="BI178" s="13">
        <v>2.5000000000000001E-2</v>
      </c>
      <c r="BJ178" s="18">
        <f>ABS(_xlfn.NORM.S.INV(Table1347456[[#This Row],[p_value]]/2))</f>
        <v>2.2414027276049446</v>
      </c>
      <c r="BK178" s="19">
        <f>(Table1347456[[#This Row],[lnrr]]/Table1347456[[#This Row],[z_from_p]])^2</f>
        <v>1.3483933428051638</v>
      </c>
      <c r="BL178" s="16">
        <f>Table1347456[[#This Row],[v_from_sd_and_n]]</f>
        <v>8.6984713056684509E-2</v>
      </c>
      <c r="BM178" s="20">
        <f>SQRT(Table1347456[[#This Row],[v]])</f>
        <v>0.29493170914075095</v>
      </c>
      <c r="BN178" s="20">
        <f>Table1347456[[#This Row],[lnrr]]-(1.96*Table1347456[[#This Row],[se]])</f>
        <v>2.0246583245504914</v>
      </c>
      <c r="BO178" s="20">
        <f>Table1347456[[#This Row],[lnrr]]+(1.96 * Table1347456[[#This Row],[se]])</f>
        <v>3.1807906243822353</v>
      </c>
    </row>
    <row r="179" spans="1:67">
      <c r="A179" s="13" t="s">
        <v>128</v>
      </c>
      <c r="B179" s="13" t="s">
        <v>129</v>
      </c>
      <c r="C179" s="13" t="s">
        <v>130</v>
      </c>
      <c r="D179" s="13" t="s">
        <v>131</v>
      </c>
      <c r="E179" s="13" t="s">
        <v>132</v>
      </c>
      <c r="F179" s="13" t="s">
        <v>589</v>
      </c>
      <c r="G179" s="13" t="s">
        <v>46</v>
      </c>
      <c r="H179" s="13">
        <v>28</v>
      </c>
      <c r="I179" s="13" t="s">
        <v>46</v>
      </c>
      <c r="K179" s="13" t="s">
        <v>831</v>
      </c>
      <c r="L179" s="13" t="s">
        <v>832</v>
      </c>
      <c r="N179" s="13" t="s">
        <v>121</v>
      </c>
      <c r="O179" s="13" t="s">
        <v>645</v>
      </c>
      <c r="P179" s="13" t="s">
        <v>85</v>
      </c>
      <c r="Q179" s="13" t="s">
        <v>48</v>
      </c>
      <c r="R179" s="4">
        <v>4</v>
      </c>
      <c r="S179" s="13" t="s">
        <v>596</v>
      </c>
      <c r="T179" s="13">
        <v>45</v>
      </c>
      <c r="U179" s="4" t="s">
        <v>133</v>
      </c>
      <c r="V179" s="4">
        <v>600</v>
      </c>
      <c r="W179" s="4" t="s">
        <v>602</v>
      </c>
      <c r="X179" s="4" t="s">
        <v>46</v>
      </c>
      <c r="Y179" s="4">
        <v>80</v>
      </c>
      <c r="AA179" s="4" t="s">
        <v>49</v>
      </c>
      <c r="AB179" s="4">
        <v>0</v>
      </c>
      <c r="AC179" s="4" t="s">
        <v>49</v>
      </c>
      <c r="AD179" s="4">
        <v>0</v>
      </c>
      <c r="AE179" s="4" t="s">
        <v>49</v>
      </c>
      <c r="AF179" s="4">
        <v>0</v>
      </c>
      <c r="AG179" s="4" t="s">
        <v>46</v>
      </c>
      <c r="AH179" s="4" t="s">
        <v>722</v>
      </c>
      <c r="AI179" s="4" t="s">
        <v>78</v>
      </c>
      <c r="AJ179" s="13">
        <v>0</v>
      </c>
      <c r="AK179" s="13">
        <v>20</v>
      </c>
      <c r="AL179" s="13" t="s">
        <v>493</v>
      </c>
      <c r="AM179" s="13">
        <v>1.6</v>
      </c>
      <c r="AN179" s="13" t="s">
        <v>494</v>
      </c>
      <c r="AO179" s="13" t="s">
        <v>495</v>
      </c>
      <c r="AP179" s="13" t="s">
        <v>50</v>
      </c>
      <c r="AQ179" s="13" t="s">
        <v>49</v>
      </c>
      <c r="AR179" s="13" t="s">
        <v>50</v>
      </c>
      <c r="AS179" s="13" t="s">
        <v>49</v>
      </c>
      <c r="AT179" s="13" t="s">
        <v>990</v>
      </c>
      <c r="AU179" s="13" t="s">
        <v>998</v>
      </c>
      <c r="AV179" s="14">
        <f>684.41/1000</f>
        <v>0.68440999999999996</v>
      </c>
      <c r="AW179" s="14">
        <f t="shared" si="5"/>
        <v>5.323E-2</v>
      </c>
      <c r="AX179" s="14">
        <f>Table1347456[[#This Row],[treatment_mean]]/Table1347456[[#This Row],[control_mean]]</f>
        <v>12.857599098252864</v>
      </c>
      <c r="AY179" s="14">
        <f>LN(Table1347456[[#This Row],[rr]])</f>
        <v>2.5539350060650263</v>
      </c>
      <c r="AZ179" s="13">
        <v>4</v>
      </c>
      <c r="BA179" s="13">
        <v>4</v>
      </c>
      <c r="BB179" s="14">
        <f>129.28/1000</f>
        <v>0.12928000000000001</v>
      </c>
      <c r="BC179" s="14">
        <f t="shared" si="6"/>
        <v>1.512E-2</v>
      </c>
      <c r="BD179" s="15">
        <f>Table1347456[[#This Row],[treatment_se]]*SQRT(Table1347456[[#This Row],[treatment_n]])</f>
        <v>0.25856000000000001</v>
      </c>
      <c r="BE179" s="14">
        <f>Table1347456[[#This Row],[control_se]]*SQRT(Table1347456[[#This Row],[control_n]])</f>
        <v>3.024E-2</v>
      </c>
      <c r="BF17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0.11636502290687283</v>
      </c>
      <c r="BG179" s="17">
        <f>SQRT(Table1347456[[#This Row],[v_from_sd_and_n]])</f>
        <v>0.34112317849550011</v>
      </c>
      <c r="BH179" s="13" t="s">
        <v>50</v>
      </c>
      <c r="BI179" s="13">
        <v>2.5000000000000001E-2</v>
      </c>
      <c r="BJ179" s="18">
        <f>ABS(_xlfn.NORM.S.INV(Table1347456[[#This Row],[p_value]]/2))</f>
        <v>2.2414027276049446</v>
      </c>
      <c r="BK179" s="19">
        <f>(Table1347456[[#This Row],[lnrr]]/Table1347456[[#This Row],[z_from_p]])^2</f>
        <v>1.2983144466277188</v>
      </c>
      <c r="BL179" s="16">
        <f>Table1347456[[#This Row],[v_from_sd_and_n]]</f>
        <v>0.11636502290687283</v>
      </c>
      <c r="BM179" s="20">
        <f>SQRT(Table1347456[[#This Row],[v]])</f>
        <v>0.34112317849550011</v>
      </c>
      <c r="BN179" s="20">
        <f>Table1347456[[#This Row],[lnrr]]-(1.96*Table1347456[[#This Row],[se]])</f>
        <v>1.8853335762138461</v>
      </c>
      <c r="BO179" s="20">
        <f>Table1347456[[#This Row],[lnrr]]+(1.96 * Table1347456[[#This Row],[se]])</f>
        <v>3.2225364359162065</v>
      </c>
    </row>
    <row r="180" spans="1:67">
      <c r="A180" s="13" t="s">
        <v>128</v>
      </c>
      <c r="B180" s="13" t="s">
        <v>129</v>
      </c>
      <c r="C180" s="13" t="s">
        <v>130</v>
      </c>
      <c r="D180" s="13" t="s">
        <v>131</v>
      </c>
      <c r="E180" s="13" t="s">
        <v>132</v>
      </c>
      <c r="F180" s="13" t="s">
        <v>589</v>
      </c>
      <c r="G180" s="13" t="s">
        <v>46</v>
      </c>
      <c r="H180" s="13">
        <v>28</v>
      </c>
      <c r="I180" s="13" t="s">
        <v>46</v>
      </c>
      <c r="K180" s="13" t="s">
        <v>831</v>
      </c>
      <c r="L180" s="13" t="s">
        <v>832</v>
      </c>
      <c r="N180" s="13" t="s">
        <v>121</v>
      </c>
      <c r="O180" s="13" t="s">
        <v>645</v>
      </c>
      <c r="P180" s="13" t="s">
        <v>85</v>
      </c>
      <c r="Q180" s="13" t="s">
        <v>48</v>
      </c>
      <c r="R180" s="4">
        <v>4</v>
      </c>
      <c r="S180" s="13" t="s">
        <v>596</v>
      </c>
      <c r="T180" s="13">
        <v>45</v>
      </c>
      <c r="U180" s="4" t="s">
        <v>134</v>
      </c>
      <c r="V180" s="4">
        <v>400</v>
      </c>
      <c r="W180" s="4" t="s">
        <v>42</v>
      </c>
      <c r="X180" s="4" t="s">
        <v>46</v>
      </c>
      <c r="Y180" s="4">
        <v>80</v>
      </c>
      <c r="AA180" s="4" t="s">
        <v>49</v>
      </c>
      <c r="AB180" s="4">
        <v>0</v>
      </c>
      <c r="AC180" s="4" t="s">
        <v>49</v>
      </c>
      <c r="AD180" s="4">
        <v>0</v>
      </c>
      <c r="AE180" s="4" t="s">
        <v>49</v>
      </c>
      <c r="AF180" s="4">
        <v>0</v>
      </c>
      <c r="AG180" s="4" t="s">
        <v>46</v>
      </c>
      <c r="AH180" s="4" t="s">
        <v>722</v>
      </c>
      <c r="AI180" s="4" t="s">
        <v>78</v>
      </c>
      <c r="AJ180" s="13">
        <v>0</v>
      </c>
      <c r="AK180" s="13">
        <v>20</v>
      </c>
      <c r="AL180" s="13" t="s">
        <v>493</v>
      </c>
      <c r="AM180" s="13">
        <v>1.6</v>
      </c>
      <c r="AN180" s="13" t="s">
        <v>494</v>
      </c>
      <c r="AO180" s="13" t="s">
        <v>495</v>
      </c>
      <c r="AP180" s="13" t="s">
        <v>50</v>
      </c>
      <c r="AQ180" s="13" t="s">
        <v>49</v>
      </c>
      <c r="AR180" s="13" t="s">
        <v>50</v>
      </c>
      <c r="AS180" s="13" t="s">
        <v>49</v>
      </c>
      <c r="AT180" s="13" t="s">
        <v>990</v>
      </c>
      <c r="AU180" s="13" t="s">
        <v>998</v>
      </c>
      <c r="AV180" s="14">
        <f>467.68/1000</f>
        <v>0.46767999999999998</v>
      </c>
      <c r="AW180" s="14">
        <f t="shared" si="5"/>
        <v>5.323E-2</v>
      </c>
      <c r="AX180" s="14">
        <f>Table1347456[[#This Row],[treatment_mean]]/Table1347456[[#This Row],[control_mean]]</f>
        <v>8.7860229194063493</v>
      </c>
      <c r="AY180" s="14">
        <f>LN(Table1347456[[#This Row],[rr]])</f>
        <v>2.1731621541782697</v>
      </c>
      <c r="AZ180" s="13">
        <v>4</v>
      </c>
      <c r="BA180" s="13">
        <v>4</v>
      </c>
      <c r="BB180" s="14">
        <f>83.65/1000</f>
        <v>8.3650000000000002E-2</v>
      </c>
      <c r="BC180" s="14">
        <f t="shared" si="6"/>
        <v>1.512E-2</v>
      </c>
      <c r="BD180" s="15">
        <f>Table1347456[[#This Row],[treatment_se]]*SQRT(Table1347456[[#This Row],[treatment_n]])</f>
        <v>0.1673</v>
      </c>
      <c r="BE180" s="14">
        <f>Table1347456[[#This Row],[control_se]]*SQRT(Table1347456[[#This Row],[control_n]])</f>
        <v>3.024E-2</v>
      </c>
      <c r="BF18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0.11267607718382432</v>
      </c>
      <c r="BG180" s="17">
        <f>SQRT(Table1347456[[#This Row],[v_from_sd_and_n]])</f>
        <v>0.33567257436946546</v>
      </c>
      <c r="BH180" s="13" t="s">
        <v>50</v>
      </c>
      <c r="BI180" s="13">
        <v>2.5000000000000001E-2</v>
      </c>
      <c r="BJ180" s="18">
        <f>ABS(_xlfn.NORM.S.INV(Table1347456[[#This Row],[p_value]]/2))</f>
        <v>2.2414027276049446</v>
      </c>
      <c r="BK180" s="19">
        <f>(Table1347456[[#This Row],[lnrr]]/Table1347456[[#This Row],[z_from_p]])^2</f>
        <v>0.94003597459616062</v>
      </c>
      <c r="BL180" s="16">
        <f>Table1347456[[#This Row],[v_from_sd_and_n]]</f>
        <v>0.11267607718382432</v>
      </c>
      <c r="BM180" s="20">
        <f>SQRT(Table1347456[[#This Row],[v]])</f>
        <v>0.33567257436946546</v>
      </c>
      <c r="BN180" s="20">
        <f>Table1347456[[#This Row],[lnrr]]-(1.96*Table1347456[[#This Row],[se]])</f>
        <v>1.5152439084141176</v>
      </c>
      <c r="BO180" s="20">
        <f>Table1347456[[#This Row],[lnrr]]+(1.96 * Table1347456[[#This Row],[se]])</f>
        <v>2.8310803999424219</v>
      </c>
    </row>
    <row r="181" spans="1:67">
      <c r="A181" s="13" t="s">
        <v>128</v>
      </c>
      <c r="B181" s="13" t="s">
        <v>129</v>
      </c>
      <c r="C181" s="13" t="s">
        <v>130</v>
      </c>
      <c r="D181" s="13" t="s">
        <v>131</v>
      </c>
      <c r="E181" s="13" t="s">
        <v>132</v>
      </c>
      <c r="F181" s="13" t="s">
        <v>589</v>
      </c>
      <c r="G181" s="13" t="s">
        <v>46</v>
      </c>
      <c r="H181" s="13">
        <v>28</v>
      </c>
      <c r="I181" s="13" t="s">
        <v>46</v>
      </c>
      <c r="K181" s="13" t="s">
        <v>831</v>
      </c>
      <c r="L181" s="13" t="s">
        <v>832</v>
      </c>
      <c r="N181" s="13" t="s">
        <v>121</v>
      </c>
      <c r="O181" s="13" t="s">
        <v>645</v>
      </c>
      <c r="P181" s="13" t="s">
        <v>85</v>
      </c>
      <c r="Q181" s="13" t="s">
        <v>48</v>
      </c>
      <c r="R181" s="4">
        <v>4</v>
      </c>
      <c r="S181" s="13" t="s">
        <v>596</v>
      </c>
      <c r="T181" s="13">
        <v>45</v>
      </c>
      <c r="U181" s="4" t="s">
        <v>134</v>
      </c>
      <c r="V181" s="4">
        <v>500</v>
      </c>
      <c r="W181" s="4" t="s">
        <v>601</v>
      </c>
      <c r="X181" s="4" t="s">
        <v>46</v>
      </c>
      <c r="Y181" s="4">
        <v>80</v>
      </c>
      <c r="AA181" s="4" t="s">
        <v>49</v>
      </c>
      <c r="AB181" s="4">
        <v>0</v>
      </c>
      <c r="AC181" s="4" t="s">
        <v>49</v>
      </c>
      <c r="AD181" s="4">
        <v>0</v>
      </c>
      <c r="AE181" s="4" t="s">
        <v>49</v>
      </c>
      <c r="AF181" s="4">
        <v>0</v>
      </c>
      <c r="AG181" s="4" t="s">
        <v>46</v>
      </c>
      <c r="AH181" s="4" t="s">
        <v>722</v>
      </c>
      <c r="AI181" s="4" t="s">
        <v>78</v>
      </c>
      <c r="AJ181" s="13">
        <v>0</v>
      </c>
      <c r="AK181" s="13">
        <v>20</v>
      </c>
      <c r="AL181" s="13" t="s">
        <v>493</v>
      </c>
      <c r="AM181" s="13">
        <v>1.6</v>
      </c>
      <c r="AN181" s="13" t="s">
        <v>494</v>
      </c>
      <c r="AO181" s="13" t="s">
        <v>495</v>
      </c>
      <c r="AP181" s="13" t="s">
        <v>50</v>
      </c>
      <c r="AQ181" s="13" t="s">
        <v>49</v>
      </c>
      <c r="AR181" s="13" t="s">
        <v>50</v>
      </c>
      <c r="AS181" s="13" t="s">
        <v>49</v>
      </c>
      <c r="AT181" s="13" t="s">
        <v>990</v>
      </c>
      <c r="AU181" s="13" t="s">
        <v>998</v>
      </c>
      <c r="AV181" s="14">
        <f>494.3/1000</f>
        <v>0.49430000000000002</v>
      </c>
      <c r="AW181" s="14">
        <f t="shared" si="5"/>
        <v>5.323E-2</v>
      </c>
      <c r="AX181" s="14">
        <f>Table1347456[[#This Row],[treatment_mean]]/Table1347456[[#This Row],[control_mean]]</f>
        <v>9.2861168513995871</v>
      </c>
      <c r="AY181" s="14">
        <f>LN(Table1347456[[#This Row],[rr]])</f>
        <v>2.2285204731282477</v>
      </c>
      <c r="AZ181" s="13">
        <v>4</v>
      </c>
      <c r="BA181" s="13">
        <v>4</v>
      </c>
      <c r="BB181" s="14">
        <f>68.44/1000</f>
        <v>6.8440000000000001E-2</v>
      </c>
      <c r="BC181" s="14">
        <f t="shared" si="6"/>
        <v>1.512E-2</v>
      </c>
      <c r="BD181" s="15">
        <f>Table1347456[[#This Row],[treatment_se]]*SQRT(Table1347456[[#This Row],[treatment_n]])</f>
        <v>0.13688</v>
      </c>
      <c r="BE181" s="14">
        <f>Table1347456[[#This Row],[control_se]]*SQRT(Table1347456[[#This Row],[control_n]])</f>
        <v>3.024E-2</v>
      </c>
      <c r="BF18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9.9855335688548305E-2</v>
      </c>
      <c r="BG181" s="17">
        <f>SQRT(Table1347456[[#This Row],[v_from_sd_and_n]])</f>
        <v>0.3159989488725371</v>
      </c>
      <c r="BH181" s="13" t="s">
        <v>50</v>
      </c>
      <c r="BI181" s="13">
        <v>2.5000000000000001E-2</v>
      </c>
      <c r="BJ181" s="18">
        <f>ABS(_xlfn.NORM.S.INV(Table1347456[[#This Row],[p_value]]/2))</f>
        <v>2.2414027276049446</v>
      </c>
      <c r="BK181" s="19">
        <f>(Table1347456[[#This Row],[lnrr]]/Table1347456[[#This Row],[z_from_p]])^2</f>
        <v>0.98853821802163222</v>
      </c>
      <c r="BL181" s="16">
        <f>Table1347456[[#This Row],[v_from_sd_and_n]]</f>
        <v>9.9855335688548305E-2</v>
      </c>
      <c r="BM181" s="20">
        <f>SQRT(Table1347456[[#This Row],[v]])</f>
        <v>0.3159989488725371</v>
      </c>
      <c r="BN181" s="20">
        <f>Table1347456[[#This Row],[lnrr]]-(1.96*Table1347456[[#This Row],[se]])</f>
        <v>1.609162533338075</v>
      </c>
      <c r="BO181" s="20">
        <f>Table1347456[[#This Row],[lnrr]]+(1.96 * Table1347456[[#This Row],[se]])</f>
        <v>2.8478784129184205</v>
      </c>
    </row>
    <row r="182" spans="1:67">
      <c r="A182" s="13" t="s">
        <v>128</v>
      </c>
      <c r="B182" s="13" t="s">
        <v>129</v>
      </c>
      <c r="C182" s="13" t="s">
        <v>130</v>
      </c>
      <c r="D182" s="13" t="s">
        <v>131</v>
      </c>
      <c r="E182" s="13" t="s">
        <v>132</v>
      </c>
      <c r="F182" s="13" t="s">
        <v>589</v>
      </c>
      <c r="G182" s="13" t="s">
        <v>46</v>
      </c>
      <c r="H182" s="13">
        <v>28</v>
      </c>
      <c r="I182" s="13" t="s">
        <v>46</v>
      </c>
      <c r="K182" s="13" t="s">
        <v>831</v>
      </c>
      <c r="L182" s="13" t="s">
        <v>832</v>
      </c>
      <c r="N182" s="13" t="s">
        <v>121</v>
      </c>
      <c r="O182" s="13" t="s">
        <v>645</v>
      </c>
      <c r="P182" s="13" t="s">
        <v>85</v>
      </c>
      <c r="Q182" s="13" t="s">
        <v>48</v>
      </c>
      <c r="R182" s="4">
        <v>4</v>
      </c>
      <c r="S182" s="13" t="s">
        <v>596</v>
      </c>
      <c r="T182" s="13">
        <v>45</v>
      </c>
      <c r="U182" s="4" t="s">
        <v>134</v>
      </c>
      <c r="V182" s="4">
        <v>600</v>
      </c>
      <c r="W182" s="4" t="s">
        <v>602</v>
      </c>
      <c r="X182" s="4" t="s">
        <v>46</v>
      </c>
      <c r="Y182" s="4">
        <v>80</v>
      </c>
      <c r="AA182" s="4" t="s">
        <v>49</v>
      </c>
      <c r="AB182" s="4">
        <v>0</v>
      </c>
      <c r="AC182" s="4" t="s">
        <v>49</v>
      </c>
      <c r="AD182" s="4">
        <v>0</v>
      </c>
      <c r="AE182" s="4" t="s">
        <v>49</v>
      </c>
      <c r="AF182" s="4">
        <v>0</v>
      </c>
      <c r="AG182" s="4" t="s">
        <v>46</v>
      </c>
      <c r="AH182" s="4" t="s">
        <v>722</v>
      </c>
      <c r="AI182" s="4" t="s">
        <v>78</v>
      </c>
      <c r="AJ182" s="13">
        <v>0</v>
      </c>
      <c r="AK182" s="13">
        <v>20</v>
      </c>
      <c r="AL182" s="13" t="s">
        <v>493</v>
      </c>
      <c r="AM182" s="13">
        <v>1.6</v>
      </c>
      <c r="AN182" s="13" t="s">
        <v>494</v>
      </c>
      <c r="AO182" s="13" t="s">
        <v>495</v>
      </c>
      <c r="AP182" s="13" t="s">
        <v>50</v>
      </c>
      <c r="AQ182" s="13" t="s">
        <v>49</v>
      </c>
      <c r="AR182" s="13" t="s">
        <v>50</v>
      </c>
      <c r="AS182" s="13" t="s">
        <v>49</v>
      </c>
      <c r="AT182" s="13" t="s">
        <v>990</v>
      </c>
      <c r="AU182" s="13" t="s">
        <v>998</v>
      </c>
      <c r="AV182" s="14">
        <f>619.77/1000</f>
        <v>0.61976999999999993</v>
      </c>
      <c r="AW182" s="14">
        <f t="shared" si="5"/>
        <v>5.323E-2</v>
      </c>
      <c r="AX182" s="14">
        <f>Table1347456[[#This Row],[treatment_mean]]/Table1347456[[#This Row],[control_mean]]</f>
        <v>11.643246289686266</v>
      </c>
      <c r="AY182" s="14">
        <f>LN(Table1347456[[#This Row],[rr]])</f>
        <v>2.454726294286981</v>
      </c>
      <c r="AZ182" s="13">
        <v>4</v>
      </c>
      <c r="BA182" s="13">
        <v>4</v>
      </c>
      <c r="BB182" s="14">
        <f>22.81/1000</f>
        <v>2.281E-2</v>
      </c>
      <c r="BC182" s="14">
        <f t="shared" si="6"/>
        <v>1.512E-2</v>
      </c>
      <c r="BD182" s="15">
        <f>Table1347456[[#This Row],[treatment_se]]*SQRT(Table1347456[[#This Row],[treatment_n]])</f>
        <v>4.5620000000000001E-2</v>
      </c>
      <c r="BE182" s="14">
        <f>Table1347456[[#This Row],[control_se]]*SQRT(Table1347456[[#This Row],[control_n]])</f>
        <v>3.024E-2</v>
      </c>
      <c r="BF18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8.2039132567352291E-2</v>
      </c>
      <c r="BG182" s="17">
        <f>SQRT(Table1347456[[#This Row],[v_from_sd_and_n]])</f>
        <v>0.28642474154191411</v>
      </c>
      <c r="BH182" s="13" t="s">
        <v>50</v>
      </c>
      <c r="BI182" s="13">
        <v>2.5000000000000001E-2</v>
      </c>
      <c r="BJ182" s="18">
        <f>ABS(_xlfn.NORM.S.INV(Table1347456[[#This Row],[p_value]]/2))</f>
        <v>2.2414027276049446</v>
      </c>
      <c r="BK182" s="19">
        <f>(Table1347456[[#This Row],[lnrr]]/Table1347456[[#This Row],[z_from_p]])^2</f>
        <v>1.1994063868481935</v>
      </c>
      <c r="BL182" s="16">
        <f>Table1347456[[#This Row],[v_from_sd_and_n]]</f>
        <v>8.2039132567352291E-2</v>
      </c>
      <c r="BM182" s="20">
        <f>SQRT(Table1347456[[#This Row],[v]])</f>
        <v>0.28642474154191411</v>
      </c>
      <c r="BN182" s="20">
        <f>Table1347456[[#This Row],[lnrr]]-(1.96*Table1347456[[#This Row],[se]])</f>
        <v>1.8933338008648293</v>
      </c>
      <c r="BO182" s="20">
        <f>Table1347456[[#This Row],[lnrr]]+(1.96 * Table1347456[[#This Row],[se]])</f>
        <v>3.0161187877091327</v>
      </c>
    </row>
    <row r="183" spans="1:67">
      <c r="A183" s="13" t="s">
        <v>128</v>
      </c>
      <c r="B183" s="13" t="s">
        <v>129</v>
      </c>
      <c r="C183" s="13" t="s">
        <v>130</v>
      </c>
      <c r="D183" s="13" t="s">
        <v>131</v>
      </c>
      <c r="E183" s="13" t="s">
        <v>132</v>
      </c>
      <c r="F183" s="13" t="s">
        <v>589</v>
      </c>
      <c r="G183" s="13" t="s">
        <v>46</v>
      </c>
      <c r="H183" s="13">
        <v>28</v>
      </c>
      <c r="I183" s="13" t="s">
        <v>46</v>
      </c>
      <c r="K183" s="13" t="s">
        <v>831</v>
      </c>
      <c r="L183" s="13" t="s">
        <v>832</v>
      </c>
      <c r="N183" s="13" t="s">
        <v>121</v>
      </c>
      <c r="O183" s="13" t="s">
        <v>645</v>
      </c>
      <c r="P183" s="13" t="s">
        <v>85</v>
      </c>
      <c r="Q183" s="13" t="s">
        <v>48</v>
      </c>
      <c r="R183" s="4">
        <v>4</v>
      </c>
      <c r="S183" s="13" t="s">
        <v>596</v>
      </c>
      <c r="T183" s="13">
        <v>45</v>
      </c>
      <c r="U183" s="4" t="s">
        <v>135</v>
      </c>
      <c r="V183" s="4">
        <v>400</v>
      </c>
      <c r="W183" s="4" t="s">
        <v>42</v>
      </c>
      <c r="X183" s="4" t="s">
        <v>46</v>
      </c>
      <c r="Y183" s="4">
        <v>80</v>
      </c>
      <c r="AA183" s="4" t="s">
        <v>49</v>
      </c>
      <c r="AB183" s="4">
        <v>0</v>
      </c>
      <c r="AC183" s="4" t="s">
        <v>49</v>
      </c>
      <c r="AD183" s="4">
        <v>0</v>
      </c>
      <c r="AE183" s="4" t="s">
        <v>49</v>
      </c>
      <c r="AF183" s="4">
        <v>0</v>
      </c>
      <c r="AG183" s="4" t="s">
        <v>46</v>
      </c>
      <c r="AH183" s="4" t="s">
        <v>722</v>
      </c>
      <c r="AI183" s="4" t="s">
        <v>78</v>
      </c>
      <c r="AJ183" s="13">
        <v>0</v>
      </c>
      <c r="AK183" s="13">
        <v>20</v>
      </c>
      <c r="AL183" s="13" t="s">
        <v>493</v>
      </c>
      <c r="AM183" s="13">
        <v>1.6</v>
      </c>
      <c r="AN183" s="13" t="s">
        <v>494</v>
      </c>
      <c r="AO183" s="13" t="s">
        <v>495</v>
      </c>
      <c r="AP183" s="13" t="s">
        <v>50</v>
      </c>
      <c r="AQ183" s="13" t="s">
        <v>49</v>
      </c>
      <c r="AR183" s="13" t="s">
        <v>50</v>
      </c>
      <c r="AS183" s="13" t="s">
        <v>49</v>
      </c>
      <c r="AT183" s="13" t="s">
        <v>990</v>
      </c>
      <c r="AU183" s="13" t="s">
        <v>998</v>
      </c>
      <c r="AV183" s="14">
        <f>106.46/1000</f>
        <v>0.10646</v>
      </c>
      <c r="AW183" s="14">
        <f t="shared" si="5"/>
        <v>5.323E-2</v>
      </c>
      <c r="AX183" s="14">
        <f>Table1347456[[#This Row],[treatment_mean]]/Table1347456[[#This Row],[control_mean]]</f>
        <v>2</v>
      </c>
      <c r="AY183" s="14">
        <f>LN(Table1347456[[#This Row],[rr]])</f>
        <v>0.69314718055994529</v>
      </c>
      <c r="AZ183" s="13">
        <v>4</v>
      </c>
      <c r="BA183" s="13">
        <v>4</v>
      </c>
      <c r="BB183" s="14">
        <f>15.21/1000</f>
        <v>1.5210000000000001E-2</v>
      </c>
      <c r="BC183" s="14">
        <f t="shared" si="6"/>
        <v>1.512E-2</v>
      </c>
      <c r="BD183" s="15">
        <f>Table1347456[[#This Row],[treatment_se]]*SQRT(Table1347456[[#This Row],[treatment_n]])</f>
        <v>3.0420000000000003E-2</v>
      </c>
      <c r="BE183" s="14">
        <f>Table1347456[[#This Row],[control_se]]*SQRT(Table1347456[[#This Row],[control_n]])</f>
        <v>3.024E-2</v>
      </c>
      <c r="BF18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0.10109659734663208</v>
      </c>
      <c r="BG183" s="17">
        <f>SQRT(Table1347456[[#This Row],[v_from_sd_and_n]])</f>
        <v>0.31795691114777186</v>
      </c>
      <c r="BH183" s="13" t="s">
        <v>50</v>
      </c>
      <c r="BI183" s="13">
        <v>2.5000000000000001E-2</v>
      </c>
      <c r="BJ183" s="18">
        <f>ABS(_xlfn.NORM.S.INV(Table1347456[[#This Row],[p_value]]/2))</f>
        <v>2.2414027276049446</v>
      </c>
      <c r="BK183" s="19">
        <f>(Table1347456[[#This Row],[lnrr]]/Table1347456[[#This Row],[z_from_p]])^2</f>
        <v>9.5633737709131666E-2</v>
      </c>
      <c r="BL183" s="16">
        <f>Table1347456[[#This Row],[v_from_sd_and_n]]</f>
        <v>0.10109659734663208</v>
      </c>
      <c r="BM183" s="20">
        <f>SQRT(Table1347456[[#This Row],[v]])</f>
        <v>0.31795691114777186</v>
      </c>
      <c r="BN183" s="20">
        <f>Table1347456[[#This Row],[lnrr]]-(1.96*Table1347456[[#This Row],[se]])</f>
        <v>6.9951634710312405E-2</v>
      </c>
      <c r="BO183" s="20">
        <f>Table1347456[[#This Row],[lnrr]]+(1.96 * Table1347456[[#This Row],[se]])</f>
        <v>1.3163427264095782</v>
      </c>
    </row>
    <row r="184" spans="1:67">
      <c r="A184" s="13" t="s">
        <v>128</v>
      </c>
      <c r="B184" s="13" t="s">
        <v>129</v>
      </c>
      <c r="C184" s="13" t="s">
        <v>130</v>
      </c>
      <c r="D184" s="13" t="s">
        <v>131</v>
      </c>
      <c r="E184" s="13" t="s">
        <v>132</v>
      </c>
      <c r="F184" s="13" t="s">
        <v>589</v>
      </c>
      <c r="G184" s="13" t="s">
        <v>46</v>
      </c>
      <c r="H184" s="13">
        <v>28</v>
      </c>
      <c r="I184" s="13" t="s">
        <v>46</v>
      </c>
      <c r="K184" s="13" t="s">
        <v>831</v>
      </c>
      <c r="L184" s="13" t="s">
        <v>832</v>
      </c>
      <c r="N184" s="13" t="s">
        <v>121</v>
      </c>
      <c r="O184" s="13" t="s">
        <v>645</v>
      </c>
      <c r="P184" s="13" t="s">
        <v>85</v>
      </c>
      <c r="Q184" s="13" t="s">
        <v>48</v>
      </c>
      <c r="R184" s="4">
        <v>4</v>
      </c>
      <c r="S184" s="13" t="s">
        <v>596</v>
      </c>
      <c r="T184" s="13">
        <v>45</v>
      </c>
      <c r="U184" s="4" t="s">
        <v>135</v>
      </c>
      <c r="V184" s="4">
        <v>500</v>
      </c>
      <c r="W184" s="4" t="s">
        <v>601</v>
      </c>
      <c r="X184" s="4" t="s">
        <v>46</v>
      </c>
      <c r="Y184" s="4">
        <v>80</v>
      </c>
      <c r="AA184" s="4" t="s">
        <v>49</v>
      </c>
      <c r="AB184" s="4">
        <v>0</v>
      </c>
      <c r="AC184" s="4" t="s">
        <v>49</v>
      </c>
      <c r="AD184" s="4">
        <v>0</v>
      </c>
      <c r="AE184" s="4" t="s">
        <v>49</v>
      </c>
      <c r="AF184" s="4">
        <v>0</v>
      </c>
      <c r="AG184" s="4" t="s">
        <v>46</v>
      </c>
      <c r="AH184" s="4" t="s">
        <v>722</v>
      </c>
      <c r="AI184" s="4" t="s">
        <v>78</v>
      </c>
      <c r="AJ184" s="13">
        <v>0</v>
      </c>
      <c r="AK184" s="13">
        <v>20</v>
      </c>
      <c r="AL184" s="13" t="s">
        <v>493</v>
      </c>
      <c r="AM184" s="13">
        <v>1.6</v>
      </c>
      <c r="AN184" s="13" t="s">
        <v>494</v>
      </c>
      <c r="AO184" s="13" t="s">
        <v>495</v>
      </c>
      <c r="AP184" s="13" t="s">
        <v>50</v>
      </c>
      <c r="AQ184" s="13" t="s">
        <v>49</v>
      </c>
      <c r="AR184" s="13" t="s">
        <v>50</v>
      </c>
      <c r="AS184" s="13" t="s">
        <v>49</v>
      </c>
      <c r="AT184" s="13" t="s">
        <v>990</v>
      </c>
      <c r="AU184" s="13" t="s">
        <v>998</v>
      </c>
      <c r="AV184" s="14">
        <f>136.88/1000</f>
        <v>0.13688</v>
      </c>
      <c r="AW184" s="14">
        <f t="shared" si="5"/>
        <v>5.323E-2</v>
      </c>
      <c r="AX184" s="14">
        <f>Table1347456[[#This Row],[treatment_mean]]/Table1347456[[#This Row],[control_mean]]</f>
        <v>2.5714822468532783</v>
      </c>
      <c r="AY184" s="14">
        <f>LN(Table1347456[[#This Row],[rr]])</f>
        <v>0.94448248239927202</v>
      </c>
      <c r="AZ184" s="13">
        <v>4</v>
      </c>
      <c r="BA184" s="13">
        <v>4</v>
      </c>
      <c r="BB184" s="14">
        <f>19.01/1000</f>
        <v>1.9010000000000003E-2</v>
      </c>
      <c r="BC184" s="14">
        <f t="shared" si="6"/>
        <v>1.512E-2</v>
      </c>
      <c r="BD184" s="15">
        <f>Table1347456[[#This Row],[treatment_se]]*SQRT(Table1347456[[#This Row],[treatment_n]])</f>
        <v>3.8020000000000005E-2</v>
      </c>
      <c r="BE184" s="14">
        <f>Table1347456[[#This Row],[control_se]]*SQRT(Table1347456[[#This Row],[control_n]])</f>
        <v>3.024E-2</v>
      </c>
      <c r="BF18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9.9972468628862471E-2</v>
      </c>
      <c r="BG184" s="17">
        <f>SQRT(Table1347456[[#This Row],[v_from_sd_and_n]])</f>
        <v>0.3161842321003096</v>
      </c>
      <c r="BH184" s="13" t="s">
        <v>50</v>
      </c>
      <c r="BI184" s="13">
        <v>2.5000000000000001E-2</v>
      </c>
      <c r="BJ184" s="18">
        <f>ABS(_xlfn.NORM.S.INV(Table1347456[[#This Row],[p_value]]/2))</f>
        <v>2.2414027276049446</v>
      </c>
      <c r="BK184" s="19">
        <f>(Table1347456[[#This Row],[lnrr]]/Table1347456[[#This Row],[z_from_p]])^2</f>
        <v>0.17756117999079579</v>
      </c>
      <c r="BL184" s="16">
        <f>Table1347456[[#This Row],[v_from_sd_and_n]]</f>
        <v>9.9972468628862471E-2</v>
      </c>
      <c r="BM184" s="20">
        <f>SQRT(Table1347456[[#This Row],[v]])</f>
        <v>0.3161842321003096</v>
      </c>
      <c r="BN184" s="20">
        <f>Table1347456[[#This Row],[lnrr]]-(1.96*Table1347456[[#This Row],[se]])</f>
        <v>0.32476138748266525</v>
      </c>
      <c r="BO184" s="20">
        <f>Table1347456[[#This Row],[lnrr]]+(1.96 * Table1347456[[#This Row],[se]])</f>
        <v>1.5642035773158787</v>
      </c>
    </row>
    <row r="185" spans="1:67">
      <c r="A185" s="13" t="s">
        <v>128</v>
      </c>
      <c r="B185" s="13" t="s">
        <v>129</v>
      </c>
      <c r="C185" s="13" t="s">
        <v>130</v>
      </c>
      <c r="D185" s="13" t="s">
        <v>131</v>
      </c>
      <c r="E185" s="13" t="s">
        <v>132</v>
      </c>
      <c r="F185" s="13" t="s">
        <v>589</v>
      </c>
      <c r="G185" s="13" t="s">
        <v>46</v>
      </c>
      <c r="H185" s="13">
        <v>28</v>
      </c>
      <c r="I185" s="13" t="s">
        <v>46</v>
      </c>
      <c r="K185" s="13" t="s">
        <v>831</v>
      </c>
      <c r="L185" s="13" t="s">
        <v>832</v>
      </c>
      <c r="N185" s="13" t="s">
        <v>121</v>
      </c>
      <c r="O185" s="13" t="s">
        <v>645</v>
      </c>
      <c r="P185" s="13" t="s">
        <v>85</v>
      </c>
      <c r="Q185" s="13" t="s">
        <v>48</v>
      </c>
      <c r="R185" s="4">
        <v>4</v>
      </c>
      <c r="S185" s="13" t="s">
        <v>596</v>
      </c>
      <c r="T185" s="13">
        <v>45</v>
      </c>
      <c r="U185" s="4" t="s">
        <v>135</v>
      </c>
      <c r="V185" s="4">
        <v>600</v>
      </c>
      <c r="W185" s="4" t="s">
        <v>602</v>
      </c>
      <c r="X185" s="4" t="s">
        <v>46</v>
      </c>
      <c r="Y185" s="4">
        <v>80</v>
      </c>
      <c r="AA185" s="4" t="s">
        <v>49</v>
      </c>
      <c r="AB185" s="4">
        <v>0</v>
      </c>
      <c r="AC185" s="4" t="s">
        <v>49</v>
      </c>
      <c r="AD185" s="4">
        <v>0</v>
      </c>
      <c r="AE185" s="4" t="s">
        <v>49</v>
      </c>
      <c r="AF185" s="4">
        <v>0</v>
      </c>
      <c r="AG185" s="4" t="s">
        <v>46</v>
      </c>
      <c r="AH185" s="4" t="s">
        <v>722</v>
      </c>
      <c r="AI185" s="4" t="s">
        <v>78</v>
      </c>
      <c r="AJ185" s="13">
        <v>0</v>
      </c>
      <c r="AK185" s="13">
        <v>20</v>
      </c>
      <c r="AL185" s="13" t="s">
        <v>493</v>
      </c>
      <c r="AM185" s="13">
        <v>1.6</v>
      </c>
      <c r="AN185" s="13" t="s">
        <v>494</v>
      </c>
      <c r="AO185" s="13" t="s">
        <v>495</v>
      </c>
      <c r="AP185" s="13" t="s">
        <v>50</v>
      </c>
      <c r="AQ185" s="13" t="s">
        <v>49</v>
      </c>
      <c r="AR185" s="13" t="s">
        <v>50</v>
      </c>
      <c r="AS185" s="13" t="s">
        <v>49</v>
      </c>
      <c r="AT185" s="13" t="s">
        <v>990</v>
      </c>
      <c r="AU185" s="13" t="s">
        <v>998</v>
      </c>
      <c r="AV185" s="14">
        <f>182.51/1000</f>
        <v>0.18250999999999998</v>
      </c>
      <c r="AW185" s="14">
        <f t="shared" si="5"/>
        <v>5.323E-2</v>
      </c>
      <c r="AX185" s="14">
        <f>Table1347456[[#This Row],[treatment_mean]]/Table1347456[[#This Row],[control_mean]]</f>
        <v>3.4287056171331951</v>
      </c>
      <c r="AY185" s="14">
        <f>LN(Table1347456[[#This Row],[rr]])</f>
        <v>1.232182818857263</v>
      </c>
      <c r="AZ185" s="13">
        <v>4</v>
      </c>
      <c r="BA185" s="13">
        <v>4</v>
      </c>
      <c r="BB185" s="14">
        <f>19.01/1000</f>
        <v>1.9010000000000003E-2</v>
      </c>
      <c r="BC185" s="14">
        <f t="shared" si="6"/>
        <v>1.512E-2</v>
      </c>
      <c r="BD185" s="15">
        <f>Table1347456[[#This Row],[treatment_se]]*SQRT(Table1347456[[#This Row],[treatment_n]])</f>
        <v>3.8020000000000005E-2</v>
      </c>
      <c r="BE185" s="14">
        <f>Table1347456[[#This Row],[control_se]]*SQRT(Table1347456[[#This Row],[control_n]])</f>
        <v>3.024E-2</v>
      </c>
      <c r="BF18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9.1533629777779846E-2</v>
      </c>
      <c r="BG185" s="17">
        <f>SQRT(Table1347456[[#This Row],[v_from_sd_and_n]])</f>
        <v>0.30254525244627428</v>
      </c>
      <c r="BH185" s="13" t="s">
        <v>50</v>
      </c>
      <c r="BI185" s="13">
        <v>2.5000000000000001E-2</v>
      </c>
      <c r="BJ185" s="18">
        <f>ABS(_xlfn.NORM.S.INV(Table1347456[[#This Row],[p_value]]/2))</f>
        <v>2.2414027276049446</v>
      </c>
      <c r="BK185" s="19">
        <f>(Table1347456[[#This Row],[lnrr]]/Table1347456[[#This Row],[z_from_p]])^2</f>
        <v>0.30221116531672504</v>
      </c>
      <c r="BL185" s="16">
        <f>Table1347456[[#This Row],[v_from_sd_and_n]]</f>
        <v>9.1533629777779846E-2</v>
      </c>
      <c r="BM185" s="20">
        <f>SQRT(Table1347456[[#This Row],[v]])</f>
        <v>0.30254525244627428</v>
      </c>
      <c r="BN185" s="20">
        <f>Table1347456[[#This Row],[lnrr]]-(1.96*Table1347456[[#This Row],[se]])</f>
        <v>0.63919412406256537</v>
      </c>
      <c r="BO185" s="20">
        <f>Table1347456[[#This Row],[lnrr]]+(1.96 * Table1347456[[#This Row],[se]])</f>
        <v>1.8251715136519606</v>
      </c>
    </row>
    <row r="186" spans="1:67">
      <c r="A186" s="13" t="s">
        <v>128</v>
      </c>
      <c r="B186" s="13" t="s">
        <v>129</v>
      </c>
      <c r="C186" s="13" t="s">
        <v>130</v>
      </c>
      <c r="D186" s="13" t="s">
        <v>131</v>
      </c>
      <c r="E186" s="13" t="s">
        <v>132</v>
      </c>
      <c r="F186" s="13" t="s">
        <v>589</v>
      </c>
      <c r="G186" s="13" t="s">
        <v>46</v>
      </c>
      <c r="H186" s="13">
        <v>28</v>
      </c>
      <c r="I186" s="13" t="s">
        <v>46</v>
      </c>
      <c r="K186" s="13" t="s">
        <v>831</v>
      </c>
      <c r="L186" s="13" t="s">
        <v>832</v>
      </c>
      <c r="N186" s="13" t="s">
        <v>121</v>
      </c>
      <c r="O186" s="13" t="s">
        <v>645</v>
      </c>
      <c r="P186" s="13" t="s">
        <v>85</v>
      </c>
      <c r="Q186" s="13" t="s">
        <v>48</v>
      </c>
      <c r="R186" s="4">
        <v>4</v>
      </c>
      <c r="S186" s="13" t="s">
        <v>596</v>
      </c>
      <c r="T186" s="13">
        <v>45</v>
      </c>
      <c r="U186" s="4" t="s">
        <v>136</v>
      </c>
      <c r="V186" s="4">
        <v>400</v>
      </c>
      <c r="W186" s="4" t="s">
        <v>42</v>
      </c>
      <c r="X186" s="4" t="s">
        <v>46</v>
      </c>
      <c r="Y186" s="4">
        <v>80</v>
      </c>
      <c r="AA186" s="4" t="s">
        <v>49</v>
      </c>
      <c r="AB186" s="4">
        <v>0</v>
      </c>
      <c r="AC186" s="4" t="s">
        <v>49</v>
      </c>
      <c r="AD186" s="4">
        <v>0</v>
      </c>
      <c r="AE186" s="4" t="s">
        <v>49</v>
      </c>
      <c r="AF186" s="4">
        <v>0</v>
      </c>
      <c r="AG186" s="4" t="s">
        <v>46</v>
      </c>
      <c r="AH186" s="4" t="s">
        <v>722</v>
      </c>
      <c r="AI186" s="4" t="s">
        <v>78</v>
      </c>
      <c r="AJ186" s="13">
        <v>0</v>
      </c>
      <c r="AK186" s="13">
        <v>20</v>
      </c>
      <c r="AL186" s="13" t="s">
        <v>493</v>
      </c>
      <c r="AM186" s="13">
        <v>1.6</v>
      </c>
      <c r="AN186" s="13" t="s">
        <v>494</v>
      </c>
      <c r="AO186" s="13" t="s">
        <v>495</v>
      </c>
      <c r="AP186" s="13" t="s">
        <v>50</v>
      </c>
      <c r="AQ186" s="13" t="s">
        <v>49</v>
      </c>
      <c r="AR186" s="13" t="s">
        <v>50</v>
      </c>
      <c r="AS186" s="13" t="s">
        <v>49</v>
      </c>
      <c r="AT186" s="13" t="s">
        <v>990</v>
      </c>
      <c r="AU186" s="13" t="s">
        <v>998</v>
      </c>
      <c r="AV186" s="14">
        <f>121.67/1000</f>
        <v>0.12167</v>
      </c>
      <c r="AW186" s="14">
        <f t="shared" si="5"/>
        <v>5.323E-2</v>
      </c>
      <c r="AX186" s="14">
        <f>Table1347456[[#This Row],[treatment_mean]]/Table1347456[[#This Row],[control_mean]]</f>
        <v>2.2857411234266389</v>
      </c>
      <c r="AY186" s="14">
        <f>LN(Table1347456[[#This Row],[rr]])</f>
        <v>0.82669031461469156</v>
      </c>
      <c r="AZ186" s="13">
        <v>4</v>
      </c>
      <c r="BA186" s="13">
        <v>4</v>
      </c>
      <c r="BB186" s="14">
        <f>15.21/1000</f>
        <v>1.5210000000000001E-2</v>
      </c>
      <c r="BC186" s="14">
        <f t="shared" si="6"/>
        <v>1.512E-2</v>
      </c>
      <c r="BD186" s="15">
        <f>Table1347456[[#This Row],[treatment_se]]*SQRT(Table1347456[[#This Row],[treatment_n]])</f>
        <v>3.0420000000000003E-2</v>
      </c>
      <c r="BE186" s="14">
        <f>Table1347456[[#This Row],[control_se]]*SQRT(Table1347456[[#This Row],[control_n]])</f>
        <v>3.024E-2</v>
      </c>
      <c r="BF18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9.6312168470684301E-2</v>
      </c>
      <c r="BG186" s="17">
        <f>SQRT(Table1347456[[#This Row],[v_from_sd_and_n]])</f>
        <v>0.31034201853871529</v>
      </c>
      <c r="BH186" s="13" t="s">
        <v>50</v>
      </c>
      <c r="BI186" s="13">
        <v>2.5000000000000001E-2</v>
      </c>
      <c r="BJ186" s="18">
        <f>ABS(_xlfn.NORM.S.INV(Table1347456[[#This Row],[p_value]]/2))</f>
        <v>2.2414027276049446</v>
      </c>
      <c r="BK186" s="19">
        <f>(Table1347456[[#This Row],[lnrr]]/Table1347456[[#This Row],[z_from_p]])^2</f>
        <v>0.13603351087119339</v>
      </c>
      <c r="BL186" s="16">
        <f>Table1347456[[#This Row],[v_from_sd_and_n]]</f>
        <v>9.6312168470684301E-2</v>
      </c>
      <c r="BM186" s="20">
        <f>SQRT(Table1347456[[#This Row],[v]])</f>
        <v>0.31034201853871529</v>
      </c>
      <c r="BN186" s="20">
        <f>Table1347456[[#This Row],[lnrr]]-(1.96*Table1347456[[#This Row],[se]])</f>
        <v>0.21841995827880956</v>
      </c>
      <c r="BO186" s="20">
        <f>Table1347456[[#This Row],[lnrr]]+(1.96 * Table1347456[[#This Row],[se]])</f>
        <v>1.4349606709505736</v>
      </c>
    </row>
    <row r="187" spans="1:67">
      <c r="A187" s="13" t="s">
        <v>128</v>
      </c>
      <c r="B187" s="13" t="s">
        <v>129</v>
      </c>
      <c r="C187" s="13" t="s">
        <v>130</v>
      </c>
      <c r="D187" s="13" t="s">
        <v>131</v>
      </c>
      <c r="E187" s="13" t="s">
        <v>132</v>
      </c>
      <c r="F187" s="13" t="s">
        <v>589</v>
      </c>
      <c r="G187" s="13" t="s">
        <v>46</v>
      </c>
      <c r="H187" s="13">
        <v>28</v>
      </c>
      <c r="I187" s="13" t="s">
        <v>46</v>
      </c>
      <c r="K187" s="13" t="s">
        <v>831</v>
      </c>
      <c r="L187" s="13" t="s">
        <v>832</v>
      </c>
      <c r="N187" s="13" t="s">
        <v>121</v>
      </c>
      <c r="O187" s="13" t="s">
        <v>645</v>
      </c>
      <c r="P187" s="13" t="s">
        <v>85</v>
      </c>
      <c r="Q187" s="13" t="s">
        <v>48</v>
      </c>
      <c r="R187" s="4">
        <v>4</v>
      </c>
      <c r="S187" s="13" t="s">
        <v>596</v>
      </c>
      <c r="T187" s="13">
        <v>45</v>
      </c>
      <c r="U187" s="4" t="s">
        <v>136</v>
      </c>
      <c r="V187" s="4">
        <v>500</v>
      </c>
      <c r="W187" s="4" t="s">
        <v>601</v>
      </c>
      <c r="X187" s="4" t="s">
        <v>46</v>
      </c>
      <c r="Y187" s="4">
        <v>80</v>
      </c>
      <c r="AA187" s="4" t="s">
        <v>49</v>
      </c>
      <c r="AB187" s="4">
        <v>0</v>
      </c>
      <c r="AC187" s="4" t="s">
        <v>49</v>
      </c>
      <c r="AD187" s="4">
        <v>0</v>
      </c>
      <c r="AE187" s="4" t="s">
        <v>49</v>
      </c>
      <c r="AF187" s="4">
        <v>0</v>
      </c>
      <c r="AG187" s="4" t="s">
        <v>46</v>
      </c>
      <c r="AH187" s="4" t="s">
        <v>722</v>
      </c>
      <c r="AI187" s="4" t="s">
        <v>78</v>
      </c>
      <c r="AJ187" s="13">
        <v>0</v>
      </c>
      <c r="AK187" s="13">
        <v>20</v>
      </c>
      <c r="AL187" s="13" t="s">
        <v>493</v>
      </c>
      <c r="AM187" s="13">
        <v>1.6</v>
      </c>
      <c r="AN187" s="13" t="s">
        <v>494</v>
      </c>
      <c r="AO187" s="13" t="s">
        <v>495</v>
      </c>
      <c r="AP187" s="13" t="s">
        <v>50</v>
      </c>
      <c r="AQ187" s="13" t="s">
        <v>49</v>
      </c>
      <c r="AR187" s="13" t="s">
        <v>50</v>
      </c>
      <c r="AS187" s="13" t="s">
        <v>49</v>
      </c>
      <c r="AT187" s="13" t="s">
        <v>990</v>
      </c>
      <c r="AU187" s="13" t="s">
        <v>998</v>
      </c>
      <c r="AV187" s="14">
        <f>125.48/1000</f>
        <v>0.12548000000000001</v>
      </c>
      <c r="AW187" s="14">
        <f t="shared" si="5"/>
        <v>5.323E-2</v>
      </c>
      <c r="AX187" s="14">
        <f>Table1347456[[#This Row],[treatment_mean]]/Table1347456[[#This Row],[control_mean]]</f>
        <v>2.3573173022731546</v>
      </c>
      <c r="AY187" s="14">
        <f>LN(Table1347456[[#This Row],[rr]])</f>
        <v>0.85752423613781159</v>
      </c>
      <c r="AZ187" s="13">
        <v>4</v>
      </c>
      <c r="BA187" s="13">
        <v>4</v>
      </c>
      <c r="BB187" s="14">
        <f>11.4/1000</f>
        <v>1.14E-2</v>
      </c>
      <c r="BC187" s="14">
        <f t="shared" si="6"/>
        <v>1.512E-2</v>
      </c>
      <c r="BD187" s="15">
        <f>Table1347456[[#This Row],[treatment_se]]*SQRT(Table1347456[[#This Row],[treatment_n]])</f>
        <v>2.2800000000000001E-2</v>
      </c>
      <c r="BE187" s="14">
        <f>Table1347456[[#This Row],[control_se]]*SQRT(Table1347456[[#This Row],[control_n]])</f>
        <v>3.024E-2</v>
      </c>
      <c r="BF18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8.893852806524627E-2</v>
      </c>
      <c r="BG187" s="17">
        <f>SQRT(Table1347456[[#This Row],[v_from_sd_and_n]])</f>
        <v>0.29822563281053871</v>
      </c>
      <c r="BH187" s="13" t="s">
        <v>50</v>
      </c>
      <c r="BI187" s="13">
        <v>2.5000000000000001E-2</v>
      </c>
      <c r="BJ187" s="18">
        <f>ABS(_xlfn.NORM.S.INV(Table1347456[[#This Row],[p_value]]/2))</f>
        <v>2.2414027276049446</v>
      </c>
      <c r="BK187" s="19">
        <f>(Table1347456[[#This Row],[lnrr]]/Table1347456[[#This Row],[z_from_p]])^2</f>
        <v>0.14637031734923883</v>
      </c>
      <c r="BL187" s="16">
        <f>Table1347456[[#This Row],[v_from_sd_and_n]]</f>
        <v>8.893852806524627E-2</v>
      </c>
      <c r="BM187" s="20">
        <f>SQRT(Table1347456[[#This Row],[v]])</f>
        <v>0.29822563281053871</v>
      </c>
      <c r="BN187" s="20">
        <f>Table1347456[[#This Row],[lnrr]]-(1.96*Table1347456[[#This Row],[se]])</f>
        <v>0.27300199582915574</v>
      </c>
      <c r="BO187" s="20">
        <f>Table1347456[[#This Row],[lnrr]]+(1.96 * Table1347456[[#This Row],[se]])</f>
        <v>1.4420464764464676</v>
      </c>
    </row>
    <row r="188" spans="1:67">
      <c r="A188" s="13" t="s">
        <v>128</v>
      </c>
      <c r="B188" s="13" t="s">
        <v>129</v>
      </c>
      <c r="C188" s="13" t="s">
        <v>130</v>
      </c>
      <c r="D188" s="13" t="s">
        <v>131</v>
      </c>
      <c r="E188" s="13" t="s">
        <v>132</v>
      </c>
      <c r="F188" s="13" t="s">
        <v>589</v>
      </c>
      <c r="G188" s="13" t="s">
        <v>46</v>
      </c>
      <c r="H188" s="13">
        <v>28</v>
      </c>
      <c r="I188" s="13" t="s">
        <v>46</v>
      </c>
      <c r="K188" s="13" t="s">
        <v>831</v>
      </c>
      <c r="L188" s="13" t="s">
        <v>832</v>
      </c>
      <c r="N188" s="13" t="s">
        <v>121</v>
      </c>
      <c r="O188" s="13" t="s">
        <v>645</v>
      </c>
      <c r="P188" s="13" t="s">
        <v>85</v>
      </c>
      <c r="Q188" s="13" t="s">
        <v>48</v>
      </c>
      <c r="R188" s="4">
        <v>4</v>
      </c>
      <c r="S188" s="13" t="s">
        <v>596</v>
      </c>
      <c r="T188" s="13">
        <v>45</v>
      </c>
      <c r="U188" s="4" t="s">
        <v>136</v>
      </c>
      <c r="V188" s="4">
        <v>600</v>
      </c>
      <c r="W188" s="4" t="s">
        <v>602</v>
      </c>
      <c r="X188" s="4" t="s">
        <v>46</v>
      </c>
      <c r="Y188" s="4">
        <v>80</v>
      </c>
      <c r="AA188" s="4" t="s">
        <v>49</v>
      </c>
      <c r="AB188" s="4">
        <v>0</v>
      </c>
      <c r="AC188" s="4" t="s">
        <v>49</v>
      </c>
      <c r="AD188" s="4">
        <v>0</v>
      </c>
      <c r="AE188" s="4" t="s">
        <v>49</v>
      </c>
      <c r="AF188" s="4">
        <v>0</v>
      </c>
      <c r="AG188" s="4" t="s">
        <v>46</v>
      </c>
      <c r="AH188" s="4" t="s">
        <v>722</v>
      </c>
      <c r="AI188" s="4" t="s">
        <v>78</v>
      </c>
      <c r="AJ188" s="13">
        <v>0</v>
      </c>
      <c r="AK188" s="13">
        <v>20</v>
      </c>
      <c r="AL188" s="13" t="s">
        <v>493</v>
      </c>
      <c r="AM188" s="13">
        <v>1.6</v>
      </c>
      <c r="AN188" s="13" t="s">
        <v>494</v>
      </c>
      <c r="AO188" s="13" t="s">
        <v>495</v>
      </c>
      <c r="AP188" s="13" t="s">
        <v>50</v>
      </c>
      <c r="AQ188" s="13" t="s">
        <v>49</v>
      </c>
      <c r="AR188" s="13" t="s">
        <v>50</v>
      </c>
      <c r="AS188" s="13" t="s">
        <v>49</v>
      </c>
      <c r="AT188" s="13" t="s">
        <v>990</v>
      </c>
      <c r="AU188" s="13" t="s">
        <v>998</v>
      </c>
      <c r="AV188" s="14">
        <f>121.67/1000</f>
        <v>0.12167</v>
      </c>
      <c r="AW188" s="14">
        <f t="shared" si="5"/>
        <v>5.323E-2</v>
      </c>
      <c r="AX188" s="14">
        <f>Table1347456[[#This Row],[treatment_mean]]/Table1347456[[#This Row],[control_mean]]</f>
        <v>2.2857411234266389</v>
      </c>
      <c r="AY188" s="14">
        <f>LN(Table1347456[[#This Row],[rr]])</f>
        <v>0.82669031461469156</v>
      </c>
      <c r="AZ188" s="13">
        <v>4</v>
      </c>
      <c r="BA188" s="13">
        <v>4</v>
      </c>
      <c r="BB188" s="14">
        <f>15.21/1000</f>
        <v>1.5210000000000001E-2</v>
      </c>
      <c r="BC188" s="14">
        <f t="shared" si="6"/>
        <v>1.512E-2</v>
      </c>
      <c r="BD188" s="15">
        <f>Table1347456[[#This Row],[treatment_se]]*SQRT(Table1347456[[#This Row],[treatment_n]])</f>
        <v>3.0420000000000003E-2</v>
      </c>
      <c r="BE188" s="14">
        <f>Table1347456[[#This Row],[control_se]]*SQRT(Table1347456[[#This Row],[control_n]])</f>
        <v>3.024E-2</v>
      </c>
      <c r="BF18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9.6312168470684301E-2</v>
      </c>
      <c r="BG188" s="17">
        <f>SQRT(Table1347456[[#This Row],[v_from_sd_and_n]])</f>
        <v>0.31034201853871529</v>
      </c>
      <c r="BH188" s="13" t="s">
        <v>50</v>
      </c>
      <c r="BI188" s="13">
        <v>2.5000000000000001E-2</v>
      </c>
      <c r="BJ188" s="18">
        <f>ABS(_xlfn.NORM.S.INV(Table1347456[[#This Row],[p_value]]/2))</f>
        <v>2.2414027276049446</v>
      </c>
      <c r="BK188" s="19">
        <f>(Table1347456[[#This Row],[lnrr]]/Table1347456[[#This Row],[z_from_p]])^2</f>
        <v>0.13603351087119339</v>
      </c>
      <c r="BL188" s="16">
        <f>Table1347456[[#This Row],[v_from_sd_and_n]]</f>
        <v>9.6312168470684301E-2</v>
      </c>
      <c r="BM188" s="20">
        <f>SQRT(Table1347456[[#This Row],[v]])</f>
        <v>0.31034201853871529</v>
      </c>
      <c r="BN188" s="20">
        <f>Table1347456[[#This Row],[lnrr]]-(1.96*Table1347456[[#This Row],[se]])</f>
        <v>0.21841995827880956</v>
      </c>
      <c r="BO188" s="20">
        <f>Table1347456[[#This Row],[lnrr]]+(1.96 * Table1347456[[#This Row],[se]])</f>
        <v>1.4349606709505736</v>
      </c>
    </row>
    <row r="189" spans="1:67">
      <c r="A189" s="13" t="s">
        <v>128</v>
      </c>
      <c r="B189" s="13" t="s">
        <v>137</v>
      </c>
      <c r="C189" s="13" t="s">
        <v>130</v>
      </c>
      <c r="D189" s="13" t="s">
        <v>131</v>
      </c>
      <c r="E189" s="13" t="s">
        <v>132</v>
      </c>
      <c r="F189" s="13" t="s">
        <v>589</v>
      </c>
      <c r="G189" s="13" t="s">
        <v>138</v>
      </c>
      <c r="H189" s="13">
        <v>28</v>
      </c>
      <c r="I189" s="13">
        <v>1875</v>
      </c>
      <c r="K189" s="13" t="s">
        <v>831</v>
      </c>
      <c r="L189" s="13" t="s">
        <v>832</v>
      </c>
      <c r="N189" s="13" t="s">
        <v>47</v>
      </c>
      <c r="O189" s="13" t="s">
        <v>645</v>
      </c>
      <c r="P189" s="13" t="s">
        <v>422</v>
      </c>
      <c r="Q189" s="13" t="s">
        <v>48</v>
      </c>
      <c r="R189" s="4">
        <v>4</v>
      </c>
      <c r="S189" s="13" t="s">
        <v>596</v>
      </c>
      <c r="T189" s="13">
        <v>45</v>
      </c>
      <c r="U189" s="4" t="s">
        <v>133</v>
      </c>
      <c r="V189" s="4">
        <v>400</v>
      </c>
      <c r="W189" s="4" t="s">
        <v>42</v>
      </c>
      <c r="X189" s="4" t="s">
        <v>46</v>
      </c>
      <c r="Y189" s="4">
        <v>16</v>
      </c>
      <c r="AA189" s="4" t="s">
        <v>49</v>
      </c>
      <c r="AB189" s="4" t="s">
        <v>677</v>
      </c>
      <c r="AC189" s="4" t="s">
        <v>49</v>
      </c>
      <c r="AD189" s="4">
        <v>0</v>
      </c>
      <c r="AE189" s="4" t="s">
        <v>49</v>
      </c>
      <c r="AF189" s="4">
        <v>0</v>
      </c>
      <c r="AG189" s="4" t="s">
        <v>685</v>
      </c>
      <c r="AH189" s="4" t="s">
        <v>722</v>
      </c>
      <c r="AI189" s="4" t="s">
        <v>78</v>
      </c>
      <c r="AJ189" s="13">
        <v>0</v>
      </c>
      <c r="AK189" s="13">
        <v>20</v>
      </c>
      <c r="AL189" s="13" t="s">
        <v>493</v>
      </c>
      <c r="AM189" s="13">
        <v>1.6</v>
      </c>
      <c r="AN189" s="13" t="s">
        <v>494</v>
      </c>
      <c r="AO189" s="13" t="s">
        <v>495</v>
      </c>
      <c r="AP189" s="13" t="s">
        <v>50</v>
      </c>
      <c r="AQ189" s="13" t="s">
        <v>49</v>
      </c>
      <c r="AR189" s="13" t="s">
        <v>50</v>
      </c>
      <c r="AS189" s="13" t="s">
        <v>49</v>
      </c>
      <c r="AT189" s="13" t="s">
        <v>990</v>
      </c>
      <c r="AU189" s="13" t="s">
        <v>998</v>
      </c>
      <c r="AV189" s="14">
        <f>0.039*10</f>
        <v>0.39</v>
      </c>
      <c r="AW189" s="14">
        <f>0.025*10</f>
        <v>0.25</v>
      </c>
      <c r="AX189" s="14">
        <f>Table1347456[[#This Row],[treatment_mean]]/Table1347456[[#This Row],[control_mean]]</f>
        <v>1.56</v>
      </c>
      <c r="AY189" s="14">
        <f>LN(Table1347456[[#This Row],[rr]])</f>
        <v>0.44468582126144574</v>
      </c>
      <c r="AZ189" s="13">
        <v>4</v>
      </c>
      <c r="BA189" s="13">
        <v>4</v>
      </c>
      <c r="BB189" s="14">
        <f>0.012*10</f>
        <v>0.12</v>
      </c>
      <c r="BC189" s="14">
        <f>0.004*10</f>
        <v>0.04</v>
      </c>
      <c r="BD189" s="15">
        <f>Table1347456[[#This Row],[treatment_se]]*SQRT(Table1347456[[#This Row],[treatment_n]])</f>
        <v>0.24</v>
      </c>
      <c r="BE189" s="14">
        <f>Table1347456[[#This Row],[control_se]]*SQRT(Table1347456[[#This Row],[control_n]])</f>
        <v>0.08</v>
      </c>
      <c r="BF18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0.12027455621301773</v>
      </c>
      <c r="BG189" s="17">
        <f>SQRT(Table1347456[[#This Row],[v_from_sd_and_n]])</f>
        <v>0.34680622285797835</v>
      </c>
      <c r="BH189" s="13" t="s">
        <v>50</v>
      </c>
      <c r="BI189" s="13">
        <v>2.5000000000000001E-2</v>
      </c>
      <c r="BJ189" s="18">
        <f>ABS(_xlfn.NORM.S.INV(Table1347456[[#This Row],[p_value]]/2))</f>
        <v>2.2414027276049446</v>
      </c>
      <c r="BK189" s="19">
        <f>(Table1347456[[#This Row],[lnrr]]/Table1347456[[#This Row],[z_from_p]])^2</f>
        <v>3.9361058801504298E-2</v>
      </c>
      <c r="BL189" s="16">
        <f>Table1347456[[#This Row],[v_from_sd_and_n]]</f>
        <v>0.12027455621301773</v>
      </c>
      <c r="BM189" s="20">
        <f>SQRT(Table1347456[[#This Row],[v]])</f>
        <v>0.34680622285797835</v>
      </c>
      <c r="BN189" s="20">
        <f>Table1347456[[#This Row],[lnrr]]-(1.96*Table1347456[[#This Row],[se]])</f>
        <v>-0.23505437554019182</v>
      </c>
      <c r="BO189" s="20">
        <f>Table1347456[[#This Row],[lnrr]]+(1.96 * Table1347456[[#This Row],[se]])</f>
        <v>1.1244260180630832</v>
      </c>
    </row>
    <row r="190" spans="1:67">
      <c r="A190" s="13" t="s">
        <v>128</v>
      </c>
      <c r="B190" s="13" t="s">
        <v>137</v>
      </c>
      <c r="C190" s="13" t="s">
        <v>130</v>
      </c>
      <c r="D190" s="13" t="s">
        <v>131</v>
      </c>
      <c r="E190" s="13" t="s">
        <v>132</v>
      </c>
      <c r="F190" s="13" t="s">
        <v>589</v>
      </c>
      <c r="G190" s="13" t="s">
        <v>138</v>
      </c>
      <c r="H190" s="13">
        <v>28</v>
      </c>
      <c r="I190" s="13">
        <v>1875</v>
      </c>
      <c r="K190" s="13" t="s">
        <v>831</v>
      </c>
      <c r="L190" s="13" t="s">
        <v>832</v>
      </c>
      <c r="N190" s="13" t="s">
        <v>47</v>
      </c>
      <c r="O190" s="13" t="s">
        <v>645</v>
      </c>
      <c r="P190" s="13" t="s">
        <v>422</v>
      </c>
      <c r="Q190" s="13" t="s">
        <v>48</v>
      </c>
      <c r="R190" s="4">
        <v>4</v>
      </c>
      <c r="S190" s="13" t="s">
        <v>596</v>
      </c>
      <c r="T190" s="13">
        <v>45</v>
      </c>
      <c r="U190" s="4" t="s">
        <v>133</v>
      </c>
      <c r="V190" s="4">
        <v>400</v>
      </c>
      <c r="W190" s="4" t="s">
        <v>42</v>
      </c>
      <c r="X190" s="4" t="s">
        <v>46</v>
      </c>
      <c r="Y190" s="4">
        <v>32</v>
      </c>
      <c r="AA190" s="4" t="s">
        <v>49</v>
      </c>
      <c r="AB190" s="4">
        <v>0</v>
      </c>
      <c r="AC190" s="4" t="s">
        <v>49</v>
      </c>
      <c r="AD190" s="4">
        <v>0</v>
      </c>
      <c r="AE190" s="4" t="s">
        <v>49</v>
      </c>
      <c r="AF190" s="4">
        <v>0</v>
      </c>
      <c r="AG190" s="4" t="s">
        <v>685</v>
      </c>
      <c r="AH190" s="4" t="s">
        <v>722</v>
      </c>
      <c r="AI190" s="4" t="s">
        <v>78</v>
      </c>
      <c r="AJ190" s="13">
        <v>0</v>
      </c>
      <c r="AK190" s="13">
        <v>20</v>
      </c>
      <c r="AL190" s="13" t="s">
        <v>493</v>
      </c>
      <c r="AM190" s="13">
        <v>1.6</v>
      </c>
      <c r="AN190" s="13" t="s">
        <v>494</v>
      </c>
      <c r="AO190" s="13" t="s">
        <v>495</v>
      </c>
      <c r="AP190" s="13" t="s">
        <v>50</v>
      </c>
      <c r="AQ190" s="13" t="s">
        <v>49</v>
      </c>
      <c r="AR190" s="13" t="s">
        <v>50</v>
      </c>
      <c r="AS190" s="13" t="s">
        <v>49</v>
      </c>
      <c r="AT190" s="13" t="s">
        <v>990</v>
      </c>
      <c r="AU190" s="13" t="s">
        <v>998</v>
      </c>
      <c r="AV190" s="14">
        <f>0.055*10</f>
        <v>0.55000000000000004</v>
      </c>
      <c r="AW190" s="14">
        <f t="shared" ref="AW190:AW204" si="7">0.025*10</f>
        <v>0.25</v>
      </c>
      <c r="AX190" s="14">
        <f>Table1347456[[#This Row],[treatment_mean]]/Table1347456[[#This Row],[control_mean]]</f>
        <v>2.2000000000000002</v>
      </c>
      <c r="AY190" s="14">
        <f>LN(Table1347456[[#This Row],[rr]])</f>
        <v>0.78845736036427028</v>
      </c>
      <c r="AZ190" s="13">
        <v>4</v>
      </c>
      <c r="BA190" s="13">
        <v>4</v>
      </c>
      <c r="BB190" s="14">
        <f>0.03*10</f>
        <v>0.3</v>
      </c>
      <c r="BC190" s="14">
        <f t="shared" ref="BC190:BC204" si="8">0.004*10</f>
        <v>0.04</v>
      </c>
      <c r="BD190" s="15">
        <f>Table1347456[[#This Row],[treatment_se]]*SQRT(Table1347456[[#This Row],[treatment_n]])</f>
        <v>0.6</v>
      </c>
      <c r="BE190" s="14">
        <f>Table1347456[[#This Row],[control_se]]*SQRT(Table1347456[[#This Row],[control_n]])</f>
        <v>0.08</v>
      </c>
      <c r="BF19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0.32312066115702476</v>
      </c>
      <c r="BG190" s="17">
        <f>SQRT(Table1347456[[#This Row],[v_from_sd_and_n]])</f>
        <v>0.56843703359037467</v>
      </c>
      <c r="BH190" s="13" t="s">
        <v>50</v>
      </c>
      <c r="BI190" s="13">
        <v>2.5000000000000001E-2</v>
      </c>
      <c r="BJ190" s="18">
        <f>ABS(_xlfn.NORM.S.INV(Table1347456[[#This Row],[p_value]]/2))</f>
        <v>2.2414027276049446</v>
      </c>
      <c r="BK190" s="19">
        <f>(Table1347456[[#This Row],[lnrr]]/Table1347456[[#This Row],[z_from_p]])^2</f>
        <v>0.1237418575847264</v>
      </c>
      <c r="BL190" s="16">
        <f>Table1347456[[#This Row],[v_from_sd_and_n]]</f>
        <v>0.32312066115702476</v>
      </c>
      <c r="BM190" s="20">
        <f>SQRT(Table1347456[[#This Row],[v]])</f>
        <v>0.56843703359037467</v>
      </c>
      <c r="BN190" s="20">
        <f>Table1347456[[#This Row],[lnrr]]-(1.96*Table1347456[[#This Row],[se]])</f>
        <v>-0.3256792254728641</v>
      </c>
      <c r="BO190" s="20">
        <f>Table1347456[[#This Row],[lnrr]]+(1.96 * Table1347456[[#This Row],[se]])</f>
        <v>1.9025939462014048</v>
      </c>
    </row>
    <row r="191" spans="1:67">
      <c r="A191" s="13" t="s">
        <v>128</v>
      </c>
      <c r="B191" s="13" t="s">
        <v>137</v>
      </c>
      <c r="C191" s="13" t="s">
        <v>130</v>
      </c>
      <c r="D191" s="13" t="s">
        <v>131</v>
      </c>
      <c r="E191" s="13" t="s">
        <v>132</v>
      </c>
      <c r="F191" s="13" t="s">
        <v>589</v>
      </c>
      <c r="G191" s="13" t="s">
        <v>138</v>
      </c>
      <c r="H191" s="13">
        <v>28</v>
      </c>
      <c r="I191" s="13">
        <v>1875</v>
      </c>
      <c r="K191" s="13" t="s">
        <v>831</v>
      </c>
      <c r="L191" s="13" t="s">
        <v>832</v>
      </c>
      <c r="N191" s="13" t="s">
        <v>47</v>
      </c>
      <c r="O191" s="13" t="s">
        <v>645</v>
      </c>
      <c r="P191" s="13" t="s">
        <v>422</v>
      </c>
      <c r="Q191" s="13" t="s">
        <v>48</v>
      </c>
      <c r="R191" s="4">
        <v>4</v>
      </c>
      <c r="S191" s="13" t="s">
        <v>596</v>
      </c>
      <c r="T191" s="13">
        <v>45</v>
      </c>
      <c r="U191" s="4" t="s">
        <v>133</v>
      </c>
      <c r="V191" s="4">
        <v>400</v>
      </c>
      <c r="W191" s="4" t="s">
        <v>42</v>
      </c>
      <c r="X191" s="4" t="s">
        <v>46</v>
      </c>
      <c r="Y191" s="4">
        <v>48</v>
      </c>
      <c r="AA191" s="4" t="s">
        <v>49</v>
      </c>
      <c r="AB191" s="4">
        <v>0</v>
      </c>
      <c r="AC191" s="4" t="s">
        <v>49</v>
      </c>
      <c r="AD191" s="4">
        <v>0</v>
      </c>
      <c r="AE191" s="4" t="s">
        <v>49</v>
      </c>
      <c r="AF191" s="4">
        <v>0</v>
      </c>
      <c r="AG191" s="4" t="s">
        <v>685</v>
      </c>
      <c r="AH191" s="4" t="s">
        <v>722</v>
      </c>
      <c r="AI191" s="4" t="s">
        <v>78</v>
      </c>
      <c r="AJ191" s="13">
        <v>0</v>
      </c>
      <c r="AK191" s="13">
        <v>20</v>
      </c>
      <c r="AL191" s="13" t="s">
        <v>493</v>
      </c>
      <c r="AM191" s="13">
        <v>1.6</v>
      </c>
      <c r="AN191" s="13" t="s">
        <v>494</v>
      </c>
      <c r="AO191" s="13" t="s">
        <v>495</v>
      </c>
      <c r="AP191" s="13" t="s">
        <v>50</v>
      </c>
      <c r="AQ191" s="13" t="s">
        <v>49</v>
      </c>
      <c r="AR191" s="13" t="s">
        <v>50</v>
      </c>
      <c r="AS191" s="13" t="s">
        <v>49</v>
      </c>
      <c r="AT191" s="13" t="s">
        <v>990</v>
      </c>
      <c r="AU191" s="13" t="s">
        <v>998</v>
      </c>
      <c r="AV191" s="14">
        <f>0.042*10</f>
        <v>0.42000000000000004</v>
      </c>
      <c r="AW191" s="14">
        <f t="shared" si="7"/>
        <v>0.25</v>
      </c>
      <c r="AX191" s="14">
        <f>Table1347456[[#This Row],[treatment_mean]]/Table1347456[[#This Row],[control_mean]]</f>
        <v>1.6800000000000002</v>
      </c>
      <c r="AY191" s="14">
        <f>LN(Table1347456[[#This Row],[rr]])</f>
        <v>0.51879379341516763</v>
      </c>
      <c r="AZ191" s="13">
        <v>4</v>
      </c>
      <c r="BA191" s="13">
        <v>4</v>
      </c>
      <c r="BB191" s="14">
        <f>0.011*10</f>
        <v>0.10999999999999999</v>
      </c>
      <c r="BC191" s="14">
        <f t="shared" si="8"/>
        <v>0.04</v>
      </c>
      <c r="BD191" s="15">
        <f>Table1347456[[#This Row],[treatment_se]]*SQRT(Table1347456[[#This Row],[treatment_n]])</f>
        <v>0.21999999999999997</v>
      </c>
      <c r="BE191" s="14">
        <f>Table1347456[[#This Row],[control_se]]*SQRT(Table1347456[[#This Row],[control_n]])</f>
        <v>0.08</v>
      </c>
      <c r="BF19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9.4194104308389995E-2</v>
      </c>
      <c r="BG191" s="17">
        <f>SQRT(Table1347456[[#This Row],[v_from_sd_and_n]])</f>
        <v>0.30691058031353369</v>
      </c>
      <c r="BH191" s="13" t="s">
        <v>50</v>
      </c>
      <c r="BI191" s="13">
        <v>2.5000000000000001E-2</v>
      </c>
      <c r="BJ191" s="18">
        <f>ABS(_xlfn.NORM.S.INV(Table1347456[[#This Row],[p_value]]/2))</f>
        <v>2.2414027276049446</v>
      </c>
      <c r="BK191" s="19">
        <f>(Table1347456[[#This Row],[lnrr]]/Table1347456[[#This Row],[z_from_p]])^2</f>
        <v>5.3573466844389343E-2</v>
      </c>
      <c r="BL191" s="16">
        <f>Table1347456[[#This Row],[v_from_sd_and_n]]</f>
        <v>9.4194104308389995E-2</v>
      </c>
      <c r="BM191" s="20">
        <f>SQRT(Table1347456[[#This Row],[v]])</f>
        <v>0.30691058031353369</v>
      </c>
      <c r="BN191" s="20">
        <f>Table1347456[[#This Row],[lnrr]]-(1.96*Table1347456[[#This Row],[se]])</f>
        <v>-8.275094399935834E-2</v>
      </c>
      <c r="BO191" s="20">
        <f>Table1347456[[#This Row],[lnrr]]+(1.96 * Table1347456[[#This Row],[se]])</f>
        <v>1.1203385308296936</v>
      </c>
    </row>
    <row r="192" spans="1:67">
      <c r="A192" s="13" t="s">
        <v>128</v>
      </c>
      <c r="B192" s="13" t="s">
        <v>137</v>
      </c>
      <c r="C192" s="13" t="s">
        <v>130</v>
      </c>
      <c r="D192" s="13" t="s">
        <v>131</v>
      </c>
      <c r="E192" s="13" t="s">
        <v>132</v>
      </c>
      <c r="F192" s="13" t="s">
        <v>589</v>
      </c>
      <c r="G192" s="13" t="s">
        <v>138</v>
      </c>
      <c r="H192" s="13">
        <v>28</v>
      </c>
      <c r="I192" s="13">
        <v>1875</v>
      </c>
      <c r="K192" s="13" t="s">
        <v>831</v>
      </c>
      <c r="L192" s="13" t="s">
        <v>832</v>
      </c>
      <c r="N192" s="13" t="s">
        <v>47</v>
      </c>
      <c r="O192" s="13" t="s">
        <v>645</v>
      </c>
      <c r="P192" s="13" t="s">
        <v>422</v>
      </c>
      <c r="Q192" s="13" t="s">
        <v>48</v>
      </c>
      <c r="R192" s="4">
        <v>4</v>
      </c>
      <c r="S192" s="13" t="s">
        <v>596</v>
      </c>
      <c r="T192" s="13">
        <v>45</v>
      </c>
      <c r="U192" s="4" t="s">
        <v>133</v>
      </c>
      <c r="V192" s="4">
        <v>400</v>
      </c>
      <c r="W192" s="4" t="s">
        <v>42</v>
      </c>
      <c r="X192" s="4" t="s">
        <v>46</v>
      </c>
      <c r="Y192" s="4">
        <v>64</v>
      </c>
      <c r="AA192" s="4" t="s">
        <v>49</v>
      </c>
      <c r="AB192" s="4">
        <v>0</v>
      </c>
      <c r="AC192" s="4" t="s">
        <v>49</v>
      </c>
      <c r="AD192" s="4">
        <v>0</v>
      </c>
      <c r="AE192" s="4" t="s">
        <v>49</v>
      </c>
      <c r="AF192" s="4">
        <v>0</v>
      </c>
      <c r="AG192" s="4" t="s">
        <v>685</v>
      </c>
      <c r="AH192" s="4" t="s">
        <v>722</v>
      </c>
      <c r="AI192" s="4" t="s">
        <v>78</v>
      </c>
      <c r="AJ192" s="13">
        <v>0</v>
      </c>
      <c r="AK192" s="13">
        <v>20</v>
      </c>
      <c r="AL192" s="13" t="s">
        <v>493</v>
      </c>
      <c r="AM192" s="13">
        <v>1.6</v>
      </c>
      <c r="AN192" s="13" t="s">
        <v>494</v>
      </c>
      <c r="AO192" s="13" t="s">
        <v>495</v>
      </c>
      <c r="AP192" s="13" t="s">
        <v>50</v>
      </c>
      <c r="AQ192" s="13" t="s">
        <v>49</v>
      </c>
      <c r="AR192" s="13" t="s">
        <v>50</v>
      </c>
      <c r="AS192" s="13" t="s">
        <v>49</v>
      </c>
      <c r="AT192" s="13" t="s">
        <v>990</v>
      </c>
      <c r="AU192" s="13" t="s">
        <v>998</v>
      </c>
      <c r="AV192" s="14">
        <f>0.041*10</f>
        <v>0.41000000000000003</v>
      </c>
      <c r="AW192" s="14">
        <f t="shared" si="7"/>
        <v>0.25</v>
      </c>
      <c r="AX192" s="14">
        <f>Table1347456[[#This Row],[treatment_mean]]/Table1347456[[#This Row],[control_mean]]</f>
        <v>1.6400000000000001</v>
      </c>
      <c r="AY192" s="14">
        <f>LN(Table1347456[[#This Row],[rr]])</f>
        <v>0.49469624183610711</v>
      </c>
      <c r="AZ192" s="13">
        <v>4</v>
      </c>
      <c r="BA192" s="13">
        <v>4</v>
      </c>
      <c r="BB192" s="14">
        <f>0.001*10</f>
        <v>0.01</v>
      </c>
      <c r="BC192" s="14">
        <f t="shared" si="8"/>
        <v>0.04</v>
      </c>
      <c r="BD192" s="15">
        <f>Table1347456[[#This Row],[treatment_se]]*SQRT(Table1347456[[#This Row],[treatment_n]])</f>
        <v>0.02</v>
      </c>
      <c r="BE192" s="14">
        <f>Table1347456[[#This Row],[control_se]]*SQRT(Table1347456[[#This Row],[control_n]])</f>
        <v>0.08</v>
      </c>
      <c r="BF19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2.6194883997620464E-2</v>
      </c>
      <c r="BG192" s="17">
        <f>SQRT(Table1347456[[#This Row],[v_from_sd_and_n]])</f>
        <v>0.16184833640671276</v>
      </c>
      <c r="BH192" s="13" t="s">
        <v>50</v>
      </c>
      <c r="BI192" s="13">
        <v>2.5000000000000001E-2</v>
      </c>
      <c r="BJ192" s="18">
        <f>ABS(_xlfn.NORM.S.INV(Table1347456[[#This Row],[p_value]]/2))</f>
        <v>2.2414027276049446</v>
      </c>
      <c r="BK192" s="19">
        <f>(Table1347456[[#This Row],[lnrr]]/Table1347456[[#This Row],[z_from_p]])^2</f>
        <v>4.8712164758964387E-2</v>
      </c>
      <c r="BL192" s="16">
        <f>Table1347456[[#This Row],[v_from_sd_and_n]]</f>
        <v>2.6194883997620464E-2</v>
      </c>
      <c r="BM192" s="20">
        <f>SQRT(Table1347456[[#This Row],[v]])</f>
        <v>0.16184833640671276</v>
      </c>
      <c r="BN192" s="20">
        <f>Table1347456[[#This Row],[lnrr]]-(1.96*Table1347456[[#This Row],[se]])</f>
        <v>0.17747350247895011</v>
      </c>
      <c r="BO192" s="20">
        <f>Table1347456[[#This Row],[lnrr]]+(1.96 * Table1347456[[#This Row],[se]])</f>
        <v>0.81191898119326411</v>
      </c>
    </row>
    <row r="193" spans="1:67">
      <c r="A193" s="13" t="s">
        <v>128</v>
      </c>
      <c r="B193" s="13" t="s">
        <v>137</v>
      </c>
      <c r="C193" s="13" t="s">
        <v>130</v>
      </c>
      <c r="D193" s="13" t="s">
        <v>131</v>
      </c>
      <c r="E193" s="13" t="s">
        <v>132</v>
      </c>
      <c r="F193" s="13" t="s">
        <v>589</v>
      </c>
      <c r="G193" s="13" t="s">
        <v>138</v>
      </c>
      <c r="H193" s="13">
        <v>28</v>
      </c>
      <c r="I193" s="13">
        <v>1875</v>
      </c>
      <c r="K193" s="13" t="s">
        <v>831</v>
      </c>
      <c r="L193" s="13" t="s">
        <v>832</v>
      </c>
      <c r="N193" s="13" t="s">
        <v>47</v>
      </c>
      <c r="O193" s="13" t="s">
        <v>645</v>
      </c>
      <c r="P193" s="13" t="s">
        <v>422</v>
      </c>
      <c r="Q193" s="13" t="s">
        <v>48</v>
      </c>
      <c r="R193" s="4">
        <v>4</v>
      </c>
      <c r="S193" s="13" t="s">
        <v>596</v>
      </c>
      <c r="T193" s="13">
        <v>45</v>
      </c>
      <c r="U193" s="4" t="s">
        <v>134</v>
      </c>
      <c r="V193" s="4">
        <v>400</v>
      </c>
      <c r="W193" s="4" t="s">
        <v>42</v>
      </c>
      <c r="X193" s="4" t="s">
        <v>46</v>
      </c>
      <c r="Y193" s="4">
        <v>16</v>
      </c>
      <c r="AA193" s="4" t="s">
        <v>49</v>
      </c>
      <c r="AB193" s="4">
        <v>0</v>
      </c>
      <c r="AC193" s="4" t="s">
        <v>49</v>
      </c>
      <c r="AD193" s="4">
        <v>0</v>
      </c>
      <c r="AE193" s="4" t="s">
        <v>49</v>
      </c>
      <c r="AF193" s="4">
        <v>0</v>
      </c>
      <c r="AG193" s="4" t="s">
        <v>708</v>
      </c>
      <c r="AH193" s="4" t="s">
        <v>722</v>
      </c>
      <c r="AI193" s="4" t="s">
        <v>78</v>
      </c>
      <c r="AJ193" s="13">
        <v>0</v>
      </c>
      <c r="AK193" s="13">
        <v>20</v>
      </c>
      <c r="AL193" s="13" t="s">
        <v>493</v>
      </c>
      <c r="AM193" s="13">
        <v>1.6</v>
      </c>
      <c r="AN193" s="13" t="s">
        <v>494</v>
      </c>
      <c r="AO193" s="13" t="s">
        <v>495</v>
      </c>
      <c r="AP193" s="13" t="s">
        <v>50</v>
      </c>
      <c r="AQ193" s="13" t="s">
        <v>49</v>
      </c>
      <c r="AR193" s="13" t="s">
        <v>50</v>
      </c>
      <c r="AS193" s="13" t="s">
        <v>49</v>
      </c>
      <c r="AT193" s="13" t="s">
        <v>990</v>
      </c>
      <c r="AU193" s="13" t="s">
        <v>998</v>
      </c>
      <c r="AV193" s="14">
        <f>0.039*10</f>
        <v>0.39</v>
      </c>
      <c r="AW193" s="14">
        <f t="shared" si="7"/>
        <v>0.25</v>
      </c>
      <c r="AX193" s="14">
        <f>Table1347456[[#This Row],[treatment_mean]]/Table1347456[[#This Row],[control_mean]]</f>
        <v>1.56</v>
      </c>
      <c r="AY193" s="14">
        <f>LN(Table1347456[[#This Row],[rr]])</f>
        <v>0.44468582126144574</v>
      </c>
      <c r="AZ193" s="13">
        <v>4</v>
      </c>
      <c r="BA193" s="13">
        <v>4</v>
      </c>
      <c r="BB193" s="14">
        <f>0.02*10</f>
        <v>0.2</v>
      </c>
      <c r="BC193" s="14">
        <f t="shared" si="8"/>
        <v>0.04</v>
      </c>
      <c r="BD193" s="15">
        <f>Table1347456[[#This Row],[treatment_se]]*SQRT(Table1347456[[#This Row],[treatment_n]])</f>
        <v>0.4</v>
      </c>
      <c r="BE193" s="14">
        <f>Table1347456[[#This Row],[control_se]]*SQRT(Table1347456[[#This Row],[control_n]])</f>
        <v>0.08</v>
      </c>
      <c r="BF19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0.28858487836949381</v>
      </c>
      <c r="BG193" s="17">
        <f>SQRT(Table1347456[[#This Row],[v_from_sd_and_n]])</f>
        <v>0.53720096646366322</v>
      </c>
      <c r="BH193" s="13" t="s">
        <v>50</v>
      </c>
      <c r="BI193" s="13">
        <v>2.5000000000000001E-2</v>
      </c>
      <c r="BJ193" s="18">
        <f>ABS(_xlfn.NORM.S.INV(Table1347456[[#This Row],[p_value]]/2))</f>
        <v>2.2414027276049446</v>
      </c>
      <c r="BK193" s="19">
        <f>(Table1347456[[#This Row],[lnrr]]/Table1347456[[#This Row],[z_from_p]])^2</f>
        <v>3.9361058801504298E-2</v>
      </c>
      <c r="BL193" s="16">
        <f>Table1347456[[#This Row],[v_from_sd_and_n]]</f>
        <v>0.28858487836949381</v>
      </c>
      <c r="BM193" s="20">
        <f>SQRT(Table1347456[[#This Row],[v]])</f>
        <v>0.53720096646366322</v>
      </c>
      <c r="BN193" s="20">
        <f>Table1347456[[#This Row],[lnrr]]-(1.96*Table1347456[[#This Row],[se]])</f>
        <v>-0.60822807300733417</v>
      </c>
      <c r="BO193" s="20">
        <f>Table1347456[[#This Row],[lnrr]]+(1.96 * Table1347456[[#This Row],[se]])</f>
        <v>1.4975997155302256</v>
      </c>
    </row>
    <row r="194" spans="1:67">
      <c r="A194" s="13" t="s">
        <v>128</v>
      </c>
      <c r="B194" s="13" t="s">
        <v>137</v>
      </c>
      <c r="C194" s="13" t="s">
        <v>130</v>
      </c>
      <c r="D194" s="13" t="s">
        <v>131</v>
      </c>
      <c r="E194" s="13" t="s">
        <v>132</v>
      </c>
      <c r="F194" s="13" t="s">
        <v>589</v>
      </c>
      <c r="G194" s="13" t="s">
        <v>138</v>
      </c>
      <c r="H194" s="13">
        <v>28</v>
      </c>
      <c r="I194" s="13">
        <v>1875</v>
      </c>
      <c r="K194" s="13" t="s">
        <v>831</v>
      </c>
      <c r="L194" s="13" t="s">
        <v>832</v>
      </c>
      <c r="N194" s="13" t="s">
        <v>47</v>
      </c>
      <c r="O194" s="13" t="s">
        <v>645</v>
      </c>
      <c r="P194" s="13" t="s">
        <v>422</v>
      </c>
      <c r="Q194" s="13" t="s">
        <v>48</v>
      </c>
      <c r="R194" s="4">
        <v>4</v>
      </c>
      <c r="S194" s="13" t="s">
        <v>596</v>
      </c>
      <c r="T194" s="13">
        <v>45</v>
      </c>
      <c r="U194" s="4" t="s">
        <v>134</v>
      </c>
      <c r="V194" s="4">
        <v>400</v>
      </c>
      <c r="W194" s="4" t="s">
        <v>42</v>
      </c>
      <c r="X194" s="4" t="s">
        <v>46</v>
      </c>
      <c r="Y194" s="4">
        <v>32</v>
      </c>
      <c r="AA194" s="4" t="s">
        <v>49</v>
      </c>
      <c r="AB194" s="4">
        <v>0</v>
      </c>
      <c r="AC194" s="4" t="s">
        <v>49</v>
      </c>
      <c r="AD194" s="4">
        <v>0</v>
      </c>
      <c r="AE194" s="4" t="s">
        <v>49</v>
      </c>
      <c r="AF194" s="4">
        <v>0</v>
      </c>
      <c r="AG194" s="4" t="s">
        <v>708</v>
      </c>
      <c r="AH194" s="4" t="s">
        <v>722</v>
      </c>
      <c r="AI194" s="4" t="s">
        <v>78</v>
      </c>
      <c r="AJ194" s="13">
        <v>0</v>
      </c>
      <c r="AK194" s="13">
        <v>20</v>
      </c>
      <c r="AL194" s="13" t="s">
        <v>493</v>
      </c>
      <c r="AM194" s="13">
        <v>1.6</v>
      </c>
      <c r="AN194" s="13" t="s">
        <v>494</v>
      </c>
      <c r="AO194" s="13" t="s">
        <v>495</v>
      </c>
      <c r="AP194" s="13" t="s">
        <v>50</v>
      </c>
      <c r="AQ194" s="13" t="s">
        <v>49</v>
      </c>
      <c r="AR194" s="13" t="s">
        <v>50</v>
      </c>
      <c r="AS194" s="13" t="s">
        <v>49</v>
      </c>
      <c r="AT194" s="13" t="s">
        <v>990</v>
      </c>
      <c r="AU194" s="13" t="s">
        <v>998</v>
      </c>
      <c r="AV194" s="14">
        <f>0.061*10</f>
        <v>0.61</v>
      </c>
      <c r="AW194" s="14">
        <f t="shared" si="7"/>
        <v>0.25</v>
      </c>
      <c r="AX194" s="14">
        <f>Table1347456[[#This Row],[treatment_mean]]/Table1347456[[#This Row],[control_mean]]</f>
        <v>2.44</v>
      </c>
      <c r="AY194" s="14">
        <f>LN(Table1347456[[#This Row],[rr]])</f>
        <v>0.89199803930511046</v>
      </c>
      <c r="AZ194" s="13">
        <v>4</v>
      </c>
      <c r="BA194" s="13">
        <v>4</v>
      </c>
      <c r="BB194" s="14">
        <f>0.01*10</f>
        <v>0.1</v>
      </c>
      <c r="BC194" s="14">
        <f t="shared" si="8"/>
        <v>0.04</v>
      </c>
      <c r="BD194" s="15">
        <f>Table1347456[[#This Row],[treatment_se]]*SQRT(Table1347456[[#This Row],[treatment_n]])</f>
        <v>0.2</v>
      </c>
      <c r="BE194" s="14">
        <f>Table1347456[[#This Row],[control_se]]*SQRT(Table1347456[[#This Row],[control_n]])</f>
        <v>0.08</v>
      </c>
      <c r="BF19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5.2474496103198071E-2</v>
      </c>
      <c r="BG194" s="17">
        <f>SQRT(Table1347456[[#This Row],[v_from_sd_and_n]])</f>
        <v>0.22907312392159423</v>
      </c>
      <c r="BH194" s="13" t="s">
        <v>50</v>
      </c>
      <c r="BI194" s="13">
        <v>2.5000000000000001E-2</v>
      </c>
      <c r="BJ194" s="18">
        <f>ABS(_xlfn.NORM.S.INV(Table1347456[[#This Row],[p_value]]/2))</f>
        <v>2.2414027276049446</v>
      </c>
      <c r="BK194" s="19">
        <f>(Table1347456[[#This Row],[lnrr]]/Table1347456[[#This Row],[z_from_p]])^2</f>
        <v>0.1583755030384989</v>
      </c>
      <c r="BL194" s="16">
        <f>Table1347456[[#This Row],[v_from_sd_and_n]]</f>
        <v>5.2474496103198071E-2</v>
      </c>
      <c r="BM194" s="20">
        <f>SQRT(Table1347456[[#This Row],[v]])</f>
        <v>0.22907312392159423</v>
      </c>
      <c r="BN194" s="20">
        <f>Table1347456[[#This Row],[lnrr]]-(1.96*Table1347456[[#This Row],[se]])</f>
        <v>0.44301471641878576</v>
      </c>
      <c r="BO194" s="20">
        <f>Table1347456[[#This Row],[lnrr]]+(1.96 * Table1347456[[#This Row],[se]])</f>
        <v>1.3409813621914353</v>
      </c>
    </row>
    <row r="195" spans="1:67">
      <c r="A195" s="13" t="s">
        <v>128</v>
      </c>
      <c r="B195" s="13" t="s">
        <v>137</v>
      </c>
      <c r="C195" s="13" t="s">
        <v>130</v>
      </c>
      <c r="D195" s="13" t="s">
        <v>131</v>
      </c>
      <c r="E195" s="13" t="s">
        <v>132</v>
      </c>
      <c r="F195" s="13" t="s">
        <v>589</v>
      </c>
      <c r="G195" s="13" t="s">
        <v>138</v>
      </c>
      <c r="H195" s="13">
        <v>28</v>
      </c>
      <c r="I195" s="13">
        <v>1875</v>
      </c>
      <c r="K195" s="13" t="s">
        <v>831</v>
      </c>
      <c r="L195" s="13" t="s">
        <v>832</v>
      </c>
      <c r="N195" s="13" t="s">
        <v>47</v>
      </c>
      <c r="O195" s="13" t="s">
        <v>645</v>
      </c>
      <c r="P195" s="13" t="s">
        <v>422</v>
      </c>
      <c r="Q195" s="13" t="s">
        <v>48</v>
      </c>
      <c r="R195" s="4">
        <v>4</v>
      </c>
      <c r="S195" s="13" t="s">
        <v>596</v>
      </c>
      <c r="T195" s="13">
        <v>45</v>
      </c>
      <c r="U195" s="4" t="s">
        <v>134</v>
      </c>
      <c r="V195" s="4">
        <v>400</v>
      </c>
      <c r="W195" s="4" t="s">
        <v>42</v>
      </c>
      <c r="X195" s="4" t="s">
        <v>46</v>
      </c>
      <c r="Y195" s="4">
        <v>48</v>
      </c>
      <c r="AA195" s="4" t="s">
        <v>49</v>
      </c>
      <c r="AB195" s="4">
        <v>0</v>
      </c>
      <c r="AC195" s="4" t="s">
        <v>49</v>
      </c>
      <c r="AD195" s="4">
        <v>0</v>
      </c>
      <c r="AE195" s="4" t="s">
        <v>49</v>
      </c>
      <c r="AF195" s="4">
        <v>0</v>
      </c>
      <c r="AG195" s="4" t="s">
        <v>708</v>
      </c>
      <c r="AH195" s="4" t="s">
        <v>722</v>
      </c>
      <c r="AI195" s="4" t="s">
        <v>78</v>
      </c>
      <c r="AJ195" s="13">
        <v>0</v>
      </c>
      <c r="AK195" s="13">
        <v>20</v>
      </c>
      <c r="AL195" s="13" t="s">
        <v>493</v>
      </c>
      <c r="AM195" s="13">
        <v>1.6</v>
      </c>
      <c r="AN195" s="13" t="s">
        <v>494</v>
      </c>
      <c r="AO195" s="13" t="s">
        <v>495</v>
      </c>
      <c r="AP195" s="13" t="s">
        <v>50</v>
      </c>
      <c r="AQ195" s="13" t="s">
        <v>49</v>
      </c>
      <c r="AR195" s="13" t="s">
        <v>50</v>
      </c>
      <c r="AS195" s="13" t="s">
        <v>49</v>
      </c>
      <c r="AT195" s="13" t="s">
        <v>990</v>
      </c>
      <c r="AU195" s="13" t="s">
        <v>998</v>
      </c>
      <c r="AV195" s="14">
        <f>0.058*10</f>
        <v>0.58000000000000007</v>
      </c>
      <c r="AW195" s="14">
        <f t="shared" si="7"/>
        <v>0.25</v>
      </c>
      <c r="AX195" s="14">
        <f>Table1347456[[#This Row],[treatment_mean]]/Table1347456[[#This Row],[control_mean]]</f>
        <v>2.3200000000000003</v>
      </c>
      <c r="AY195" s="14">
        <f>LN(Table1347456[[#This Row],[rr]])</f>
        <v>0.84156718567821875</v>
      </c>
      <c r="AZ195" s="13">
        <v>4</v>
      </c>
      <c r="BA195" s="13">
        <v>4</v>
      </c>
      <c r="BB195" s="14">
        <f>0.004*10</f>
        <v>0.04</v>
      </c>
      <c r="BC195" s="14">
        <f t="shared" si="8"/>
        <v>0.04</v>
      </c>
      <c r="BD195" s="15">
        <f>Table1347456[[#This Row],[treatment_se]]*SQRT(Table1347456[[#This Row],[treatment_n]])</f>
        <v>0.08</v>
      </c>
      <c r="BE195" s="14">
        <f>Table1347456[[#This Row],[control_se]]*SQRT(Table1347456[[#This Row],[control_n]])</f>
        <v>0.08</v>
      </c>
      <c r="BF19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3.0356242568370988E-2</v>
      </c>
      <c r="BG195" s="17">
        <f>SQRT(Table1347456[[#This Row],[v_from_sd_and_n]])</f>
        <v>0.1742304295132483</v>
      </c>
      <c r="BH195" s="13" t="s">
        <v>50</v>
      </c>
      <c r="BI195" s="13">
        <v>2.5000000000000001E-2</v>
      </c>
      <c r="BJ195" s="18">
        <f>ABS(_xlfn.NORM.S.INV(Table1347456[[#This Row],[p_value]]/2))</f>
        <v>2.2414027276049446</v>
      </c>
      <c r="BK195" s="19">
        <f>(Table1347456[[#This Row],[lnrr]]/Table1347456[[#This Row],[z_from_p]])^2</f>
        <v>0.14097360123297056</v>
      </c>
      <c r="BL195" s="16">
        <f>Table1347456[[#This Row],[v_from_sd_and_n]]</f>
        <v>3.0356242568370988E-2</v>
      </c>
      <c r="BM195" s="20">
        <f>SQRT(Table1347456[[#This Row],[v]])</f>
        <v>0.1742304295132483</v>
      </c>
      <c r="BN195" s="20">
        <f>Table1347456[[#This Row],[lnrr]]-(1.96*Table1347456[[#This Row],[se]])</f>
        <v>0.50007554383225217</v>
      </c>
      <c r="BO195" s="20">
        <f>Table1347456[[#This Row],[lnrr]]+(1.96 * Table1347456[[#This Row],[se]])</f>
        <v>1.1830588275241853</v>
      </c>
    </row>
    <row r="196" spans="1:67">
      <c r="A196" s="13" t="s">
        <v>128</v>
      </c>
      <c r="B196" s="13" t="s">
        <v>137</v>
      </c>
      <c r="C196" s="13" t="s">
        <v>130</v>
      </c>
      <c r="D196" s="13" t="s">
        <v>131</v>
      </c>
      <c r="E196" s="13" t="s">
        <v>132</v>
      </c>
      <c r="F196" s="13" t="s">
        <v>589</v>
      </c>
      <c r="G196" s="13" t="s">
        <v>138</v>
      </c>
      <c r="H196" s="13">
        <v>28</v>
      </c>
      <c r="I196" s="13">
        <v>1875</v>
      </c>
      <c r="K196" s="13" t="s">
        <v>831</v>
      </c>
      <c r="L196" s="13" t="s">
        <v>832</v>
      </c>
      <c r="N196" s="13" t="s">
        <v>47</v>
      </c>
      <c r="O196" s="13" t="s">
        <v>645</v>
      </c>
      <c r="P196" s="13" t="s">
        <v>422</v>
      </c>
      <c r="Q196" s="13" t="s">
        <v>48</v>
      </c>
      <c r="R196" s="4">
        <v>4</v>
      </c>
      <c r="S196" s="13" t="s">
        <v>596</v>
      </c>
      <c r="T196" s="13">
        <v>45</v>
      </c>
      <c r="U196" s="4" t="s">
        <v>134</v>
      </c>
      <c r="V196" s="4">
        <v>400</v>
      </c>
      <c r="W196" s="4" t="s">
        <v>42</v>
      </c>
      <c r="X196" s="4" t="s">
        <v>46</v>
      </c>
      <c r="Y196" s="4">
        <v>64</v>
      </c>
      <c r="AA196" s="4" t="s">
        <v>49</v>
      </c>
      <c r="AB196" s="4">
        <v>0</v>
      </c>
      <c r="AC196" s="4" t="s">
        <v>49</v>
      </c>
      <c r="AD196" s="4">
        <v>0</v>
      </c>
      <c r="AE196" s="4" t="s">
        <v>49</v>
      </c>
      <c r="AF196" s="4">
        <v>0</v>
      </c>
      <c r="AG196" s="4" t="s">
        <v>708</v>
      </c>
      <c r="AH196" s="4" t="s">
        <v>722</v>
      </c>
      <c r="AI196" s="4" t="s">
        <v>78</v>
      </c>
      <c r="AJ196" s="13">
        <v>0</v>
      </c>
      <c r="AK196" s="13">
        <v>20</v>
      </c>
      <c r="AL196" s="13" t="s">
        <v>493</v>
      </c>
      <c r="AM196" s="13">
        <v>1.6</v>
      </c>
      <c r="AN196" s="13" t="s">
        <v>494</v>
      </c>
      <c r="AO196" s="13" t="s">
        <v>495</v>
      </c>
      <c r="AP196" s="13" t="s">
        <v>50</v>
      </c>
      <c r="AQ196" s="13" t="s">
        <v>49</v>
      </c>
      <c r="AR196" s="13" t="s">
        <v>50</v>
      </c>
      <c r="AS196" s="13" t="s">
        <v>49</v>
      </c>
      <c r="AT196" s="13" t="s">
        <v>990</v>
      </c>
      <c r="AU196" s="13" t="s">
        <v>998</v>
      </c>
      <c r="AV196" s="14">
        <f>0.11*10</f>
        <v>1.1000000000000001</v>
      </c>
      <c r="AW196" s="14">
        <f t="shared" si="7"/>
        <v>0.25</v>
      </c>
      <c r="AX196" s="14">
        <f>Table1347456[[#This Row],[treatment_mean]]/Table1347456[[#This Row],[control_mean]]</f>
        <v>4.4000000000000004</v>
      </c>
      <c r="AY196" s="14">
        <f>LN(Table1347456[[#This Row],[rr]])</f>
        <v>1.4816045409242156</v>
      </c>
      <c r="AZ196" s="13">
        <v>4</v>
      </c>
      <c r="BA196" s="13">
        <v>4</v>
      </c>
      <c r="BB196" s="14">
        <f>0.02*10</f>
        <v>0.2</v>
      </c>
      <c r="BC196" s="14">
        <f t="shared" si="8"/>
        <v>0.04</v>
      </c>
      <c r="BD196" s="15">
        <f>Table1347456[[#This Row],[treatment_se]]*SQRT(Table1347456[[#This Row],[treatment_n]])</f>
        <v>0.4</v>
      </c>
      <c r="BE196" s="14">
        <f>Table1347456[[#This Row],[control_se]]*SQRT(Table1347456[[#This Row],[control_n]])</f>
        <v>0.08</v>
      </c>
      <c r="BF19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5.865785123966942E-2</v>
      </c>
      <c r="BG196" s="17">
        <f>SQRT(Table1347456[[#This Row],[v_from_sd_and_n]])</f>
        <v>0.24219382989595217</v>
      </c>
      <c r="BH196" s="13" t="s">
        <v>50</v>
      </c>
      <c r="BI196" s="13">
        <v>2.5000000000000001E-2</v>
      </c>
      <c r="BJ196" s="18">
        <f>ABS(_xlfn.NORM.S.INV(Table1347456[[#This Row],[p_value]]/2))</f>
        <v>2.2414027276049446</v>
      </c>
      <c r="BK196" s="19">
        <f>(Table1347456[[#This Row],[lnrr]]/Table1347456[[#This Row],[z_from_p]])^2</f>
        <v>0.4369430225608868</v>
      </c>
      <c r="BL196" s="16">
        <f>Table1347456[[#This Row],[v_from_sd_and_n]]</f>
        <v>5.865785123966942E-2</v>
      </c>
      <c r="BM196" s="20">
        <f>SQRT(Table1347456[[#This Row],[v]])</f>
        <v>0.24219382989595217</v>
      </c>
      <c r="BN196" s="20">
        <f>Table1347456[[#This Row],[lnrr]]-(1.96*Table1347456[[#This Row],[se]])</f>
        <v>1.0069046343281494</v>
      </c>
      <c r="BO196" s="20">
        <f>Table1347456[[#This Row],[lnrr]]+(1.96 * Table1347456[[#This Row],[se]])</f>
        <v>1.9563044475202818</v>
      </c>
    </row>
    <row r="197" spans="1:67">
      <c r="A197" s="13" t="s">
        <v>128</v>
      </c>
      <c r="B197" s="13" t="s">
        <v>137</v>
      </c>
      <c r="C197" s="13" t="s">
        <v>130</v>
      </c>
      <c r="D197" s="13" t="s">
        <v>131</v>
      </c>
      <c r="E197" s="13" t="s">
        <v>132</v>
      </c>
      <c r="F197" s="13" t="s">
        <v>589</v>
      </c>
      <c r="G197" s="13" t="s">
        <v>138</v>
      </c>
      <c r="H197" s="13">
        <v>28</v>
      </c>
      <c r="I197" s="13">
        <v>1875</v>
      </c>
      <c r="K197" s="13" t="s">
        <v>831</v>
      </c>
      <c r="L197" s="13" t="s">
        <v>832</v>
      </c>
      <c r="N197" s="13" t="s">
        <v>47</v>
      </c>
      <c r="O197" s="13" t="s">
        <v>645</v>
      </c>
      <c r="P197" s="13" t="s">
        <v>422</v>
      </c>
      <c r="Q197" s="13" t="s">
        <v>48</v>
      </c>
      <c r="R197" s="4">
        <v>4</v>
      </c>
      <c r="S197" s="13" t="s">
        <v>596</v>
      </c>
      <c r="T197" s="13">
        <v>45</v>
      </c>
      <c r="U197" s="4" t="s">
        <v>135</v>
      </c>
      <c r="V197" s="4">
        <v>400</v>
      </c>
      <c r="W197" s="4" t="s">
        <v>42</v>
      </c>
      <c r="X197" s="4" t="s">
        <v>46</v>
      </c>
      <c r="Y197" s="4">
        <v>16</v>
      </c>
      <c r="AA197" s="4" t="s">
        <v>49</v>
      </c>
      <c r="AB197" s="4">
        <v>0</v>
      </c>
      <c r="AC197" s="4" t="s">
        <v>49</v>
      </c>
      <c r="AD197" s="4">
        <v>0</v>
      </c>
      <c r="AE197" s="4" t="s">
        <v>49</v>
      </c>
      <c r="AF197" s="4">
        <v>0</v>
      </c>
      <c r="AG197" s="4" t="s">
        <v>750</v>
      </c>
      <c r="AH197" s="4" t="s">
        <v>722</v>
      </c>
      <c r="AI197" s="4" t="s">
        <v>78</v>
      </c>
      <c r="AJ197" s="13">
        <v>0</v>
      </c>
      <c r="AK197" s="13">
        <v>20</v>
      </c>
      <c r="AL197" s="13" t="s">
        <v>493</v>
      </c>
      <c r="AM197" s="13">
        <v>1.6</v>
      </c>
      <c r="AN197" s="13" t="s">
        <v>494</v>
      </c>
      <c r="AO197" s="13" t="s">
        <v>495</v>
      </c>
      <c r="AP197" s="13" t="s">
        <v>50</v>
      </c>
      <c r="AQ197" s="13" t="s">
        <v>49</v>
      </c>
      <c r="AR197" s="13" t="s">
        <v>50</v>
      </c>
      <c r="AS197" s="13" t="s">
        <v>49</v>
      </c>
      <c r="AT197" s="13" t="s">
        <v>990</v>
      </c>
      <c r="AU197" s="13" t="s">
        <v>998</v>
      </c>
      <c r="AV197" s="14">
        <f>0.029*10</f>
        <v>0.29000000000000004</v>
      </c>
      <c r="AW197" s="14">
        <f t="shared" si="7"/>
        <v>0.25</v>
      </c>
      <c r="AX197" s="14">
        <f>Table1347456[[#This Row],[treatment_mean]]/Table1347456[[#This Row],[control_mean]]</f>
        <v>1.1600000000000001</v>
      </c>
      <c r="AY197" s="14">
        <f>LN(Table1347456[[#This Row],[rr]])</f>
        <v>0.14842000511827341</v>
      </c>
      <c r="AZ197" s="13">
        <v>4</v>
      </c>
      <c r="BA197" s="13">
        <v>4</v>
      </c>
      <c r="BB197" s="14">
        <f>0.01*10</f>
        <v>0.1</v>
      </c>
      <c r="BC197" s="14">
        <f t="shared" si="8"/>
        <v>0.04</v>
      </c>
      <c r="BD197" s="15">
        <f>Table1347456[[#This Row],[treatment_se]]*SQRT(Table1347456[[#This Row],[treatment_n]])</f>
        <v>0.2</v>
      </c>
      <c r="BE197" s="14">
        <f>Table1347456[[#This Row],[control_se]]*SQRT(Table1347456[[#This Row],[control_n]])</f>
        <v>0.08</v>
      </c>
      <c r="BF19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0.14450606420927467</v>
      </c>
      <c r="BG197" s="17">
        <f>SQRT(Table1347456[[#This Row],[v_from_sd_and_n]])</f>
        <v>0.38013953255255456</v>
      </c>
      <c r="BH197" s="13" t="s">
        <v>50</v>
      </c>
      <c r="BI197" s="13">
        <v>2.5000000000000001E-2</v>
      </c>
      <c r="BJ197" s="18">
        <f>ABS(_xlfn.NORM.S.INV(Table1347456[[#This Row],[p_value]]/2))</f>
        <v>2.2414027276049446</v>
      </c>
      <c r="BK197" s="19">
        <f>(Table1347456[[#This Row],[lnrr]]/Table1347456[[#This Row],[z_from_p]])^2</f>
        <v>4.3847525795726412E-3</v>
      </c>
      <c r="BL197" s="16">
        <f>Table1347456[[#This Row],[v_from_sd_and_n]]</f>
        <v>0.14450606420927467</v>
      </c>
      <c r="BM197" s="20">
        <f>SQRT(Table1347456[[#This Row],[v]])</f>
        <v>0.38013953255255456</v>
      </c>
      <c r="BN197" s="20">
        <f>Table1347456[[#This Row],[lnrr]]-(1.96*Table1347456[[#This Row],[se]])</f>
        <v>-0.59665347868473351</v>
      </c>
      <c r="BO197" s="20">
        <f>Table1347456[[#This Row],[lnrr]]+(1.96 * Table1347456[[#This Row],[se]])</f>
        <v>0.89349348892128044</v>
      </c>
    </row>
    <row r="198" spans="1:67">
      <c r="A198" s="13" t="s">
        <v>128</v>
      </c>
      <c r="B198" s="13" t="s">
        <v>137</v>
      </c>
      <c r="C198" s="13" t="s">
        <v>130</v>
      </c>
      <c r="D198" s="13" t="s">
        <v>131</v>
      </c>
      <c r="E198" s="13" t="s">
        <v>132</v>
      </c>
      <c r="F198" s="13" t="s">
        <v>589</v>
      </c>
      <c r="G198" s="13" t="s">
        <v>138</v>
      </c>
      <c r="H198" s="13">
        <v>28</v>
      </c>
      <c r="I198" s="13">
        <v>1875</v>
      </c>
      <c r="K198" s="13" t="s">
        <v>831</v>
      </c>
      <c r="L198" s="13" t="s">
        <v>832</v>
      </c>
      <c r="N198" s="13" t="s">
        <v>47</v>
      </c>
      <c r="O198" s="13" t="s">
        <v>645</v>
      </c>
      <c r="P198" s="13" t="s">
        <v>422</v>
      </c>
      <c r="Q198" s="13" t="s">
        <v>48</v>
      </c>
      <c r="R198" s="4">
        <v>4</v>
      </c>
      <c r="S198" s="13" t="s">
        <v>596</v>
      </c>
      <c r="T198" s="13">
        <v>45</v>
      </c>
      <c r="U198" s="4" t="s">
        <v>135</v>
      </c>
      <c r="V198" s="4">
        <v>400</v>
      </c>
      <c r="W198" s="4" t="s">
        <v>42</v>
      </c>
      <c r="X198" s="4" t="s">
        <v>46</v>
      </c>
      <c r="Y198" s="4">
        <v>32</v>
      </c>
      <c r="AA198" s="4" t="s">
        <v>49</v>
      </c>
      <c r="AB198" s="4">
        <v>0</v>
      </c>
      <c r="AC198" s="4" t="s">
        <v>49</v>
      </c>
      <c r="AD198" s="4">
        <v>0</v>
      </c>
      <c r="AE198" s="4" t="s">
        <v>49</v>
      </c>
      <c r="AF198" s="4">
        <v>0</v>
      </c>
      <c r="AG198" s="4" t="s">
        <v>750</v>
      </c>
      <c r="AH198" s="4" t="s">
        <v>722</v>
      </c>
      <c r="AI198" s="4" t="s">
        <v>78</v>
      </c>
      <c r="AJ198" s="13">
        <v>0</v>
      </c>
      <c r="AK198" s="13">
        <v>20</v>
      </c>
      <c r="AL198" s="13" t="s">
        <v>493</v>
      </c>
      <c r="AM198" s="13">
        <v>1.6</v>
      </c>
      <c r="AN198" s="13" t="s">
        <v>494</v>
      </c>
      <c r="AO198" s="13" t="s">
        <v>495</v>
      </c>
      <c r="AP198" s="13" t="s">
        <v>50</v>
      </c>
      <c r="AQ198" s="13" t="s">
        <v>49</v>
      </c>
      <c r="AR198" s="13" t="s">
        <v>50</v>
      </c>
      <c r="AS198" s="13" t="s">
        <v>49</v>
      </c>
      <c r="AT198" s="13" t="s">
        <v>990</v>
      </c>
      <c r="AU198" s="13" t="s">
        <v>998</v>
      </c>
      <c r="AV198" s="14">
        <f>0.02*10</f>
        <v>0.2</v>
      </c>
      <c r="AW198" s="14">
        <f t="shared" si="7"/>
        <v>0.25</v>
      </c>
      <c r="AX198" s="14">
        <f>Table1347456[[#This Row],[treatment_mean]]/Table1347456[[#This Row],[control_mean]]</f>
        <v>0.8</v>
      </c>
      <c r="AY198" s="14">
        <f>LN(Table1347456[[#This Row],[rr]])</f>
        <v>-0.22314355131420971</v>
      </c>
      <c r="AZ198" s="13">
        <v>4</v>
      </c>
      <c r="BA198" s="13">
        <v>4</v>
      </c>
      <c r="BB198" s="14">
        <f>0.004*10</f>
        <v>0.04</v>
      </c>
      <c r="BC198" s="14">
        <f t="shared" si="8"/>
        <v>0.04</v>
      </c>
      <c r="BD198" s="15">
        <f>Table1347456[[#This Row],[treatment_se]]*SQRT(Table1347456[[#This Row],[treatment_n]])</f>
        <v>0.08</v>
      </c>
      <c r="BE198" s="14">
        <f>Table1347456[[#This Row],[control_se]]*SQRT(Table1347456[[#This Row],[control_n]])</f>
        <v>0.08</v>
      </c>
      <c r="BF19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6.5599999999999992E-2</v>
      </c>
      <c r="BG198" s="17">
        <f>SQRT(Table1347456[[#This Row],[v_from_sd_and_n]])</f>
        <v>0.25612496949731395</v>
      </c>
      <c r="BH198" s="13" t="s">
        <v>50</v>
      </c>
      <c r="BI198" s="13">
        <v>2.5000000000000001E-2</v>
      </c>
      <c r="BJ198" s="18">
        <f>ABS(_xlfn.NORM.S.INV(Table1347456[[#This Row],[p_value]]/2))</f>
        <v>2.2414027276049446</v>
      </c>
      <c r="BK198" s="19">
        <f>(Table1347456[[#This Row],[lnrr]]/Table1347456[[#This Row],[z_from_p]])^2</f>
        <v>9.9112604538778796E-3</v>
      </c>
      <c r="BL198" s="16">
        <f>Table1347456[[#This Row],[v_from_sd_and_n]]</f>
        <v>6.5599999999999992E-2</v>
      </c>
      <c r="BM198" s="20">
        <f>SQRT(Table1347456[[#This Row],[v]])</f>
        <v>0.25612496949731395</v>
      </c>
      <c r="BN198" s="20">
        <f>Table1347456[[#This Row],[lnrr]]-(1.96*Table1347456[[#This Row],[se]])</f>
        <v>-0.72514849152894501</v>
      </c>
      <c r="BO198" s="20">
        <f>Table1347456[[#This Row],[lnrr]]+(1.96 * Table1347456[[#This Row],[se]])</f>
        <v>0.27886138890052559</v>
      </c>
    </row>
    <row r="199" spans="1:67">
      <c r="A199" s="13" t="s">
        <v>128</v>
      </c>
      <c r="B199" s="13" t="s">
        <v>137</v>
      </c>
      <c r="C199" s="13" t="s">
        <v>130</v>
      </c>
      <c r="D199" s="13" t="s">
        <v>131</v>
      </c>
      <c r="E199" s="13" t="s">
        <v>132</v>
      </c>
      <c r="F199" s="13" t="s">
        <v>589</v>
      </c>
      <c r="G199" s="13" t="s">
        <v>138</v>
      </c>
      <c r="H199" s="13">
        <v>28</v>
      </c>
      <c r="I199" s="13">
        <v>1875</v>
      </c>
      <c r="K199" s="13" t="s">
        <v>831</v>
      </c>
      <c r="L199" s="13" t="s">
        <v>832</v>
      </c>
      <c r="N199" s="13" t="s">
        <v>47</v>
      </c>
      <c r="O199" s="13" t="s">
        <v>645</v>
      </c>
      <c r="P199" s="13" t="s">
        <v>422</v>
      </c>
      <c r="Q199" s="13" t="s">
        <v>48</v>
      </c>
      <c r="R199" s="4">
        <v>4</v>
      </c>
      <c r="S199" s="13" t="s">
        <v>596</v>
      </c>
      <c r="T199" s="13">
        <v>45</v>
      </c>
      <c r="U199" s="4" t="s">
        <v>135</v>
      </c>
      <c r="V199" s="4">
        <v>400</v>
      </c>
      <c r="W199" s="4" t="s">
        <v>42</v>
      </c>
      <c r="X199" s="4" t="s">
        <v>46</v>
      </c>
      <c r="Y199" s="4">
        <v>48</v>
      </c>
      <c r="AA199" s="4" t="s">
        <v>49</v>
      </c>
      <c r="AB199" s="4">
        <v>0</v>
      </c>
      <c r="AC199" s="4" t="s">
        <v>49</v>
      </c>
      <c r="AD199" s="4">
        <v>0</v>
      </c>
      <c r="AE199" s="4" t="s">
        <v>49</v>
      </c>
      <c r="AF199" s="4">
        <v>0</v>
      </c>
      <c r="AG199" s="4" t="s">
        <v>750</v>
      </c>
      <c r="AH199" s="4" t="s">
        <v>722</v>
      </c>
      <c r="AI199" s="4" t="s">
        <v>78</v>
      </c>
      <c r="AJ199" s="13">
        <v>0</v>
      </c>
      <c r="AK199" s="13">
        <v>20</v>
      </c>
      <c r="AL199" s="13" t="s">
        <v>493</v>
      </c>
      <c r="AM199" s="13">
        <v>1.6</v>
      </c>
      <c r="AN199" s="13" t="s">
        <v>494</v>
      </c>
      <c r="AO199" s="13" t="s">
        <v>495</v>
      </c>
      <c r="AP199" s="13" t="s">
        <v>50</v>
      </c>
      <c r="AQ199" s="13" t="s">
        <v>49</v>
      </c>
      <c r="AR199" s="13" t="s">
        <v>50</v>
      </c>
      <c r="AS199" s="13" t="s">
        <v>49</v>
      </c>
      <c r="AT199" s="13" t="s">
        <v>990</v>
      </c>
      <c r="AU199" s="13" t="s">
        <v>998</v>
      </c>
      <c r="AV199" s="14">
        <f>0.018*10</f>
        <v>0.18</v>
      </c>
      <c r="AW199" s="14">
        <f t="shared" si="7"/>
        <v>0.25</v>
      </c>
      <c r="AX199" s="14">
        <f>Table1347456[[#This Row],[treatment_mean]]/Table1347456[[#This Row],[control_mean]]</f>
        <v>0.72</v>
      </c>
      <c r="AY199" s="14">
        <f>LN(Table1347456[[#This Row],[rr]])</f>
        <v>-0.3285040669720361</v>
      </c>
      <c r="AZ199" s="13">
        <v>4</v>
      </c>
      <c r="BA199" s="13">
        <v>4</v>
      </c>
      <c r="BB199" s="14">
        <f>0.006*10</f>
        <v>0.06</v>
      </c>
      <c r="BC199" s="14">
        <f t="shared" si="8"/>
        <v>0.04</v>
      </c>
      <c r="BD199" s="15">
        <f>Table1347456[[#This Row],[treatment_se]]*SQRT(Table1347456[[#This Row],[treatment_n]])</f>
        <v>0.12</v>
      </c>
      <c r="BE199" s="14">
        <f>Table1347456[[#This Row],[control_se]]*SQRT(Table1347456[[#This Row],[control_n]])</f>
        <v>0.08</v>
      </c>
      <c r="BF19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0.13671111111111112</v>
      </c>
      <c r="BG199" s="17">
        <f>SQRT(Table1347456[[#This Row],[v_from_sd_and_n]])</f>
        <v>0.36974465663632128</v>
      </c>
      <c r="BH199" s="13" t="s">
        <v>50</v>
      </c>
      <c r="BI199" s="13">
        <v>2.5000000000000001E-2</v>
      </c>
      <c r="BJ199" s="18">
        <f>ABS(_xlfn.NORM.S.INV(Table1347456[[#This Row],[p_value]]/2))</f>
        <v>2.2414027276049446</v>
      </c>
      <c r="BK199" s="19">
        <f>(Table1347456[[#This Row],[lnrr]]/Table1347456[[#This Row],[z_from_p]])^2</f>
        <v>2.1480367586679986E-2</v>
      </c>
      <c r="BL199" s="16">
        <f>Table1347456[[#This Row],[v_from_sd_and_n]]</f>
        <v>0.13671111111111112</v>
      </c>
      <c r="BM199" s="20">
        <f>SQRT(Table1347456[[#This Row],[v]])</f>
        <v>0.36974465663632128</v>
      </c>
      <c r="BN199" s="20">
        <f>Table1347456[[#This Row],[lnrr]]-(1.96*Table1347456[[#This Row],[se]])</f>
        <v>-1.0532035939792257</v>
      </c>
      <c r="BO199" s="20">
        <f>Table1347456[[#This Row],[lnrr]]+(1.96 * Table1347456[[#This Row],[se]])</f>
        <v>0.39619546003515355</v>
      </c>
    </row>
    <row r="200" spans="1:67">
      <c r="A200" s="13" t="s">
        <v>128</v>
      </c>
      <c r="B200" s="13" t="s">
        <v>137</v>
      </c>
      <c r="C200" s="13" t="s">
        <v>130</v>
      </c>
      <c r="D200" s="13" t="s">
        <v>131</v>
      </c>
      <c r="E200" s="13" t="s">
        <v>132</v>
      </c>
      <c r="F200" s="13" t="s">
        <v>589</v>
      </c>
      <c r="G200" s="13" t="s">
        <v>138</v>
      </c>
      <c r="H200" s="13">
        <v>28</v>
      </c>
      <c r="I200" s="13">
        <v>1875</v>
      </c>
      <c r="K200" s="13" t="s">
        <v>831</v>
      </c>
      <c r="L200" s="13" t="s">
        <v>832</v>
      </c>
      <c r="N200" s="13" t="s">
        <v>47</v>
      </c>
      <c r="O200" s="13" t="s">
        <v>645</v>
      </c>
      <c r="P200" s="13" t="s">
        <v>422</v>
      </c>
      <c r="Q200" s="13" t="s">
        <v>48</v>
      </c>
      <c r="R200" s="4">
        <v>4</v>
      </c>
      <c r="S200" s="13" t="s">
        <v>596</v>
      </c>
      <c r="T200" s="13">
        <v>45</v>
      </c>
      <c r="U200" s="4" t="s">
        <v>135</v>
      </c>
      <c r="V200" s="4">
        <v>400</v>
      </c>
      <c r="W200" s="4" t="s">
        <v>42</v>
      </c>
      <c r="X200" s="4" t="s">
        <v>46</v>
      </c>
      <c r="Y200" s="4">
        <v>64</v>
      </c>
      <c r="AA200" s="4" t="s">
        <v>49</v>
      </c>
      <c r="AB200" s="4">
        <v>0</v>
      </c>
      <c r="AC200" s="4" t="s">
        <v>49</v>
      </c>
      <c r="AD200" s="4">
        <v>0</v>
      </c>
      <c r="AE200" s="4" t="s">
        <v>49</v>
      </c>
      <c r="AF200" s="4">
        <v>0</v>
      </c>
      <c r="AG200" s="4" t="s">
        <v>750</v>
      </c>
      <c r="AH200" s="4" t="s">
        <v>722</v>
      </c>
      <c r="AI200" s="4" t="s">
        <v>78</v>
      </c>
      <c r="AJ200" s="13">
        <v>0</v>
      </c>
      <c r="AK200" s="13">
        <v>20</v>
      </c>
      <c r="AL200" s="13" t="s">
        <v>493</v>
      </c>
      <c r="AM200" s="13">
        <v>1.6</v>
      </c>
      <c r="AN200" s="13" t="s">
        <v>494</v>
      </c>
      <c r="AO200" s="13" t="s">
        <v>495</v>
      </c>
      <c r="AP200" s="13" t="s">
        <v>50</v>
      </c>
      <c r="AQ200" s="13" t="s">
        <v>49</v>
      </c>
      <c r="AR200" s="13" t="s">
        <v>50</v>
      </c>
      <c r="AS200" s="13" t="s">
        <v>49</v>
      </c>
      <c r="AT200" s="13" t="s">
        <v>990</v>
      </c>
      <c r="AU200" s="13" t="s">
        <v>998</v>
      </c>
      <c r="AV200" s="14">
        <f>0.022*10</f>
        <v>0.21999999999999997</v>
      </c>
      <c r="AW200" s="14">
        <f t="shared" si="7"/>
        <v>0.25</v>
      </c>
      <c r="AX200" s="14">
        <f>Table1347456[[#This Row],[treatment_mean]]/Table1347456[[#This Row],[control_mean]]</f>
        <v>0.87999999999999989</v>
      </c>
      <c r="AY200" s="14">
        <f>LN(Table1347456[[#This Row],[rr]])</f>
        <v>-0.12783337150988502</v>
      </c>
      <c r="AZ200" s="13">
        <v>4</v>
      </c>
      <c r="BA200" s="13">
        <v>4</v>
      </c>
      <c r="BB200" s="14">
        <f>0.007*10</f>
        <v>7.0000000000000007E-2</v>
      </c>
      <c r="BC200" s="14">
        <f t="shared" si="8"/>
        <v>0.04</v>
      </c>
      <c r="BD200" s="15">
        <f>Table1347456[[#This Row],[treatment_se]]*SQRT(Table1347456[[#This Row],[treatment_n]])</f>
        <v>0.14000000000000001</v>
      </c>
      <c r="BE200" s="14">
        <f>Table1347456[[#This Row],[control_se]]*SQRT(Table1347456[[#This Row],[control_n]])</f>
        <v>0.08</v>
      </c>
      <c r="BF20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0.12683966942148764</v>
      </c>
      <c r="BG200" s="17">
        <f>SQRT(Table1347456[[#This Row],[v_from_sd_and_n]])</f>
        <v>0.35614557335658076</v>
      </c>
      <c r="BH200" s="13" t="s">
        <v>50</v>
      </c>
      <c r="BI200" s="13">
        <v>2.5000000000000001E-2</v>
      </c>
      <c r="BJ200" s="18">
        <f>ABS(_xlfn.NORM.S.INV(Table1347456[[#This Row],[p_value]]/2))</f>
        <v>2.2414027276049446</v>
      </c>
      <c r="BK200" s="19">
        <f>(Table1347456[[#This Row],[lnrr]]/Table1347456[[#This Row],[z_from_p]])^2</f>
        <v>3.2527350864049428E-3</v>
      </c>
      <c r="BL200" s="16">
        <f>Table1347456[[#This Row],[v_from_sd_and_n]]</f>
        <v>0.12683966942148764</v>
      </c>
      <c r="BM200" s="20">
        <f>SQRT(Table1347456[[#This Row],[v]])</f>
        <v>0.35614557335658076</v>
      </c>
      <c r="BN200" s="20">
        <f>Table1347456[[#This Row],[lnrr]]-(1.96*Table1347456[[#This Row],[se]])</f>
        <v>-0.82587869528878333</v>
      </c>
      <c r="BO200" s="20">
        <f>Table1347456[[#This Row],[lnrr]]+(1.96 * Table1347456[[#This Row],[se]])</f>
        <v>0.57021195226901322</v>
      </c>
    </row>
    <row r="201" spans="1:67">
      <c r="A201" s="13" t="s">
        <v>128</v>
      </c>
      <c r="B201" s="13" t="s">
        <v>137</v>
      </c>
      <c r="C201" s="13" t="s">
        <v>130</v>
      </c>
      <c r="D201" s="13" t="s">
        <v>131</v>
      </c>
      <c r="E201" s="13" t="s">
        <v>132</v>
      </c>
      <c r="F201" s="13" t="s">
        <v>589</v>
      </c>
      <c r="G201" s="13" t="s">
        <v>138</v>
      </c>
      <c r="H201" s="13">
        <v>28</v>
      </c>
      <c r="I201" s="13">
        <v>1875</v>
      </c>
      <c r="K201" s="13" t="s">
        <v>831</v>
      </c>
      <c r="L201" s="13" t="s">
        <v>832</v>
      </c>
      <c r="N201" s="13" t="s">
        <v>47</v>
      </c>
      <c r="O201" s="13" t="s">
        <v>645</v>
      </c>
      <c r="P201" s="13" t="s">
        <v>422</v>
      </c>
      <c r="Q201" s="13" t="s">
        <v>48</v>
      </c>
      <c r="R201" s="4">
        <v>4</v>
      </c>
      <c r="S201" s="13" t="s">
        <v>596</v>
      </c>
      <c r="T201" s="13">
        <v>45</v>
      </c>
      <c r="U201" s="4" t="s">
        <v>136</v>
      </c>
      <c r="V201" s="4">
        <v>400</v>
      </c>
      <c r="W201" s="4" t="s">
        <v>42</v>
      </c>
      <c r="X201" s="4" t="s">
        <v>46</v>
      </c>
      <c r="Y201" s="4">
        <v>16</v>
      </c>
      <c r="AA201" s="4" t="s">
        <v>49</v>
      </c>
      <c r="AB201" s="4">
        <v>0</v>
      </c>
      <c r="AC201" s="4" t="s">
        <v>49</v>
      </c>
      <c r="AD201" s="4">
        <v>0</v>
      </c>
      <c r="AE201" s="4" t="s">
        <v>49</v>
      </c>
      <c r="AF201" s="4">
        <v>0</v>
      </c>
      <c r="AG201" s="4" t="s">
        <v>776</v>
      </c>
      <c r="AH201" s="4" t="s">
        <v>722</v>
      </c>
      <c r="AI201" s="4" t="s">
        <v>78</v>
      </c>
      <c r="AJ201" s="13">
        <v>0</v>
      </c>
      <c r="AK201" s="13">
        <v>20</v>
      </c>
      <c r="AL201" s="13" t="s">
        <v>493</v>
      </c>
      <c r="AM201" s="13">
        <v>1.6</v>
      </c>
      <c r="AN201" s="13" t="s">
        <v>494</v>
      </c>
      <c r="AO201" s="13" t="s">
        <v>495</v>
      </c>
      <c r="AP201" s="13" t="s">
        <v>50</v>
      </c>
      <c r="AQ201" s="13" t="s">
        <v>49</v>
      </c>
      <c r="AR201" s="13" t="s">
        <v>50</v>
      </c>
      <c r="AS201" s="13" t="s">
        <v>49</v>
      </c>
      <c r="AT201" s="13" t="s">
        <v>990</v>
      </c>
      <c r="AU201" s="13" t="s">
        <v>998</v>
      </c>
      <c r="AV201" s="14">
        <f>0.05*10</f>
        <v>0.5</v>
      </c>
      <c r="AW201" s="14">
        <f t="shared" si="7"/>
        <v>0.25</v>
      </c>
      <c r="AX201" s="14">
        <f>Table1347456[[#This Row],[treatment_mean]]/Table1347456[[#This Row],[control_mean]]</f>
        <v>2</v>
      </c>
      <c r="AY201" s="14">
        <f>LN(Table1347456[[#This Row],[rr]])</f>
        <v>0.69314718055994529</v>
      </c>
      <c r="AZ201" s="13">
        <v>4</v>
      </c>
      <c r="BA201" s="13">
        <v>4</v>
      </c>
      <c r="BB201" s="14">
        <f>0.007*10</f>
        <v>7.0000000000000007E-2</v>
      </c>
      <c r="BC201" s="14">
        <f t="shared" si="8"/>
        <v>0.04</v>
      </c>
      <c r="BD201" s="15">
        <f>Table1347456[[#This Row],[treatment_se]]*SQRT(Table1347456[[#This Row],[treatment_n]])</f>
        <v>0.14000000000000001</v>
      </c>
      <c r="BE201" s="14">
        <f>Table1347456[[#This Row],[control_se]]*SQRT(Table1347456[[#This Row],[control_n]])</f>
        <v>0.08</v>
      </c>
      <c r="BF20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4.5200000000000004E-2</v>
      </c>
      <c r="BG201" s="17">
        <f>SQRT(Table1347456[[#This Row],[v_from_sd_and_n]])</f>
        <v>0.21260291625469299</v>
      </c>
      <c r="BH201" s="13" t="s">
        <v>50</v>
      </c>
      <c r="BI201" s="13">
        <v>2.5000000000000001E-2</v>
      </c>
      <c r="BJ201" s="18">
        <f>ABS(_xlfn.NORM.S.INV(Table1347456[[#This Row],[p_value]]/2))</f>
        <v>2.2414027276049446</v>
      </c>
      <c r="BK201" s="19">
        <f>(Table1347456[[#This Row],[lnrr]]/Table1347456[[#This Row],[z_from_p]])^2</f>
        <v>9.5633737709131666E-2</v>
      </c>
      <c r="BL201" s="16">
        <f>Table1347456[[#This Row],[v_from_sd_and_n]]</f>
        <v>4.5200000000000004E-2</v>
      </c>
      <c r="BM201" s="20">
        <f>SQRT(Table1347456[[#This Row],[v]])</f>
        <v>0.21260291625469299</v>
      </c>
      <c r="BN201" s="20">
        <f>Table1347456[[#This Row],[lnrr]]-(1.96*Table1347456[[#This Row],[se]])</f>
        <v>0.27644546470074705</v>
      </c>
      <c r="BO201" s="20">
        <f>Table1347456[[#This Row],[lnrr]]+(1.96 * Table1347456[[#This Row],[se]])</f>
        <v>1.1098488964191435</v>
      </c>
    </row>
    <row r="202" spans="1:67">
      <c r="A202" s="13" t="s">
        <v>128</v>
      </c>
      <c r="B202" s="13" t="s">
        <v>137</v>
      </c>
      <c r="C202" s="13" t="s">
        <v>130</v>
      </c>
      <c r="D202" s="13" t="s">
        <v>131</v>
      </c>
      <c r="E202" s="13" t="s">
        <v>132</v>
      </c>
      <c r="F202" s="13" t="s">
        <v>589</v>
      </c>
      <c r="G202" s="13" t="s">
        <v>138</v>
      </c>
      <c r="H202" s="13">
        <v>28</v>
      </c>
      <c r="I202" s="13">
        <v>1875</v>
      </c>
      <c r="K202" s="13" t="s">
        <v>831</v>
      </c>
      <c r="L202" s="13" t="s">
        <v>832</v>
      </c>
      <c r="N202" s="13" t="s">
        <v>47</v>
      </c>
      <c r="O202" s="13" t="s">
        <v>645</v>
      </c>
      <c r="P202" s="13" t="s">
        <v>422</v>
      </c>
      <c r="Q202" s="13" t="s">
        <v>48</v>
      </c>
      <c r="R202" s="4">
        <v>4</v>
      </c>
      <c r="S202" s="13" t="s">
        <v>596</v>
      </c>
      <c r="T202" s="13">
        <v>45</v>
      </c>
      <c r="U202" s="4" t="s">
        <v>136</v>
      </c>
      <c r="V202" s="4">
        <v>400</v>
      </c>
      <c r="W202" s="4" t="s">
        <v>42</v>
      </c>
      <c r="X202" s="4" t="s">
        <v>46</v>
      </c>
      <c r="Y202" s="4">
        <v>32</v>
      </c>
      <c r="AA202" s="4" t="s">
        <v>49</v>
      </c>
      <c r="AB202" s="4">
        <v>0</v>
      </c>
      <c r="AC202" s="4" t="s">
        <v>49</v>
      </c>
      <c r="AD202" s="4">
        <v>0</v>
      </c>
      <c r="AE202" s="4" t="s">
        <v>49</v>
      </c>
      <c r="AF202" s="4">
        <v>0</v>
      </c>
      <c r="AG202" s="4" t="s">
        <v>776</v>
      </c>
      <c r="AH202" s="4" t="s">
        <v>722</v>
      </c>
      <c r="AI202" s="4" t="s">
        <v>78</v>
      </c>
      <c r="AJ202" s="13">
        <v>0</v>
      </c>
      <c r="AK202" s="13">
        <v>20</v>
      </c>
      <c r="AL202" s="13" t="s">
        <v>493</v>
      </c>
      <c r="AM202" s="13">
        <v>1.6</v>
      </c>
      <c r="AN202" s="13" t="s">
        <v>494</v>
      </c>
      <c r="AO202" s="13" t="s">
        <v>495</v>
      </c>
      <c r="AP202" s="13" t="s">
        <v>50</v>
      </c>
      <c r="AQ202" s="13" t="s">
        <v>49</v>
      </c>
      <c r="AR202" s="13" t="s">
        <v>50</v>
      </c>
      <c r="AS202" s="13" t="s">
        <v>49</v>
      </c>
      <c r="AT202" s="13" t="s">
        <v>990</v>
      </c>
      <c r="AU202" s="13" t="s">
        <v>998</v>
      </c>
      <c r="AV202" s="14">
        <f>0.035*10</f>
        <v>0.35000000000000003</v>
      </c>
      <c r="AW202" s="14">
        <f t="shared" si="7"/>
        <v>0.25</v>
      </c>
      <c r="AX202" s="14">
        <f>Table1347456[[#This Row],[treatment_mean]]/Table1347456[[#This Row],[control_mean]]</f>
        <v>1.4000000000000001</v>
      </c>
      <c r="AY202" s="14">
        <f>LN(Table1347456[[#This Row],[rr]])</f>
        <v>0.33647223662121301</v>
      </c>
      <c r="AZ202" s="13">
        <v>4</v>
      </c>
      <c r="BA202" s="13">
        <v>4</v>
      </c>
      <c r="BB202" s="14">
        <f>0.011*10</f>
        <v>0.10999999999999999</v>
      </c>
      <c r="BC202" s="14">
        <f t="shared" si="8"/>
        <v>0.04</v>
      </c>
      <c r="BD202" s="15">
        <f>Table1347456[[#This Row],[treatment_se]]*SQRT(Table1347456[[#This Row],[treatment_n]])</f>
        <v>0.21999999999999997</v>
      </c>
      <c r="BE202" s="14">
        <f>Table1347456[[#This Row],[control_se]]*SQRT(Table1347456[[#This Row],[control_n]])</f>
        <v>0.08</v>
      </c>
      <c r="BF20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0.12437551020408159</v>
      </c>
      <c r="BG202" s="17">
        <f>SQRT(Table1347456[[#This Row],[v_from_sd_and_n]])</f>
        <v>0.35266912283907359</v>
      </c>
      <c r="BH202" s="13" t="s">
        <v>50</v>
      </c>
      <c r="BI202" s="13">
        <v>2.5000000000000001E-2</v>
      </c>
      <c r="BJ202" s="18">
        <f>ABS(_xlfn.NORM.S.INV(Table1347456[[#This Row],[p_value]]/2))</f>
        <v>2.2414027276049446</v>
      </c>
      <c r="BK202" s="19">
        <f>(Table1347456[[#This Row],[lnrr]]/Table1347456[[#This Row],[z_from_p]])^2</f>
        <v>2.2535057880638566E-2</v>
      </c>
      <c r="BL202" s="16">
        <f>Table1347456[[#This Row],[v_from_sd_and_n]]</f>
        <v>0.12437551020408159</v>
      </c>
      <c r="BM202" s="20">
        <f>SQRT(Table1347456[[#This Row],[v]])</f>
        <v>0.35266912283907359</v>
      </c>
      <c r="BN202" s="20">
        <f>Table1347456[[#This Row],[lnrr]]-(1.96*Table1347456[[#This Row],[se]])</f>
        <v>-0.35475924414337118</v>
      </c>
      <c r="BO202" s="20">
        <f>Table1347456[[#This Row],[lnrr]]+(1.96 * Table1347456[[#This Row],[se]])</f>
        <v>1.0277037173857972</v>
      </c>
    </row>
    <row r="203" spans="1:67">
      <c r="A203" s="13" t="s">
        <v>128</v>
      </c>
      <c r="B203" s="13" t="s">
        <v>137</v>
      </c>
      <c r="C203" s="13" t="s">
        <v>130</v>
      </c>
      <c r="D203" s="13" t="s">
        <v>131</v>
      </c>
      <c r="E203" s="13" t="s">
        <v>132</v>
      </c>
      <c r="F203" s="13" t="s">
        <v>589</v>
      </c>
      <c r="G203" s="13" t="s">
        <v>138</v>
      </c>
      <c r="H203" s="13">
        <v>28</v>
      </c>
      <c r="I203" s="13">
        <v>1875</v>
      </c>
      <c r="K203" s="13" t="s">
        <v>831</v>
      </c>
      <c r="L203" s="13" t="s">
        <v>832</v>
      </c>
      <c r="N203" s="13" t="s">
        <v>47</v>
      </c>
      <c r="O203" s="13" t="s">
        <v>645</v>
      </c>
      <c r="P203" s="13" t="s">
        <v>422</v>
      </c>
      <c r="Q203" s="13" t="s">
        <v>48</v>
      </c>
      <c r="R203" s="4">
        <v>4</v>
      </c>
      <c r="S203" s="13" t="s">
        <v>596</v>
      </c>
      <c r="T203" s="13">
        <v>45</v>
      </c>
      <c r="U203" s="4" t="s">
        <v>136</v>
      </c>
      <c r="V203" s="4">
        <v>400</v>
      </c>
      <c r="W203" s="4" t="s">
        <v>42</v>
      </c>
      <c r="X203" s="4" t="s">
        <v>46</v>
      </c>
      <c r="Y203" s="4">
        <v>48</v>
      </c>
      <c r="AA203" s="4" t="s">
        <v>49</v>
      </c>
      <c r="AB203" s="4">
        <v>0</v>
      </c>
      <c r="AC203" s="4" t="s">
        <v>49</v>
      </c>
      <c r="AD203" s="4">
        <v>0</v>
      </c>
      <c r="AE203" s="4" t="s">
        <v>49</v>
      </c>
      <c r="AF203" s="4">
        <v>0</v>
      </c>
      <c r="AG203" s="4" t="s">
        <v>776</v>
      </c>
      <c r="AH203" s="4" t="s">
        <v>722</v>
      </c>
      <c r="AI203" s="4" t="s">
        <v>78</v>
      </c>
      <c r="AJ203" s="13">
        <v>0</v>
      </c>
      <c r="AK203" s="13">
        <v>20</v>
      </c>
      <c r="AL203" s="13" t="s">
        <v>493</v>
      </c>
      <c r="AM203" s="13">
        <v>1.6</v>
      </c>
      <c r="AN203" s="13" t="s">
        <v>494</v>
      </c>
      <c r="AO203" s="13" t="s">
        <v>495</v>
      </c>
      <c r="AP203" s="13" t="s">
        <v>50</v>
      </c>
      <c r="AQ203" s="13" t="s">
        <v>49</v>
      </c>
      <c r="AR203" s="13" t="s">
        <v>50</v>
      </c>
      <c r="AS203" s="13" t="s">
        <v>49</v>
      </c>
      <c r="AT203" s="13" t="s">
        <v>990</v>
      </c>
      <c r="AU203" s="13" t="s">
        <v>998</v>
      </c>
      <c r="AV203" s="14">
        <f>0.049*10</f>
        <v>0.49</v>
      </c>
      <c r="AW203" s="14">
        <f t="shared" si="7"/>
        <v>0.25</v>
      </c>
      <c r="AX203" s="14">
        <f>Table1347456[[#This Row],[treatment_mean]]/Table1347456[[#This Row],[control_mean]]</f>
        <v>1.96</v>
      </c>
      <c r="AY203" s="14">
        <f>LN(Table1347456[[#This Row],[rr]])</f>
        <v>0.67294447324242579</v>
      </c>
      <c r="AZ203" s="13">
        <v>4</v>
      </c>
      <c r="BA203" s="13">
        <v>4</v>
      </c>
      <c r="BB203" s="14">
        <f>0.004*10</f>
        <v>0.04</v>
      </c>
      <c r="BC203" s="14">
        <f t="shared" si="8"/>
        <v>0.04</v>
      </c>
      <c r="BD203" s="15">
        <f>Table1347456[[#This Row],[treatment_se]]*SQRT(Table1347456[[#This Row],[treatment_n]])</f>
        <v>0.08</v>
      </c>
      <c r="BE203" s="14">
        <f>Table1347456[[#This Row],[control_se]]*SQRT(Table1347456[[#This Row],[control_n]])</f>
        <v>0.08</v>
      </c>
      <c r="BF20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3.2263890045814245E-2</v>
      </c>
      <c r="BG203" s="17">
        <f>SQRT(Table1347456[[#This Row],[v_from_sd_and_n]])</f>
        <v>0.17962151888293965</v>
      </c>
      <c r="BH203" s="13" t="s">
        <v>50</v>
      </c>
      <c r="BI203" s="13">
        <v>2.5000000000000001E-2</v>
      </c>
      <c r="BJ203" s="18">
        <f>ABS(_xlfn.NORM.S.INV(Table1347456[[#This Row],[p_value]]/2))</f>
        <v>2.2414027276049446</v>
      </c>
      <c r="BK203" s="19">
        <f>(Table1347456[[#This Row],[lnrr]]/Table1347456[[#This Row],[z_from_p]])^2</f>
        <v>9.0140231522554196E-2</v>
      </c>
      <c r="BL203" s="16">
        <f>Table1347456[[#This Row],[v_from_sd_and_n]]</f>
        <v>3.2263890045814245E-2</v>
      </c>
      <c r="BM203" s="20">
        <f>SQRT(Table1347456[[#This Row],[v]])</f>
        <v>0.17962151888293965</v>
      </c>
      <c r="BN203" s="20">
        <f>Table1347456[[#This Row],[lnrr]]-(1.96*Table1347456[[#This Row],[se]])</f>
        <v>0.3208862962318641</v>
      </c>
      <c r="BO203" s="20">
        <f>Table1347456[[#This Row],[lnrr]]+(1.96 * Table1347456[[#This Row],[se]])</f>
        <v>1.0250026502529874</v>
      </c>
    </row>
    <row r="204" spans="1:67">
      <c r="A204" s="13" t="s">
        <v>128</v>
      </c>
      <c r="B204" s="13" t="s">
        <v>137</v>
      </c>
      <c r="C204" s="13" t="s">
        <v>130</v>
      </c>
      <c r="D204" s="13" t="s">
        <v>131</v>
      </c>
      <c r="E204" s="13" t="s">
        <v>132</v>
      </c>
      <c r="F204" s="13" t="s">
        <v>589</v>
      </c>
      <c r="G204" s="13" t="s">
        <v>138</v>
      </c>
      <c r="H204" s="13">
        <v>28</v>
      </c>
      <c r="I204" s="13">
        <v>1875</v>
      </c>
      <c r="K204" s="13" t="s">
        <v>831</v>
      </c>
      <c r="L204" s="13" t="s">
        <v>832</v>
      </c>
      <c r="N204" s="13" t="s">
        <v>47</v>
      </c>
      <c r="O204" s="13" t="s">
        <v>645</v>
      </c>
      <c r="P204" s="13" t="s">
        <v>422</v>
      </c>
      <c r="Q204" s="13" t="s">
        <v>48</v>
      </c>
      <c r="R204" s="4">
        <v>4</v>
      </c>
      <c r="S204" s="13" t="s">
        <v>596</v>
      </c>
      <c r="T204" s="13">
        <v>45</v>
      </c>
      <c r="U204" s="4" t="s">
        <v>136</v>
      </c>
      <c r="V204" s="4">
        <v>400</v>
      </c>
      <c r="W204" s="4" t="s">
        <v>42</v>
      </c>
      <c r="X204" s="4" t="s">
        <v>46</v>
      </c>
      <c r="Y204" s="4">
        <v>64</v>
      </c>
      <c r="AA204" s="4" t="s">
        <v>49</v>
      </c>
      <c r="AB204" s="4">
        <v>0</v>
      </c>
      <c r="AC204" s="4" t="s">
        <v>49</v>
      </c>
      <c r="AD204" s="4">
        <v>0</v>
      </c>
      <c r="AE204" s="4" t="s">
        <v>49</v>
      </c>
      <c r="AF204" s="4">
        <v>0</v>
      </c>
      <c r="AG204" s="4" t="s">
        <v>776</v>
      </c>
      <c r="AH204" s="4" t="s">
        <v>722</v>
      </c>
      <c r="AI204" s="4" t="s">
        <v>78</v>
      </c>
      <c r="AJ204" s="13">
        <v>0</v>
      </c>
      <c r="AK204" s="13">
        <v>20</v>
      </c>
      <c r="AL204" s="13" t="s">
        <v>493</v>
      </c>
      <c r="AM204" s="13">
        <v>1.6</v>
      </c>
      <c r="AN204" s="13" t="s">
        <v>494</v>
      </c>
      <c r="AO204" s="13" t="s">
        <v>495</v>
      </c>
      <c r="AP204" s="13" t="s">
        <v>50</v>
      </c>
      <c r="AQ204" s="13" t="s">
        <v>49</v>
      </c>
      <c r="AR204" s="13" t="s">
        <v>50</v>
      </c>
      <c r="AS204" s="13" t="s">
        <v>49</v>
      </c>
      <c r="AT204" s="13" t="s">
        <v>990</v>
      </c>
      <c r="AU204" s="13" t="s">
        <v>998</v>
      </c>
      <c r="AV204" s="14">
        <f>0.053*10</f>
        <v>0.53</v>
      </c>
      <c r="AW204" s="14">
        <f t="shared" si="7"/>
        <v>0.25</v>
      </c>
      <c r="AX204" s="14">
        <f>Table1347456[[#This Row],[treatment_mean]]/Table1347456[[#This Row],[control_mean]]</f>
        <v>2.12</v>
      </c>
      <c r="AY204" s="14">
        <f>LN(Table1347456[[#This Row],[rr]])</f>
        <v>0.75141608868392118</v>
      </c>
      <c r="AZ204" s="13">
        <v>4</v>
      </c>
      <c r="BA204" s="13">
        <v>4</v>
      </c>
      <c r="BB204" s="14">
        <f>0.006*10</f>
        <v>0.06</v>
      </c>
      <c r="BC204" s="14">
        <f t="shared" si="8"/>
        <v>0.04</v>
      </c>
      <c r="BD204" s="15">
        <f>Table1347456[[#This Row],[treatment_se]]*SQRT(Table1347456[[#This Row],[treatment_n]])</f>
        <v>0.12</v>
      </c>
      <c r="BE204" s="14">
        <f>Table1347456[[#This Row],[control_se]]*SQRT(Table1347456[[#This Row],[control_n]])</f>
        <v>0.08</v>
      </c>
      <c r="BF20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3.8415948736205054E-2</v>
      </c>
      <c r="BG204" s="17">
        <f>SQRT(Table1347456[[#This Row],[v_from_sd_and_n]])</f>
        <v>0.19599986922496926</v>
      </c>
      <c r="BH204" s="13" t="s">
        <v>50</v>
      </c>
      <c r="BI204" s="13">
        <v>2.5000000000000001E-2</v>
      </c>
      <c r="BJ204" s="18">
        <f>ABS(_xlfn.NORM.S.INV(Table1347456[[#This Row],[p_value]]/2))</f>
        <v>2.2414027276049446</v>
      </c>
      <c r="BK204" s="19">
        <f>(Table1347456[[#This Row],[lnrr]]/Table1347456[[#This Row],[z_from_p]])^2</f>
        <v>0.11238832196451846</v>
      </c>
      <c r="BL204" s="16">
        <f>Table1347456[[#This Row],[v_from_sd_and_n]]</f>
        <v>3.8415948736205054E-2</v>
      </c>
      <c r="BM204" s="20">
        <f>SQRT(Table1347456[[#This Row],[v]])</f>
        <v>0.19599986922496926</v>
      </c>
      <c r="BN204" s="20">
        <f>Table1347456[[#This Row],[lnrr]]-(1.96*Table1347456[[#This Row],[se]])</f>
        <v>0.36725634500298143</v>
      </c>
      <c r="BO204" s="20">
        <f>Table1347456[[#This Row],[lnrr]]+(1.96 * Table1347456[[#This Row],[se]])</f>
        <v>1.1355758323648608</v>
      </c>
    </row>
    <row r="205" spans="1:67">
      <c r="A205" s="13" t="s">
        <v>128</v>
      </c>
      <c r="B205" s="13" t="s">
        <v>137</v>
      </c>
      <c r="C205" s="13" t="s">
        <v>130</v>
      </c>
      <c r="D205" s="13" t="s">
        <v>131</v>
      </c>
      <c r="E205" s="13" t="s">
        <v>132</v>
      </c>
      <c r="F205" s="13" t="s">
        <v>589</v>
      </c>
      <c r="G205" s="13" t="s">
        <v>138</v>
      </c>
      <c r="H205" s="13">
        <v>28</v>
      </c>
      <c r="I205" s="13">
        <v>1875</v>
      </c>
      <c r="K205" s="13" t="s">
        <v>831</v>
      </c>
      <c r="L205" s="13" t="s">
        <v>832</v>
      </c>
      <c r="N205" s="13" t="s">
        <v>668</v>
      </c>
      <c r="O205" s="13" t="s">
        <v>668</v>
      </c>
      <c r="P205" s="13" t="s">
        <v>87</v>
      </c>
      <c r="Q205" s="13" t="s">
        <v>87</v>
      </c>
      <c r="R205" s="4">
        <v>4</v>
      </c>
      <c r="S205" s="13" t="s">
        <v>596</v>
      </c>
      <c r="T205" s="13">
        <v>45</v>
      </c>
      <c r="U205" s="4" t="s">
        <v>133</v>
      </c>
      <c r="V205" s="4">
        <v>400</v>
      </c>
      <c r="W205" s="4" t="s">
        <v>42</v>
      </c>
      <c r="X205" s="4" t="s">
        <v>46</v>
      </c>
      <c r="Y205" s="4">
        <v>16</v>
      </c>
      <c r="AA205" s="4" t="s">
        <v>49</v>
      </c>
      <c r="AB205" s="4">
        <v>0</v>
      </c>
      <c r="AC205" s="4" t="s">
        <v>49</v>
      </c>
      <c r="AD205" s="4">
        <v>0</v>
      </c>
      <c r="AE205" s="4" t="s">
        <v>49</v>
      </c>
      <c r="AF205" s="4">
        <v>0</v>
      </c>
      <c r="AG205" s="4" t="s">
        <v>685</v>
      </c>
      <c r="AH205" s="4" t="s">
        <v>722</v>
      </c>
      <c r="AI205" s="4" t="s">
        <v>78</v>
      </c>
      <c r="AJ205" s="13">
        <v>0</v>
      </c>
      <c r="AK205" s="13">
        <v>20</v>
      </c>
      <c r="AL205" s="13" t="s">
        <v>493</v>
      </c>
      <c r="AM205" s="13">
        <v>1.6</v>
      </c>
      <c r="AN205" s="13" t="s">
        <v>494</v>
      </c>
      <c r="AO205" s="13" t="s">
        <v>495</v>
      </c>
      <c r="AP205" s="13" t="s">
        <v>50</v>
      </c>
      <c r="AQ205" s="13" t="s">
        <v>49</v>
      </c>
      <c r="AR205" s="13" t="s">
        <v>50</v>
      </c>
      <c r="AS205" s="13" t="s">
        <v>49</v>
      </c>
      <c r="AT205" s="13" t="s">
        <v>990</v>
      </c>
      <c r="AU205" s="13" t="s">
        <v>998</v>
      </c>
      <c r="AV205" s="14">
        <v>6.53</v>
      </c>
      <c r="AW205" s="14">
        <v>6.09</v>
      </c>
      <c r="AX205" s="14">
        <f>Table1347456[[#This Row],[treatment_mean]]/Table1347456[[#This Row],[control_mean]]</f>
        <v>1.0722495894909689</v>
      </c>
      <c r="AY205" s="14">
        <f>LN(Table1347456[[#This Row],[rr]])</f>
        <v>6.9758861566534158E-2</v>
      </c>
      <c r="AZ205" s="13">
        <v>4</v>
      </c>
      <c r="BA205" s="13">
        <v>4</v>
      </c>
      <c r="BB205" s="14">
        <v>0.17</v>
      </c>
      <c r="BC205" s="14">
        <v>0.41</v>
      </c>
      <c r="BD205" s="15">
        <f>Table1347456[[#This Row],[treatment_se]]*SQRT(Table1347456[[#This Row],[treatment_n]])</f>
        <v>0.34</v>
      </c>
      <c r="BE205" s="14">
        <f>Table1347456[[#This Row],[control_se]]*SQRT(Table1347456[[#This Row],[control_n]])</f>
        <v>0.82</v>
      </c>
      <c r="BF20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5.2102041589575489E-3</v>
      </c>
      <c r="BG205" s="17">
        <f>SQRT(Table1347456[[#This Row],[v_from_sd_and_n]])</f>
        <v>7.2181743945110871E-2</v>
      </c>
      <c r="BH205" s="13" t="s">
        <v>50</v>
      </c>
      <c r="BI205" s="13">
        <v>2.5000000000000001E-2</v>
      </c>
      <c r="BJ205" s="18">
        <f>ABS(_xlfn.NORM.S.INV(Table1347456[[#This Row],[p_value]]/2))</f>
        <v>2.2414027276049446</v>
      </c>
      <c r="BK205" s="19">
        <f>(Table1347456[[#This Row],[lnrr]]/Table1347456[[#This Row],[z_from_p]])^2</f>
        <v>9.6863236658228631E-4</v>
      </c>
      <c r="BL205" s="16">
        <f>Table1347456[[#This Row],[v_from_sd_and_n]]</f>
        <v>5.2102041589575489E-3</v>
      </c>
      <c r="BM205" s="20">
        <f>SQRT(Table1347456[[#This Row],[v]])</f>
        <v>7.2181743945110871E-2</v>
      </c>
      <c r="BN205" s="20">
        <f>Table1347456[[#This Row],[lnrr]]-(1.96*Table1347456[[#This Row],[se]])</f>
        <v>-7.1717356565883156E-2</v>
      </c>
      <c r="BO205" s="20">
        <f>Table1347456[[#This Row],[lnrr]]+(1.96 * Table1347456[[#This Row],[se]])</f>
        <v>0.21123507969895147</v>
      </c>
    </row>
    <row r="206" spans="1:67">
      <c r="A206" s="13" t="s">
        <v>128</v>
      </c>
      <c r="B206" s="13" t="s">
        <v>137</v>
      </c>
      <c r="C206" s="13" t="s">
        <v>130</v>
      </c>
      <c r="D206" s="13" t="s">
        <v>131</v>
      </c>
      <c r="E206" s="13" t="s">
        <v>132</v>
      </c>
      <c r="F206" s="13" t="s">
        <v>589</v>
      </c>
      <c r="G206" s="13" t="s">
        <v>138</v>
      </c>
      <c r="H206" s="13">
        <v>28</v>
      </c>
      <c r="I206" s="13">
        <v>1875</v>
      </c>
      <c r="K206" s="13" t="s">
        <v>831</v>
      </c>
      <c r="L206" s="13" t="s">
        <v>832</v>
      </c>
      <c r="N206" s="13" t="s">
        <v>668</v>
      </c>
      <c r="O206" s="13" t="s">
        <v>668</v>
      </c>
      <c r="P206" s="13" t="s">
        <v>87</v>
      </c>
      <c r="Q206" s="13" t="s">
        <v>87</v>
      </c>
      <c r="R206" s="4">
        <v>4</v>
      </c>
      <c r="S206" s="13" t="s">
        <v>596</v>
      </c>
      <c r="T206" s="13">
        <v>45</v>
      </c>
      <c r="U206" s="4" t="s">
        <v>133</v>
      </c>
      <c r="V206" s="4">
        <v>400</v>
      </c>
      <c r="W206" s="4" t="s">
        <v>42</v>
      </c>
      <c r="X206" s="4" t="s">
        <v>46</v>
      </c>
      <c r="Y206" s="4">
        <v>32</v>
      </c>
      <c r="AA206" s="4" t="s">
        <v>49</v>
      </c>
      <c r="AB206" s="4">
        <v>0</v>
      </c>
      <c r="AC206" s="4" t="s">
        <v>49</v>
      </c>
      <c r="AD206" s="4">
        <v>0</v>
      </c>
      <c r="AE206" s="4" t="s">
        <v>49</v>
      </c>
      <c r="AF206" s="4">
        <v>0</v>
      </c>
      <c r="AG206" s="4" t="s">
        <v>685</v>
      </c>
      <c r="AH206" s="4" t="s">
        <v>722</v>
      </c>
      <c r="AI206" s="4" t="s">
        <v>78</v>
      </c>
      <c r="AJ206" s="13">
        <v>0</v>
      </c>
      <c r="AK206" s="13">
        <v>20</v>
      </c>
      <c r="AL206" s="13" t="s">
        <v>493</v>
      </c>
      <c r="AM206" s="13">
        <v>1.6</v>
      </c>
      <c r="AN206" s="13" t="s">
        <v>494</v>
      </c>
      <c r="AO206" s="13" t="s">
        <v>495</v>
      </c>
      <c r="AP206" s="13" t="s">
        <v>50</v>
      </c>
      <c r="AQ206" s="13" t="s">
        <v>49</v>
      </c>
      <c r="AR206" s="13" t="s">
        <v>50</v>
      </c>
      <c r="AS206" s="13" t="s">
        <v>49</v>
      </c>
      <c r="AT206" s="13" t="s">
        <v>990</v>
      </c>
      <c r="AU206" s="13" t="s">
        <v>998</v>
      </c>
      <c r="AV206" s="14">
        <v>8.49</v>
      </c>
      <c r="AW206" s="14">
        <v>6.09</v>
      </c>
      <c r="AX206" s="14">
        <f>Table1347456[[#This Row],[treatment_mean]]/Table1347456[[#This Row],[control_mean]]</f>
        <v>1.3940886699507389</v>
      </c>
      <c r="AY206" s="14">
        <f>LN(Table1347456[[#This Row],[rr]])</f>
        <v>0.33224091860145027</v>
      </c>
      <c r="AZ206" s="13">
        <v>4</v>
      </c>
      <c r="BA206" s="13">
        <v>4</v>
      </c>
      <c r="BB206" s="14">
        <v>0.32</v>
      </c>
      <c r="BC206" s="14">
        <v>0.41</v>
      </c>
      <c r="BD206" s="15">
        <f>Table1347456[[#This Row],[treatment_se]]*SQRT(Table1347456[[#This Row],[treatment_n]])</f>
        <v>0.64</v>
      </c>
      <c r="BE206" s="14">
        <f>Table1347456[[#This Row],[control_se]]*SQRT(Table1347456[[#This Row],[control_n]])</f>
        <v>0.82</v>
      </c>
      <c r="BF20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5.9530928679212697E-3</v>
      </c>
      <c r="BG206" s="17">
        <f>SQRT(Table1347456[[#This Row],[v_from_sd_and_n]])</f>
        <v>7.7156288583117252E-2</v>
      </c>
      <c r="BH206" s="13" t="s">
        <v>50</v>
      </c>
      <c r="BI206" s="13">
        <v>2.5000000000000001E-2</v>
      </c>
      <c r="BJ206" s="18">
        <f>ABS(_xlfn.NORM.S.INV(Table1347456[[#This Row],[p_value]]/2))</f>
        <v>2.2414027276049446</v>
      </c>
      <c r="BK206" s="19">
        <f>(Table1347456[[#This Row],[lnrr]]/Table1347456[[#This Row],[z_from_p]])^2</f>
        <v>2.1971840897162604E-2</v>
      </c>
      <c r="BL206" s="16">
        <f>Table1347456[[#This Row],[v_from_sd_and_n]]</f>
        <v>5.9530928679212697E-3</v>
      </c>
      <c r="BM206" s="20">
        <f>SQRT(Table1347456[[#This Row],[v]])</f>
        <v>7.7156288583117252E-2</v>
      </c>
      <c r="BN206" s="20">
        <f>Table1347456[[#This Row],[lnrr]]-(1.96*Table1347456[[#This Row],[se]])</f>
        <v>0.18101459297854047</v>
      </c>
      <c r="BO206" s="20">
        <f>Table1347456[[#This Row],[lnrr]]+(1.96 * Table1347456[[#This Row],[se]])</f>
        <v>0.48346724422436005</v>
      </c>
    </row>
    <row r="207" spans="1:67">
      <c r="A207" s="13" t="s">
        <v>128</v>
      </c>
      <c r="B207" s="13" t="s">
        <v>137</v>
      </c>
      <c r="C207" s="13" t="s">
        <v>130</v>
      </c>
      <c r="D207" s="13" t="s">
        <v>131</v>
      </c>
      <c r="E207" s="13" t="s">
        <v>132</v>
      </c>
      <c r="F207" s="13" t="s">
        <v>589</v>
      </c>
      <c r="G207" s="13" t="s">
        <v>138</v>
      </c>
      <c r="H207" s="13">
        <v>28</v>
      </c>
      <c r="I207" s="13">
        <v>1875</v>
      </c>
      <c r="K207" s="13" t="s">
        <v>831</v>
      </c>
      <c r="L207" s="13" t="s">
        <v>832</v>
      </c>
      <c r="N207" s="13" t="s">
        <v>668</v>
      </c>
      <c r="O207" s="13" t="s">
        <v>668</v>
      </c>
      <c r="P207" s="13" t="s">
        <v>87</v>
      </c>
      <c r="Q207" s="13" t="s">
        <v>87</v>
      </c>
      <c r="R207" s="4">
        <v>4</v>
      </c>
      <c r="S207" s="13" t="s">
        <v>596</v>
      </c>
      <c r="T207" s="13">
        <v>45</v>
      </c>
      <c r="U207" s="4" t="s">
        <v>133</v>
      </c>
      <c r="V207" s="4">
        <v>400</v>
      </c>
      <c r="W207" s="4" t="s">
        <v>42</v>
      </c>
      <c r="X207" s="4" t="s">
        <v>46</v>
      </c>
      <c r="Y207" s="4">
        <v>48</v>
      </c>
      <c r="AA207" s="4" t="s">
        <v>49</v>
      </c>
      <c r="AB207" s="4">
        <v>0</v>
      </c>
      <c r="AC207" s="4" t="s">
        <v>49</v>
      </c>
      <c r="AD207" s="4">
        <v>0</v>
      </c>
      <c r="AE207" s="4" t="s">
        <v>49</v>
      </c>
      <c r="AF207" s="4">
        <v>0</v>
      </c>
      <c r="AG207" s="4" t="s">
        <v>685</v>
      </c>
      <c r="AH207" s="4" t="s">
        <v>722</v>
      </c>
      <c r="AI207" s="4" t="s">
        <v>78</v>
      </c>
      <c r="AJ207" s="13">
        <v>0</v>
      </c>
      <c r="AK207" s="13">
        <v>20</v>
      </c>
      <c r="AL207" s="13" t="s">
        <v>493</v>
      </c>
      <c r="AM207" s="13">
        <v>1.6</v>
      </c>
      <c r="AN207" s="13" t="s">
        <v>494</v>
      </c>
      <c r="AO207" s="13" t="s">
        <v>495</v>
      </c>
      <c r="AP207" s="13" t="s">
        <v>50</v>
      </c>
      <c r="AQ207" s="13" t="s">
        <v>49</v>
      </c>
      <c r="AR207" s="13" t="s">
        <v>50</v>
      </c>
      <c r="AS207" s="13" t="s">
        <v>49</v>
      </c>
      <c r="AT207" s="13" t="s">
        <v>990</v>
      </c>
      <c r="AU207" s="13" t="s">
        <v>998</v>
      </c>
      <c r="AV207" s="14">
        <v>7.43</v>
      </c>
      <c r="AW207" s="14">
        <v>6.09</v>
      </c>
      <c r="AX207" s="14">
        <f>Table1347456[[#This Row],[treatment_mean]]/Table1347456[[#This Row],[control_mean]]</f>
        <v>1.2200328407224958</v>
      </c>
      <c r="AY207" s="14">
        <f>LN(Table1347456[[#This Row],[rr]])</f>
        <v>0.19887777700786211</v>
      </c>
      <c r="AZ207" s="13">
        <v>4</v>
      </c>
      <c r="BA207" s="13">
        <v>4</v>
      </c>
      <c r="BB207" s="14">
        <v>1.1499999999999999</v>
      </c>
      <c r="BC207" s="14">
        <v>0.41</v>
      </c>
      <c r="BD207" s="15">
        <f>Table1347456[[#This Row],[treatment_se]]*SQRT(Table1347456[[#This Row],[treatment_n]])</f>
        <v>2.2999999999999998</v>
      </c>
      <c r="BE207" s="14">
        <f>Table1347456[[#This Row],[control_se]]*SQRT(Table1347456[[#This Row],[control_n]])</f>
        <v>0.82</v>
      </c>
      <c r="BF20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2.8488657895646939E-2</v>
      </c>
      <c r="BG207" s="17">
        <f>SQRT(Table1347456[[#This Row],[v_from_sd_and_n]])</f>
        <v>0.16878583440457004</v>
      </c>
      <c r="BH207" s="13" t="s">
        <v>50</v>
      </c>
      <c r="BI207" s="13">
        <v>2.5000000000000001E-2</v>
      </c>
      <c r="BJ207" s="18">
        <f>ABS(_xlfn.NORM.S.INV(Table1347456[[#This Row],[p_value]]/2))</f>
        <v>2.2414027276049446</v>
      </c>
      <c r="BK207" s="19">
        <f>(Table1347456[[#This Row],[lnrr]]/Table1347456[[#This Row],[z_from_p]])^2</f>
        <v>7.8728634990691253E-3</v>
      </c>
      <c r="BL207" s="16">
        <f>Table1347456[[#This Row],[v_from_sd_and_n]]</f>
        <v>2.8488657895646939E-2</v>
      </c>
      <c r="BM207" s="20">
        <f>SQRT(Table1347456[[#This Row],[v]])</f>
        <v>0.16878583440457004</v>
      </c>
      <c r="BN207" s="20">
        <f>Table1347456[[#This Row],[lnrr]]-(1.96*Table1347456[[#This Row],[se]])</f>
        <v>-0.13194245842509519</v>
      </c>
      <c r="BO207" s="20">
        <f>Table1347456[[#This Row],[lnrr]]+(1.96 * Table1347456[[#This Row],[se]])</f>
        <v>0.52969801244081938</v>
      </c>
    </row>
    <row r="208" spans="1:67">
      <c r="A208" s="13" t="s">
        <v>128</v>
      </c>
      <c r="B208" s="13" t="s">
        <v>137</v>
      </c>
      <c r="C208" s="13" t="s">
        <v>130</v>
      </c>
      <c r="D208" s="13" t="s">
        <v>131</v>
      </c>
      <c r="E208" s="13" t="s">
        <v>132</v>
      </c>
      <c r="F208" s="13" t="s">
        <v>589</v>
      </c>
      <c r="G208" s="13" t="s">
        <v>138</v>
      </c>
      <c r="H208" s="13">
        <v>28</v>
      </c>
      <c r="I208" s="13">
        <v>1875</v>
      </c>
      <c r="K208" s="13" t="s">
        <v>831</v>
      </c>
      <c r="L208" s="13" t="s">
        <v>832</v>
      </c>
      <c r="N208" s="13" t="s">
        <v>668</v>
      </c>
      <c r="O208" s="13" t="s">
        <v>668</v>
      </c>
      <c r="P208" s="13" t="s">
        <v>87</v>
      </c>
      <c r="Q208" s="13" t="s">
        <v>87</v>
      </c>
      <c r="R208" s="4">
        <v>4</v>
      </c>
      <c r="S208" s="13" t="s">
        <v>596</v>
      </c>
      <c r="T208" s="13">
        <v>45</v>
      </c>
      <c r="U208" s="4" t="s">
        <v>133</v>
      </c>
      <c r="V208" s="4">
        <v>400</v>
      </c>
      <c r="W208" s="4" t="s">
        <v>42</v>
      </c>
      <c r="X208" s="4" t="s">
        <v>46</v>
      </c>
      <c r="Y208" s="4">
        <v>64</v>
      </c>
      <c r="AA208" s="4" t="s">
        <v>49</v>
      </c>
      <c r="AB208" s="4">
        <v>0</v>
      </c>
      <c r="AC208" s="4" t="s">
        <v>49</v>
      </c>
      <c r="AD208" s="4">
        <v>0</v>
      </c>
      <c r="AE208" s="4" t="s">
        <v>49</v>
      </c>
      <c r="AF208" s="4">
        <v>0</v>
      </c>
      <c r="AG208" s="4" t="s">
        <v>685</v>
      </c>
      <c r="AH208" s="4" t="s">
        <v>722</v>
      </c>
      <c r="AI208" s="4" t="s">
        <v>78</v>
      </c>
      <c r="AJ208" s="13">
        <v>0</v>
      </c>
      <c r="AK208" s="13">
        <v>20</v>
      </c>
      <c r="AL208" s="13" t="s">
        <v>493</v>
      </c>
      <c r="AM208" s="13">
        <v>1.6</v>
      </c>
      <c r="AN208" s="13" t="s">
        <v>494</v>
      </c>
      <c r="AO208" s="13" t="s">
        <v>495</v>
      </c>
      <c r="AP208" s="13" t="s">
        <v>50</v>
      </c>
      <c r="AQ208" s="13" t="s">
        <v>49</v>
      </c>
      <c r="AR208" s="13" t="s">
        <v>50</v>
      </c>
      <c r="AS208" s="13" t="s">
        <v>49</v>
      </c>
      <c r="AT208" s="13" t="s">
        <v>990</v>
      </c>
      <c r="AU208" s="13" t="s">
        <v>998</v>
      </c>
      <c r="AV208" s="14">
        <v>7.67</v>
      </c>
      <c r="AW208" s="14">
        <v>6.09</v>
      </c>
      <c r="AX208" s="14">
        <f>Table1347456[[#This Row],[treatment_mean]]/Table1347456[[#This Row],[control_mean]]</f>
        <v>1.2594417077175699</v>
      </c>
      <c r="AY208" s="14">
        <f>LN(Table1347456[[#This Row],[rr]])</f>
        <v>0.23066853365735926</v>
      </c>
      <c r="AZ208" s="13">
        <v>4</v>
      </c>
      <c r="BA208" s="13">
        <v>4</v>
      </c>
      <c r="BB208" s="14">
        <v>0.89</v>
      </c>
      <c r="BC208" s="14">
        <v>0.41</v>
      </c>
      <c r="BD208" s="15">
        <f>Table1347456[[#This Row],[treatment_se]]*SQRT(Table1347456[[#This Row],[treatment_n]])</f>
        <v>1.78</v>
      </c>
      <c r="BE208" s="14">
        <f>Table1347456[[#This Row],[control_se]]*SQRT(Table1347456[[#This Row],[control_n]])</f>
        <v>0.82</v>
      </c>
      <c r="BF20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1.7996921803480774E-2</v>
      </c>
      <c r="BG208" s="17">
        <f>SQRT(Table1347456[[#This Row],[v_from_sd_and_n]])</f>
        <v>0.13415260639838786</v>
      </c>
      <c r="BH208" s="13" t="s">
        <v>50</v>
      </c>
      <c r="BI208" s="13">
        <v>2.5000000000000001E-2</v>
      </c>
      <c r="BJ208" s="18">
        <f>ABS(_xlfn.NORM.S.INV(Table1347456[[#This Row],[p_value]]/2))</f>
        <v>2.2414027276049446</v>
      </c>
      <c r="BK208" s="19">
        <f>(Table1347456[[#This Row],[lnrr]]/Table1347456[[#This Row],[z_from_p]])^2</f>
        <v>1.059099876784317E-2</v>
      </c>
      <c r="BL208" s="16">
        <f>Table1347456[[#This Row],[v_from_sd_and_n]]</f>
        <v>1.7996921803480774E-2</v>
      </c>
      <c r="BM208" s="20">
        <f>SQRT(Table1347456[[#This Row],[v]])</f>
        <v>0.13415260639838786</v>
      </c>
      <c r="BN208" s="20">
        <f>Table1347456[[#This Row],[lnrr]]-(1.96*Table1347456[[#This Row],[se]])</f>
        <v>-3.2270574883480924E-2</v>
      </c>
      <c r="BO208" s="20">
        <f>Table1347456[[#This Row],[lnrr]]+(1.96 * Table1347456[[#This Row],[se]])</f>
        <v>0.49360764219819941</v>
      </c>
    </row>
    <row r="209" spans="1:67">
      <c r="A209" s="13" t="s">
        <v>128</v>
      </c>
      <c r="B209" s="13" t="s">
        <v>137</v>
      </c>
      <c r="C209" s="13" t="s">
        <v>130</v>
      </c>
      <c r="D209" s="13" t="s">
        <v>131</v>
      </c>
      <c r="E209" s="13" t="s">
        <v>132</v>
      </c>
      <c r="F209" s="13" t="s">
        <v>589</v>
      </c>
      <c r="G209" s="13" t="s">
        <v>138</v>
      </c>
      <c r="H209" s="13">
        <v>28</v>
      </c>
      <c r="I209" s="13">
        <v>1875</v>
      </c>
      <c r="K209" s="13" t="s">
        <v>831</v>
      </c>
      <c r="L209" s="13" t="s">
        <v>832</v>
      </c>
      <c r="N209" s="13" t="s">
        <v>668</v>
      </c>
      <c r="O209" s="13" t="s">
        <v>668</v>
      </c>
      <c r="P209" s="13" t="s">
        <v>87</v>
      </c>
      <c r="Q209" s="13" t="s">
        <v>87</v>
      </c>
      <c r="R209" s="4">
        <v>4</v>
      </c>
      <c r="S209" s="13" t="s">
        <v>596</v>
      </c>
      <c r="T209" s="13">
        <v>45</v>
      </c>
      <c r="U209" s="4" t="s">
        <v>134</v>
      </c>
      <c r="V209" s="4">
        <v>400</v>
      </c>
      <c r="W209" s="4" t="s">
        <v>42</v>
      </c>
      <c r="X209" s="4" t="s">
        <v>46</v>
      </c>
      <c r="Y209" s="4">
        <v>16</v>
      </c>
      <c r="AA209" s="4" t="s">
        <v>49</v>
      </c>
      <c r="AB209" s="4">
        <v>0</v>
      </c>
      <c r="AC209" s="4" t="s">
        <v>49</v>
      </c>
      <c r="AD209" s="4">
        <v>0</v>
      </c>
      <c r="AE209" s="4" t="s">
        <v>49</v>
      </c>
      <c r="AF209" s="4">
        <v>0</v>
      </c>
      <c r="AG209" s="4" t="s">
        <v>708</v>
      </c>
      <c r="AH209" s="4" t="s">
        <v>722</v>
      </c>
      <c r="AI209" s="4" t="s">
        <v>78</v>
      </c>
      <c r="AJ209" s="13">
        <v>0</v>
      </c>
      <c r="AK209" s="13">
        <v>20</v>
      </c>
      <c r="AL209" s="13" t="s">
        <v>493</v>
      </c>
      <c r="AM209" s="13">
        <v>1.6</v>
      </c>
      <c r="AN209" s="13" t="s">
        <v>494</v>
      </c>
      <c r="AO209" s="13" t="s">
        <v>495</v>
      </c>
      <c r="AP209" s="13" t="s">
        <v>50</v>
      </c>
      <c r="AQ209" s="13" t="s">
        <v>49</v>
      </c>
      <c r="AR209" s="13" t="s">
        <v>50</v>
      </c>
      <c r="AS209" s="13" t="s">
        <v>49</v>
      </c>
      <c r="AT209" s="13" t="s">
        <v>990</v>
      </c>
      <c r="AU209" s="13" t="s">
        <v>998</v>
      </c>
      <c r="AV209" s="14">
        <v>8.14</v>
      </c>
      <c r="AW209" s="14">
        <v>6.09</v>
      </c>
      <c r="AX209" s="14">
        <f>Table1347456[[#This Row],[treatment_mean]]/Table1347456[[#This Row],[control_mean]]</f>
        <v>1.336617405582923</v>
      </c>
      <c r="AY209" s="14">
        <f>LN(Table1347456[[#This Row],[rr]])</f>
        <v>0.29014209829264337</v>
      </c>
      <c r="AZ209" s="13">
        <v>4</v>
      </c>
      <c r="BA209" s="13">
        <v>4</v>
      </c>
      <c r="BB209" s="14">
        <v>0.73</v>
      </c>
      <c r="BC209" s="14">
        <v>0.41</v>
      </c>
      <c r="BD209" s="15">
        <f>Table1347456[[#This Row],[treatment_se]]*SQRT(Table1347456[[#This Row],[treatment_n]])</f>
        <v>1.46</v>
      </c>
      <c r="BE209" s="14">
        <f>Table1347456[[#This Row],[control_se]]*SQRT(Table1347456[[#This Row],[control_n]])</f>
        <v>0.82</v>
      </c>
      <c r="BF20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1.2575059275113404E-2</v>
      </c>
      <c r="BG209" s="17">
        <f>SQRT(Table1347456[[#This Row],[v_from_sd_and_n]])</f>
        <v>0.11213857175438523</v>
      </c>
      <c r="BH209" s="13" t="s">
        <v>50</v>
      </c>
      <c r="BI209" s="13">
        <v>2.5000000000000001E-2</v>
      </c>
      <c r="BJ209" s="18">
        <f>ABS(_xlfn.NORM.S.INV(Table1347456[[#This Row],[p_value]]/2))</f>
        <v>2.2414027276049446</v>
      </c>
      <c r="BK209" s="19">
        <f>(Table1347456[[#This Row],[lnrr]]/Table1347456[[#This Row],[z_from_p]])^2</f>
        <v>1.6756437957176507E-2</v>
      </c>
      <c r="BL209" s="16">
        <f>Table1347456[[#This Row],[v_from_sd_and_n]]</f>
        <v>1.2575059275113404E-2</v>
      </c>
      <c r="BM209" s="20">
        <f>SQRT(Table1347456[[#This Row],[v]])</f>
        <v>0.11213857175438523</v>
      </c>
      <c r="BN209" s="20">
        <f>Table1347456[[#This Row],[lnrr]]-(1.96*Table1347456[[#This Row],[se]])</f>
        <v>7.0350497654048327E-2</v>
      </c>
      <c r="BO209" s="20">
        <f>Table1347456[[#This Row],[lnrr]]+(1.96 * Table1347456[[#This Row],[se]])</f>
        <v>0.50993369893123841</v>
      </c>
    </row>
    <row r="210" spans="1:67">
      <c r="A210" s="13" t="s">
        <v>128</v>
      </c>
      <c r="B210" s="13" t="s">
        <v>137</v>
      </c>
      <c r="C210" s="13" t="s">
        <v>130</v>
      </c>
      <c r="D210" s="13" t="s">
        <v>131</v>
      </c>
      <c r="E210" s="13" t="s">
        <v>132</v>
      </c>
      <c r="F210" s="13" t="s">
        <v>589</v>
      </c>
      <c r="G210" s="13" t="s">
        <v>138</v>
      </c>
      <c r="H210" s="13">
        <v>28</v>
      </c>
      <c r="I210" s="13">
        <v>1875</v>
      </c>
      <c r="K210" s="13" t="s">
        <v>831</v>
      </c>
      <c r="L210" s="13" t="s">
        <v>832</v>
      </c>
      <c r="N210" s="13" t="s">
        <v>668</v>
      </c>
      <c r="O210" s="13" t="s">
        <v>668</v>
      </c>
      <c r="P210" s="13" t="s">
        <v>87</v>
      </c>
      <c r="Q210" s="13" t="s">
        <v>87</v>
      </c>
      <c r="R210" s="4">
        <v>4</v>
      </c>
      <c r="S210" s="13" t="s">
        <v>596</v>
      </c>
      <c r="T210" s="13">
        <v>45</v>
      </c>
      <c r="U210" s="4" t="s">
        <v>134</v>
      </c>
      <c r="V210" s="4">
        <v>400</v>
      </c>
      <c r="W210" s="4" t="s">
        <v>42</v>
      </c>
      <c r="X210" s="4" t="s">
        <v>46</v>
      </c>
      <c r="Y210" s="4">
        <v>32</v>
      </c>
      <c r="AA210" s="4" t="s">
        <v>49</v>
      </c>
      <c r="AB210" s="4">
        <v>0</v>
      </c>
      <c r="AC210" s="4" t="s">
        <v>49</v>
      </c>
      <c r="AD210" s="4">
        <v>0</v>
      </c>
      <c r="AE210" s="4" t="s">
        <v>49</v>
      </c>
      <c r="AF210" s="4">
        <v>0</v>
      </c>
      <c r="AG210" s="4" t="s">
        <v>708</v>
      </c>
      <c r="AH210" s="4" t="s">
        <v>722</v>
      </c>
      <c r="AI210" s="4" t="s">
        <v>78</v>
      </c>
      <c r="AJ210" s="13">
        <v>0</v>
      </c>
      <c r="AK210" s="13">
        <v>20</v>
      </c>
      <c r="AL210" s="13" t="s">
        <v>493</v>
      </c>
      <c r="AM210" s="13">
        <v>1.6</v>
      </c>
      <c r="AN210" s="13" t="s">
        <v>494</v>
      </c>
      <c r="AO210" s="13" t="s">
        <v>495</v>
      </c>
      <c r="AP210" s="13" t="s">
        <v>50</v>
      </c>
      <c r="AQ210" s="13" t="s">
        <v>49</v>
      </c>
      <c r="AR210" s="13" t="s">
        <v>50</v>
      </c>
      <c r="AS210" s="13" t="s">
        <v>49</v>
      </c>
      <c r="AT210" s="13" t="s">
        <v>990</v>
      </c>
      <c r="AU210" s="13" t="s">
        <v>998</v>
      </c>
      <c r="AV210" s="14">
        <v>7.87</v>
      </c>
      <c r="AW210" s="14">
        <v>6.09</v>
      </c>
      <c r="AX210" s="14">
        <f>Table1347456[[#This Row],[treatment_mean]]/Table1347456[[#This Row],[control_mean]]</f>
        <v>1.2922824302134648</v>
      </c>
      <c r="AY210" s="14">
        <f>LN(Table1347456[[#This Row],[rr]])</f>
        <v>0.25640998070750626</v>
      </c>
      <c r="AZ210" s="13">
        <v>4</v>
      </c>
      <c r="BA210" s="13">
        <v>4</v>
      </c>
      <c r="BB210" s="14">
        <v>0.5</v>
      </c>
      <c r="BC210" s="14">
        <v>0.41</v>
      </c>
      <c r="BD210" s="15">
        <f>Table1347456[[#This Row],[treatment_se]]*SQRT(Table1347456[[#This Row],[treatment_n]])</f>
        <v>1</v>
      </c>
      <c r="BE210" s="14">
        <f>Table1347456[[#This Row],[control_se]]*SQRT(Table1347456[[#This Row],[control_n]])</f>
        <v>0.82</v>
      </c>
      <c r="BF21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8.5688171531606849E-3</v>
      </c>
      <c r="BG210" s="17">
        <f>SQRT(Table1347456[[#This Row],[v_from_sd_and_n]])</f>
        <v>9.2567905632355563E-2</v>
      </c>
      <c r="BH210" s="13" t="s">
        <v>50</v>
      </c>
      <c r="BI210" s="13">
        <v>2.5000000000000001E-2</v>
      </c>
      <c r="BJ210" s="18">
        <f>ABS(_xlfn.NORM.S.INV(Table1347456[[#This Row],[p_value]]/2))</f>
        <v>2.2414027276049446</v>
      </c>
      <c r="BK210" s="19">
        <f>(Table1347456[[#This Row],[lnrr]]/Table1347456[[#This Row],[z_from_p]])^2</f>
        <v>1.3086697380292965E-2</v>
      </c>
      <c r="BL210" s="16">
        <f>Table1347456[[#This Row],[v_from_sd_and_n]]</f>
        <v>8.5688171531606849E-3</v>
      </c>
      <c r="BM210" s="20">
        <f>SQRT(Table1347456[[#This Row],[v]])</f>
        <v>9.2567905632355563E-2</v>
      </c>
      <c r="BN210" s="20">
        <f>Table1347456[[#This Row],[lnrr]]-(1.96*Table1347456[[#This Row],[se]])</f>
        <v>7.4976885668089355E-2</v>
      </c>
      <c r="BO210" s="20">
        <f>Table1347456[[#This Row],[lnrr]]+(1.96 * Table1347456[[#This Row],[se]])</f>
        <v>0.43784307574692316</v>
      </c>
    </row>
    <row r="211" spans="1:67">
      <c r="A211" s="13" t="s">
        <v>128</v>
      </c>
      <c r="B211" s="13" t="s">
        <v>137</v>
      </c>
      <c r="C211" s="13" t="s">
        <v>130</v>
      </c>
      <c r="D211" s="13" t="s">
        <v>131</v>
      </c>
      <c r="E211" s="13" t="s">
        <v>132</v>
      </c>
      <c r="F211" s="13" t="s">
        <v>589</v>
      </c>
      <c r="G211" s="13" t="s">
        <v>138</v>
      </c>
      <c r="H211" s="13">
        <v>28</v>
      </c>
      <c r="I211" s="13">
        <v>1875</v>
      </c>
      <c r="K211" s="13" t="s">
        <v>831</v>
      </c>
      <c r="L211" s="13" t="s">
        <v>832</v>
      </c>
      <c r="N211" s="13" t="s">
        <v>668</v>
      </c>
      <c r="O211" s="13" t="s">
        <v>668</v>
      </c>
      <c r="P211" s="13" t="s">
        <v>87</v>
      </c>
      <c r="Q211" s="13" t="s">
        <v>87</v>
      </c>
      <c r="R211" s="4">
        <v>4</v>
      </c>
      <c r="S211" s="13" t="s">
        <v>596</v>
      </c>
      <c r="T211" s="13">
        <v>45</v>
      </c>
      <c r="U211" s="4" t="s">
        <v>134</v>
      </c>
      <c r="V211" s="4">
        <v>400</v>
      </c>
      <c r="W211" s="4" t="s">
        <v>42</v>
      </c>
      <c r="X211" s="4" t="s">
        <v>46</v>
      </c>
      <c r="Y211" s="4">
        <v>48</v>
      </c>
      <c r="AA211" s="4" t="s">
        <v>49</v>
      </c>
      <c r="AB211" s="4">
        <v>0</v>
      </c>
      <c r="AC211" s="4" t="s">
        <v>49</v>
      </c>
      <c r="AD211" s="4">
        <v>0</v>
      </c>
      <c r="AE211" s="4" t="s">
        <v>49</v>
      </c>
      <c r="AF211" s="4">
        <v>0</v>
      </c>
      <c r="AG211" s="4" t="s">
        <v>708</v>
      </c>
      <c r="AH211" s="4" t="s">
        <v>722</v>
      </c>
      <c r="AI211" s="4" t="s">
        <v>78</v>
      </c>
      <c r="AJ211" s="13">
        <v>0</v>
      </c>
      <c r="AK211" s="13">
        <v>20</v>
      </c>
      <c r="AL211" s="13" t="s">
        <v>493</v>
      </c>
      <c r="AM211" s="13">
        <v>1.6</v>
      </c>
      <c r="AN211" s="13" t="s">
        <v>494</v>
      </c>
      <c r="AO211" s="13" t="s">
        <v>495</v>
      </c>
      <c r="AP211" s="13" t="s">
        <v>50</v>
      </c>
      <c r="AQ211" s="13" t="s">
        <v>49</v>
      </c>
      <c r="AR211" s="13" t="s">
        <v>50</v>
      </c>
      <c r="AS211" s="13" t="s">
        <v>49</v>
      </c>
      <c r="AT211" s="13" t="s">
        <v>990</v>
      </c>
      <c r="AU211" s="13" t="s">
        <v>998</v>
      </c>
      <c r="AV211" s="14">
        <v>8.02</v>
      </c>
      <c r="AW211" s="14">
        <v>6.09</v>
      </c>
      <c r="AX211" s="14">
        <f>Table1347456[[#This Row],[treatment_mean]]/Table1347456[[#This Row],[control_mean]]</f>
        <v>1.3169129720853858</v>
      </c>
      <c r="AY211" s="14">
        <f>LN(Table1347456[[#This Row],[rr]])</f>
        <v>0.27529034015661741</v>
      </c>
      <c r="AZ211" s="13">
        <v>4</v>
      </c>
      <c r="BA211" s="13">
        <v>4</v>
      </c>
      <c r="BB211" s="14">
        <v>1.23</v>
      </c>
      <c r="BC211" s="14">
        <v>0.41</v>
      </c>
      <c r="BD211" s="15">
        <f>Table1347456[[#This Row],[treatment_se]]*SQRT(Table1347456[[#This Row],[treatment_n]])</f>
        <v>2.46</v>
      </c>
      <c r="BE211" s="14">
        <f>Table1347456[[#This Row],[control_se]]*SQRT(Table1347456[[#This Row],[control_n]])</f>
        <v>0.82</v>
      </c>
      <c r="BF21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2.8053760056738781E-2</v>
      </c>
      <c r="BG211" s="17">
        <f>SQRT(Table1347456[[#This Row],[v_from_sd_and_n]])</f>
        <v>0.16749256716863223</v>
      </c>
      <c r="BH211" s="13" t="s">
        <v>50</v>
      </c>
      <c r="BI211" s="13">
        <v>2.5000000000000001E-2</v>
      </c>
      <c r="BJ211" s="18">
        <f>ABS(_xlfn.NORM.S.INV(Table1347456[[#This Row],[p_value]]/2))</f>
        <v>2.2414027276049446</v>
      </c>
      <c r="BK211" s="19">
        <f>(Table1347456[[#This Row],[lnrr]]/Table1347456[[#This Row],[z_from_p]])^2</f>
        <v>1.5084890174243932E-2</v>
      </c>
      <c r="BL211" s="16">
        <f>Table1347456[[#This Row],[v_from_sd_and_n]]</f>
        <v>2.8053760056738781E-2</v>
      </c>
      <c r="BM211" s="20">
        <f>SQRT(Table1347456[[#This Row],[v]])</f>
        <v>0.16749256716863223</v>
      </c>
      <c r="BN211" s="20">
        <f>Table1347456[[#This Row],[lnrr]]-(1.96*Table1347456[[#This Row],[se]])</f>
        <v>-5.2995091493901747E-2</v>
      </c>
      <c r="BO211" s="20">
        <f>Table1347456[[#This Row],[lnrr]]+(1.96 * Table1347456[[#This Row],[se]])</f>
        <v>0.60357577180713662</v>
      </c>
    </row>
    <row r="212" spans="1:67">
      <c r="A212" s="13" t="s">
        <v>128</v>
      </c>
      <c r="B212" s="13" t="s">
        <v>137</v>
      </c>
      <c r="C212" s="13" t="s">
        <v>130</v>
      </c>
      <c r="D212" s="13" t="s">
        <v>131</v>
      </c>
      <c r="E212" s="13" t="s">
        <v>132</v>
      </c>
      <c r="F212" s="13" t="s">
        <v>589</v>
      </c>
      <c r="G212" s="13" t="s">
        <v>138</v>
      </c>
      <c r="H212" s="13">
        <v>28</v>
      </c>
      <c r="I212" s="13">
        <v>1875</v>
      </c>
      <c r="K212" s="13" t="s">
        <v>831</v>
      </c>
      <c r="L212" s="13" t="s">
        <v>832</v>
      </c>
      <c r="N212" s="13" t="s">
        <v>668</v>
      </c>
      <c r="O212" s="13" t="s">
        <v>668</v>
      </c>
      <c r="P212" s="13" t="s">
        <v>87</v>
      </c>
      <c r="Q212" s="13" t="s">
        <v>87</v>
      </c>
      <c r="R212" s="4">
        <v>4</v>
      </c>
      <c r="S212" s="13" t="s">
        <v>596</v>
      </c>
      <c r="T212" s="13">
        <v>45</v>
      </c>
      <c r="U212" s="4" t="s">
        <v>134</v>
      </c>
      <c r="V212" s="4">
        <v>400</v>
      </c>
      <c r="W212" s="4" t="s">
        <v>42</v>
      </c>
      <c r="X212" s="4" t="s">
        <v>46</v>
      </c>
      <c r="Y212" s="4">
        <v>64</v>
      </c>
      <c r="AA212" s="4" t="s">
        <v>49</v>
      </c>
      <c r="AB212" s="4">
        <v>0</v>
      </c>
      <c r="AC212" s="4" t="s">
        <v>49</v>
      </c>
      <c r="AD212" s="4">
        <v>0</v>
      </c>
      <c r="AE212" s="4" t="s">
        <v>49</v>
      </c>
      <c r="AF212" s="4">
        <v>0</v>
      </c>
      <c r="AG212" s="4" t="s">
        <v>708</v>
      </c>
      <c r="AH212" s="4" t="s">
        <v>722</v>
      </c>
      <c r="AI212" s="4" t="s">
        <v>78</v>
      </c>
      <c r="AJ212" s="13">
        <v>0</v>
      </c>
      <c r="AK212" s="13">
        <v>20</v>
      </c>
      <c r="AL212" s="13" t="s">
        <v>493</v>
      </c>
      <c r="AM212" s="13">
        <v>1.6</v>
      </c>
      <c r="AN212" s="13" t="s">
        <v>494</v>
      </c>
      <c r="AO212" s="13" t="s">
        <v>495</v>
      </c>
      <c r="AP212" s="13" t="s">
        <v>50</v>
      </c>
      <c r="AQ212" s="13" t="s">
        <v>49</v>
      </c>
      <c r="AR212" s="13" t="s">
        <v>50</v>
      </c>
      <c r="AS212" s="13" t="s">
        <v>49</v>
      </c>
      <c r="AT212" s="13" t="s">
        <v>990</v>
      </c>
      <c r="AU212" s="13" t="s">
        <v>998</v>
      </c>
      <c r="AV212" s="14">
        <v>9.9499999999999993</v>
      </c>
      <c r="AW212" s="14">
        <v>6.09</v>
      </c>
      <c r="AX212" s="14">
        <f>Table1347456[[#This Row],[treatment_mean]]/Table1347456[[#This Row],[control_mean]]</f>
        <v>1.6338259441707716</v>
      </c>
      <c r="AY212" s="14">
        <f>LN(Table1347456[[#This Row],[rr]])</f>
        <v>0.49092446944869567</v>
      </c>
      <c r="AZ212" s="13">
        <v>4</v>
      </c>
      <c r="BA212" s="13">
        <v>4</v>
      </c>
      <c r="BB212" s="14">
        <v>0.88</v>
      </c>
      <c r="BC212" s="14">
        <v>0.41</v>
      </c>
      <c r="BD212" s="15">
        <f>Table1347456[[#This Row],[treatment_se]]*SQRT(Table1347456[[#This Row],[treatment_n]])</f>
        <v>1.76</v>
      </c>
      <c r="BE212" s="14">
        <f>Table1347456[[#This Row],[control_se]]*SQRT(Table1347456[[#This Row],[control_n]])</f>
        <v>0.82</v>
      </c>
      <c r="BF21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1.235447580600117E-2</v>
      </c>
      <c r="BG212" s="17">
        <f>SQRT(Table1347456[[#This Row],[v_from_sd_and_n]])</f>
        <v>0.11115068963349337</v>
      </c>
      <c r="BH212" s="13" t="s">
        <v>50</v>
      </c>
      <c r="BI212" s="13">
        <v>2.5000000000000001E-2</v>
      </c>
      <c r="BJ212" s="18">
        <f>ABS(_xlfn.NORM.S.INV(Table1347456[[#This Row],[p_value]]/2))</f>
        <v>2.2414027276049446</v>
      </c>
      <c r="BK212" s="19">
        <f>(Table1347456[[#This Row],[lnrr]]/Table1347456[[#This Row],[z_from_p]])^2</f>
        <v>4.7972192386048884E-2</v>
      </c>
      <c r="BL212" s="16">
        <f>Table1347456[[#This Row],[v_from_sd_and_n]]</f>
        <v>1.235447580600117E-2</v>
      </c>
      <c r="BM212" s="20">
        <f>SQRT(Table1347456[[#This Row],[v]])</f>
        <v>0.11115068963349337</v>
      </c>
      <c r="BN212" s="20">
        <f>Table1347456[[#This Row],[lnrr]]-(1.96*Table1347456[[#This Row],[se]])</f>
        <v>0.27306911776704867</v>
      </c>
      <c r="BO212" s="20">
        <f>Table1347456[[#This Row],[lnrr]]+(1.96 * Table1347456[[#This Row],[se]])</f>
        <v>0.70877982113034266</v>
      </c>
    </row>
    <row r="213" spans="1:67">
      <c r="A213" s="13" t="s">
        <v>128</v>
      </c>
      <c r="B213" s="13" t="s">
        <v>137</v>
      </c>
      <c r="C213" s="13" t="s">
        <v>130</v>
      </c>
      <c r="D213" s="13" t="s">
        <v>131</v>
      </c>
      <c r="E213" s="13" t="s">
        <v>132</v>
      </c>
      <c r="F213" s="13" t="s">
        <v>589</v>
      </c>
      <c r="G213" s="13" t="s">
        <v>138</v>
      </c>
      <c r="H213" s="13">
        <v>28</v>
      </c>
      <c r="I213" s="13">
        <v>1875</v>
      </c>
      <c r="K213" s="13" t="s">
        <v>831</v>
      </c>
      <c r="L213" s="13" t="s">
        <v>832</v>
      </c>
      <c r="N213" s="13" t="s">
        <v>668</v>
      </c>
      <c r="O213" s="13" t="s">
        <v>668</v>
      </c>
      <c r="P213" s="13" t="s">
        <v>87</v>
      </c>
      <c r="Q213" s="13" t="s">
        <v>87</v>
      </c>
      <c r="R213" s="4">
        <v>4</v>
      </c>
      <c r="S213" s="13" t="s">
        <v>596</v>
      </c>
      <c r="T213" s="13">
        <v>45</v>
      </c>
      <c r="U213" s="4" t="s">
        <v>135</v>
      </c>
      <c r="V213" s="4">
        <v>400</v>
      </c>
      <c r="W213" s="4" t="s">
        <v>42</v>
      </c>
      <c r="X213" s="4" t="s">
        <v>46</v>
      </c>
      <c r="Y213" s="4">
        <v>16</v>
      </c>
      <c r="AA213" s="4" t="s">
        <v>49</v>
      </c>
      <c r="AB213" s="4">
        <v>0</v>
      </c>
      <c r="AC213" s="4" t="s">
        <v>49</v>
      </c>
      <c r="AD213" s="4">
        <v>0</v>
      </c>
      <c r="AE213" s="4" t="s">
        <v>49</v>
      </c>
      <c r="AF213" s="4">
        <v>0</v>
      </c>
      <c r="AG213" s="4" t="s">
        <v>750</v>
      </c>
      <c r="AH213" s="4" t="s">
        <v>722</v>
      </c>
      <c r="AI213" s="4" t="s">
        <v>78</v>
      </c>
      <c r="AJ213" s="13">
        <v>0</v>
      </c>
      <c r="AK213" s="13">
        <v>20</v>
      </c>
      <c r="AL213" s="13" t="s">
        <v>493</v>
      </c>
      <c r="AM213" s="13">
        <v>1.6</v>
      </c>
      <c r="AN213" s="13" t="s">
        <v>494</v>
      </c>
      <c r="AO213" s="13" t="s">
        <v>495</v>
      </c>
      <c r="AP213" s="13" t="s">
        <v>50</v>
      </c>
      <c r="AQ213" s="13" t="s">
        <v>49</v>
      </c>
      <c r="AR213" s="13" t="s">
        <v>50</v>
      </c>
      <c r="AS213" s="13" t="s">
        <v>49</v>
      </c>
      <c r="AT213" s="13" t="s">
        <v>990</v>
      </c>
      <c r="AU213" s="13" t="s">
        <v>998</v>
      </c>
      <c r="AV213" s="14">
        <v>6.73</v>
      </c>
      <c r="AW213" s="14">
        <v>6.09</v>
      </c>
      <c r="AX213" s="14">
        <f>Table1347456[[#This Row],[treatment_mean]]/Table1347456[[#This Row],[control_mean]]</f>
        <v>1.1050903119868638</v>
      </c>
      <c r="AY213" s="14">
        <f>LN(Table1347456[[#This Row],[rr]])</f>
        <v>9.9927061934830863E-2</v>
      </c>
      <c r="AZ213" s="13">
        <v>4</v>
      </c>
      <c r="BA213" s="13">
        <v>4</v>
      </c>
      <c r="BB213" s="14">
        <v>0.76</v>
      </c>
      <c r="BC213" s="14">
        <v>0.41</v>
      </c>
      <c r="BD213" s="15">
        <f>Table1347456[[#This Row],[treatment_se]]*SQRT(Table1347456[[#This Row],[treatment_n]])</f>
        <v>1.52</v>
      </c>
      <c r="BE213" s="14">
        <f>Table1347456[[#This Row],[control_se]]*SQRT(Table1347456[[#This Row],[control_n]])</f>
        <v>0.82</v>
      </c>
      <c r="BF21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1.7285001730171799E-2</v>
      </c>
      <c r="BG213" s="17">
        <f>SQRT(Table1347456[[#This Row],[v_from_sd_and_n]])</f>
        <v>0.1314724371500422</v>
      </c>
      <c r="BH213" s="13" t="s">
        <v>50</v>
      </c>
      <c r="BI213" s="13">
        <v>2.5000000000000001E-2</v>
      </c>
      <c r="BJ213" s="18">
        <f>ABS(_xlfn.NORM.S.INV(Table1347456[[#This Row],[p_value]]/2))</f>
        <v>2.2414027276049446</v>
      </c>
      <c r="BK213" s="19">
        <f>(Table1347456[[#This Row],[lnrr]]/Table1347456[[#This Row],[z_from_p]])^2</f>
        <v>1.9875883598120332E-3</v>
      </c>
      <c r="BL213" s="16">
        <f>Table1347456[[#This Row],[v_from_sd_and_n]]</f>
        <v>1.7285001730171799E-2</v>
      </c>
      <c r="BM213" s="20">
        <f>SQRT(Table1347456[[#This Row],[v]])</f>
        <v>0.1314724371500422</v>
      </c>
      <c r="BN213" s="20">
        <f>Table1347456[[#This Row],[lnrr]]-(1.96*Table1347456[[#This Row],[se]])</f>
        <v>-0.15775891487925187</v>
      </c>
      <c r="BO213" s="20">
        <f>Table1347456[[#This Row],[lnrr]]+(1.96 * Table1347456[[#This Row],[se]])</f>
        <v>0.35761303874891359</v>
      </c>
    </row>
    <row r="214" spans="1:67">
      <c r="A214" s="13" t="s">
        <v>128</v>
      </c>
      <c r="B214" s="13" t="s">
        <v>137</v>
      </c>
      <c r="C214" s="13" t="s">
        <v>130</v>
      </c>
      <c r="D214" s="13" t="s">
        <v>131</v>
      </c>
      <c r="E214" s="13" t="s">
        <v>132</v>
      </c>
      <c r="F214" s="13" t="s">
        <v>589</v>
      </c>
      <c r="G214" s="13" t="s">
        <v>138</v>
      </c>
      <c r="H214" s="13">
        <v>28</v>
      </c>
      <c r="I214" s="13">
        <v>1875</v>
      </c>
      <c r="K214" s="13" t="s">
        <v>831</v>
      </c>
      <c r="L214" s="13" t="s">
        <v>832</v>
      </c>
      <c r="N214" s="13" t="s">
        <v>668</v>
      </c>
      <c r="O214" s="13" t="s">
        <v>668</v>
      </c>
      <c r="P214" s="13" t="s">
        <v>87</v>
      </c>
      <c r="Q214" s="13" t="s">
        <v>87</v>
      </c>
      <c r="R214" s="4">
        <v>4</v>
      </c>
      <c r="S214" s="13" t="s">
        <v>596</v>
      </c>
      <c r="T214" s="13">
        <v>45</v>
      </c>
      <c r="U214" s="4" t="s">
        <v>135</v>
      </c>
      <c r="V214" s="4">
        <v>400</v>
      </c>
      <c r="W214" s="4" t="s">
        <v>42</v>
      </c>
      <c r="X214" s="4" t="s">
        <v>46</v>
      </c>
      <c r="Y214" s="4">
        <v>32</v>
      </c>
      <c r="AA214" s="4" t="s">
        <v>49</v>
      </c>
      <c r="AB214" s="4">
        <v>0</v>
      </c>
      <c r="AC214" s="4" t="s">
        <v>49</v>
      </c>
      <c r="AD214" s="4">
        <v>0</v>
      </c>
      <c r="AE214" s="4" t="s">
        <v>49</v>
      </c>
      <c r="AF214" s="4">
        <v>0</v>
      </c>
      <c r="AG214" s="4" t="s">
        <v>750</v>
      </c>
      <c r="AH214" s="4" t="s">
        <v>722</v>
      </c>
      <c r="AI214" s="4" t="s">
        <v>78</v>
      </c>
      <c r="AJ214" s="13">
        <v>0</v>
      </c>
      <c r="AK214" s="13">
        <v>20</v>
      </c>
      <c r="AL214" s="13" t="s">
        <v>493</v>
      </c>
      <c r="AM214" s="13">
        <v>1.6</v>
      </c>
      <c r="AN214" s="13" t="s">
        <v>494</v>
      </c>
      <c r="AO214" s="13" t="s">
        <v>495</v>
      </c>
      <c r="AP214" s="13" t="s">
        <v>50</v>
      </c>
      <c r="AQ214" s="13" t="s">
        <v>49</v>
      </c>
      <c r="AR214" s="13" t="s">
        <v>50</v>
      </c>
      <c r="AS214" s="13" t="s">
        <v>49</v>
      </c>
      <c r="AT214" s="13" t="s">
        <v>990</v>
      </c>
      <c r="AU214" s="13" t="s">
        <v>998</v>
      </c>
      <c r="AV214" s="14">
        <v>7.46</v>
      </c>
      <c r="AW214" s="14">
        <v>6.09</v>
      </c>
      <c r="AX214" s="14">
        <f>Table1347456[[#This Row],[treatment_mean]]/Table1347456[[#This Row],[control_mean]]</f>
        <v>1.2249589490968802</v>
      </c>
      <c r="AY214" s="14">
        <f>LN(Table1347456[[#This Row],[rr]])</f>
        <v>0.20290733249386386</v>
      </c>
      <c r="AZ214" s="13">
        <v>4</v>
      </c>
      <c r="BA214" s="13">
        <v>4</v>
      </c>
      <c r="BB214" s="14">
        <v>0.74</v>
      </c>
      <c r="BC214" s="14">
        <v>0.41</v>
      </c>
      <c r="BD214" s="15">
        <f>Table1347456[[#This Row],[treatment_se]]*SQRT(Table1347456[[#This Row],[treatment_n]])</f>
        <v>1.48</v>
      </c>
      <c r="BE214" s="14">
        <f>Table1347456[[#This Row],[control_se]]*SQRT(Table1347456[[#This Row],[control_n]])</f>
        <v>0.82</v>
      </c>
      <c r="BF21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1.43722400824789E-2</v>
      </c>
      <c r="BG214" s="17">
        <f>SQRT(Table1347456[[#This Row],[v_from_sd_and_n]])</f>
        <v>0.11988427787862302</v>
      </c>
      <c r="BH214" s="13" t="s">
        <v>50</v>
      </c>
      <c r="BI214" s="13">
        <v>2.5000000000000001E-2</v>
      </c>
      <c r="BJ214" s="18">
        <f>ABS(_xlfn.NORM.S.INV(Table1347456[[#This Row],[p_value]]/2))</f>
        <v>2.2414027276049446</v>
      </c>
      <c r="BK214" s="19">
        <f>(Table1347456[[#This Row],[lnrr]]/Table1347456[[#This Row],[z_from_p]])^2</f>
        <v>8.1951270480074868E-3</v>
      </c>
      <c r="BL214" s="16">
        <f>Table1347456[[#This Row],[v_from_sd_and_n]]</f>
        <v>1.43722400824789E-2</v>
      </c>
      <c r="BM214" s="20">
        <f>SQRT(Table1347456[[#This Row],[v]])</f>
        <v>0.11988427787862302</v>
      </c>
      <c r="BN214" s="20">
        <f>Table1347456[[#This Row],[lnrr]]-(1.96*Table1347456[[#This Row],[se]])</f>
        <v>-3.2065852148237262E-2</v>
      </c>
      <c r="BO214" s="20">
        <f>Table1347456[[#This Row],[lnrr]]+(1.96 * Table1347456[[#This Row],[se]])</f>
        <v>0.43788051713596499</v>
      </c>
    </row>
    <row r="215" spans="1:67">
      <c r="A215" s="13" t="s">
        <v>128</v>
      </c>
      <c r="B215" s="13" t="s">
        <v>137</v>
      </c>
      <c r="C215" s="13" t="s">
        <v>130</v>
      </c>
      <c r="D215" s="13" t="s">
        <v>131</v>
      </c>
      <c r="E215" s="13" t="s">
        <v>132</v>
      </c>
      <c r="F215" s="13" t="s">
        <v>589</v>
      </c>
      <c r="G215" s="13" t="s">
        <v>138</v>
      </c>
      <c r="H215" s="13">
        <v>28</v>
      </c>
      <c r="I215" s="13">
        <v>1875</v>
      </c>
      <c r="K215" s="13" t="s">
        <v>831</v>
      </c>
      <c r="L215" s="13" t="s">
        <v>832</v>
      </c>
      <c r="N215" s="13" t="s">
        <v>668</v>
      </c>
      <c r="O215" s="13" t="s">
        <v>668</v>
      </c>
      <c r="P215" s="13" t="s">
        <v>87</v>
      </c>
      <c r="Q215" s="13" t="s">
        <v>87</v>
      </c>
      <c r="R215" s="4">
        <v>4</v>
      </c>
      <c r="S215" s="13" t="s">
        <v>596</v>
      </c>
      <c r="T215" s="13">
        <v>45</v>
      </c>
      <c r="U215" s="4" t="s">
        <v>135</v>
      </c>
      <c r="V215" s="4">
        <v>400</v>
      </c>
      <c r="W215" s="4" t="s">
        <v>42</v>
      </c>
      <c r="X215" s="4" t="s">
        <v>46</v>
      </c>
      <c r="Y215" s="4">
        <v>48</v>
      </c>
      <c r="AA215" s="4" t="s">
        <v>49</v>
      </c>
      <c r="AB215" s="4">
        <v>0</v>
      </c>
      <c r="AC215" s="4" t="s">
        <v>49</v>
      </c>
      <c r="AD215" s="4">
        <v>0</v>
      </c>
      <c r="AE215" s="4" t="s">
        <v>49</v>
      </c>
      <c r="AF215" s="4">
        <v>0</v>
      </c>
      <c r="AG215" s="4" t="s">
        <v>750</v>
      </c>
      <c r="AH215" s="4" t="s">
        <v>722</v>
      </c>
      <c r="AI215" s="4" t="s">
        <v>78</v>
      </c>
      <c r="AJ215" s="13">
        <v>0</v>
      </c>
      <c r="AK215" s="13">
        <v>20</v>
      </c>
      <c r="AL215" s="13" t="s">
        <v>493</v>
      </c>
      <c r="AM215" s="13">
        <v>1.6</v>
      </c>
      <c r="AN215" s="13" t="s">
        <v>494</v>
      </c>
      <c r="AO215" s="13" t="s">
        <v>495</v>
      </c>
      <c r="AP215" s="13" t="s">
        <v>50</v>
      </c>
      <c r="AQ215" s="13" t="s">
        <v>49</v>
      </c>
      <c r="AR215" s="13" t="s">
        <v>50</v>
      </c>
      <c r="AS215" s="13" t="s">
        <v>49</v>
      </c>
      <c r="AT215" s="13" t="s">
        <v>990</v>
      </c>
      <c r="AU215" s="13" t="s">
        <v>998</v>
      </c>
      <c r="AV215" s="14">
        <v>6.76</v>
      </c>
      <c r="AW215" s="14">
        <v>6.09</v>
      </c>
      <c r="AX215" s="14">
        <f>Table1347456[[#This Row],[treatment_mean]]/Table1347456[[#This Row],[control_mean]]</f>
        <v>1.1100164203612479</v>
      </c>
      <c r="AY215" s="14">
        <f>LN(Table1347456[[#This Row],[rr]])</f>
        <v>0.10437480833306705</v>
      </c>
      <c r="AZ215" s="13">
        <v>4</v>
      </c>
      <c r="BA215" s="13">
        <v>4</v>
      </c>
      <c r="BB215" s="14">
        <v>0.85</v>
      </c>
      <c r="BC215" s="14">
        <v>0.41</v>
      </c>
      <c r="BD215" s="15">
        <f>Table1347456[[#This Row],[treatment_se]]*SQRT(Table1347456[[#This Row],[treatment_n]])</f>
        <v>1.7</v>
      </c>
      <c r="BE215" s="14">
        <f>Table1347456[[#This Row],[control_se]]*SQRT(Table1347456[[#This Row],[control_n]])</f>
        <v>0.82</v>
      </c>
      <c r="BF21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2.0342909426940926E-2</v>
      </c>
      <c r="BG215" s="17">
        <f>SQRT(Table1347456[[#This Row],[v_from_sd_and_n]])</f>
        <v>0.14262857156594161</v>
      </c>
      <c r="BH215" s="13" t="s">
        <v>50</v>
      </c>
      <c r="BI215" s="13">
        <v>2.5000000000000001E-2</v>
      </c>
      <c r="BJ215" s="18">
        <f>ABS(_xlfn.NORM.S.INV(Table1347456[[#This Row],[p_value]]/2))</f>
        <v>2.2414027276049446</v>
      </c>
      <c r="BK215" s="19">
        <f>(Table1347456[[#This Row],[lnrr]]/Table1347456[[#This Row],[z_from_p]])^2</f>
        <v>2.168460870405794E-3</v>
      </c>
      <c r="BL215" s="16">
        <f>Table1347456[[#This Row],[v_from_sd_and_n]]</f>
        <v>2.0342909426940926E-2</v>
      </c>
      <c r="BM215" s="20">
        <f>SQRT(Table1347456[[#This Row],[v]])</f>
        <v>0.14262857156594161</v>
      </c>
      <c r="BN215" s="20">
        <f>Table1347456[[#This Row],[lnrr]]-(1.96*Table1347456[[#This Row],[se]])</f>
        <v>-0.17517719193617848</v>
      </c>
      <c r="BO215" s="20">
        <f>Table1347456[[#This Row],[lnrr]]+(1.96 * Table1347456[[#This Row],[se]])</f>
        <v>0.3839268086023126</v>
      </c>
    </row>
    <row r="216" spans="1:67">
      <c r="A216" s="13" t="s">
        <v>128</v>
      </c>
      <c r="B216" s="13" t="s">
        <v>137</v>
      </c>
      <c r="C216" s="13" t="s">
        <v>130</v>
      </c>
      <c r="D216" s="13" t="s">
        <v>131</v>
      </c>
      <c r="E216" s="13" t="s">
        <v>132</v>
      </c>
      <c r="F216" s="13" t="s">
        <v>589</v>
      </c>
      <c r="G216" s="13" t="s">
        <v>138</v>
      </c>
      <c r="H216" s="13">
        <v>28</v>
      </c>
      <c r="I216" s="13">
        <v>1875</v>
      </c>
      <c r="K216" s="13" t="s">
        <v>831</v>
      </c>
      <c r="L216" s="13" t="s">
        <v>832</v>
      </c>
      <c r="N216" s="13" t="s">
        <v>668</v>
      </c>
      <c r="O216" s="13" t="s">
        <v>668</v>
      </c>
      <c r="P216" s="13" t="s">
        <v>87</v>
      </c>
      <c r="Q216" s="13" t="s">
        <v>87</v>
      </c>
      <c r="R216" s="4">
        <v>4</v>
      </c>
      <c r="S216" s="13" t="s">
        <v>596</v>
      </c>
      <c r="T216" s="13">
        <v>45</v>
      </c>
      <c r="U216" s="4" t="s">
        <v>135</v>
      </c>
      <c r="V216" s="4">
        <v>400</v>
      </c>
      <c r="W216" s="4" t="s">
        <v>42</v>
      </c>
      <c r="X216" s="4" t="s">
        <v>46</v>
      </c>
      <c r="Y216" s="4">
        <v>64</v>
      </c>
      <c r="AA216" s="4" t="s">
        <v>49</v>
      </c>
      <c r="AB216" s="4">
        <v>0</v>
      </c>
      <c r="AC216" s="4" t="s">
        <v>49</v>
      </c>
      <c r="AD216" s="4">
        <v>0</v>
      </c>
      <c r="AE216" s="4" t="s">
        <v>49</v>
      </c>
      <c r="AF216" s="4">
        <v>0</v>
      </c>
      <c r="AG216" s="4" t="s">
        <v>750</v>
      </c>
      <c r="AH216" s="4" t="s">
        <v>722</v>
      </c>
      <c r="AI216" s="4" t="s">
        <v>78</v>
      </c>
      <c r="AJ216" s="13">
        <v>0</v>
      </c>
      <c r="AK216" s="13">
        <v>20</v>
      </c>
      <c r="AL216" s="13" t="s">
        <v>493</v>
      </c>
      <c r="AM216" s="13">
        <v>1.6</v>
      </c>
      <c r="AN216" s="13" t="s">
        <v>494</v>
      </c>
      <c r="AO216" s="13" t="s">
        <v>495</v>
      </c>
      <c r="AP216" s="13" t="s">
        <v>50</v>
      </c>
      <c r="AQ216" s="13" t="s">
        <v>49</v>
      </c>
      <c r="AR216" s="13" t="s">
        <v>50</v>
      </c>
      <c r="AS216" s="13" t="s">
        <v>49</v>
      </c>
      <c r="AT216" s="13" t="s">
        <v>990</v>
      </c>
      <c r="AU216" s="13" t="s">
        <v>998</v>
      </c>
      <c r="AV216" s="14">
        <v>6.29</v>
      </c>
      <c r="AW216" s="14">
        <v>6.09</v>
      </c>
      <c r="AX216" s="14">
        <f>Table1347456[[#This Row],[treatment_mean]]/Table1347456[[#This Row],[control_mean]]</f>
        <v>1.0328407224958949</v>
      </c>
      <c r="AY216" s="14">
        <f>LN(Table1347456[[#This Row],[rr]])</f>
        <v>3.2312988990543461E-2</v>
      </c>
      <c r="AZ216" s="13">
        <v>4</v>
      </c>
      <c r="BA216" s="13">
        <v>4</v>
      </c>
      <c r="BB216" s="14">
        <v>0.18</v>
      </c>
      <c r="BC216" s="14">
        <v>0.41</v>
      </c>
      <c r="BD216" s="15">
        <f>Table1347456[[#This Row],[treatment_se]]*SQRT(Table1347456[[#This Row],[treatment_n]])</f>
        <v>0.36</v>
      </c>
      <c r="BE216" s="14">
        <f>Table1347456[[#This Row],[control_se]]*SQRT(Table1347456[[#This Row],[control_n]])</f>
        <v>0.82</v>
      </c>
      <c r="BF21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5.3513753364162475E-3</v>
      </c>
      <c r="BG216" s="17">
        <f>SQRT(Table1347456[[#This Row],[v_from_sd_and_n]])</f>
        <v>7.3153095193684375E-2</v>
      </c>
      <c r="BH216" s="13" t="s">
        <v>50</v>
      </c>
      <c r="BI216" s="13">
        <v>2.5000000000000001E-2</v>
      </c>
      <c r="BJ216" s="18">
        <f>ABS(_xlfn.NORM.S.INV(Table1347456[[#This Row],[p_value]]/2))</f>
        <v>2.2414027276049446</v>
      </c>
      <c r="BK216" s="19">
        <f>(Table1347456[[#This Row],[lnrr]]/Table1347456[[#This Row],[z_from_p]])^2</f>
        <v>2.0783298398346841E-4</v>
      </c>
      <c r="BL216" s="16">
        <f>Table1347456[[#This Row],[v_from_sd_and_n]]</f>
        <v>5.3513753364162475E-3</v>
      </c>
      <c r="BM216" s="20">
        <f>SQRT(Table1347456[[#This Row],[v]])</f>
        <v>7.3153095193684375E-2</v>
      </c>
      <c r="BN216" s="20">
        <f>Table1347456[[#This Row],[lnrr]]-(1.96*Table1347456[[#This Row],[se]])</f>
        <v>-0.11106707758907791</v>
      </c>
      <c r="BO216" s="20">
        <f>Table1347456[[#This Row],[lnrr]]+(1.96 * Table1347456[[#This Row],[se]])</f>
        <v>0.17569305557016485</v>
      </c>
    </row>
    <row r="217" spans="1:67">
      <c r="A217" s="13" t="s">
        <v>128</v>
      </c>
      <c r="B217" s="13" t="s">
        <v>137</v>
      </c>
      <c r="C217" s="13" t="s">
        <v>130</v>
      </c>
      <c r="D217" s="13" t="s">
        <v>131</v>
      </c>
      <c r="E217" s="13" t="s">
        <v>132</v>
      </c>
      <c r="F217" s="13" t="s">
        <v>589</v>
      </c>
      <c r="G217" s="13" t="s">
        <v>138</v>
      </c>
      <c r="H217" s="13">
        <v>28</v>
      </c>
      <c r="I217" s="13">
        <v>1875</v>
      </c>
      <c r="K217" s="13" t="s">
        <v>831</v>
      </c>
      <c r="L217" s="13" t="s">
        <v>832</v>
      </c>
      <c r="N217" s="13" t="s">
        <v>668</v>
      </c>
      <c r="O217" s="13" t="s">
        <v>668</v>
      </c>
      <c r="P217" s="13" t="s">
        <v>87</v>
      </c>
      <c r="Q217" s="13" t="s">
        <v>87</v>
      </c>
      <c r="R217" s="4">
        <v>4</v>
      </c>
      <c r="S217" s="13" t="s">
        <v>596</v>
      </c>
      <c r="T217" s="13">
        <v>45</v>
      </c>
      <c r="U217" s="4" t="s">
        <v>136</v>
      </c>
      <c r="V217" s="4">
        <v>400</v>
      </c>
      <c r="W217" s="4" t="s">
        <v>42</v>
      </c>
      <c r="X217" s="4" t="s">
        <v>46</v>
      </c>
      <c r="Y217" s="4">
        <v>16</v>
      </c>
      <c r="AA217" s="4" t="s">
        <v>49</v>
      </c>
      <c r="AB217" s="4">
        <v>0</v>
      </c>
      <c r="AC217" s="4" t="s">
        <v>49</v>
      </c>
      <c r="AD217" s="4">
        <v>0</v>
      </c>
      <c r="AE217" s="4" t="s">
        <v>49</v>
      </c>
      <c r="AF217" s="4">
        <v>0</v>
      </c>
      <c r="AG217" s="4" t="s">
        <v>776</v>
      </c>
      <c r="AH217" s="4" t="s">
        <v>722</v>
      </c>
      <c r="AI217" s="4" t="s">
        <v>78</v>
      </c>
      <c r="AJ217" s="13">
        <v>0</v>
      </c>
      <c r="AK217" s="13">
        <v>20</v>
      </c>
      <c r="AL217" s="13" t="s">
        <v>493</v>
      </c>
      <c r="AM217" s="13">
        <v>1.6</v>
      </c>
      <c r="AN217" s="13" t="s">
        <v>494</v>
      </c>
      <c r="AO217" s="13" t="s">
        <v>495</v>
      </c>
      <c r="AP217" s="13" t="s">
        <v>50</v>
      </c>
      <c r="AQ217" s="13" t="s">
        <v>49</v>
      </c>
      <c r="AR217" s="13" t="s">
        <v>50</v>
      </c>
      <c r="AS217" s="13" t="s">
        <v>49</v>
      </c>
      <c r="AT217" s="13" t="s">
        <v>990</v>
      </c>
      <c r="AU217" s="13" t="s">
        <v>998</v>
      </c>
      <c r="AV217" s="14">
        <v>6.59</v>
      </c>
      <c r="AW217" s="14">
        <v>6.09</v>
      </c>
      <c r="AX217" s="14">
        <f>Table1347456[[#This Row],[treatment_mean]]/Table1347456[[#This Row],[control_mean]]</f>
        <v>1.0821018062397372</v>
      </c>
      <c r="AY217" s="14">
        <f>LN(Table1347456[[#This Row],[rr]])</f>
        <v>7.8905266792610104E-2</v>
      </c>
      <c r="AZ217" s="13">
        <v>4</v>
      </c>
      <c r="BA217" s="13">
        <v>4</v>
      </c>
      <c r="BB217" s="14">
        <v>0.32</v>
      </c>
      <c r="BC217" s="14">
        <v>0.41</v>
      </c>
      <c r="BD217" s="15">
        <f>Table1347456[[#This Row],[treatment_se]]*SQRT(Table1347456[[#This Row],[treatment_n]])</f>
        <v>0.64</v>
      </c>
      <c r="BE217" s="14">
        <f>Table1347456[[#This Row],[control_se]]*SQRT(Table1347456[[#This Row],[control_n]])</f>
        <v>0.82</v>
      </c>
      <c r="BF21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6.8903714423429402E-3</v>
      </c>
      <c r="BG217" s="17">
        <f>SQRT(Table1347456[[#This Row],[v_from_sd_and_n]])</f>
        <v>8.3008261289723093E-2</v>
      </c>
      <c r="BH217" s="13" t="s">
        <v>50</v>
      </c>
      <c r="BI217" s="13">
        <v>2.5000000000000001E-2</v>
      </c>
      <c r="BJ217" s="18">
        <f>ABS(_xlfn.NORM.S.INV(Table1347456[[#This Row],[p_value]]/2))</f>
        <v>2.2414027276049446</v>
      </c>
      <c r="BK217" s="19">
        <f>(Table1347456[[#This Row],[lnrr]]/Table1347456[[#This Row],[z_from_p]])^2</f>
        <v>1.2392878531630527E-3</v>
      </c>
      <c r="BL217" s="16">
        <f>Table1347456[[#This Row],[v_from_sd_and_n]]</f>
        <v>6.8903714423429402E-3</v>
      </c>
      <c r="BM217" s="20">
        <f>SQRT(Table1347456[[#This Row],[v]])</f>
        <v>8.3008261289723093E-2</v>
      </c>
      <c r="BN217" s="20">
        <f>Table1347456[[#This Row],[lnrr]]-(1.96*Table1347456[[#This Row],[se]])</f>
        <v>-8.3790925335247166E-2</v>
      </c>
      <c r="BO217" s="20">
        <f>Table1347456[[#This Row],[lnrr]]+(1.96 * Table1347456[[#This Row],[se]])</f>
        <v>0.24160145892046736</v>
      </c>
    </row>
    <row r="218" spans="1:67">
      <c r="A218" s="13" t="s">
        <v>128</v>
      </c>
      <c r="B218" s="13" t="s">
        <v>137</v>
      </c>
      <c r="C218" s="13" t="s">
        <v>130</v>
      </c>
      <c r="D218" s="13" t="s">
        <v>131</v>
      </c>
      <c r="E218" s="13" t="s">
        <v>132</v>
      </c>
      <c r="F218" s="13" t="s">
        <v>589</v>
      </c>
      <c r="G218" s="13" t="s">
        <v>138</v>
      </c>
      <c r="H218" s="13">
        <v>28</v>
      </c>
      <c r="I218" s="13">
        <v>1875</v>
      </c>
      <c r="K218" s="13" t="s">
        <v>831</v>
      </c>
      <c r="L218" s="13" t="s">
        <v>832</v>
      </c>
      <c r="N218" s="13" t="s">
        <v>668</v>
      </c>
      <c r="O218" s="13" t="s">
        <v>668</v>
      </c>
      <c r="P218" s="13" t="s">
        <v>87</v>
      </c>
      <c r="Q218" s="13" t="s">
        <v>87</v>
      </c>
      <c r="R218" s="4">
        <v>4</v>
      </c>
      <c r="S218" s="13" t="s">
        <v>596</v>
      </c>
      <c r="T218" s="13">
        <v>45</v>
      </c>
      <c r="U218" s="4" t="s">
        <v>136</v>
      </c>
      <c r="V218" s="4">
        <v>400</v>
      </c>
      <c r="W218" s="4" t="s">
        <v>42</v>
      </c>
      <c r="X218" s="4" t="s">
        <v>46</v>
      </c>
      <c r="Y218" s="4">
        <v>32</v>
      </c>
      <c r="AA218" s="4" t="s">
        <v>49</v>
      </c>
      <c r="AB218" s="4">
        <v>0</v>
      </c>
      <c r="AC218" s="4" t="s">
        <v>49</v>
      </c>
      <c r="AD218" s="4">
        <v>0</v>
      </c>
      <c r="AE218" s="4" t="s">
        <v>49</v>
      </c>
      <c r="AF218" s="4">
        <v>0</v>
      </c>
      <c r="AG218" s="4" t="s">
        <v>776</v>
      </c>
      <c r="AH218" s="4" t="s">
        <v>722</v>
      </c>
      <c r="AI218" s="4" t="s">
        <v>78</v>
      </c>
      <c r="AJ218" s="13">
        <v>0</v>
      </c>
      <c r="AK218" s="13">
        <v>20</v>
      </c>
      <c r="AL218" s="13" t="s">
        <v>493</v>
      </c>
      <c r="AM218" s="13">
        <v>1.6</v>
      </c>
      <c r="AN218" s="13" t="s">
        <v>494</v>
      </c>
      <c r="AO218" s="13" t="s">
        <v>495</v>
      </c>
      <c r="AP218" s="13" t="s">
        <v>50</v>
      </c>
      <c r="AQ218" s="13" t="s">
        <v>49</v>
      </c>
      <c r="AR218" s="13" t="s">
        <v>50</v>
      </c>
      <c r="AS218" s="13" t="s">
        <v>49</v>
      </c>
      <c r="AT218" s="13" t="s">
        <v>990</v>
      </c>
      <c r="AU218" s="13" t="s">
        <v>998</v>
      </c>
      <c r="AV218" s="14">
        <v>7.2</v>
      </c>
      <c r="AW218" s="14">
        <v>6.09</v>
      </c>
      <c r="AX218" s="14">
        <f>Table1347456[[#This Row],[treatment_mean]]/Table1347456[[#This Row],[control_mean]]</f>
        <v>1.1822660098522169</v>
      </c>
      <c r="AY218" s="14">
        <f>LN(Table1347456[[#This Row],[rr]])</f>
        <v>0.16743294430020406</v>
      </c>
      <c r="AZ218" s="13">
        <v>4</v>
      </c>
      <c r="BA218" s="13">
        <v>4</v>
      </c>
      <c r="BB218" s="14">
        <v>0.47</v>
      </c>
      <c r="BC218" s="14">
        <v>0.41</v>
      </c>
      <c r="BD218" s="15">
        <f>Table1347456[[#This Row],[treatment_se]]*SQRT(Table1347456[[#This Row],[treatment_n]])</f>
        <v>0.94</v>
      </c>
      <c r="BE218" s="14">
        <f>Table1347456[[#This Row],[control_se]]*SQRT(Table1347456[[#This Row],[control_n]])</f>
        <v>0.82</v>
      </c>
      <c r="BF21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8.7936393812600554E-3</v>
      </c>
      <c r="BG218" s="17">
        <f>SQRT(Table1347456[[#This Row],[v_from_sd_and_n]])</f>
        <v>9.3774406856348899E-2</v>
      </c>
      <c r="BH218" s="13" t="s">
        <v>50</v>
      </c>
      <c r="BI218" s="13">
        <v>2.5000000000000001E-2</v>
      </c>
      <c r="BJ218" s="18">
        <f>ABS(_xlfn.NORM.S.INV(Table1347456[[#This Row],[p_value]]/2))</f>
        <v>2.2414027276049446</v>
      </c>
      <c r="BK218" s="19">
        <f>(Table1347456[[#This Row],[lnrr]]/Table1347456[[#This Row],[z_from_p]])^2</f>
        <v>5.5801007012896611E-3</v>
      </c>
      <c r="BL218" s="16">
        <f>Table1347456[[#This Row],[v_from_sd_and_n]]</f>
        <v>8.7936393812600554E-3</v>
      </c>
      <c r="BM218" s="20">
        <f>SQRT(Table1347456[[#This Row],[v]])</f>
        <v>9.3774406856348899E-2</v>
      </c>
      <c r="BN218" s="20">
        <f>Table1347456[[#This Row],[lnrr]]-(1.96*Table1347456[[#This Row],[se]])</f>
        <v>-1.6364893138239772E-2</v>
      </c>
      <c r="BO218" s="20">
        <f>Table1347456[[#This Row],[lnrr]]+(1.96 * Table1347456[[#This Row],[se]])</f>
        <v>0.35123078173864786</v>
      </c>
    </row>
    <row r="219" spans="1:67">
      <c r="A219" s="13" t="s">
        <v>128</v>
      </c>
      <c r="B219" s="13" t="s">
        <v>137</v>
      </c>
      <c r="C219" s="13" t="s">
        <v>130</v>
      </c>
      <c r="D219" s="13" t="s">
        <v>131</v>
      </c>
      <c r="E219" s="13" t="s">
        <v>132</v>
      </c>
      <c r="F219" s="13" t="s">
        <v>589</v>
      </c>
      <c r="G219" s="13" t="s">
        <v>138</v>
      </c>
      <c r="H219" s="13">
        <v>28</v>
      </c>
      <c r="I219" s="13">
        <v>1875</v>
      </c>
      <c r="K219" s="13" t="s">
        <v>831</v>
      </c>
      <c r="L219" s="13" t="s">
        <v>832</v>
      </c>
      <c r="N219" s="13" t="s">
        <v>668</v>
      </c>
      <c r="O219" s="13" t="s">
        <v>668</v>
      </c>
      <c r="P219" s="13" t="s">
        <v>87</v>
      </c>
      <c r="Q219" s="13" t="s">
        <v>87</v>
      </c>
      <c r="R219" s="4">
        <v>4</v>
      </c>
      <c r="S219" s="13" t="s">
        <v>596</v>
      </c>
      <c r="T219" s="13">
        <v>45</v>
      </c>
      <c r="U219" s="4" t="s">
        <v>136</v>
      </c>
      <c r="V219" s="4">
        <v>400</v>
      </c>
      <c r="W219" s="4" t="s">
        <v>42</v>
      </c>
      <c r="X219" s="4" t="s">
        <v>46</v>
      </c>
      <c r="Y219" s="4">
        <v>48</v>
      </c>
      <c r="AA219" s="4" t="s">
        <v>49</v>
      </c>
      <c r="AB219" s="4">
        <v>0</v>
      </c>
      <c r="AC219" s="4" t="s">
        <v>49</v>
      </c>
      <c r="AD219" s="4">
        <v>0</v>
      </c>
      <c r="AE219" s="4" t="s">
        <v>49</v>
      </c>
      <c r="AF219" s="4">
        <v>0</v>
      </c>
      <c r="AG219" s="4" t="s">
        <v>776</v>
      </c>
      <c r="AH219" s="4" t="s">
        <v>722</v>
      </c>
      <c r="AI219" s="4" t="s">
        <v>78</v>
      </c>
      <c r="AJ219" s="13">
        <v>0</v>
      </c>
      <c r="AK219" s="13">
        <v>20</v>
      </c>
      <c r="AL219" s="13" t="s">
        <v>493</v>
      </c>
      <c r="AM219" s="13">
        <v>1.6</v>
      </c>
      <c r="AN219" s="13" t="s">
        <v>494</v>
      </c>
      <c r="AO219" s="13" t="s">
        <v>495</v>
      </c>
      <c r="AP219" s="13" t="s">
        <v>50</v>
      </c>
      <c r="AQ219" s="13" t="s">
        <v>49</v>
      </c>
      <c r="AR219" s="13" t="s">
        <v>50</v>
      </c>
      <c r="AS219" s="13" t="s">
        <v>49</v>
      </c>
      <c r="AT219" s="13" t="s">
        <v>990</v>
      </c>
      <c r="AU219" s="13" t="s">
        <v>998</v>
      </c>
      <c r="AV219" s="14">
        <v>7.4</v>
      </c>
      <c r="AW219" s="14">
        <v>6.09</v>
      </c>
      <c r="AX219" s="14">
        <f>Table1347456[[#This Row],[treatment_mean]]/Table1347456[[#This Row],[control_mean]]</f>
        <v>1.2151067323481117</v>
      </c>
      <c r="AY219" s="14">
        <f>LN(Table1347456[[#This Row],[rr]])</f>
        <v>0.19483191848831846</v>
      </c>
      <c r="AZ219" s="13">
        <v>4</v>
      </c>
      <c r="BA219" s="13">
        <v>4</v>
      </c>
      <c r="BB219" s="14">
        <v>0.18</v>
      </c>
      <c r="BC219" s="14">
        <v>0.41</v>
      </c>
      <c r="BD219" s="15">
        <f>Table1347456[[#This Row],[treatment_se]]*SQRT(Table1347456[[#This Row],[treatment_n]])</f>
        <v>0.36</v>
      </c>
      <c r="BE219" s="14">
        <f>Table1347456[[#This Row],[control_se]]*SQRT(Table1347456[[#This Row],[control_n]])</f>
        <v>0.82</v>
      </c>
      <c r="BF21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5.1241238634900342E-3</v>
      </c>
      <c r="BG219" s="17">
        <f>SQRT(Table1347456[[#This Row],[v_from_sd_and_n]])</f>
        <v>7.1582985852016778E-2</v>
      </c>
      <c r="BH219" s="13" t="s">
        <v>50</v>
      </c>
      <c r="BI219" s="13">
        <v>2.5000000000000001E-2</v>
      </c>
      <c r="BJ219" s="18">
        <f>ABS(_xlfn.NORM.S.INV(Table1347456[[#This Row],[p_value]]/2))</f>
        <v>2.2414027276049446</v>
      </c>
      <c r="BK219" s="19">
        <f>(Table1347456[[#This Row],[lnrr]]/Table1347456[[#This Row],[z_from_p]])^2</f>
        <v>7.5557994442001786E-3</v>
      </c>
      <c r="BL219" s="16">
        <f>Table1347456[[#This Row],[v_from_sd_and_n]]</f>
        <v>5.1241238634900342E-3</v>
      </c>
      <c r="BM219" s="20">
        <f>SQRT(Table1347456[[#This Row],[v]])</f>
        <v>7.1582985852016778E-2</v>
      </c>
      <c r="BN219" s="20">
        <f>Table1347456[[#This Row],[lnrr]]-(1.96*Table1347456[[#This Row],[se]])</f>
        <v>5.4529266218365569E-2</v>
      </c>
      <c r="BO219" s="20">
        <f>Table1347456[[#This Row],[lnrr]]+(1.96 * Table1347456[[#This Row],[se]])</f>
        <v>0.33513457075827136</v>
      </c>
    </row>
    <row r="220" spans="1:67">
      <c r="A220" s="13" t="s">
        <v>128</v>
      </c>
      <c r="B220" s="13" t="s">
        <v>137</v>
      </c>
      <c r="C220" s="13" t="s">
        <v>130</v>
      </c>
      <c r="D220" s="13" t="s">
        <v>131</v>
      </c>
      <c r="E220" s="13" t="s">
        <v>132</v>
      </c>
      <c r="F220" s="13" t="s">
        <v>589</v>
      </c>
      <c r="G220" s="13" t="s">
        <v>138</v>
      </c>
      <c r="H220" s="13">
        <v>28</v>
      </c>
      <c r="I220" s="13">
        <v>1875</v>
      </c>
      <c r="K220" s="13" t="s">
        <v>831</v>
      </c>
      <c r="L220" s="13" t="s">
        <v>832</v>
      </c>
      <c r="N220" s="13" t="s">
        <v>668</v>
      </c>
      <c r="O220" s="13" t="s">
        <v>668</v>
      </c>
      <c r="P220" s="13" t="s">
        <v>87</v>
      </c>
      <c r="Q220" s="13" t="s">
        <v>87</v>
      </c>
      <c r="R220" s="4">
        <v>4</v>
      </c>
      <c r="S220" s="13" t="s">
        <v>596</v>
      </c>
      <c r="T220" s="13">
        <v>45</v>
      </c>
      <c r="U220" s="4" t="s">
        <v>136</v>
      </c>
      <c r="V220" s="4">
        <v>400</v>
      </c>
      <c r="W220" s="4" t="s">
        <v>42</v>
      </c>
      <c r="X220" s="4" t="s">
        <v>46</v>
      </c>
      <c r="Y220" s="4">
        <v>64</v>
      </c>
      <c r="AA220" s="4" t="s">
        <v>49</v>
      </c>
      <c r="AB220" s="4">
        <v>0</v>
      </c>
      <c r="AC220" s="4" t="s">
        <v>49</v>
      </c>
      <c r="AD220" s="4">
        <v>0</v>
      </c>
      <c r="AE220" s="4" t="s">
        <v>49</v>
      </c>
      <c r="AF220" s="4">
        <v>0</v>
      </c>
      <c r="AG220" s="4" t="s">
        <v>776</v>
      </c>
      <c r="AH220" s="4" t="s">
        <v>722</v>
      </c>
      <c r="AI220" s="4" t="s">
        <v>78</v>
      </c>
      <c r="AJ220" s="13">
        <v>0</v>
      </c>
      <c r="AK220" s="13">
        <v>20</v>
      </c>
      <c r="AL220" s="13" t="s">
        <v>493</v>
      </c>
      <c r="AM220" s="13">
        <v>1.6</v>
      </c>
      <c r="AN220" s="13" t="s">
        <v>494</v>
      </c>
      <c r="AO220" s="13" t="s">
        <v>495</v>
      </c>
      <c r="AP220" s="13" t="s">
        <v>50</v>
      </c>
      <c r="AQ220" s="13" t="s">
        <v>49</v>
      </c>
      <c r="AR220" s="13" t="s">
        <v>50</v>
      </c>
      <c r="AS220" s="13" t="s">
        <v>49</v>
      </c>
      <c r="AT220" s="13" t="s">
        <v>990</v>
      </c>
      <c r="AU220" s="13" t="s">
        <v>998</v>
      </c>
      <c r="AV220" s="14">
        <v>7.49</v>
      </c>
      <c r="AW220" s="14">
        <v>6.09</v>
      </c>
      <c r="AX220" s="14">
        <f>Table1347456[[#This Row],[treatment_mean]]/Table1347456[[#This Row],[control_mean]]</f>
        <v>1.2298850574712645</v>
      </c>
      <c r="AY220" s="14">
        <f>LN(Table1347456[[#This Row],[rr]])</f>
        <v>0.20692071580732257</v>
      </c>
      <c r="AZ220" s="13">
        <v>4</v>
      </c>
      <c r="BA220" s="13">
        <v>4</v>
      </c>
      <c r="BB220" s="14">
        <v>0.82</v>
      </c>
      <c r="BC220" s="14">
        <v>0.41</v>
      </c>
      <c r="BD220" s="15">
        <f>Table1347456[[#This Row],[treatment_se]]*SQRT(Table1347456[[#This Row],[treatment_n]])</f>
        <v>1.64</v>
      </c>
      <c r="BE220" s="14">
        <f>Table1347456[[#This Row],[control_se]]*SQRT(Table1347456[[#This Row],[control_n]])</f>
        <v>0.82</v>
      </c>
      <c r="BF22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1.6518169495183838E-2</v>
      </c>
      <c r="BG220" s="17">
        <f>SQRT(Table1347456[[#This Row],[v_from_sd_and_n]])</f>
        <v>0.12852303099127346</v>
      </c>
      <c r="BH220" s="13" t="s">
        <v>50</v>
      </c>
      <c r="BI220" s="13">
        <v>2.5000000000000001E-2</v>
      </c>
      <c r="BJ220" s="18">
        <f>ABS(_xlfn.NORM.S.INV(Table1347456[[#This Row],[p_value]]/2))</f>
        <v>2.2414027276049446</v>
      </c>
      <c r="BK220" s="19">
        <f>(Table1347456[[#This Row],[lnrr]]/Table1347456[[#This Row],[z_from_p]])^2</f>
        <v>8.5225224126939669E-3</v>
      </c>
      <c r="BL220" s="16">
        <f>Table1347456[[#This Row],[v_from_sd_and_n]]</f>
        <v>1.6518169495183838E-2</v>
      </c>
      <c r="BM220" s="20">
        <f>SQRT(Table1347456[[#This Row],[v]])</f>
        <v>0.12852303099127346</v>
      </c>
      <c r="BN220" s="20">
        <f>Table1347456[[#This Row],[lnrr]]-(1.96*Table1347456[[#This Row],[se]])</f>
        <v>-4.4984424935573419E-2</v>
      </c>
      <c r="BO220" s="20">
        <f>Table1347456[[#This Row],[lnrr]]+(1.96 * Table1347456[[#This Row],[se]])</f>
        <v>0.45882585655021857</v>
      </c>
    </row>
    <row r="221" spans="1:67">
      <c r="A221" s="13" t="s">
        <v>128</v>
      </c>
      <c r="B221" s="13" t="s">
        <v>137</v>
      </c>
      <c r="C221" s="13" t="s">
        <v>130</v>
      </c>
      <c r="D221" s="13" t="s">
        <v>131</v>
      </c>
      <c r="E221" s="13" t="s">
        <v>132</v>
      </c>
      <c r="F221" s="13" t="s">
        <v>589</v>
      </c>
      <c r="G221" s="13" t="s">
        <v>138</v>
      </c>
      <c r="H221" s="13">
        <v>28</v>
      </c>
      <c r="I221" s="13">
        <v>1875</v>
      </c>
      <c r="J221" s="13" t="s">
        <v>653</v>
      </c>
      <c r="K221" s="13" t="s">
        <v>831</v>
      </c>
      <c r="L221" s="13" t="s">
        <v>832</v>
      </c>
      <c r="M221" s="13" t="s">
        <v>802</v>
      </c>
      <c r="N221" s="13" t="s">
        <v>84</v>
      </c>
      <c r="O221" s="13" t="s">
        <v>644</v>
      </c>
      <c r="P221" s="13" t="s">
        <v>85</v>
      </c>
      <c r="Q221" s="13" t="s">
        <v>48</v>
      </c>
      <c r="R221" s="4">
        <v>4</v>
      </c>
      <c r="S221" s="13" t="s">
        <v>596</v>
      </c>
      <c r="T221" s="13">
        <v>45</v>
      </c>
      <c r="U221" s="4" t="s">
        <v>133</v>
      </c>
      <c r="V221" s="4">
        <v>400</v>
      </c>
      <c r="W221" s="4" t="s">
        <v>42</v>
      </c>
      <c r="X221" s="4" t="s">
        <v>46</v>
      </c>
      <c r="Y221" s="4">
        <v>16</v>
      </c>
      <c r="AA221" s="4" t="s">
        <v>49</v>
      </c>
      <c r="AB221" s="4">
        <v>0</v>
      </c>
      <c r="AC221" s="4" t="s">
        <v>49</v>
      </c>
      <c r="AD221" s="4">
        <v>0</v>
      </c>
      <c r="AE221" s="4" t="s">
        <v>49</v>
      </c>
      <c r="AF221" s="4">
        <v>0</v>
      </c>
      <c r="AG221" s="4" t="s">
        <v>685</v>
      </c>
      <c r="AH221" s="4" t="s">
        <v>722</v>
      </c>
      <c r="AI221" s="4" t="s">
        <v>78</v>
      </c>
      <c r="AJ221" s="13">
        <v>0</v>
      </c>
      <c r="AK221" s="13">
        <v>20</v>
      </c>
      <c r="AL221" s="13" t="s">
        <v>493</v>
      </c>
      <c r="AM221" s="13">
        <v>1.6</v>
      </c>
      <c r="AN221" s="13" t="s">
        <v>494</v>
      </c>
      <c r="AO221" s="13" t="s">
        <v>495</v>
      </c>
      <c r="AP221" s="13" t="s">
        <v>50</v>
      </c>
      <c r="AQ221" s="13" t="s">
        <v>49</v>
      </c>
      <c r="AR221" s="13" t="s">
        <v>50</v>
      </c>
      <c r="AS221" s="13" t="s">
        <v>49</v>
      </c>
      <c r="AT221" s="13" t="s">
        <v>990</v>
      </c>
      <c r="AU221" s="13" t="s">
        <v>998</v>
      </c>
      <c r="AV221" s="23">
        <f>130.79/1000</f>
        <v>0.13078999999999999</v>
      </c>
      <c r="AW221" s="23">
        <f>102.86/1000</f>
        <v>0.10285999999999999</v>
      </c>
      <c r="AX221" s="14">
        <f>Table1347456[[#This Row],[treatment_mean]]/Table1347456[[#This Row],[control_mean]]</f>
        <v>1.2715341240521096</v>
      </c>
      <c r="AY221" s="14">
        <f>LN(Table1347456[[#This Row],[rr]])</f>
        <v>0.24022414315429083</v>
      </c>
      <c r="AZ221" s="13">
        <v>4</v>
      </c>
      <c r="BA221" s="13">
        <v>4</v>
      </c>
      <c r="BB221" s="14">
        <f>11.43/1000</f>
        <v>1.1429999999999999E-2</v>
      </c>
      <c r="BC221" s="14">
        <f>8.25/1000</f>
        <v>8.2500000000000004E-3</v>
      </c>
      <c r="BD221" s="15">
        <f>Table1347456[[#This Row],[treatment_se]]*SQRT(Table1347456[[#This Row],[treatment_n]])</f>
        <v>2.2859999999999998E-2</v>
      </c>
      <c r="BE221" s="14">
        <f>Table1347456[[#This Row],[control_se]]*SQRT(Table1347456[[#This Row],[control_n]])</f>
        <v>1.6500000000000001E-2</v>
      </c>
      <c r="BF22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1.4070381432822781E-2</v>
      </c>
      <c r="BG221" s="17">
        <f>SQRT(Table1347456[[#This Row],[v_from_sd_and_n]])</f>
        <v>0.11861863864006694</v>
      </c>
      <c r="BH221" s="13" t="s">
        <v>50</v>
      </c>
      <c r="BI221" s="13">
        <v>2.5000000000000001E-2</v>
      </c>
      <c r="BJ221" s="18">
        <f>ABS(_xlfn.NORM.S.INV(Table1347456[[#This Row],[p_value]]/2))</f>
        <v>2.2414027276049446</v>
      </c>
      <c r="BK221" s="19">
        <f>(Table1347456[[#This Row],[lnrr]]/Table1347456[[#This Row],[z_from_p]])^2</f>
        <v>1.1486653320276785E-2</v>
      </c>
      <c r="BL221" s="16">
        <f>Table1347456[[#This Row],[v_from_sd_and_n]]</f>
        <v>1.4070381432822781E-2</v>
      </c>
      <c r="BM221" s="20">
        <f>SQRT(Table1347456[[#This Row],[v]])</f>
        <v>0.11861863864006694</v>
      </c>
      <c r="BN221" s="20">
        <f>Table1347456[[#This Row],[lnrr]]-(1.96*Table1347456[[#This Row],[se]])</f>
        <v>7.7316114197596153E-3</v>
      </c>
      <c r="BO221" s="20">
        <f>Table1347456[[#This Row],[lnrr]]+(1.96 * Table1347456[[#This Row],[se]])</f>
        <v>0.47271667488882207</v>
      </c>
    </row>
    <row r="222" spans="1:67">
      <c r="A222" s="13" t="s">
        <v>128</v>
      </c>
      <c r="B222" s="13" t="s">
        <v>137</v>
      </c>
      <c r="C222" s="13" t="s">
        <v>130</v>
      </c>
      <c r="D222" s="13" t="s">
        <v>131</v>
      </c>
      <c r="E222" s="13" t="s">
        <v>132</v>
      </c>
      <c r="F222" s="13" t="s">
        <v>589</v>
      </c>
      <c r="G222" s="13" t="s">
        <v>138</v>
      </c>
      <c r="H222" s="13">
        <v>28</v>
      </c>
      <c r="I222" s="13">
        <v>1875</v>
      </c>
      <c r="J222" s="13" t="s">
        <v>653</v>
      </c>
      <c r="K222" s="13" t="s">
        <v>831</v>
      </c>
      <c r="L222" s="13" t="s">
        <v>832</v>
      </c>
      <c r="M222" s="13" t="s">
        <v>802</v>
      </c>
      <c r="N222" s="13" t="s">
        <v>84</v>
      </c>
      <c r="O222" s="13" t="s">
        <v>644</v>
      </c>
      <c r="P222" s="13" t="s">
        <v>85</v>
      </c>
      <c r="Q222" s="13" t="s">
        <v>48</v>
      </c>
      <c r="R222" s="4">
        <v>4</v>
      </c>
      <c r="S222" s="13" t="s">
        <v>596</v>
      </c>
      <c r="T222" s="13">
        <v>45</v>
      </c>
      <c r="U222" s="4" t="s">
        <v>133</v>
      </c>
      <c r="V222" s="4">
        <v>400</v>
      </c>
      <c r="W222" s="4" t="s">
        <v>42</v>
      </c>
      <c r="X222" s="4" t="s">
        <v>46</v>
      </c>
      <c r="Y222" s="4">
        <v>32</v>
      </c>
      <c r="AA222" s="4" t="s">
        <v>49</v>
      </c>
      <c r="AB222" s="4">
        <v>0</v>
      </c>
      <c r="AC222" s="4" t="s">
        <v>49</v>
      </c>
      <c r="AD222" s="4">
        <v>0</v>
      </c>
      <c r="AE222" s="4" t="s">
        <v>49</v>
      </c>
      <c r="AF222" s="4">
        <v>0</v>
      </c>
      <c r="AG222" s="4" t="s">
        <v>685</v>
      </c>
      <c r="AH222" s="4" t="s">
        <v>722</v>
      </c>
      <c r="AI222" s="4" t="s">
        <v>78</v>
      </c>
      <c r="AJ222" s="13">
        <v>0</v>
      </c>
      <c r="AK222" s="13">
        <v>20</v>
      </c>
      <c r="AL222" s="13" t="s">
        <v>493</v>
      </c>
      <c r="AM222" s="13">
        <v>1.6</v>
      </c>
      <c r="AN222" s="13" t="s">
        <v>494</v>
      </c>
      <c r="AO222" s="13" t="s">
        <v>495</v>
      </c>
      <c r="AP222" s="13" t="s">
        <v>50</v>
      </c>
      <c r="AQ222" s="13" t="s">
        <v>49</v>
      </c>
      <c r="AR222" s="13" t="s">
        <v>50</v>
      </c>
      <c r="AS222" s="13" t="s">
        <v>49</v>
      </c>
      <c r="AT222" s="13" t="s">
        <v>990</v>
      </c>
      <c r="AU222" s="13" t="s">
        <v>998</v>
      </c>
      <c r="AV222" s="23">
        <f>125.08/1000</f>
        <v>0.12508</v>
      </c>
      <c r="AW222" s="23">
        <f t="shared" ref="AW222:AW236" si="9">102.86/1000</f>
        <v>0.10285999999999999</v>
      </c>
      <c r="AX222" s="14">
        <f>Table1347456[[#This Row],[treatment_mean]]/Table1347456[[#This Row],[control_mean]]</f>
        <v>1.2160217771728563</v>
      </c>
      <c r="AY222" s="14">
        <f>LN(Table1347456[[#This Row],[rr]])</f>
        <v>0.19558469224287039</v>
      </c>
      <c r="AZ222" s="13">
        <v>4</v>
      </c>
      <c r="BA222" s="13">
        <v>4</v>
      </c>
      <c r="BB222" s="14">
        <f>11.43/1000</f>
        <v>1.1429999999999999E-2</v>
      </c>
      <c r="BC222" s="14">
        <f t="shared" ref="BC222:BC236" si="10">8.25/1000</f>
        <v>8.2500000000000004E-3</v>
      </c>
      <c r="BD222" s="15">
        <f>Table1347456[[#This Row],[treatment_se]]*SQRT(Table1347456[[#This Row],[treatment_n]])</f>
        <v>2.2859999999999998E-2</v>
      </c>
      <c r="BE222" s="14">
        <f>Table1347456[[#This Row],[control_se]]*SQRT(Table1347456[[#This Row],[control_n]])</f>
        <v>1.6500000000000001E-2</v>
      </c>
      <c r="BF22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1.4783600776548542E-2</v>
      </c>
      <c r="BG222" s="17">
        <f>SQRT(Table1347456[[#This Row],[v_from_sd_and_n]])</f>
        <v>0.12158783153156627</v>
      </c>
      <c r="BH222" s="13" t="s">
        <v>50</v>
      </c>
      <c r="BI222" s="13">
        <v>2.5000000000000001E-2</v>
      </c>
      <c r="BJ222" s="18">
        <f>ABS(_xlfn.NORM.S.INV(Table1347456[[#This Row],[p_value]]/2))</f>
        <v>2.2414027276049446</v>
      </c>
      <c r="BK222" s="19">
        <f>(Table1347456[[#This Row],[lnrr]]/Table1347456[[#This Row],[z_from_p]])^2</f>
        <v>7.6142990532561397E-3</v>
      </c>
      <c r="BL222" s="16">
        <f>Table1347456[[#This Row],[v_from_sd_and_n]]</f>
        <v>1.4783600776548542E-2</v>
      </c>
      <c r="BM222" s="20">
        <f>SQRT(Table1347456[[#This Row],[v]])</f>
        <v>0.12158783153156627</v>
      </c>
      <c r="BN222" s="20">
        <f>Table1347456[[#This Row],[lnrr]]-(1.96*Table1347456[[#This Row],[se]])</f>
        <v>-4.2727457558999482E-2</v>
      </c>
      <c r="BO222" s="20">
        <f>Table1347456[[#This Row],[lnrr]]+(1.96 * Table1347456[[#This Row],[se]])</f>
        <v>0.43389684204474027</v>
      </c>
    </row>
    <row r="223" spans="1:67">
      <c r="A223" s="13" t="s">
        <v>128</v>
      </c>
      <c r="B223" s="13" t="s">
        <v>137</v>
      </c>
      <c r="C223" s="13" t="s">
        <v>130</v>
      </c>
      <c r="D223" s="13" t="s">
        <v>131</v>
      </c>
      <c r="E223" s="13" t="s">
        <v>132</v>
      </c>
      <c r="F223" s="13" t="s">
        <v>589</v>
      </c>
      <c r="G223" s="13" t="s">
        <v>138</v>
      </c>
      <c r="H223" s="13">
        <v>28</v>
      </c>
      <c r="I223" s="13">
        <v>1875</v>
      </c>
      <c r="J223" s="13" t="s">
        <v>653</v>
      </c>
      <c r="K223" s="13" t="s">
        <v>831</v>
      </c>
      <c r="L223" s="13" t="s">
        <v>832</v>
      </c>
      <c r="M223" s="13" t="s">
        <v>802</v>
      </c>
      <c r="N223" s="13" t="s">
        <v>84</v>
      </c>
      <c r="O223" s="13" t="s">
        <v>644</v>
      </c>
      <c r="P223" s="13" t="s">
        <v>85</v>
      </c>
      <c r="Q223" s="13" t="s">
        <v>48</v>
      </c>
      <c r="R223" s="4">
        <v>4</v>
      </c>
      <c r="S223" s="13" t="s">
        <v>596</v>
      </c>
      <c r="T223" s="13">
        <v>45</v>
      </c>
      <c r="U223" s="4" t="s">
        <v>133</v>
      </c>
      <c r="V223" s="4">
        <v>400</v>
      </c>
      <c r="W223" s="4" t="s">
        <v>42</v>
      </c>
      <c r="X223" s="4" t="s">
        <v>46</v>
      </c>
      <c r="Y223" s="4">
        <v>48</v>
      </c>
      <c r="AA223" s="4" t="s">
        <v>49</v>
      </c>
      <c r="AB223" s="4">
        <v>0</v>
      </c>
      <c r="AC223" s="4" t="s">
        <v>49</v>
      </c>
      <c r="AD223" s="4">
        <v>0</v>
      </c>
      <c r="AE223" s="4" t="s">
        <v>49</v>
      </c>
      <c r="AF223" s="4">
        <v>0</v>
      </c>
      <c r="AG223" s="4" t="s">
        <v>685</v>
      </c>
      <c r="AH223" s="4" t="s">
        <v>722</v>
      </c>
      <c r="AI223" s="4" t="s">
        <v>78</v>
      </c>
      <c r="AJ223" s="13">
        <v>0</v>
      </c>
      <c r="AK223" s="13">
        <v>20</v>
      </c>
      <c r="AL223" s="13" t="s">
        <v>493</v>
      </c>
      <c r="AM223" s="13">
        <v>1.6</v>
      </c>
      <c r="AN223" s="13" t="s">
        <v>494</v>
      </c>
      <c r="AO223" s="13" t="s">
        <v>495</v>
      </c>
      <c r="AP223" s="13" t="s">
        <v>50</v>
      </c>
      <c r="AQ223" s="13" t="s">
        <v>49</v>
      </c>
      <c r="AR223" s="13" t="s">
        <v>50</v>
      </c>
      <c r="AS223" s="13" t="s">
        <v>49</v>
      </c>
      <c r="AT223" s="13" t="s">
        <v>990</v>
      </c>
      <c r="AU223" s="13" t="s">
        <v>998</v>
      </c>
      <c r="AV223" s="23">
        <f>117.46/1000</f>
        <v>0.11745999999999999</v>
      </c>
      <c r="AW223" s="23">
        <f t="shared" si="9"/>
        <v>0.10285999999999999</v>
      </c>
      <c r="AX223" s="14">
        <f>Table1347456[[#This Row],[treatment_mean]]/Table1347456[[#This Row],[control_mean]]</f>
        <v>1.141940501652732</v>
      </c>
      <c r="AY223" s="14">
        <f>LN(Table1347456[[#This Row],[rr]])</f>
        <v>0.13272900974760338</v>
      </c>
      <c r="AZ223" s="13">
        <v>4</v>
      </c>
      <c r="BA223" s="13">
        <v>4</v>
      </c>
      <c r="BB223" s="14">
        <f>5.08/1000</f>
        <v>5.0800000000000003E-3</v>
      </c>
      <c r="BC223" s="14">
        <f t="shared" si="10"/>
        <v>8.2500000000000004E-3</v>
      </c>
      <c r="BD223" s="15">
        <f>Table1347456[[#This Row],[treatment_se]]*SQRT(Table1347456[[#This Row],[treatment_n]])</f>
        <v>1.0160000000000001E-2</v>
      </c>
      <c r="BE223" s="14">
        <f>Table1347456[[#This Row],[control_se]]*SQRT(Table1347456[[#This Row],[control_n]])</f>
        <v>1.6500000000000001E-2</v>
      </c>
      <c r="BF22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8.3034750616760231E-3</v>
      </c>
      <c r="BG223" s="17">
        <f>SQRT(Table1347456[[#This Row],[v_from_sd_and_n]])</f>
        <v>9.1123405674261443E-2</v>
      </c>
      <c r="BH223" s="13" t="s">
        <v>50</v>
      </c>
      <c r="BI223" s="13">
        <v>2.5000000000000001E-2</v>
      </c>
      <c r="BJ223" s="18">
        <f>ABS(_xlfn.NORM.S.INV(Table1347456[[#This Row],[p_value]]/2))</f>
        <v>2.2414027276049446</v>
      </c>
      <c r="BK223" s="19">
        <f>(Table1347456[[#This Row],[lnrr]]/Table1347456[[#This Row],[z_from_p]])^2</f>
        <v>3.506645925431511E-3</v>
      </c>
      <c r="BL223" s="16">
        <f>Table1347456[[#This Row],[v_from_sd_and_n]]</f>
        <v>8.3034750616760231E-3</v>
      </c>
      <c r="BM223" s="20">
        <f>SQRT(Table1347456[[#This Row],[v]])</f>
        <v>9.1123405674261443E-2</v>
      </c>
      <c r="BN223" s="20">
        <f>Table1347456[[#This Row],[lnrr]]-(1.96*Table1347456[[#This Row],[se]])</f>
        <v>-4.5872865373949051E-2</v>
      </c>
      <c r="BO223" s="20">
        <f>Table1347456[[#This Row],[lnrr]]+(1.96 * Table1347456[[#This Row],[se]])</f>
        <v>0.31133088486915583</v>
      </c>
    </row>
    <row r="224" spans="1:67">
      <c r="A224" s="13" t="s">
        <v>128</v>
      </c>
      <c r="B224" s="13" t="s">
        <v>137</v>
      </c>
      <c r="C224" s="13" t="s">
        <v>130</v>
      </c>
      <c r="D224" s="13" t="s">
        <v>131</v>
      </c>
      <c r="E224" s="13" t="s">
        <v>132</v>
      </c>
      <c r="F224" s="13" t="s">
        <v>589</v>
      </c>
      <c r="G224" s="13" t="s">
        <v>138</v>
      </c>
      <c r="H224" s="13">
        <v>28</v>
      </c>
      <c r="I224" s="13">
        <v>1875</v>
      </c>
      <c r="J224" s="13" t="s">
        <v>653</v>
      </c>
      <c r="K224" s="13" t="s">
        <v>831</v>
      </c>
      <c r="L224" s="13" t="s">
        <v>832</v>
      </c>
      <c r="M224" s="13" t="s">
        <v>802</v>
      </c>
      <c r="N224" s="13" t="s">
        <v>84</v>
      </c>
      <c r="O224" s="13" t="s">
        <v>644</v>
      </c>
      <c r="P224" s="13" t="s">
        <v>85</v>
      </c>
      <c r="Q224" s="13" t="s">
        <v>48</v>
      </c>
      <c r="R224" s="4">
        <v>4</v>
      </c>
      <c r="S224" s="13" t="s">
        <v>596</v>
      </c>
      <c r="T224" s="13">
        <v>45</v>
      </c>
      <c r="U224" s="4" t="s">
        <v>133</v>
      </c>
      <c r="V224" s="4">
        <v>400</v>
      </c>
      <c r="W224" s="4" t="s">
        <v>42</v>
      </c>
      <c r="X224" s="4" t="s">
        <v>46</v>
      </c>
      <c r="Y224" s="4">
        <v>64</v>
      </c>
      <c r="AA224" s="4" t="s">
        <v>49</v>
      </c>
      <c r="AB224" s="4">
        <v>0</v>
      </c>
      <c r="AC224" s="4" t="s">
        <v>49</v>
      </c>
      <c r="AD224" s="4">
        <v>0</v>
      </c>
      <c r="AE224" s="4" t="s">
        <v>49</v>
      </c>
      <c r="AF224" s="4">
        <v>0</v>
      </c>
      <c r="AG224" s="4" t="s">
        <v>685</v>
      </c>
      <c r="AH224" s="4" t="s">
        <v>722</v>
      </c>
      <c r="AI224" s="4" t="s">
        <v>78</v>
      </c>
      <c r="AJ224" s="13">
        <v>0</v>
      </c>
      <c r="AK224" s="13">
        <v>20</v>
      </c>
      <c r="AL224" s="13" t="s">
        <v>493</v>
      </c>
      <c r="AM224" s="13">
        <v>1.6</v>
      </c>
      <c r="AN224" s="13" t="s">
        <v>494</v>
      </c>
      <c r="AO224" s="13" t="s">
        <v>495</v>
      </c>
      <c r="AP224" s="13" t="s">
        <v>50</v>
      </c>
      <c r="AQ224" s="13" t="s">
        <v>49</v>
      </c>
      <c r="AR224" s="13" t="s">
        <v>50</v>
      </c>
      <c r="AS224" s="13" t="s">
        <v>49</v>
      </c>
      <c r="AT224" s="13" t="s">
        <v>990</v>
      </c>
      <c r="AU224" s="13" t="s">
        <v>998</v>
      </c>
      <c r="AV224" s="23">
        <f>125.08/1000</f>
        <v>0.12508</v>
      </c>
      <c r="AW224" s="23">
        <f t="shared" si="9"/>
        <v>0.10285999999999999</v>
      </c>
      <c r="AX224" s="14">
        <f>Table1347456[[#This Row],[treatment_mean]]/Table1347456[[#This Row],[control_mean]]</f>
        <v>1.2160217771728563</v>
      </c>
      <c r="AY224" s="14">
        <f>LN(Table1347456[[#This Row],[rr]])</f>
        <v>0.19558469224287039</v>
      </c>
      <c r="AZ224" s="13">
        <v>4</v>
      </c>
      <c r="BA224" s="13">
        <v>4</v>
      </c>
      <c r="BB224" s="14">
        <f>9.52/1000</f>
        <v>9.5199999999999989E-3</v>
      </c>
      <c r="BC224" s="14">
        <f t="shared" si="10"/>
        <v>8.2500000000000004E-3</v>
      </c>
      <c r="BD224" s="15">
        <f>Table1347456[[#This Row],[treatment_se]]*SQRT(Table1347456[[#This Row],[treatment_n]])</f>
        <v>1.9039999999999998E-2</v>
      </c>
      <c r="BE224" s="14">
        <f>Table1347456[[#This Row],[control_se]]*SQRT(Table1347456[[#This Row],[control_n]])</f>
        <v>1.6500000000000001E-2</v>
      </c>
      <c r="BF22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1.2225947620203396E-2</v>
      </c>
      <c r="BG224" s="17">
        <f>SQRT(Table1347456[[#This Row],[v_from_sd_and_n]])</f>
        <v>0.11057100714112808</v>
      </c>
      <c r="BH224" s="13" t="s">
        <v>50</v>
      </c>
      <c r="BI224" s="13">
        <v>2.5000000000000001E-2</v>
      </c>
      <c r="BJ224" s="18">
        <f>ABS(_xlfn.NORM.S.INV(Table1347456[[#This Row],[p_value]]/2))</f>
        <v>2.2414027276049446</v>
      </c>
      <c r="BK224" s="19">
        <f>(Table1347456[[#This Row],[lnrr]]/Table1347456[[#This Row],[z_from_p]])^2</f>
        <v>7.6142990532561397E-3</v>
      </c>
      <c r="BL224" s="16">
        <f>Table1347456[[#This Row],[v_from_sd_and_n]]</f>
        <v>1.2225947620203396E-2</v>
      </c>
      <c r="BM224" s="20">
        <f>SQRT(Table1347456[[#This Row],[v]])</f>
        <v>0.11057100714112808</v>
      </c>
      <c r="BN224" s="20">
        <f>Table1347456[[#This Row],[lnrr]]-(1.96*Table1347456[[#This Row],[se]])</f>
        <v>-2.1134481753740636E-2</v>
      </c>
      <c r="BO224" s="20">
        <f>Table1347456[[#This Row],[lnrr]]+(1.96 * Table1347456[[#This Row],[se]])</f>
        <v>0.41230386623948145</v>
      </c>
    </row>
    <row r="225" spans="1:67">
      <c r="A225" s="13" t="s">
        <v>128</v>
      </c>
      <c r="B225" s="13" t="s">
        <v>137</v>
      </c>
      <c r="C225" s="13" t="s">
        <v>130</v>
      </c>
      <c r="D225" s="13" t="s">
        <v>131</v>
      </c>
      <c r="E225" s="13" t="s">
        <v>132</v>
      </c>
      <c r="F225" s="13" t="s">
        <v>589</v>
      </c>
      <c r="G225" s="13" t="s">
        <v>138</v>
      </c>
      <c r="H225" s="13">
        <v>28</v>
      </c>
      <c r="I225" s="13">
        <v>1875</v>
      </c>
      <c r="J225" s="13" t="s">
        <v>653</v>
      </c>
      <c r="K225" s="13" t="s">
        <v>831</v>
      </c>
      <c r="L225" s="13" t="s">
        <v>832</v>
      </c>
      <c r="M225" s="13" t="s">
        <v>802</v>
      </c>
      <c r="N225" s="13" t="s">
        <v>84</v>
      </c>
      <c r="O225" s="13" t="s">
        <v>644</v>
      </c>
      <c r="P225" s="13" t="s">
        <v>85</v>
      </c>
      <c r="Q225" s="13" t="s">
        <v>48</v>
      </c>
      <c r="R225" s="4">
        <v>4</v>
      </c>
      <c r="S225" s="13" t="s">
        <v>596</v>
      </c>
      <c r="T225" s="13">
        <v>45</v>
      </c>
      <c r="U225" s="4" t="s">
        <v>134</v>
      </c>
      <c r="V225" s="4">
        <v>400</v>
      </c>
      <c r="W225" s="4" t="s">
        <v>42</v>
      </c>
      <c r="X225" s="4" t="s">
        <v>46</v>
      </c>
      <c r="Y225" s="4">
        <v>16</v>
      </c>
      <c r="AA225" s="4" t="s">
        <v>49</v>
      </c>
      <c r="AB225" s="4">
        <v>0</v>
      </c>
      <c r="AC225" s="4" t="s">
        <v>49</v>
      </c>
      <c r="AD225" s="4">
        <v>0</v>
      </c>
      <c r="AE225" s="4" t="s">
        <v>49</v>
      </c>
      <c r="AF225" s="4">
        <v>0</v>
      </c>
      <c r="AG225" s="4" t="s">
        <v>708</v>
      </c>
      <c r="AH225" s="4" t="s">
        <v>722</v>
      </c>
      <c r="AI225" s="4" t="s">
        <v>78</v>
      </c>
      <c r="AJ225" s="13">
        <v>0</v>
      </c>
      <c r="AK225" s="13">
        <v>20</v>
      </c>
      <c r="AL225" s="13" t="s">
        <v>493</v>
      </c>
      <c r="AM225" s="13">
        <v>1.6</v>
      </c>
      <c r="AN225" s="13" t="s">
        <v>494</v>
      </c>
      <c r="AO225" s="13" t="s">
        <v>495</v>
      </c>
      <c r="AP225" s="13" t="s">
        <v>50</v>
      </c>
      <c r="AQ225" s="13" t="s">
        <v>49</v>
      </c>
      <c r="AR225" s="13" t="s">
        <v>50</v>
      </c>
      <c r="AS225" s="13" t="s">
        <v>49</v>
      </c>
      <c r="AT225" s="13" t="s">
        <v>990</v>
      </c>
      <c r="AU225" s="13" t="s">
        <v>998</v>
      </c>
      <c r="AV225" s="23">
        <f>134.6/1000</f>
        <v>0.1346</v>
      </c>
      <c r="AW225" s="23">
        <f t="shared" si="9"/>
        <v>0.10285999999999999</v>
      </c>
      <c r="AX225" s="14">
        <f>Table1347456[[#This Row],[treatment_mean]]/Table1347456[[#This Row],[control_mean]]</f>
        <v>1.3085747618121719</v>
      </c>
      <c r="AY225" s="14">
        <f>LN(Table1347456[[#This Row],[rr]])</f>
        <v>0.2689385768638573</v>
      </c>
      <c r="AZ225" s="13">
        <v>4</v>
      </c>
      <c r="BA225" s="13">
        <v>4</v>
      </c>
      <c r="BB225" s="14">
        <f>15.24/1000</f>
        <v>1.524E-2</v>
      </c>
      <c r="BC225" s="14">
        <f t="shared" si="10"/>
        <v>8.2500000000000004E-3</v>
      </c>
      <c r="BD225" s="15">
        <f>Table1347456[[#This Row],[treatment_se]]*SQRT(Table1347456[[#This Row],[treatment_n]])</f>
        <v>3.048E-2</v>
      </c>
      <c r="BE225" s="14">
        <f>Table1347456[[#This Row],[control_se]]*SQRT(Table1347456[[#This Row],[control_n]])</f>
        <v>1.6500000000000001E-2</v>
      </c>
      <c r="BF22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1.9252776963239519E-2</v>
      </c>
      <c r="BG225" s="17">
        <f>SQRT(Table1347456[[#This Row],[v_from_sd_and_n]])</f>
        <v>0.13875437637508778</v>
      </c>
      <c r="BH225" s="13" t="s">
        <v>50</v>
      </c>
      <c r="BI225" s="13">
        <v>2.5000000000000001E-2</v>
      </c>
      <c r="BJ225" s="18">
        <f>ABS(_xlfn.NORM.S.INV(Table1347456[[#This Row],[p_value]]/2))</f>
        <v>2.2414027276049446</v>
      </c>
      <c r="BK225" s="19">
        <f>(Table1347456[[#This Row],[lnrr]]/Table1347456[[#This Row],[z_from_p]])^2</f>
        <v>1.4396814622947096E-2</v>
      </c>
      <c r="BL225" s="16">
        <f>Table1347456[[#This Row],[v_from_sd_and_n]]</f>
        <v>1.9252776963239519E-2</v>
      </c>
      <c r="BM225" s="20">
        <f>SQRT(Table1347456[[#This Row],[v]])</f>
        <v>0.13875437637508778</v>
      </c>
      <c r="BN225" s="20">
        <f>Table1347456[[#This Row],[lnrr]]-(1.96*Table1347456[[#This Row],[se]])</f>
        <v>-3.0200008313147619E-3</v>
      </c>
      <c r="BO225" s="20">
        <f>Table1347456[[#This Row],[lnrr]]+(1.96 * Table1347456[[#This Row],[se]])</f>
        <v>0.54089715455902931</v>
      </c>
    </row>
    <row r="226" spans="1:67">
      <c r="A226" s="13" t="s">
        <v>128</v>
      </c>
      <c r="B226" s="13" t="s">
        <v>137</v>
      </c>
      <c r="C226" s="13" t="s">
        <v>130</v>
      </c>
      <c r="D226" s="13" t="s">
        <v>131</v>
      </c>
      <c r="E226" s="13" t="s">
        <v>132</v>
      </c>
      <c r="F226" s="13" t="s">
        <v>589</v>
      </c>
      <c r="G226" s="13" t="s">
        <v>138</v>
      </c>
      <c r="H226" s="13">
        <v>28</v>
      </c>
      <c r="I226" s="13">
        <v>1875</v>
      </c>
      <c r="J226" s="13" t="s">
        <v>653</v>
      </c>
      <c r="K226" s="13" t="s">
        <v>831</v>
      </c>
      <c r="L226" s="13" t="s">
        <v>832</v>
      </c>
      <c r="M226" s="13" t="s">
        <v>802</v>
      </c>
      <c r="N226" s="13" t="s">
        <v>84</v>
      </c>
      <c r="O226" s="13" t="s">
        <v>644</v>
      </c>
      <c r="P226" s="13" t="s">
        <v>85</v>
      </c>
      <c r="Q226" s="13" t="s">
        <v>48</v>
      </c>
      <c r="R226" s="4">
        <v>4</v>
      </c>
      <c r="S226" s="13" t="s">
        <v>596</v>
      </c>
      <c r="T226" s="13">
        <v>45</v>
      </c>
      <c r="U226" s="4" t="s">
        <v>134</v>
      </c>
      <c r="V226" s="4">
        <v>400</v>
      </c>
      <c r="W226" s="4" t="s">
        <v>42</v>
      </c>
      <c r="X226" s="4" t="s">
        <v>46</v>
      </c>
      <c r="Y226" s="4">
        <v>32</v>
      </c>
      <c r="AA226" s="4" t="s">
        <v>49</v>
      </c>
      <c r="AB226" s="4">
        <v>0</v>
      </c>
      <c r="AC226" s="4" t="s">
        <v>49</v>
      </c>
      <c r="AD226" s="4">
        <v>0</v>
      </c>
      <c r="AE226" s="4" t="s">
        <v>49</v>
      </c>
      <c r="AF226" s="4">
        <v>0</v>
      </c>
      <c r="AG226" s="4" t="s">
        <v>708</v>
      </c>
      <c r="AH226" s="4" t="s">
        <v>722</v>
      </c>
      <c r="AI226" s="4" t="s">
        <v>78</v>
      </c>
      <c r="AJ226" s="13">
        <v>0</v>
      </c>
      <c r="AK226" s="13">
        <v>20</v>
      </c>
      <c r="AL226" s="13" t="s">
        <v>493</v>
      </c>
      <c r="AM226" s="13">
        <v>1.6</v>
      </c>
      <c r="AN226" s="13" t="s">
        <v>494</v>
      </c>
      <c r="AO226" s="13" t="s">
        <v>495</v>
      </c>
      <c r="AP226" s="13" t="s">
        <v>50</v>
      </c>
      <c r="AQ226" s="13" t="s">
        <v>49</v>
      </c>
      <c r="AR226" s="13" t="s">
        <v>50</v>
      </c>
      <c r="AS226" s="13" t="s">
        <v>49</v>
      </c>
      <c r="AT226" s="13" t="s">
        <v>990</v>
      </c>
      <c r="AU226" s="13" t="s">
        <v>998</v>
      </c>
      <c r="AV226" s="23">
        <f>121.27/1000</f>
        <v>0.12127</v>
      </c>
      <c r="AW226" s="23">
        <f t="shared" si="9"/>
        <v>0.10285999999999999</v>
      </c>
      <c r="AX226" s="14">
        <f>Table1347456[[#This Row],[treatment_mean]]/Table1347456[[#This Row],[control_mean]]</f>
        <v>1.1789811394127943</v>
      </c>
      <c r="AY226" s="14">
        <f>LN(Table1347456[[#This Row],[rr]])</f>
        <v>0.16465062432193042</v>
      </c>
      <c r="AZ226" s="13">
        <v>4</v>
      </c>
      <c r="BA226" s="13">
        <v>4</v>
      </c>
      <c r="BB226" s="14">
        <f>7.62/1000</f>
        <v>7.62E-3</v>
      </c>
      <c r="BC226" s="14">
        <f t="shared" si="10"/>
        <v>8.2500000000000004E-3</v>
      </c>
      <c r="BD226" s="15">
        <f>Table1347456[[#This Row],[treatment_se]]*SQRT(Table1347456[[#This Row],[treatment_n]])</f>
        <v>1.524E-2</v>
      </c>
      <c r="BE226" s="14">
        <f>Table1347456[[#This Row],[control_se]]*SQRT(Table1347456[[#This Row],[control_n]])</f>
        <v>1.6500000000000001E-2</v>
      </c>
      <c r="BF22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1.0381256099856774E-2</v>
      </c>
      <c r="BG226" s="17">
        <f>SQRT(Table1347456[[#This Row],[v_from_sd_and_n]])</f>
        <v>0.1018884492955741</v>
      </c>
      <c r="BH226" s="13" t="s">
        <v>50</v>
      </c>
      <c r="BI226" s="13">
        <v>2.5000000000000001E-2</v>
      </c>
      <c r="BJ226" s="18">
        <f>ABS(_xlfn.NORM.S.INV(Table1347456[[#This Row],[p_value]]/2))</f>
        <v>2.2414027276049446</v>
      </c>
      <c r="BK226" s="19">
        <f>(Table1347456[[#This Row],[lnrr]]/Table1347456[[#This Row],[z_from_p]])^2</f>
        <v>5.396186752409461E-3</v>
      </c>
      <c r="BL226" s="16">
        <f>Table1347456[[#This Row],[v_from_sd_and_n]]</f>
        <v>1.0381256099856774E-2</v>
      </c>
      <c r="BM226" s="20">
        <f>SQRT(Table1347456[[#This Row],[v]])</f>
        <v>0.1018884492955741</v>
      </c>
      <c r="BN226" s="20">
        <f>Table1347456[[#This Row],[lnrr]]-(1.96*Table1347456[[#This Row],[se]])</f>
        <v>-3.5050736297394802E-2</v>
      </c>
      <c r="BO226" s="20">
        <f>Table1347456[[#This Row],[lnrr]]+(1.96 * Table1347456[[#This Row],[se]])</f>
        <v>0.36435198494125565</v>
      </c>
    </row>
    <row r="227" spans="1:67">
      <c r="A227" s="13" t="s">
        <v>128</v>
      </c>
      <c r="B227" s="13" t="s">
        <v>137</v>
      </c>
      <c r="C227" s="13" t="s">
        <v>130</v>
      </c>
      <c r="D227" s="13" t="s">
        <v>131</v>
      </c>
      <c r="E227" s="13" t="s">
        <v>132</v>
      </c>
      <c r="F227" s="13" t="s">
        <v>589</v>
      </c>
      <c r="G227" s="13" t="s">
        <v>138</v>
      </c>
      <c r="H227" s="13">
        <v>28</v>
      </c>
      <c r="I227" s="13">
        <v>1875</v>
      </c>
      <c r="J227" s="13" t="s">
        <v>653</v>
      </c>
      <c r="K227" s="13" t="s">
        <v>831</v>
      </c>
      <c r="L227" s="13" t="s">
        <v>832</v>
      </c>
      <c r="M227" s="13" t="s">
        <v>802</v>
      </c>
      <c r="N227" s="13" t="s">
        <v>84</v>
      </c>
      <c r="O227" s="13" t="s">
        <v>644</v>
      </c>
      <c r="P227" s="13" t="s">
        <v>85</v>
      </c>
      <c r="Q227" s="13" t="s">
        <v>48</v>
      </c>
      <c r="R227" s="4">
        <v>4</v>
      </c>
      <c r="S227" s="13" t="s">
        <v>596</v>
      </c>
      <c r="T227" s="13">
        <v>45</v>
      </c>
      <c r="U227" s="4" t="s">
        <v>134</v>
      </c>
      <c r="V227" s="4">
        <v>400</v>
      </c>
      <c r="W227" s="4" t="s">
        <v>42</v>
      </c>
      <c r="X227" s="4" t="s">
        <v>46</v>
      </c>
      <c r="Y227" s="4">
        <v>48</v>
      </c>
      <c r="AA227" s="4" t="s">
        <v>49</v>
      </c>
      <c r="AB227" s="4">
        <v>0</v>
      </c>
      <c r="AC227" s="4" t="s">
        <v>49</v>
      </c>
      <c r="AD227" s="4">
        <v>0</v>
      </c>
      <c r="AE227" s="4" t="s">
        <v>49</v>
      </c>
      <c r="AF227" s="4">
        <v>0</v>
      </c>
      <c r="AG227" s="4" t="s">
        <v>708</v>
      </c>
      <c r="AH227" s="4" t="s">
        <v>722</v>
      </c>
      <c r="AI227" s="4" t="s">
        <v>78</v>
      </c>
      <c r="AJ227" s="13">
        <v>0</v>
      </c>
      <c r="AK227" s="13">
        <v>20</v>
      </c>
      <c r="AL227" s="13" t="s">
        <v>493</v>
      </c>
      <c r="AM227" s="13">
        <v>1.6</v>
      </c>
      <c r="AN227" s="13" t="s">
        <v>494</v>
      </c>
      <c r="AO227" s="13" t="s">
        <v>495</v>
      </c>
      <c r="AP227" s="13" t="s">
        <v>50</v>
      </c>
      <c r="AQ227" s="13" t="s">
        <v>49</v>
      </c>
      <c r="AR227" s="13" t="s">
        <v>50</v>
      </c>
      <c r="AS227" s="13" t="s">
        <v>49</v>
      </c>
      <c r="AT227" s="13" t="s">
        <v>990</v>
      </c>
      <c r="AU227" s="13" t="s">
        <v>998</v>
      </c>
      <c r="AV227" s="23">
        <f>116.83/1000</f>
        <v>0.11683</v>
      </c>
      <c r="AW227" s="23">
        <f t="shared" si="9"/>
        <v>0.10285999999999999</v>
      </c>
      <c r="AX227" s="14">
        <f>Table1347456[[#This Row],[treatment_mean]]/Table1347456[[#This Row],[control_mean]]</f>
        <v>1.135815671786895</v>
      </c>
      <c r="AY227" s="14">
        <f>LN(Table1347456[[#This Row],[rr]])</f>
        <v>0.12735104638228706</v>
      </c>
      <c r="AZ227" s="13">
        <v>4</v>
      </c>
      <c r="BA227" s="13">
        <v>4</v>
      </c>
      <c r="BB227" s="14">
        <f>9.52/1000</f>
        <v>9.5199999999999989E-3</v>
      </c>
      <c r="BC227" s="14">
        <f t="shared" si="10"/>
        <v>8.2500000000000004E-3</v>
      </c>
      <c r="BD227" s="15">
        <f>Table1347456[[#This Row],[treatment_se]]*SQRT(Table1347456[[#This Row],[treatment_n]])</f>
        <v>1.9039999999999998E-2</v>
      </c>
      <c r="BE227" s="14">
        <f>Table1347456[[#This Row],[control_se]]*SQRT(Table1347456[[#This Row],[control_n]])</f>
        <v>1.6500000000000001E-2</v>
      </c>
      <c r="BF22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1.3072974452560091E-2</v>
      </c>
      <c r="BG227" s="17">
        <f>SQRT(Table1347456[[#This Row],[v_from_sd_and_n]])</f>
        <v>0.11433710881669211</v>
      </c>
      <c r="BH227" s="13" t="s">
        <v>50</v>
      </c>
      <c r="BI227" s="13">
        <v>2.5000000000000001E-2</v>
      </c>
      <c r="BJ227" s="18">
        <f>ABS(_xlfn.NORM.S.INV(Table1347456[[#This Row],[p_value]]/2))</f>
        <v>2.2414027276049446</v>
      </c>
      <c r="BK227" s="19">
        <f>(Table1347456[[#This Row],[lnrr]]/Table1347456[[#This Row],[z_from_p]])^2</f>
        <v>3.2282357541486453E-3</v>
      </c>
      <c r="BL227" s="16">
        <f>Table1347456[[#This Row],[v_from_sd_and_n]]</f>
        <v>1.3072974452560091E-2</v>
      </c>
      <c r="BM227" s="20">
        <f>SQRT(Table1347456[[#This Row],[v]])</f>
        <v>0.11433710881669211</v>
      </c>
      <c r="BN227" s="20">
        <f>Table1347456[[#This Row],[lnrr]]-(1.96*Table1347456[[#This Row],[se]])</f>
        <v>-9.6749686898429471E-2</v>
      </c>
      <c r="BO227" s="20">
        <f>Table1347456[[#This Row],[lnrr]]+(1.96 * Table1347456[[#This Row],[se]])</f>
        <v>0.35145177966300356</v>
      </c>
    </row>
    <row r="228" spans="1:67">
      <c r="A228" s="13" t="s">
        <v>128</v>
      </c>
      <c r="B228" s="13" t="s">
        <v>137</v>
      </c>
      <c r="C228" s="13" t="s">
        <v>130</v>
      </c>
      <c r="D228" s="13" t="s">
        <v>131</v>
      </c>
      <c r="E228" s="13" t="s">
        <v>132</v>
      </c>
      <c r="F228" s="13" t="s">
        <v>589</v>
      </c>
      <c r="G228" s="13" t="s">
        <v>138</v>
      </c>
      <c r="H228" s="13">
        <v>28</v>
      </c>
      <c r="I228" s="13">
        <v>1875</v>
      </c>
      <c r="J228" s="13" t="s">
        <v>653</v>
      </c>
      <c r="K228" s="13" t="s">
        <v>831</v>
      </c>
      <c r="L228" s="13" t="s">
        <v>832</v>
      </c>
      <c r="M228" s="13" t="s">
        <v>802</v>
      </c>
      <c r="N228" s="13" t="s">
        <v>84</v>
      </c>
      <c r="O228" s="13" t="s">
        <v>644</v>
      </c>
      <c r="P228" s="13" t="s">
        <v>85</v>
      </c>
      <c r="Q228" s="13" t="s">
        <v>48</v>
      </c>
      <c r="R228" s="4">
        <v>4</v>
      </c>
      <c r="S228" s="13" t="s">
        <v>596</v>
      </c>
      <c r="T228" s="13">
        <v>45</v>
      </c>
      <c r="U228" s="4" t="s">
        <v>134</v>
      </c>
      <c r="V228" s="4">
        <v>400</v>
      </c>
      <c r="W228" s="4" t="s">
        <v>42</v>
      </c>
      <c r="X228" s="4" t="s">
        <v>46</v>
      </c>
      <c r="Y228" s="4">
        <v>64</v>
      </c>
      <c r="AA228" s="4" t="s">
        <v>49</v>
      </c>
      <c r="AB228" s="4">
        <v>0</v>
      </c>
      <c r="AC228" s="4" t="s">
        <v>49</v>
      </c>
      <c r="AD228" s="4">
        <v>0</v>
      </c>
      <c r="AE228" s="4" t="s">
        <v>49</v>
      </c>
      <c r="AF228" s="4">
        <v>0</v>
      </c>
      <c r="AG228" s="4" t="s">
        <v>708</v>
      </c>
      <c r="AH228" s="4" t="s">
        <v>722</v>
      </c>
      <c r="AI228" s="4" t="s">
        <v>78</v>
      </c>
      <c r="AJ228" s="13">
        <v>0</v>
      </c>
      <c r="AK228" s="13">
        <v>20</v>
      </c>
      <c r="AL228" s="13" t="s">
        <v>493</v>
      </c>
      <c r="AM228" s="13">
        <v>1.6</v>
      </c>
      <c r="AN228" s="13" t="s">
        <v>494</v>
      </c>
      <c r="AO228" s="13" t="s">
        <v>495</v>
      </c>
      <c r="AP228" s="13" t="s">
        <v>50</v>
      </c>
      <c r="AQ228" s="13" t="s">
        <v>49</v>
      </c>
      <c r="AR228" s="13" t="s">
        <v>50</v>
      </c>
      <c r="AS228" s="13" t="s">
        <v>49</v>
      </c>
      <c r="AT228" s="13" t="s">
        <v>990</v>
      </c>
      <c r="AU228" s="13" t="s">
        <v>998</v>
      </c>
      <c r="AV228" s="23">
        <f>140.95/1000</f>
        <v>0.14094999999999999</v>
      </c>
      <c r="AW228" s="23">
        <f t="shared" si="9"/>
        <v>0.10285999999999999</v>
      </c>
      <c r="AX228" s="14">
        <f>Table1347456[[#This Row],[treatment_mean]]/Table1347456[[#This Row],[control_mean]]</f>
        <v>1.3703091580789422</v>
      </c>
      <c r="AY228" s="14">
        <f>LN(Table1347456[[#This Row],[rr]])</f>
        <v>0.31503637721335137</v>
      </c>
      <c r="AZ228" s="13">
        <v>4</v>
      </c>
      <c r="BA228" s="13">
        <v>4</v>
      </c>
      <c r="BB228" s="14">
        <f>8.89/1000</f>
        <v>8.8900000000000003E-3</v>
      </c>
      <c r="BC228" s="14">
        <f t="shared" si="10"/>
        <v>8.2500000000000004E-3</v>
      </c>
      <c r="BD228" s="15">
        <f>Table1347456[[#This Row],[treatment_se]]*SQRT(Table1347456[[#This Row],[treatment_n]])</f>
        <v>1.7780000000000001E-2</v>
      </c>
      <c r="BE228" s="14">
        <f>Table1347456[[#This Row],[control_se]]*SQRT(Table1347456[[#This Row],[control_n]])</f>
        <v>1.6500000000000001E-2</v>
      </c>
      <c r="BF22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1.0411097957113147E-2</v>
      </c>
      <c r="BG228" s="17">
        <f>SQRT(Table1347456[[#This Row],[v_from_sd_and_n]])</f>
        <v>0.10203478797504872</v>
      </c>
      <c r="BH228" s="13" t="s">
        <v>50</v>
      </c>
      <c r="BI228" s="13">
        <v>2.5000000000000001E-2</v>
      </c>
      <c r="BJ228" s="18">
        <f>ABS(_xlfn.NORM.S.INV(Table1347456[[#This Row],[p_value]]/2))</f>
        <v>2.2414027276049446</v>
      </c>
      <c r="BK228" s="19">
        <f>(Table1347456[[#This Row],[lnrr]]/Table1347456[[#This Row],[z_from_p]])^2</f>
        <v>1.9755208471543422E-2</v>
      </c>
      <c r="BL228" s="16">
        <f>Table1347456[[#This Row],[v_from_sd_and_n]]</f>
        <v>1.0411097957113147E-2</v>
      </c>
      <c r="BM228" s="20">
        <f>SQRT(Table1347456[[#This Row],[v]])</f>
        <v>0.10203478797504872</v>
      </c>
      <c r="BN228" s="20">
        <f>Table1347456[[#This Row],[lnrr]]-(1.96*Table1347456[[#This Row],[se]])</f>
        <v>0.11504819278225586</v>
      </c>
      <c r="BO228" s="20">
        <f>Table1347456[[#This Row],[lnrr]]+(1.96 * Table1347456[[#This Row],[se]])</f>
        <v>0.51502456164444688</v>
      </c>
    </row>
    <row r="229" spans="1:67">
      <c r="A229" s="13" t="s">
        <v>128</v>
      </c>
      <c r="B229" s="13" t="s">
        <v>137</v>
      </c>
      <c r="C229" s="13" t="s">
        <v>130</v>
      </c>
      <c r="D229" s="13" t="s">
        <v>131</v>
      </c>
      <c r="E229" s="13" t="s">
        <v>132</v>
      </c>
      <c r="F229" s="13" t="s">
        <v>589</v>
      </c>
      <c r="G229" s="13" t="s">
        <v>138</v>
      </c>
      <c r="H229" s="13">
        <v>28</v>
      </c>
      <c r="I229" s="13">
        <v>1875</v>
      </c>
      <c r="J229" s="13" t="s">
        <v>653</v>
      </c>
      <c r="K229" s="13" t="s">
        <v>831</v>
      </c>
      <c r="L229" s="13" t="s">
        <v>832</v>
      </c>
      <c r="M229" s="13" t="s">
        <v>802</v>
      </c>
      <c r="N229" s="13" t="s">
        <v>84</v>
      </c>
      <c r="O229" s="13" t="s">
        <v>644</v>
      </c>
      <c r="P229" s="13" t="s">
        <v>85</v>
      </c>
      <c r="Q229" s="13" t="s">
        <v>48</v>
      </c>
      <c r="R229" s="4">
        <v>4</v>
      </c>
      <c r="S229" s="13" t="s">
        <v>596</v>
      </c>
      <c r="T229" s="13">
        <v>45</v>
      </c>
      <c r="U229" s="4" t="s">
        <v>135</v>
      </c>
      <c r="V229" s="4">
        <v>400</v>
      </c>
      <c r="W229" s="4" t="s">
        <v>42</v>
      </c>
      <c r="X229" s="4" t="s">
        <v>46</v>
      </c>
      <c r="Y229" s="4">
        <v>16</v>
      </c>
      <c r="AA229" s="4" t="s">
        <v>49</v>
      </c>
      <c r="AB229" s="4">
        <v>0</v>
      </c>
      <c r="AC229" s="4" t="s">
        <v>49</v>
      </c>
      <c r="AD229" s="4">
        <v>0</v>
      </c>
      <c r="AE229" s="4" t="s">
        <v>49</v>
      </c>
      <c r="AF229" s="4">
        <v>0</v>
      </c>
      <c r="AG229" s="4" t="s">
        <v>750</v>
      </c>
      <c r="AH229" s="4" t="s">
        <v>722</v>
      </c>
      <c r="AI229" s="4" t="s">
        <v>78</v>
      </c>
      <c r="AJ229" s="13">
        <v>0</v>
      </c>
      <c r="AK229" s="13">
        <v>20</v>
      </c>
      <c r="AL229" s="13" t="s">
        <v>493</v>
      </c>
      <c r="AM229" s="13">
        <v>1.6</v>
      </c>
      <c r="AN229" s="13" t="s">
        <v>494</v>
      </c>
      <c r="AO229" s="13" t="s">
        <v>495</v>
      </c>
      <c r="AP229" s="13" t="s">
        <v>50</v>
      </c>
      <c r="AQ229" s="13" t="s">
        <v>49</v>
      </c>
      <c r="AR229" s="13" t="s">
        <v>50</v>
      </c>
      <c r="AS229" s="13" t="s">
        <v>49</v>
      </c>
      <c r="AT229" s="13" t="s">
        <v>990</v>
      </c>
      <c r="AU229" s="13" t="s">
        <v>998</v>
      </c>
      <c r="AV229" s="23">
        <f>106.67/1000</f>
        <v>0.10667</v>
      </c>
      <c r="AW229" s="23">
        <f t="shared" si="9"/>
        <v>0.10285999999999999</v>
      </c>
      <c r="AX229" s="14">
        <f>Table1347456[[#This Row],[treatment_mean]]/Table1347456[[#This Row],[control_mean]]</f>
        <v>1.0370406377600623</v>
      </c>
      <c r="AY229" s="14">
        <f>LN(Table1347456[[#This Row],[rr]])</f>
        <v>3.6371116290621376E-2</v>
      </c>
      <c r="AZ229" s="13">
        <v>4</v>
      </c>
      <c r="BA229" s="13">
        <v>4</v>
      </c>
      <c r="BB229" s="14">
        <f>8.9/1000</f>
        <v>8.8999999999999999E-3</v>
      </c>
      <c r="BC229" s="14">
        <f t="shared" si="10"/>
        <v>8.2500000000000004E-3</v>
      </c>
      <c r="BD229" s="15">
        <f>Table1347456[[#This Row],[treatment_se]]*SQRT(Table1347456[[#This Row],[treatment_n]])</f>
        <v>1.78E-2</v>
      </c>
      <c r="BE229" s="14">
        <f>Table1347456[[#This Row],[control_se]]*SQRT(Table1347456[[#This Row],[control_n]])</f>
        <v>1.6500000000000001E-2</v>
      </c>
      <c r="BF22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1.3394400654303671E-2</v>
      </c>
      <c r="BG229" s="17">
        <f>SQRT(Table1347456[[#This Row],[v_from_sd_and_n]])</f>
        <v>0.1157341810110724</v>
      </c>
      <c r="BH229" s="13" t="s">
        <v>50</v>
      </c>
      <c r="BI229" s="13">
        <v>2.5000000000000001E-2</v>
      </c>
      <c r="BJ229" s="18">
        <f>ABS(_xlfn.NORM.S.INV(Table1347456[[#This Row],[p_value]]/2))</f>
        <v>2.2414027276049446</v>
      </c>
      <c r="BK229" s="19">
        <f>(Table1347456[[#This Row],[lnrr]]/Table1347456[[#This Row],[z_from_p]])^2</f>
        <v>2.6331370793511775E-4</v>
      </c>
      <c r="BL229" s="16">
        <f>Table1347456[[#This Row],[v_from_sd_and_n]]</f>
        <v>1.3394400654303671E-2</v>
      </c>
      <c r="BM229" s="20">
        <f>SQRT(Table1347456[[#This Row],[v]])</f>
        <v>0.1157341810110724</v>
      </c>
      <c r="BN229" s="20">
        <f>Table1347456[[#This Row],[lnrr]]-(1.96*Table1347456[[#This Row],[se]])</f>
        <v>-0.19046787849108052</v>
      </c>
      <c r="BO229" s="20">
        <f>Table1347456[[#This Row],[lnrr]]+(1.96 * Table1347456[[#This Row],[se]])</f>
        <v>0.26321011107232328</v>
      </c>
    </row>
    <row r="230" spans="1:67">
      <c r="A230" s="13" t="s">
        <v>128</v>
      </c>
      <c r="B230" s="13" t="s">
        <v>137</v>
      </c>
      <c r="C230" s="13" t="s">
        <v>130</v>
      </c>
      <c r="D230" s="13" t="s">
        <v>131</v>
      </c>
      <c r="E230" s="13" t="s">
        <v>132</v>
      </c>
      <c r="F230" s="13" t="s">
        <v>589</v>
      </c>
      <c r="G230" s="13" t="s">
        <v>138</v>
      </c>
      <c r="H230" s="13">
        <v>28</v>
      </c>
      <c r="I230" s="13">
        <v>1875</v>
      </c>
      <c r="J230" s="13" t="s">
        <v>653</v>
      </c>
      <c r="K230" s="13" t="s">
        <v>831</v>
      </c>
      <c r="L230" s="13" t="s">
        <v>832</v>
      </c>
      <c r="M230" s="13" t="s">
        <v>802</v>
      </c>
      <c r="N230" s="13" t="s">
        <v>84</v>
      </c>
      <c r="O230" s="13" t="s">
        <v>644</v>
      </c>
      <c r="P230" s="13" t="s">
        <v>85</v>
      </c>
      <c r="Q230" s="13" t="s">
        <v>48</v>
      </c>
      <c r="R230" s="4">
        <v>4</v>
      </c>
      <c r="S230" s="13" t="s">
        <v>596</v>
      </c>
      <c r="T230" s="13">
        <v>45</v>
      </c>
      <c r="U230" s="4" t="s">
        <v>135</v>
      </c>
      <c r="V230" s="4">
        <v>400</v>
      </c>
      <c r="W230" s="4" t="s">
        <v>42</v>
      </c>
      <c r="X230" s="4" t="s">
        <v>46</v>
      </c>
      <c r="Y230" s="4">
        <v>32</v>
      </c>
      <c r="AA230" s="4" t="s">
        <v>49</v>
      </c>
      <c r="AB230" s="4">
        <v>0</v>
      </c>
      <c r="AC230" s="4" t="s">
        <v>49</v>
      </c>
      <c r="AD230" s="4">
        <v>0</v>
      </c>
      <c r="AE230" s="4" t="s">
        <v>49</v>
      </c>
      <c r="AF230" s="4">
        <v>0</v>
      </c>
      <c r="AG230" s="4" t="s">
        <v>750</v>
      </c>
      <c r="AH230" s="4" t="s">
        <v>722</v>
      </c>
      <c r="AI230" s="4" t="s">
        <v>78</v>
      </c>
      <c r="AJ230" s="13">
        <v>0</v>
      </c>
      <c r="AK230" s="13">
        <v>20</v>
      </c>
      <c r="AL230" s="13" t="s">
        <v>493</v>
      </c>
      <c r="AM230" s="13">
        <v>1.6</v>
      </c>
      <c r="AN230" s="13" t="s">
        <v>494</v>
      </c>
      <c r="AO230" s="13" t="s">
        <v>495</v>
      </c>
      <c r="AP230" s="13" t="s">
        <v>50</v>
      </c>
      <c r="AQ230" s="13" t="s">
        <v>49</v>
      </c>
      <c r="AR230" s="13" t="s">
        <v>50</v>
      </c>
      <c r="AS230" s="13" t="s">
        <v>49</v>
      </c>
      <c r="AT230" s="13" t="s">
        <v>990</v>
      </c>
      <c r="AU230" s="13" t="s">
        <v>998</v>
      </c>
      <c r="AV230" s="23">
        <f>128.25/1000</f>
        <v>0.12825</v>
      </c>
      <c r="AW230" s="23">
        <f t="shared" si="9"/>
        <v>0.10285999999999999</v>
      </c>
      <c r="AX230" s="14">
        <f>Table1347456[[#This Row],[treatment_mean]]/Table1347456[[#This Row],[control_mean]]</f>
        <v>1.2468403655454017</v>
      </c>
      <c r="AY230" s="14">
        <f>LN(Table1347456[[#This Row],[rr]])</f>
        <v>0.22061264370410891</v>
      </c>
      <c r="AZ230" s="13">
        <v>4</v>
      </c>
      <c r="BA230" s="13">
        <v>4</v>
      </c>
      <c r="BB230" s="14">
        <f>8.26/1000</f>
        <v>8.26E-3</v>
      </c>
      <c r="BC230" s="14">
        <f t="shared" si="10"/>
        <v>8.2500000000000004E-3</v>
      </c>
      <c r="BD230" s="15">
        <f>Table1347456[[#This Row],[treatment_se]]*SQRT(Table1347456[[#This Row],[treatment_n]])</f>
        <v>1.652E-2</v>
      </c>
      <c r="BE230" s="14">
        <f>Table1347456[[#This Row],[control_se]]*SQRT(Table1347456[[#This Row],[control_n]])</f>
        <v>1.6500000000000001E-2</v>
      </c>
      <c r="BF23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1.0581082372924025E-2</v>
      </c>
      <c r="BG230" s="17">
        <f>SQRT(Table1347456[[#This Row],[v_from_sd_and_n]])</f>
        <v>0.10286438826398583</v>
      </c>
      <c r="BH230" s="13" t="s">
        <v>50</v>
      </c>
      <c r="BI230" s="13">
        <v>2.5000000000000001E-2</v>
      </c>
      <c r="BJ230" s="18">
        <f>ABS(_xlfn.NORM.S.INV(Table1347456[[#This Row],[p_value]]/2))</f>
        <v>2.2414027276049446</v>
      </c>
      <c r="BK230" s="19">
        <f>(Table1347456[[#This Row],[lnrr]]/Table1347456[[#This Row],[z_from_p]])^2</f>
        <v>9.6877072344922505E-3</v>
      </c>
      <c r="BL230" s="16">
        <f>Table1347456[[#This Row],[v_from_sd_and_n]]</f>
        <v>1.0581082372924025E-2</v>
      </c>
      <c r="BM230" s="20">
        <f>SQRT(Table1347456[[#This Row],[v]])</f>
        <v>0.10286438826398583</v>
      </c>
      <c r="BN230" s="20">
        <f>Table1347456[[#This Row],[lnrr]]-(1.96*Table1347456[[#This Row],[se]])</f>
        <v>1.8998442706696678E-2</v>
      </c>
      <c r="BO230" s="20">
        <f>Table1347456[[#This Row],[lnrr]]+(1.96 * Table1347456[[#This Row],[se]])</f>
        <v>0.42222684470152116</v>
      </c>
    </row>
    <row r="231" spans="1:67">
      <c r="A231" s="13" t="s">
        <v>128</v>
      </c>
      <c r="B231" s="13" t="s">
        <v>137</v>
      </c>
      <c r="C231" s="13" t="s">
        <v>130</v>
      </c>
      <c r="D231" s="13" t="s">
        <v>131</v>
      </c>
      <c r="E231" s="13" t="s">
        <v>132</v>
      </c>
      <c r="F231" s="13" t="s">
        <v>589</v>
      </c>
      <c r="G231" s="13" t="s">
        <v>138</v>
      </c>
      <c r="H231" s="13">
        <v>28</v>
      </c>
      <c r="I231" s="13">
        <v>1875</v>
      </c>
      <c r="J231" s="13" t="s">
        <v>653</v>
      </c>
      <c r="K231" s="13" t="s">
        <v>831</v>
      </c>
      <c r="L231" s="13" t="s">
        <v>832</v>
      </c>
      <c r="M231" s="13" t="s">
        <v>802</v>
      </c>
      <c r="N231" s="13" t="s">
        <v>84</v>
      </c>
      <c r="O231" s="13" t="s">
        <v>644</v>
      </c>
      <c r="P231" s="13" t="s">
        <v>85</v>
      </c>
      <c r="Q231" s="13" t="s">
        <v>48</v>
      </c>
      <c r="R231" s="4">
        <v>4</v>
      </c>
      <c r="S231" s="13" t="s">
        <v>596</v>
      </c>
      <c r="T231" s="13">
        <v>45</v>
      </c>
      <c r="U231" s="4" t="s">
        <v>135</v>
      </c>
      <c r="V231" s="4">
        <v>400</v>
      </c>
      <c r="W231" s="4" t="s">
        <v>42</v>
      </c>
      <c r="X231" s="4" t="s">
        <v>46</v>
      </c>
      <c r="Y231" s="4">
        <v>48</v>
      </c>
      <c r="AA231" s="4" t="s">
        <v>49</v>
      </c>
      <c r="AB231" s="4">
        <v>0</v>
      </c>
      <c r="AC231" s="4" t="s">
        <v>49</v>
      </c>
      <c r="AD231" s="4">
        <v>0</v>
      </c>
      <c r="AE231" s="4" t="s">
        <v>49</v>
      </c>
      <c r="AF231" s="4">
        <v>0</v>
      </c>
      <c r="AG231" s="4" t="s">
        <v>750</v>
      </c>
      <c r="AH231" s="4" t="s">
        <v>722</v>
      </c>
      <c r="AI231" s="4" t="s">
        <v>78</v>
      </c>
      <c r="AJ231" s="13">
        <v>0</v>
      </c>
      <c r="AK231" s="13">
        <v>20</v>
      </c>
      <c r="AL231" s="13" t="s">
        <v>493</v>
      </c>
      <c r="AM231" s="13">
        <v>1.6</v>
      </c>
      <c r="AN231" s="13" t="s">
        <v>494</v>
      </c>
      <c r="AO231" s="13" t="s">
        <v>495</v>
      </c>
      <c r="AP231" s="13" t="s">
        <v>50</v>
      </c>
      <c r="AQ231" s="13" t="s">
        <v>49</v>
      </c>
      <c r="AR231" s="13" t="s">
        <v>50</v>
      </c>
      <c r="AS231" s="13" t="s">
        <v>49</v>
      </c>
      <c r="AT231" s="13" t="s">
        <v>990</v>
      </c>
      <c r="AU231" s="13" t="s">
        <v>998</v>
      </c>
      <c r="AV231" s="23">
        <f>116.83/1000</f>
        <v>0.11683</v>
      </c>
      <c r="AW231" s="23">
        <f t="shared" si="9"/>
        <v>0.10285999999999999</v>
      </c>
      <c r="AX231" s="14">
        <f>Table1347456[[#This Row],[treatment_mean]]/Table1347456[[#This Row],[control_mean]]</f>
        <v>1.135815671786895</v>
      </c>
      <c r="AY231" s="14">
        <f>LN(Table1347456[[#This Row],[rr]])</f>
        <v>0.12735104638228706</v>
      </c>
      <c r="AZ231" s="13">
        <v>4</v>
      </c>
      <c r="BA231" s="13">
        <v>4</v>
      </c>
      <c r="BB231" s="14">
        <f>8.25/1000</f>
        <v>8.2500000000000004E-3</v>
      </c>
      <c r="BC231" s="14">
        <f t="shared" si="10"/>
        <v>8.2500000000000004E-3</v>
      </c>
      <c r="BD231" s="15">
        <f>Table1347456[[#This Row],[treatment_se]]*SQRT(Table1347456[[#This Row],[treatment_n]])</f>
        <v>1.6500000000000001E-2</v>
      </c>
      <c r="BE231" s="14">
        <f>Table1347456[[#This Row],[control_se]]*SQRT(Table1347456[[#This Row],[control_n]])</f>
        <v>1.6500000000000001E-2</v>
      </c>
      <c r="BF23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1.1419557464904457E-2</v>
      </c>
      <c r="BG231" s="17">
        <f>SQRT(Table1347456[[#This Row],[v_from_sd_and_n]])</f>
        <v>0.10686232949409467</v>
      </c>
      <c r="BH231" s="13" t="s">
        <v>50</v>
      </c>
      <c r="BI231" s="13">
        <v>2.5000000000000001E-2</v>
      </c>
      <c r="BJ231" s="18">
        <f>ABS(_xlfn.NORM.S.INV(Table1347456[[#This Row],[p_value]]/2))</f>
        <v>2.2414027276049446</v>
      </c>
      <c r="BK231" s="19">
        <f>(Table1347456[[#This Row],[lnrr]]/Table1347456[[#This Row],[z_from_p]])^2</f>
        <v>3.2282357541486453E-3</v>
      </c>
      <c r="BL231" s="16">
        <f>Table1347456[[#This Row],[v_from_sd_and_n]]</f>
        <v>1.1419557464904457E-2</v>
      </c>
      <c r="BM231" s="20">
        <f>SQRT(Table1347456[[#This Row],[v]])</f>
        <v>0.10686232949409467</v>
      </c>
      <c r="BN231" s="20">
        <f>Table1347456[[#This Row],[lnrr]]-(1.96*Table1347456[[#This Row],[se]])</f>
        <v>-8.2099119426138512E-2</v>
      </c>
      <c r="BO231" s="20">
        <f>Table1347456[[#This Row],[lnrr]]+(1.96 * Table1347456[[#This Row],[se]])</f>
        <v>0.33680121219071263</v>
      </c>
    </row>
    <row r="232" spans="1:67">
      <c r="A232" s="13" t="s">
        <v>128</v>
      </c>
      <c r="B232" s="13" t="s">
        <v>137</v>
      </c>
      <c r="C232" s="13" t="s">
        <v>130</v>
      </c>
      <c r="D232" s="13" t="s">
        <v>131</v>
      </c>
      <c r="E232" s="13" t="s">
        <v>132</v>
      </c>
      <c r="F232" s="13" t="s">
        <v>589</v>
      </c>
      <c r="G232" s="13" t="s">
        <v>138</v>
      </c>
      <c r="H232" s="13">
        <v>28</v>
      </c>
      <c r="I232" s="13">
        <v>1875</v>
      </c>
      <c r="J232" s="13" t="s">
        <v>653</v>
      </c>
      <c r="K232" s="13" t="s">
        <v>831</v>
      </c>
      <c r="L232" s="13" t="s">
        <v>832</v>
      </c>
      <c r="M232" s="13" t="s">
        <v>802</v>
      </c>
      <c r="N232" s="13" t="s">
        <v>84</v>
      </c>
      <c r="O232" s="13" t="s">
        <v>644</v>
      </c>
      <c r="P232" s="13" t="s">
        <v>85</v>
      </c>
      <c r="Q232" s="13" t="s">
        <v>48</v>
      </c>
      <c r="R232" s="4">
        <v>4</v>
      </c>
      <c r="S232" s="13" t="s">
        <v>596</v>
      </c>
      <c r="T232" s="13">
        <v>45</v>
      </c>
      <c r="U232" s="4" t="s">
        <v>135</v>
      </c>
      <c r="V232" s="4">
        <v>400</v>
      </c>
      <c r="W232" s="4" t="s">
        <v>42</v>
      </c>
      <c r="X232" s="4" t="s">
        <v>46</v>
      </c>
      <c r="Y232" s="4">
        <v>64</v>
      </c>
      <c r="AA232" s="4" t="s">
        <v>49</v>
      </c>
      <c r="AB232" s="4">
        <v>0</v>
      </c>
      <c r="AC232" s="4" t="s">
        <v>49</v>
      </c>
      <c r="AD232" s="4">
        <v>0</v>
      </c>
      <c r="AE232" s="4" t="s">
        <v>49</v>
      </c>
      <c r="AF232" s="4">
        <v>0</v>
      </c>
      <c r="AG232" s="4" t="s">
        <v>750</v>
      </c>
      <c r="AH232" s="4" t="s">
        <v>722</v>
      </c>
      <c r="AI232" s="4" t="s">
        <v>78</v>
      </c>
      <c r="AJ232" s="13">
        <v>0</v>
      </c>
      <c r="AK232" s="13">
        <v>20</v>
      </c>
      <c r="AL232" s="13" t="s">
        <v>493</v>
      </c>
      <c r="AM232" s="13">
        <v>1.6</v>
      </c>
      <c r="AN232" s="13" t="s">
        <v>494</v>
      </c>
      <c r="AO232" s="13" t="s">
        <v>495</v>
      </c>
      <c r="AP232" s="13" t="s">
        <v>50</v>
      </c>
      <c r="AQ232" s="13" t="s">
        <v>49</v>
      </c>
      <c r="AR232" s="13" t="s">
        <v>50</v>
      </c>
      <c r="AS232" s="13" t="s">
        <v>49</v>
      </c>
      <c r="AT232" s="13" t="s">
        <v>990</v>
      </c>
      <c r="AU232" s="13" t="s">
        <v>998</v>
      </c>
      <c r="AV232" s="23">
        <f>119.37/1000</f>
        <v>0.11937</v>
      </c>
      <c r="AW232" s="23">
        <f t="shared" si="9"/>
        <v>0.10285999999999999</v>
      </c>
      <c r="AX232" s="14">
        <f>Table1347456[[#This Row],[treatment_mean]]/Table1347456[[#This Row],[control_mean]]</f>
        <v>1.160509430293603</v>
      </c>
      <c r="AY232" s="14">
        <f>LN(Table1347456[[#This Row],[rr]])</f>
        <v>0.14885907276017685</v>
      </c>
      <c r="AZ232" s="13">
        <v>4</v>
      </c>
      <c r="BA232" s="13">
        <v>4</v>
      </c>
      <c r="BB232" s="14">
        <f>15.23/1000</f>
        <v>1.523E-2</v>
      </c>
      <c r="BC232" s="14">
        <f t="shared" si="10"/>
        <v>8.2500000000000004E-3</v>
      </c>
      <c r="BD232" s="15">
        <f>Table1347456[[#This Row],[treatment_se]]*SQRT(Table1347456[[#This Row],[treatment_n]])</f>
        <v>3.0460000000000001E-2</v>
      </c>
      <c r="BE232" s="14">
        <f>Table1347456[[#This Row],[control_se]]*SQRT(Table1347456[[#This Row],[control_n]])</f>
        <v>1.6500000000000001E-2</v>
      </c>
      <c r="BF23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2.2711333243913459E-2</v>
      </c>
      <c r="BG232" s="17">
        <f>SQRT(Table1347456[[#This Row],[v_from_sd_and_n]])</f>
        <v>0.15070279773087644</v>
      </c>
      <c r="BH232" s="13" t="s">
        <v>50</v>
      </c>
      <c r="BI232" s="13">
        <v>2.5000000000000001E-2</v>
      </c>
      <c r="BJ232" s="18">
        <f>ABS(_xlfn.NORM.S.INV(Table1347456[[#This Row],[p_value]]/2))</f>
        <v>2.2414027276049446</v>
      </c>
      <c r="BK232" s="19">
        <f>(Table1347456[[#This Row],[lnrr]]/Table1347456[[#This Row],[z_from_p]])^2</f>
        <v>4.4107335868735012E-3</v>
      </c>
      <c r="BL232" s="16">
        <f>Table1347456[[#This Row],[v_from_sd_and_n]]</f>
        <v>2.2711333243913459E-2</v>
      </c>
      <c r="BM232" s="20">
        <f>SQRT(Table1347456[[#This Row],[v]])</f>
        <v>0.15070279773087644</v>
      </c>
      <c r="BN232" s="20">
        <f>Table1347456[[#This Row],[lnrr]]-(1.96*Table1347456[[#This Row],[se]])</f>
        <v>-0.14651841079234096</v>
      </c>
      <c r="BO232" s="20">
        <f>Table1347456[[#This Row],[lnrr]]+(1.96 * Table1347456[[#This Row],[se]])</f>
        <v>0.44423655631269465</v>
      </c>
    </row>
    <row r="233" spans="1:67">
      <c r="A233" s="13" t="s">
        <v>128</v>
      </c>
      <c r="B233" s="13" t="s">
        <v>137</v>
      </c>
      <c r="C233" s="13" t="s">
        <v>130</v>
      </c>
      <c r="D233" s="13" t="s">
        <v>131</v>
      </c>
      <c r="E233" s="13" t="s">
        <v>132</v>
      </c>
      <c r="F233" s="13" t="s">
        <v>589</v>
      </c>
      <c r="G233" s="13" t="s">
        <v>138</v>
      </c>
      <c r="H233" s="13">
        <v>28</v>
      </c>
      <c r="I233" s="13">
        <v>1875</v>
      </c>
      <c r="J233" s="13" t="s">
        <v>653</v>
      </c>
      <c r="K233" s="13" t="s">
        <v>831</v>
      </c>
      <c r="L233" s="13" t="s">
        <v>832</v>
      </c>
      <c r="M233" s="13" t="s">
        <v>802</v>
      </c>
      <c r="N233" s="13" t="s">
        <v>84</v>
      </c>
      <c r="O233" s="13" t="s">
        <v>644</v>
      </c>
      <c r="P233" s="13" t="s">
        <v>85</v>
      </c>
      <c r="Q233" s="13" t="s">
        <v>48</v>
      </c>
      <c r="R233" s="4">
        <v>4</v>
      </c>
      <c r="S233" s="13" t="s">
        <v>596</v>
      </c>
      <c r="T233" s="13">
        <v>45</v>
      </c>
      <c r="U233" s="4" t="s">
        <v>136</v>
      </c>
      <c r="V233" s="4">
        <v>400</v>
      </c>
      <c r="W233" s="4" t="s">
        <v>42</v>
      </c>
      <c r="X233" s="4" t="s">
        <v>46</v>
      </c>
      <c r="Y233" s="4">
        <v>16</v>
      </c>
      <c r="AA233" s="4" t="s">
        <v>49</v>
      </c>
      <c r="AB233" s="4">
        <v>0</v>
      </c>
      <c r="AC233" s="4" t="s">
        <v>49</v>
      </c>
      <c r="AD233" s="4">
        <v>0</v>
      </c>
      <c r="AE233" s="4" t="s">
        <v>49</v>
      </c>
      <c r="AF233" s="4">
        <v>0</v>
      </c>
      <c r="AG233" s="4" t="s">
        <v>776</v>
      </c>
      <c r="AH233" s="4" t="s">
        <v>722</v>
      </c>
      <c r="AI233" s="4" t="s">
        <v>78</v>
      </c>
      <c r="AJ233" s="13">
        <v>0</v>
      </c>
      <c r="AK233" s="13">
        <v>20</v>
      </c>
      <c r="AL233" s="13" t="s">
        <v>493</v>
      </c>
      <c r="AM233" s="13">
        <v>1.6</v>
      </c>
      <c r="AN233" s="13" t="s">
        <v>494</v>
      </c>
      <c r="AO233" s="13" t="s">
        <v>495</v>
      </c>
      <c r="AP233" s="13" t="s">
        <v>50</v>
      </c>
      <c r="AQ233" s="13" t="s">
        <v>49</v>
      </c>
      <c r="AR233" s="13" t="s">
        <v>50</v>
      </c>
      <c r="AS233" s="13" t="s">
        <v>49</v>
      </c>
      <c r="AT233" s="13" t="s">
        <v>990</v>
      </c>
      <c r="AU233" s="13" t="s">
        <v>998</v>
      </c>
      <c r="AV233" s="23">
        <f>140.95/1000</f>
        <v>0.14094999999999999</v>
      </c>
      <c r="AW233" s="23">
        <f t="shared" si="9"/>
        <v>0.10285999999999999</v>
      </c>
      <c r="AX233" s="14">
        <f>Table1347456[[#This Row],[treatment_mean]]/Table1347456[[#This Row],[control_mean]]</f>
        <v>1.3703091580789422</v>
      </c>
      <c r="AY233" s="14">
        <f>LN(Table1347456[[#This Row],[rr]])</f>
        <v>0.31503637721335137</v>
      </c>
      <c r="AZ233" s="13">
        <v>4</v>
      </c>
      <c r="BA233" s="13">
        <v>4</v>
      </c>
      <c r="BB233" s="14">
        <f>10.8/1000</f>
        <v>1.0800000000000001E-2</v>
      </c>
      <c r="BC233" s="14">
        <f t="shared" si="10"/>
        <v>8.2500000000000004E-3</v>
      </c>
      <c r="BD233" s="15">
        <f>Table1347456[[#This Row],[treatment_se]]*SQRT(Table1347456[[#This Row],[treatment_n]])</f>
        <v>2.1600000000000001E-2</v>
      </c>
      <c r="BE233" s="14">
        <f>Table1347456[[#This Row],[control_se]]*SQRT(Table1347456[[#This Row],[control_n]])</f>
        <v>1.6500000000000001E-2</v>
      </c>
      <c r="BF23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1.230409058643722E-2</v>
      </c>
      <c r="BG233" s="17">
        <f>SQRT(Table1347456[[#This Row],[v_from_sd_and_n]])</f>
        <v>0.11092380531895406</v>
      </c>
      <c r="BH233" s="13" t="s">
        <v>50</v>
      </c>
      <c r="BI233" s="13">
        <v>2.5000000000000001E-2</v>
      </c>
      <c r="BJ233" s="18">
        <f>ABS(_xlfn.NORM.S.INV(Table1347456[[#This Row],[p_value]]/2))</f>
        <v>2.2414027276049446</v>
      </c>
      <c r="BK233" s="19">
        <f>(Table1347456[[#This Row],[lnrr]]/Table1347456[[#This Row],[z_from_p]])^2</f>
        <v>1.9755208471543422E-2</v>
      </c>
      <c r="BL233" s="16">
        <f>Table1347456[[#This Row],[v_from_sd_and_n]]</f>
        <v>1.230409058643722E-2</v>
      </c>
      <c r="BM233" s="20">
        <f>SQRT(Table1347456[[#This Row],[v]])</f>
        <v>0.11092380531895406</v>
      </c>
      <c r="BN233" s="20">
        <f>Table1347456[[#This Row],[lnrr]]-(1.96*Table1347456[[#This Row],[se]])</f>
        <v>9.7625718788201421E-2</v>
      </c>
      <c r="BO233" s="20">
        <f>Table1347456[[#This Row],[lnrr]]+(1.96 * Table1347456[[#This Row],[se]])</f>
        <v>0.53244703563850138</v>
      </c>
    </row>
    <row r="234" spans="1:67">
      <c r="A234" s="13" t="s">
        <v>128</v>
      </c>
      <c r="B234" s="13" t="s">
        <v>137</v>
      </c>
      <c r="C234" s="13" t="s">
        <v>130</v>
      </c>
      <c r="D234" s="13" t="s">
        <v>131</v>
      </c>
      <c r="E234" s="13" t="s">
        <v>132</v>
      </c>
      <c r="F234" s="13" t="s">
        <v>589</v>
      </c>
      <c r="G234" s="13" t="s">
        <v>138</v>
      </c>
      <c r="H234" s="13">
        <v>28</v>
      </c>
      <c r="I234" s="13">
        <v>1875</v>
      </c>
      <c r="J234" s="13" t="s">
        <v>653</v>
      </c>
      <c r="K234" s="13" t="s">
        <v>831</v>
      </c>
      <c r="L234" s="13" t="s">
        <v>832</v>
      </c>
      <c r="M234" s="13" t="s">
        <v>802</v>
      </c>
      <c r="N234" s="13" t="s">
        <v>84</v>
      </c>
      <c r="O234" s="13" t="s">
        <v>644</v>
      </c>
      <c r="P234" s="13" t="s">
        <v>85</v>
      </c>
      <c r="Q234" s="13" t="s">
        <v>48</v>
      </c>
      <c r="R234" s="4">
        <v>4</v>
      </c>
      <c r="S234" s="13" t="s">
        <v>596</v>
      </c>
      <c r="T234" s="13">
        <v>45</v>
      </c>
      <c r="U234" s="4" t="s">
        <v>136</v>
      </c>
      <c r="V234" s="4">
        <v>400</v>
      </c>
      <c r="W234" s="4" t="s">
        <v>42</v>
      </c>
      <c r="X234" s="4" t="s">
        <v>46</v>
      </c>
      <c r="Y234" s="4">
        <v>32</v>
      </c>
      <c r="AA234" s="4" t="s">
        <v>49</v>
      </c>
      <c r="AB234" s="4">
        <v>0</v>
      </c>
      <c r="AC234" s="4" t="s">
        <v>49</v>
      </c>
      <c r="AD234" s="4">
        <v>0</v>
      </c>
      <c r="AE234" s="4" t="s">
        <v>49</v>
      </c>
      <c r="AF234" s="4">
        <v>0</v>
      </c>
      <c r="AG234" s="4" t="s">
        <v>776</v>
      </c>
      <c r="AH234" s="4" t="s">
        <v>722</v>
      </c>
      <c r="AI234" s="4" t="s">
        <v>78</v>
      </c>
      <c r="AJ234" s="13">
        <v>0</v>
      </c>
      <c r="AK234" s="13">
        <v>20</v>
      </c>
      <c r="AL234" s="13" t="s">
        <v>493</v>
      </c>
      <c r="AM234" s="13">
        <v>1.6</v>
      </c>
      <c r="AN234" s="13" t="s">
        <v>494</v>
      </c>
      <c r="AO234" s="13" t="s">
        <v>495</v>
      </c>
      <c r="AP234" s="13" t="s">
        <v>50</v>
      </c>
      <c r="AQ234" s="13" t="s">
        <v>49</v>
      </c>
      <c r="AR234" s="13" t="s">
        <v>50</v>
      </c>
      <c r="AS234" s="13" t="s">
        <v>49</v>
      </c>
      <c r="AT234" s="13" t="s">
        <v>990</v>
      </c>
      <c r="AU234" s="13" t="s">
        <v>998</v>
      </c>
      <c r="AV234" s="23">
        <f>120.63/1000</f>
        <v>0.12063</v>
      </c>
      <c r="AW234" s="23">
        <f t="shared" si="9"/>
        <v>0.10285999999999999</v>
      </c>
      <c r="AX234" s="14">
        <f>Table1347456[[#This Row],[treatment_mean]]/Table1347456[[#This Row],[control_mean]]</f>
        <v>1.1727590900252771</v>
      </c>
      <c r="AY234" s="14">
        <f>LN(Table1347456[[#This Row],[rr]])</f>
        <v>0.15935916923052224</v>
      </c>
      <c r="AZ234" s="13">
        <v>4</v>
      </c>
      <c r="BA234" s="13">
        <v>4</v>
      </c>
      <c r="BB234" s="14">
        <f>15.24/1000</f>
        <v>1.524E-2</v>
      </c>
      <c r="BC234" s="14">
        <f t="shared" si="10"/>
        <v>8.2500000000000004E-3</v>
      </c>
      <c r="BD234" s="15">
        <f>Table1347456[[#This Row],[treatment_se]]*SQRT(Table1347456[[#This Row],[treatment_n]])</f>
        <v>3.048E-2</v>
      </c>
      <c r="BE234" s="14">
        <f>Table1347456[[#This Row],[control_se]]*SQRT(Table1347456[[#This Row],[control_n]])</f>
        <v>1.6500000000000001E-2</v>
      </c>
      <c r="BF23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2.2393989233086345E-2</v>
      </c>
      <c r="BG234" s="17">
        <f>SQRT(Table1347456[[#This Row],[v_from_sd_and_n]])</f>
        <v>0.14964621356080596</v>
      </c>
      <c r="BH234" s="13" t="s">
        <v>50</v>
      </c>
      <c r="BI234" s="13">
        <v>2.5000000000000001E-2</v>
      </c>
      <c r="BJ234" s="18">
        <f>ABS(_xlfn.NORM.S.INV(Table1347456[[#This Row],[p_value]]/2))</f>
        <v>2.2414027276049446</v>
      </c>
      <c r="BK234" s="19">
        <f>(Table1347456[[#This Row],[lnrr]]/Table1347456[[#This Row],[z_from_p]])^2</f>
        <v>5.0549204084209699E-3</v>
      </c>
      <c r="BL234" s="16">
        <f>Table1347456[[#This Row],[v_from_sd_and_n]]</f>
        <v>2.2393989233086345E-2</v>
      </c>
      <c r="BM234" s="20">
        <f>SQRT(Table1347456[[#This Row],[v]])</f>
        <v>0.14964621356080596</v>
      </c>
      <c r="BN234" s="20">
        <f>Table1347456[[#This Row],[lnrr]]-(1.96*Table1347456[[#This Row],[se]])</f>
        <v>-0.13394740934865745</v>
      </c>
      <c r="BO234" s="20">
        <f>Table1347456[[#This Row],[lnrr]]+(1.96 * Table1347456[[#This Row],[se]])</f>
        <v>0.45266574780970192</v>
      </c>
    </row>
    <row r="235" spans="1:67">
      <c r="A235" s="13" t="s">
        <v>128</v>
      </c>
      <c r="B235" s="13" t="s">
        <v>137</v>
      </c>
      <c r="C235" s="13" t="s">
        <v>130</v>
      </c>
      <c r="D235" s="13" t="s">
        <v>131</v>
      </c>
      <c r="E235" s="13" t="s">
        <v>132</v>
      </c>
      <c r="F235" s="13" t="s">
        <v>589</v>
      </c>
      <c r="G235" s="13" t="s">
        <v>138</v>
      </c>
      <c r="H235" s="13">
        <v>28</v>
      </c>
      <c r="I235" s="13">
        <v>1875</v>
      </c>
      <c r="J235" s="13" t="s">
        <v>653</v>
      </c>
      <c r="K235" s="13" t="s">
        <v>831</v>
      </c>
      <c r="L235" s="13" t="s">
        <v>832</v>
      </c>
      <c r="M235" s="13" t="s">
        <v>802</v>
      </c>
      <c r="N235" s="13" t="s">
        <v>84</v>
      </c>
      <c r="O235" s="13" t="s">
        <v>644</v>
      </c>
      <c r="P235" s="13" t="s">
        <v>85</v>
      </c>
      <c r="Q235" s="13" t="s">
        <v>48</v>
      </c>
      <c r="R235" s="4">
        <v>4</v>
      </c>
      <c r="S235" s="13" t="s">
        <v>596</v>
      </c>
      <c r="T235" s="13">
        <v>45</v>
      </c>
      <c r="U235" s="4" t="s">
        <v>136</v>
      </c>
      <c r="V235" s="4">
        <v>400</v>
      </c>
      <c r="W235" s="4" t="s">
        <v>42</v>
      </c>
      <c r="X235" s="4" t="s">
        <v>46</v>
      </c>
      <c r="Y235" s="4">
        <v>48</v>
      </c>
      <c r="AA235" s="4" t="s">
        <v>49</v>
      </c>
      <c r="AB235" s="4">
        <v>0</v>
      </c>
      <c r="AC235" s="4" t="s">
        <v>49</v>
      </c>
      <c r="AD235" s="4">
        <v>0</v>
      </c>
      <c r="AE235" s="4" t="s">
        <v>49</v>
      </c>
      <c r="AF235" s="4">
        <v>0</v>
      </c>
      <c r="AG235" s="4" t="s">
        <v>776</v>
      </c>
      <c r="AH235" s="4" t="s">
        <v>722</v>
      </c>
      <c r="AI235" s="4" t="s">
        <v>78</v>
      </c>
      <c r="AJ235" s="13">
        <v>0</v>
      </c>
      <c r="AK235" s="13">
        <v>20</v>
      </c>
      <c r="AL235" s="13" t="s">
        <v>493</v>
      </c>
      <c r="AM235" s="13">
        <v>1.6</v>
      </c>
      <c r="AN235" s="13" t="s">
        <v>494</v>
      </c>
      <c r="AO235" s="13" t="s">
        <v>495</v>
      </c>
      <c r="AP235" s="13" t="s">
        <v>50</v>
      </c>
      <c r="AQ235" s="13" t="s">
        <v>49</v>
      </c>
      <c r="AR235" s="13" t="s">
        <v>50</v>
      </c>
      <c r="AS235" s="13" t="s">
        <v>49</v>
      </c>
      <c r="AT235" s="13" t="s">
        <v>990</v>
      </c>
      <c r="AU235" s="13" t="s">
        <v>998</v>
      </c>
      <c r="AV235" s="23">
        <f>125.08/1000</f>
        <v>0.12508</v>
      </c>
      <c r="AW235" s="23">
        <f t="shared" si="9"/>
        <v>0.10285999999999999</v>
      </c>
      <c r="AX235" s="14">
        <f>Table1347456[[#This Row],[treatment_mean]]/Table1347456[[#This Row],[control_mean]]</f>
        <v>1.2160217771728563</v>
      </c>
      <c r="AY235" s="14">
        <f>LN(Table1347456[[#This Row],[rr]])</f>
        <v>0.19558469224287039</v>
      </c>
      <c r="AZ235" s="13">
        <v>4</v>
      </c>
      <c r="BA235" s="13">
        <v>4</v>
      </c>
      <c r="BB235" s="14">
        <f>11.43/1000</f>
        <v>1.1429999999999999E-2</v>
      </c>
      <c r="BC235" s="14">
        <f t="shared" si="10"/>
        <v>8.2500000000000004E-3</v>
      </c>
      <c r="BD235" s="15">
        <f>Table1347456[[#This Row],[treatment_se]]*SQRT(Table1347456[[#This Row],[treatment_n]])</f>
        <v>2.2859999999999998E-2</v>
      </c>
      <c r="BE235" s="14">
        <f>Table1347456[[#This Row],[control_se]]*SQRT(Table1347456[[#This Row],[control_n]])</f>
        <v>1.6500000000000001E-2</v>
      </c>
      <c r="BF23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1.4783600776548542E-2</v>
      </c>
      <c r="BG235" s="17">
        <f>SQRT(Table1347456[[#This Row],[v_from_sd_and_n]])</f>
        <v>0.12158783153156627</v>
      </c>
      <c r="BH235" s="13" t="s">
        <v>50</v>
      </c>
      <c r="BI235" s="13">
        <v>2.5000000000000001E-2</v>
      </c>
      <c r="BJ235" s="18">
        <f>ABS(_xlfn.NORM.S.INV(Table1347456[[#This Row],[p_value]]/2))</f>
        <v>2.2414027276049446</v>
      </c>
      <c r="BK235" s="19">
        <f>(Table1347456[[#This Row],[lnrr]]/Table1347456[[#This Row],[z_from_p]])^2</f>
        <v>7.6142990532561397E-3</v>
      </c>
      <c r="BL235" s="16">
        <f>Table1347456[[#This Row],[v_from_sd_and_n]]</f>
        <v>1.4783600776548542E-2</v>
      </c>
      <c r="BM235" s="20">
        <f>SQRT(Table1347456[[#This Row],[v]])</f>
        <v>0.12158783153156627</v>
      </c>
      <c r="BN235" s="20">
        <f>Table1347456[[#This Row],[lnrr]]-(1.96*Table1347456[[#This Row],[se]])</f>
        <v>-4.2727457558999482E-2</v>
      </c>
      <c r="BO235" s="20">
        <f>Table1347456[[#This Row],[lnrr]]+(1.96 * Table1347456[[#This Row],[se]])</f>
        <v>0.43389684204474027</v>
      </c>
    </row>
    <row r="236" spans="1:67">
      <c r="A236" s="13" t="s">
        <v>128</v>
      </c>
      <c r="B236" s="13" t="s">
        <v>137</v>
      </c>
      <c r="C236" s="13" t="s">
        <v>130</v>
      </c>
      <c r="D236" s="13" t="s">
        <v>131</v>
      </c>
      <c r="E236" s="13" t="s">
        <v>132</v>
      </c>
      <c r="F236" s="13" t="s">
        <v>589</v>
      </c>
      <c r="G236" s="13" t="s">
        <v>138</v>
      </c>
      <c r="H236" s="13">
        <v>28</v>
      </c>
      <c r="I236" s="13">
        <v>1875</v>
      </c>
      <c r="J236" s="13" t="s">
        <v>653</v>
      </c>
      <c r="K236" s="13" t="s">
        <v>831</v>
      </c>
      <c r="L236" s="13" t="s">
        <v>832</v>
      </c>
      <c r="M236" s="13" t="s">
        <v>802</v>
      </c>
      <c r="N236" s="13" t="s">
        <v>84</v>
      </c>
      <c r="O236" s="13" t="s">
        <v>644</v>
      </c>
      <c r="P236" s="13" t="s">
        <v>85</v>
      </c>
      <c r="Q236" s="13" t="s">
        <v>48</v>
      </c>
      <c r="R236" s="4">
        <v>4</v>
      </c>
      <c r="S236" s="13" t="s">
        <v>596</v>
      </c>
      <c r="T236" s="13">
        <v>45</v>
      </c>
      <c r="U236" s="4" t="s">
        <v>136</v>
      </c>
      <c r="V236" s="4">
        <v>400</v>
      </c>
      <c r="W236" s="4" t="s">
        <v>42</v>
      </c>
      <c r="X236" s="4" t="s">
        <v>46</v>
      </c>
      <c r="Y236" s="4">
        <v>64</v>
      </c>
      <c r="AA236" s="4" t="s">
        <v>49</v>
      </c>
      <c r="AB236" s="4">
        <v>0</v>
      </c>
      <c r="AC236" s="4" t="s">
        <v>49</v>
      </c>
      <c r="AD236" s="4">
        <v>0</v>
      </c>
      <c r="AE236" s="4" t="s">
        <v>49</v>
      </c>
      <c r="AF236" s="4">
        <v>0</v>
      </c>
      <c r="AG236" s="4" t="s">
        <v>776</v>
      </c>
      <c r="AH236" s="4" t="s">
        <v>722</v>
      </c>
      <c r="AI236" s="4" t="s">
        <v>78</v>
      </c>
      <c r="AJ236" s="13">
        <v>0</v>
      </c>
      <c r="AK236" s="13">
        <v>20</v>
      </c>
      <c r="AL236" s="13" t="s">
        <v>493</v>
      </c>
      <c r="AM236" s="13">
        <v>1.6</v>
      </c>
      <c r="AN236" s="13" t="s">
        <v>494</v>
      </c>
      <c r="AO236" s="13" t="s">
        <v>495</v>
      </c>
      <c r="AP236" s="13" t="s">
        <v>50</v>
      </c>
      <c r="AQ236" s="13" t="s">
        <v>49</v>
      </c>
      <c r="AR236" s="13" t="s">
        <v>50</v>
      </c>
      <c r="AS236" s="13" t="s">
        <v>49</v>
      </c>
      <c r="AT236" s="13" t="s">
        <v>990</v>
      </c>
      <c r="AU236" s="13" t="s">
        <v>998</v>
      </c>
      <c r="AV236" s="23">
        <f>121.27/1000</f>
        <v>0.12127</v>
      </c>
      <c r="AW236" s="23">
        <f t="shared" si="9"/>
        <v>0.10285999999999999</v>
      </c>
      <c r="AX236" s="14">
        <f>Table1347456[[#This Row],[treatment_mean]]/Table1347456[[#This Row],[control_mean]]</f>
        <v>1.1789811394127943</v>
      </c>
      <c r="AY236" s="14">
        <f>LN(Table1347456[[#This Row],[rr]])</f>
        <v>0.16465062432193042</v>
      </c>
      <c r="AZ236" s="13">
        <v>4</v>
      </c>
      <c r="BA236" s="13">
        <v>4</v>
      </c>
      <c r="BB236" s="14">
        <f>6.98/1000</f>
        <v>6.9800000000000001E-3</v>
      </c>
      <c r="BC236" s="14">
        <f t="shared" si="10"/>
        <v>8.2500000000000004E-3</v>
      </c>
      <c r="BD236" s="15">
        <f>Table1347456[[#This Row],[treatment_se]]*SQRT(Table1347456[[#This Row],[treatment_n]])</f>
        <v>1.396E-2</v>
      </c>
      <c r="BE236" s="14">
        <f>Table1347456[[#This Row],[control_se]]*SQRT(Table1347456[[#This Row],[control_n]])</f>
        <v>1.6500000000000001E-2</v>
      </c>
      <c r="BF23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9.7458870221940642E-3</v>
      </c>
      <c r="BG236" s="17">
        <f>SQRT(Table1347456[[#This Row],[v_from_sd_and_n]])</f>
        <v>9.8721259221071847E-2</v>
      </c>
      <c r="BH236" s="13" t="s">
        <v>50</v>
      </c>
      <c r="BI236" s="13">
        <v>2.5000000000000001E-2</v>
      </c>
      <c r="BJ236" s="18">
        <f>ABS(_xlfn.NORM.S.INV(Table1347456[[#This Row],[p_value]]/2))</f>
        <v>2.2414027276049446</v>
      </c>
      <c r="BK236" s="19">
        <f>(Table1347456[[#This Row],[lnrr]]/Table1347456[[#This Row],[z_from_p]])^2</f>
        <v>5.396186752409461E-3</v>
      </c>
      <c r="BL236" s="16">
        <f>Table1347456[[#This Row],[v_from_sd_and_n]]</f>
        <v>9.7458870221940642E-3</v>
      </c>
      <c r="BM236" s="20">
        <f>SQRT(Table1347456[[#This Row],[v]])</f>
        <v>9.8721259221071847E-2</v>
      </c>
      <c r="BN236" s="20">
        <f>Table1347456[[#This Row],[lnrr]]-(1.96*Table1347456[[#This Row],[se]])</f>
        <v>-2.8843043751370395E-2</v>
      </c>
      <c r="BO236" s="20">
        <f>Table1347456[[#This Row],[lnrr]]+(1.96 * Table1347456[[#This Row],[se]])</f>
        <v>0.35814429239523127</v>
      </c>
    </row>
    <row r="237" spans="1:67">
      <c r="A237" s="13" t="s">
        <v>128</v>
      </c>
      <c r="B237" s="13" t="s">
        <v>137</v>
      </c>
      <c r="C237" s="13" t="s">
        <v>130</v>
      </c>
      <c r="D237" s="13" t="s">
        <v>131</v>
      </c>
      <c r="E237" s="13" t="s">
        <v>132</v>
      </c>
      <c r="F237" s="13" t="s">
        <v>589</v>
      </c>
      <c r="G237" s="13" t="s">
        <v>138</v>
      </c>
      <c r="H237" s="13">
        <v>28</v>
      </c>
      <c r="I237" s="13">
        <v>1875</v>
      </c>
      <c r="K237" s="13" t="s">
        <v>831</v>
      </c>
      <c r="L237" s="13" t="s">
        <v>832</v>
      </c>
      <c r="N237" s="13" t="s">
        <v>86</v>
      </c>
      <c r="O237" s="13" t="s">
        <v>644</v>
      </c>
      <c r="P237" s="13" t="s">
        <v>85</v>
      </c>
      <c r="Q237" s="13" t="s">
        <v>48</v>
      </c>
      <c r="R237" s="4">
        <v>4</v>
      </c>
      <c r="S237" s="13" t="s">
        <v>596</v>
      </c>
      <c r="T237" s="13">
        <v>45</v>
      </c>
      <c r="U237" s="4" t="s">
        <v>133</v>
      </c>
      <c r="V237" s="4">
        <v>400</v>
      </c>
      <c r="W237" s="4" t="s">
        <v>42</v>
      </c>
      <c r="X237" s="4" t="s">
        <v>46</v>
      </c>
      <c r="Y237" s="4">
        <v>16</v>
      </c>
      <c r="AA237" s="4" t="s">
        <v>49</v>
      </c>
      <c r="AB237" s="4">
        <v>0</v>
      </c>
      <c r="AC237" s="4" t="s">
        <v>49</v>
      </c>
      <c r="AD237" s="4">
        <v>0</v>
      </c>
      <c r="AE237" s="4" t="s">
        <v>49</v>
      </c>
      <c r="AF237" s="4">
        <v>0</v>
      </c>
      <c r="AG237" s="4" t="s">
        <v>685</v>
      </c>
      <c r="AH237" s="4" t="s">
        <v>722</v>
      </c>
      <c r="AI237" s="4" t="s">
        <v>78</v>
      </c>
      <c r="AJ237" s="13">
        <v>0</v>
      </c>
      <c r="AK237" s="13">
        <v>20</v>
      </c>
      <c r="AL237" s="13" t="s">
        <v>493</v>
      </c>
      <c r="AM237" s="13">
        <v>1.6</v>
      </c>
      <c r="AN237" s="13" t="s">
        <v>494</v>
      </c>
      <c r="AO237" s="13" t="s">
        <v>495</v>
      </c>
      <c r="AP237" s="13" t="s">
        <v>50</v>
      </c>
      <c r="AQ237" s="13" t="s">
        <v>49</v>
      </c>
      <c r="AR237" s="13" t="s">
        <v>50</v>
      </c>
      <c r="AS237" s="13" t="s">
        <v>49</v>
      </c>
      <c r="AT237" s="13" t="s">
        <v>990</v>
      </c>
      <c r="AU237" s="13" t="s">
        <v>998</v>
      </c>
      <c r="AV237" s="14">
        <f>411.19/1000</f>
        <v>0.41119</v>
      </c>
      <c r="AW237" s="14">
        <f>163.04/1000</f>
        <v>0.16303999999999999</v>
      </c>
      <c r="AX237" s="14">
        <f>Table1347456[[#This Row],[treatment_mean]]/Table1347456[[#This Row],[control_mean]]</f>
        <v>2.5220191364082436</v>
      </c>
      <c r="AY237" s="14">
        <f>LN(Table1347456[[#This Row],[rr]])</f>
        <v>0.92505982530467956</v>
      </c>
      <c r="AZ237" s="13">
        <v>4</v>
      </c>
      <c r="BA237" s="13">
        <v>4</v>
      </c>
      <c r="BB237" s="14">
        <f>61.77/1000</f>
        <v>6.1770000000000005E-2</v>
      </c>
      <c r="BC237" s="14">
        <f>38.59/1000</f>
        <v>3.8590000000000006E-2</v>
      </c>
      <c r="BD237" s="15">
        <f>Table1347456[[#This Row],[treatment_se]]*SQRT(Table1347456[[#This Row],[treatment_n]])</f>
        <v>0.12354000000000001</v>
      </c>
      <c r="BE237" s="14">
        <f>Table1347456[[#This Row],[control_se]]*SQRT(Table1347456[[#This Row],[control_n]])</f>
        <v>7.7180000000000012E-2</v>
      </c>
      <c r="BF23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7.8589144253376514E-2</v>
      </c>
      <c r="BG237" s="17">
        <f>SQRT(Table1347456[[#This Row],[v_from_sd_and_n]])</f>
        <v>0.28033755412605088</v>
      </c>
      <c r="BH237" s="13" t="s">
        <v>50</v>
      </c>
      <c r="BI237" s="13">
        <v>2.5000000000000001E-2</v>
      </c>
      <c r="BJ237" s="18">
        <f>ABS(_xlfn.NORM.S.INV(Table1347456[[#This Row],[p_value]]/2))</f>
        <v>2.2414027276049446</v>
      </c>
      <c r="BK237" s="19">
        <f>(Table1347456[[#This Row],[lnrr]]/Table1347456[[#This Row],[z_from_p]])^2</f>
        <v>0.17033341291716025</v>
      </c>
      <c r="BL237" s="16">
        <f>Table1347456[[#This Row],[v_from_sd_and_n]]</f>
        <v>7.8589144253376514E-2</v>
      </c>
      <c r="BM237" s="20">
        <f>SQRT(Table1347456[[#This Row],[v]])</f>
        <v>0.28033755412605088</v>
      </c>
      <c r="BN237" s="20">
        <f>Table1347456[[#This Row],[lnrr]]-(1.96*Table1347456[[#This Row],[se]])</f>
        <v>0.37559821921761982</v>
      </c>
      <c r="BO237" s="20">
        <f>Table1347456[[#This Row],[lnrr]]+(1.96 * Table1347456[[#This Row],[se]])</f>
        <v>1.4745214313917394</v>
      </c>
    </row>
    <row r="238" spans="1:67">
      <c r="A238" s="13" t="s">
        <v>128</v>
      </c>
      <c r="B238" s="13" t="s">
        <v>137</v>
      </c>
      <c r="C238" s="13" t="s">
        <v>130</v>
      </c>
      <c r="D238" s="13" t="s">
        <v>131</v>
      </c>
      <c r="E238" s="13" t="s">
        <v>132</v>
      </c>
      <c r="F238" s="13" t="s">
        <v>589</v>
      </c>
      <c r="G238" s="13" t="s">
        <v>138</v>
      </c>
      <c r="H238" s="13">
        <v>28</v>
      </c>
      <c r="I238" s="13">
        <v>1875</v>
      </c>
      <c r="K238" s="13" t="s">
        <v>831</v>
      </c>
      <c r="L238" s="13" t="s">
        <v>832</v>
      </c>
      <c r="N238" s="13" t="s">
        <v>86</v>
      </c>
      <c r="O238" s="13" t="s">
        <v>644</v>
      </c>
      <c r="P238" s="13" t="s">
        <v>85</v>
      </c>
      <c r="Q238" s="13" t="s">
        <v>48</v>
      </c>
      <c r="R238" s="4">
        <v>4</v>
      </c>
      <c r="S238" s="13" t="s">
        <v>596</v>
      </c>
      <c r="T238" s="13">
        <v>45</v>
      </c>
      <c r="U238" s="4" t="s">
        <v>133</v>
      </c>
      <c r="V238" s="4">
        <v>400</v>
      </c>
      <c r="W238" s="4" t="s">
        <v>42</v>
      </c>
      <c r="X238" s="4" t="s">
        <v>46</v>
      </c>
      <c r="Y238" s="4">
        <v>32</v>
      </c>
      <c r="AA238" s="4" t="s">
        <v>49</v>
      </c>
      <c r="AB238" s="4">
        <v>0</v>
      </c>
      <c r="AC238" s="4" t="s">
        <v>49</v>
      </c>
      <c r="AD238" s="4">
        <v>0</v>
      </c>
      <c r="AE238" s="4" t="s">
        <v>49</v>
      </c>
      <c r="AF238" s="4">
        <v>0</v>
      </c>
      <c r="AG238" s="4" t="s">
        <v>685</v>
      </c>
      <c r="AH238" s="4" t="s">
        <v>722</v>
      </c>
      <c r="AI238" s="4" t="s">
        <v>78</v>
      </c>
      <c r="AJ238" s="13">
        <v>0</v>
      </c>
      <c r="AK238" s="13">
        <v>20</v>
      </c>
      <c r="AL238" s="13" t="s">
        <v>493</v>
      </c>
      <c r="AM238" s="13">
        <v>1.6</v>
      </c>
      <c r="AN238" s="13" t="s">
        <v>494</v>
      </c>
      <c r="AO238" s="13" t="s">
        <v>495</v>
      </c>
      <c r="AP238" s="13" t="s">
        <v>50</v>
      </c>
      <c r="AQ238" s="13" t="s">
        <v>49</v>
      </c>
      <c r="AR238" s="13" t="s">
        <v>50</v>
      </c>
      <c r="AS238" s="13" t="s">
        <v>49</v>
      </c>
      <c r="AT238" s="13" t="s">
        <v>990</v>
      </c>
      <c r="AU238" s="13" t="s">
        <v>998</v>
      </c>
      <c r="AV238" s="14">
        <f>1562.11/1000</f>
        <v>1.5621099999999999</v>
      </c>
      <c r="AW238" s="14">
        <f t="shared" ref="AW238:AW252" si="11">163.04/1000</f>
        <v>0.16303999999999999</v>
      </c>
      <c r="AX238" s="14">
        <f>Table1347456[[#This Row],[treatment_mean]]/Table1347456[[#This Row],[control_mean]]</f>
        <v>9.581145731108931</v>
      </c>
      <c r="AY238" s="14">
        <f>LN(Table1347456[[#This Row],[rr]])</f>
        <v>2.2597971809808777</v>
      </c>
      <c r="AZ238" s="13">
        <v>4</v>
      </c>
      <c r="BA238" s="13">
        <v>4</v>
      </c>
      <c r="BB238" s="14">
        <f>138.98/1000</f>
        <v>0.13897999999999999</v>
      </c>
      <c r="BC238" s="14">
        <f t="shared" ref="BC238:BC252" si="12">38.59/1000</f>
        <v>3.8590000000000006E-2</v>
      </c>
      <c r="BD238" s="15">
        <f>Table1347456[[#This Row],[treatment_se]]*SQRT(Table1347456[[#This Row],[treatment_n]])</f>
        <v>0.27795999999999998</v>
      </c>
      <c r="BE238" s="14">
        <f>Table1347456[[#This Row],[control_se]]*SQRT(Table1347456[[#This Row],[control_n]])</f>
        <v>7.7180000000000012E-2</v>
      </c>
      <c r="BF23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6.3937892615930511E-2</v>
      </c>
      <c r="BG238" s="17">
        <f>SQRT(Table1347456[[#This Row],[v_from_sd_and_n]])</f>
        <v>0.25285943252315213</v>
      </c>
      <c r="BH238" s="13" t="s">
        <v>50</v>
      </c>
      <c r="BI238" s="13">
        <v>2.5000000000000001E-2</v>
      </c>
      <c r="BJ238" s="18">
        <f>ABS(_xlfn.NORM.S.INV(Table1347456[[#This Row],[p_value]]/2))</f>
        <v>2.2414027276049446</v>
      </c>
      <c r="BK238" s="19">
        <f>(Table1347456[[#This Row],[lnrr]]/Table1347456[[#This Row],[z_from_p]])^2</f>
        <v>1.0164806902002068</v>
      </c>
      <c r="BL238" s="16">
        <f>Table1347456[[#This Row],[v_from_sd_and_n]]</f>
        <v>6.3937892615930511E-2</v>
      </c>
      <c r="BM238" s="20">
        <f>SQRT(Table1347456[[#This Row],[v]])</f>
        <v>0.25285943252315213</v>
      </c>
      <c r="BN238" s="20">
        <f>Table1347456[[#This Row],[lnrr]]-(1.96*Table1347456[[#This Row],[se]])</f>
        <v>1.7641926932354994</v>
      </c>
      <c r="BO238" s="20">
        <f>Table1347456[[#This Row],[lnrr]]+(1.96 * Table1347456[[#This Row],[se]])</f>
        <v>2.7554016687262557</v>
      </c>
    </row>
    <row r="239" spans="1:67">
      <c r="A239" s="13" t="s">
        <v>128</v>
      </c>
      <c r="B239" s="13" t="s">
        <v>137</v>
      </c>
      <c r="C239" s="13" t="s">
        <v>130</v>
      </c>
      <c r="D239" s="13" t="s">
        <v>131</v>
      </c>
      <c r="E239" s="13" t="s">
        <v>132</v>
      </c>
      <c r="F239" s="13" t="s">
        <v>589</v>
      </c>
      <c r="G239" s="13" t="s">
        <v>138</v>
      </c>
      <c r="H239" s="13">
        <v>28</v>
      </c>
      <c r="I239" s="13">
        <v>1875</v>
      </c>
      <c r="K239" s="13" t="s">
        <v>831</v>
      </c>
      <c r="L239" s="13" t="s">
        <v>832</v>
      </c>
      <c r="N239" s="13" t="s">
        <v>86</v>
      </c>
      <c r="O239" s="13" t="s">
        <v>644</v>
      </c>
      <c r="P239" s="13" t="s">
        <v>85</v>
      </c>
      <c r="Q239" s="13" t="s">
        <v>48</v>
      </c>
      <c r="R239" s="4">
        <v>4</v>
      </c>
      <c r="S239" s="13" t="s">
        <v>596</v>
      </c>
      <c r="T239" s="13">
        <v>45</v>
      </c>
      <c r="U239" s="4" t="s">
        <v>133</v>
      </c>
      <c r="V239" s="4">
        <v>400</v>
      </c>
      <c r="W239" s="4" t="s">
        <v>42</v>
      </c>
      <c r="X239" s="4" t="s">
        <v>46</v>
      </c>
      <c r="Y239" s="4">
        <v>48</v>
      </c>
      <c r="AA239" s="4" t="s">
        <v>49</v>
      </c>
      <c r="AB239" s="4">
        <v>0</v>
      </c>
      <c r="AC239" s="4" t="s">
        <v>49</v>
      </c>
      <c r="AD239" s="4">
        <v>0</v>
      </c>
      <c r="AE239" s="4" t="s">
        <v>49</v>
      </c>
      <c r="AF239" s="4">
        <v>0</v>
      </c>
      <c r="AG239" s="4" t="s">
        <v>685</v>
      </c>
      <c r="AH239" s="4" t="s">
        <v>722</v>
      </c>
      <c r="AI239" s="4" t="s">
        <v>78</v>
      </c>
      <c r="AJ239" s="13">
        <v>0</v>
      </c>
      <c r="AK239" s="13">
        <v>20</v>
      </c>
      <c r="AL239" s="13" t="s">
        <v>493</v>
      </c>
      <c r="AM239" s="13">
        <v>1.6</v>
      </c>
      <c r="AN239" s="13" t="s">
        <v>494</v>
      </c>
      <c r="AO239" s="13" t="s">
        <v>495</v>
      </c>
      <c r="AP239" s="13" t="s">
        <v>50</v>
      </c>
      <c r="AQ239" s="13" t="s">
        <v>49</v>
      </c>
      <c r="AR239" s="13" t="s">
        <v>50</v>
      </c>
      <c r="AS239" s="13" t="s">
        <v>49</v>
      </c>
      <c r="AT239" s="13" t="s">
        <v>990</v>
      </c>
      <c r="AU239" s="13" t="s">
        <v>998</v>
      </c>
      <c r="AV239" s="14">
        <f>1477.5/1000</f>
        <v>1.4775</v>
      </c>
      <c r="AW239" s="14">
        <f t="shared" si="11"/>
        <v>0.16303999999999999</v>
      </c>
      <c r="AX239" s="14">
        <f>Table1347456[[#This Row],[treatment_mean]]/Table1347456[[#This Row],[control_mean]]</f>
        <v>9.0621933267909718</v>
      </c>
      <c r="AY239" s="14">
        <f>LN(Table1347456[[#This Row],[rr]])</f>
        <v>2.2041111798058388</v>
      </c>
      <c r="AZ239" s="13">
        <v>4</v>
      </c>
      <c r="BA239" s="13">
        <v>4</v>
      </c>
      <c r="BB239" s="14">
        <f>270.29/1000</f>
        <v>0.27029000000000003</v>
      </c>
      <c r="BC239" s="14">
        <f t="shared" si="12"/>
        <v>3.8590000000000006E-2</v>
      </c>
      <c r="BD239" s="15">
        <f>Table1347456[[#This Row],[treatment_se]]*SQRT(Table1347456[[#This Row],[treatment_n]])</f>
        <v>0.54058000000000006</v>
      </c>
      <c r="BE239" s="14">
        <f>Table1347456[[#This Row],[control_se]]*SQRT(Table1347456[[#This Row],[control_n]])</f>
        <v>7.7180000000000012E-2</v>
      </c>
      <c r="BF23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8.948842748990174E-2</v>
      </c>
      <c r="BG239" s="17">
        <f>SQRT(Table1347456[[#This Row],[v_from_sd_and_n]])</f>
        <v>0.29914616409023487</v>
      </c>
      <c r="BH239" s="13" t="s">
        <v>50</v>
      </c>
      <c r="BI239" s="13">
        <v>2.5000000000000001E-2</v>
      </c>
      <c r="BJ239" s="18">
        <f>ABS(_xlfn.NORM.S.INV(Table1347456[[#This Row],[p_value]]/2))</f>
        <v>2.2414027276049446</v>
      </c>
      <c r="BK239" s="19">
        <f>(Table1347456[[#This Row],[lnrr]]/Table1347456[[#This Row],[z_from_p]])^2</f>
        <v>0.96700162221262354</v>
      </c>
      <c r="BL239" s="16">
        <f>Table1347456[[#This Row],[v_from_sd_and_n]]</f>
        <v>8.948842748990174E-2</v>
      </c>
      <c r="BM239" s="20">
        <f>SQRT(Table1347456[[#This Row],[v]])</f>
        <v>0.29914616409023487</v>
      </c>
      <c r="BN239" s="20">
        <f>Table1347456[[#This Row],[lnrr]]-(1.96*Table1347456[[#This Row],[se]])</f>
        <v>1.6177846981889785</v>
      </c>
      <c r="BO239" s="20">
        <f>Table1347456[[#This Row],[lnrr]]+(1.96 * Table1347456[[#This Row],[se]])</f>
        <v>2.7904376614226991</v>
      </c>
    </row>
    <row r="240" spans="1:67">
      <c r="A240" s="13" t="s">
        <v>128</v>
      </c>
      <c r="B240" s="13" t="s">
        <v>137</v>
      </c>
      <c r="C240" s="13" t="s">
        <v>130</v>
      </c>
      <c r="D240" s="13" t="s">
        <v>131</v>
      </c>
      <c r="E240" s="13" t="s">
        <v>132</v>
      </c>
      <c r="F240" s="13" t="s">
        <v>589</v>
      </c>
      <c r="G240" s="13" t="s">
        <v>138</v>
      </c>
      <c r="H240" s="13">
        <v>28</v>
      </c>
      <c r="I240" s="13">
        <v>1875</v>
      </c>
      <c r="K240" s="13" t="s">
        <v>831</v>
      </c>
      <c r="L240" s="13" t="s">
        <v>832</v>
      </c>
      <c r="N240" s="13" t="s">
        <v>86</v>
      </c>
      <c r="O240" s="13" t="s">
        <v>644</v>
      </c>
      <c r="P240" s="13" t="s">
        <v>85</v>
      </c>
      <c r="Q240" s="13" t="s">
        <v>48</v>
      </c>
      <c r="R240" s="4">
        <v>4</v>
      </c>
      <c r="S240" s="13" t="s">
        <v>596</v>
      </c>
      <c r="T240" s="13">
        <v>45</v>
      </c>
      <c r="U240" s="4" t="s">
        <v>133</v>
      </c>
      <c r="V240" s="4">
        <v>400</v>
      </c>
      <c r="W240" s="4" t="s">
        <v>42</v>
      </c>
      <c r="X240" s="4" t="s">
        <v>46</v>
      </c>
      <c r="Y240" s="4">
        <v>64</v>
      </c>
      <c r="AA240" s="4" t="s">
        <v>49</v>
      </c>
      <c r="AB240" s="4">
        <v>0</v>
      </c>
      <c r="AC240" s="4" t="s">
        <v>49</v>
      </c>
      <c r="AD240" s="4">
        <v>0</v>
      </c>
      <c r="AE240" s="4" t="s">
        <v>49</v>
      </c>
      <c r="AF240" s="4">
        <v>0</v>
      </c>
      <c r="AG240" s="4" t="s">
        <v>685</v>
      </c>
      <c r="AH240" s="4" t="s">
        <v>722</v>
      </c>
      <c r="AI240" s="4" t="s">
        <v>78</v>
      </c>
      <c r="AJ240" s="13">
        <v>0</v>
      </c>
      <c r="AK240" s="13">
        <v>20</v>
      </c>
      <c r="AL240" s="13" t="s">
        <v>493</v>
      </c>
      <c r="AM240" s="13">
        <v>1.6</v>
      </c>
      <c r="AN240" s="13" t="s">
        <v>494</v>
      </c>
      <c r="AO240" s="13" t="s">
        <v>495</v>
      </c>
      <c r="AP240" s="13" t="s">
        <v>50</v>
      </c>
      <c r="AQ240" s="13" t="s">
        <v>49</v>
      </c>
      <c r="AR240" s="13" t="s">
        <v>50</v>
      </c>
      <c r="AS240" s="13" t="s">
        <v>49</v>
      </c>
      <c r="AT240" s="13" t="s">
        <v>990</v>
      </c>
      <c r="AU240" s="13" t="s">
        <v>998</v>
      </c>
      <c r="AV240" s="14">
        <f>1362.02/1000</f>
        <v>1.36202</v>
      </c>
      <c r="AW240" s="14">
        <f t="shared" si="11"/>
        <v>0.16303999999999999</v>
      </c>
      <c r="AX240" s="14">
        <f>Table1347456[[#This Row],[treatment_mean]]/Table1347456[[#This Row],[control_mean]]</f>
        <v>8.3539008832188433</v>
      </c>
      <c r="AY240" s="14">
        <f>LN(Table1347456[[#This Row],[rr]])</f>
        <v>2.1227286014150422</v>
      </c>
      <c r="AZ240" s="13">
        <v>4</v>
      </c>
      <c r="BA240" s="13">
        <v>4</v>
      </c>
      <c r="BB240" s="14">
        <f>270.27/1000</f>
        <v>0.27026999999999995</v>
      </c>
      <c r="BC240" s="14">
        <f t="shared" si="12"/>
        <v>3.8590000000000006E-2</v>
      </c>
      <c r="BD240" s="15">
        <f>Table1347456[[#This Row],[treatment_se]]*SQRT(Table1347456[[#This Row],[treatment_n]])</f>
        <v>0.54053999999999991</v>
      </c>
      <c r="BE240" s="14">
        <f>Table1347456[[#This Row],[control_se]]*SQRT(Table1347456[[#This Row],[control_n]])</f>
        <v>7.7180000000000012E-2</v>
      </c>
      <c r="BF24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9.5398075907546565E-2</v>
      </c>
      <c r="BG240" s="17">
        <f>SQRT(Table1347456[[#This Row],[v_from_sd_and_n]])</f>
        <v>0.30886578947424165</v>
      </c>
      <c r="BH240" s="13" t="s">
        <v>50</v>
      </c>
      <c r="BI240" s="13">
        <v>2.5000000000000001E-2</v>
      </c>
      <c r="BJ240" s="18">
        <f>ABS(_xlfn.NORM.S.INV(Table1347456[[#This Row],[p_value]]/2))</f>
        <v>2.2414027276049446</v>
      </c>
      <c r="BK240" s="19">
        <f>(Table1347456[[#This Row],[lnrr]]/Table1347456[[#This Row],[z_from_p]])^2</f>
        <v>0.89691058819024883</v>
      </c>
      <c r="BL240" s="16">
        <f>Table1347456[[#This Row],[v_from_sd_and_n]]</f>
        <v>9.5398075907546565E-2</v>
      </c>
      <c r="BM240" s="20">
        <f>SQRT(Table1347456[[#This Row],[v]])</f>
        <v>0.30886578947424165</v>
      </c>
      <c r="BN240" s="20">
        <f>Table1347456[[#This Row],[lnrr]]-(1.96*Table1347456[[#This Row],[se]])</f>
        <v>1.5173516540455285</v>
      </c>
      <c r="BO240" s="20">
        <f>Table1347456[[#This Row],[lnrr]]+(1.96 * Table1347456[[#This Row],[se]])</f>
        <v>2.7281055487845558</v>
      </c>
    </row>
    <row r="241" spans="1:67">
      <c r="A241" s="13" t="s">
        <v>128</v>
      </c>
      <c r="B241" s="13" t="s">
        <v>137</v>
      </c>
      <c r="C241" s="13" t="s">
        <v>130</v>
      </c>
      <c r="D241" s="13" t="s">
        <v>131</v>
      </c>
      <c r="E241" s="13" t="s">
        <v>132</v>
      </c>
      <c r="F241" s="13" t="s">
        <v>589</v>
      </c>
      <c r="G241" s="13" t="s">
        <v>138</v>
      </c>
      <c r="H241" s="13">
        <v>28</v>
      </c>
      <c r="I241" s="13">
        <v>1875</v>
      </c>
      <c r="K241" s="13" t="s">
        <v>831</v>
      </c>
      <c r="L241" s="13" t="s">
        <v>832</v>
      </c>
      <c r="N241" s="13" t="s">
        <v>86</v>
      </c>
      <c r="O241" s="13" t="s">
        <v>644</v>
      </c>
      <c r="P241" s="13" t="s">
        <v>85</v>
      </c>
      <c r="Q241" s="13" t="s">
        <v>48</v>
      </c>
      <c r="R241" s="4">
        <v>4</v>
      </c>
      <c r="S241" s="13" t="s">
        <v>596</v>
      </c>
      <c r="T241" s="13">
        <v>45</v>
      </c>
      <c r="U241" s="4" t="s">
        <v>134</v>
      </c>
      <c r="V241" s="4">
        <v>400</v>
      </c>
      <c r="W241" s="4" t="s">
        <v>42</v>
      </c>
      <c r="X241" s="4" t="s">
        <v>46</v>
      </c>
      <c r="Y241" s="4">
        <v>16</v>
      </c>
      <c r="AA241" s="4" t="s">
        <v>49</v>
      </c>
      <c r="AB241" s="4">
        <v>0</v>
      </c>
      <c r="AC241" s="4" t="s">
        <v>49</v>
      </c>
      <c r="AD241" s="4">
        <v>0</v>
      </c>
      <c r="AE241" s="4" t="s">
        <v>49</v>
      </c>
      <c r="AF241" s="4">
        <v>0</v>
      </c>
      <c r="AG241" s="4" t="s">
        <v>708</v>
      </c>
      <c r="AH241" s="4" t="s">
        <v>722</v>
      </c>
      <c r="AI241" s="4" t="s">
        <v>78</v>
      </c>
      <c r="AJ241" s="13">
        <v>0</v>
      </c>
      <c r="AK241" s="13">
        <v>20</v>
      </c>
      <c r="AL241" s="13" t="s">
        <v>493</v>
      </c>
      <c r="AM241" s="13">
        <v>1.6</v>
      </c>
      <c r="AN241" s="13" t="s">
        <v>494</v>
      </c>
      <c r="AO241" s="13" t="s">
        <v>495</v>
      </c>
      <c r="AP241" s="13" t="s">
        <v>50</v>
      </c>
      <c r="AQ241" s="13" t="s">
        <v>49</v>
      </c>
      <c r="AR241" s="13" t="s">
        <v>50</v>
      </c>
      <c r="AS241" s="13" t="s">
        <v>49</v>
      </c>
      <c r="AT241" s="13" t="s">
        <v>990</v>
      </c>
      <c r="AU241" s="13" t="s">
        <v>998</v>
      </c>
      <c r="AV241" s="14">
        <f>389.53/1000</f>
        <v>0.38952999999999999</v>
      </c>
      <c r="AW241" s="14">
        <f t="shared" si="11"/>
        <v>0.16303999999999999</v>
      </c>
      <c r="AX241" s="14">
        <f>Table1347456[[#This Row],[treatment_mean]]/Table1347456[[#This Row],[control_mean]]</f>
        <v>2.3891683022571151</v>
      </c>
      <c r="AY241" s="14">
        <f>LN(Table1347456[[#This Row],[rr]])</f>
        <v>0.8709453146932099</v>
      </c>
      <c r="AZ241" s="13">
        <v>4</v>
      </c>
      <c r="BA241" s="13">
        <v>4</v>
      </c>
      <c r="BB241" s="14">
        <f>30.88/1000</f>
        <v>3.0879999999999998E-2</v>
      </c>
      <c r="BC241" s="14">
        <f t="shared" si="12"/>
        <v>3.8590000000000006E-2</v>
      </c>
      <c r="BD241" s="15">
        <f>Table1347456[[#This Row],[treatment_se]]*SQRT(Table1347456[[#This Row],[treatment_n]])</f>
        <v>6.1759999999999995E-2</v>
      </c>
      <c r="BE241" s="14">
        <f>Table1347456[[#This Row],[control_se]]*SQRT(Table1347456[[#This Row],[control_n]])</f>
        <v>7.7180000000000012E-2</v>
      </c>
      <c r="BF24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6.230686666602385E-2</v>
      </c>
      <c r="BG241" s="17">
        <f>SQRT(Table1347456[[#This Row],[v_from_sd_and_n]])</f>
        <v>0.24961343446622389</v>
      </c>
      <c r="BH241" s="13" t="s">
        <v>50</v>
      </c>
      <c r="BI241" s="13">
        <v>2.5000000000000001E-2</v>
      </c>
      <c r="BJ241" s="18">
        <f>ABS(_xlfn.NORM.S.INV(Table1347456[[#This Row],[p_value]]/2))</f>
        <v>2.2414027276049446</v>
      </c>
      <c r="BK241" s="19">
        <f>(Table1347456[[#This Row],[lnrr]]/Table1347456[[#This Row],[z_from_p]])^2</f>
        <v>0.15098784345500355</v>
      </c>
      <c r="BL241" s="16">
        <f>Table1347456[[#This Row],[v_from_sd_and_n]]</f>
        <v>6.230686666602385E-2</v>
      </c>
      <c r="BM241" s="20">
        <f>SQRT(Table1347456[[#This Row],[v]])</f>
        <v>0.24961343446622389</v>
      </c>
      <c r="BN241" s="20">
        <f>Table1347456[[#This Row],[lnrr]]-(1.96*Table1347456[[#This Row],[se]])</f>
        <v>0.38170298313941109</v>
      </c>
      <c r="BO241" s="20">
        <f>Table1347456[[#This Row],[lnrr]]+(1.96 * Table1347456[[#This Row],[se]])</f>
        <v>1.3601876462470086</v>
      </c>
    </row>
    <row r="242" spans="1:67">
      <c r="A242" s="13" t="s">
        <v>128</v>
      </c>
      <c r="B242" s="13" t="s">
        <v>137</v>
      </c>
      <c r="C242" s="13" t="s">
        <v>130</v>
      </c>
      <c r="D242" s="13" t="s">
        <v>131</v>
      </c>
      <c r="E242" s="13" t="s">
        <v>132</v>
      </c>
      <c r="F242" s="13" t="s">
        <v>589</v>
      </c>
      <c r="G242" s="13" t="s">
        <v>138</v>
      </c>
      <c r="H242" s="13">
        <v>28</v>
      </c>
      <c r="I242" s="13">
        <v>1875</v>
      </c>
      <c r="K242" s="13" t="s">
        <v>831</v>
      </c>
      <c r="L242" s="13" t="s">
        <v>832</v>
      </c>
      <c r="N242" s="13" t="s">
        <v>86</v>
      </c>
      <c r="O242" s="13" t="s">
        <v>644</v>
      </c>
      <c r="P242" s="13" t="s">
        <v>85</v>
      </c>
      <c r="Q242" s="13" t="s">
        <v>48</v>
      </c>
      <c r="R242" s="4">
        <v>4</v>
      </c>
      <c r="S242" s="13" t="s">
        <v>596</v>
      </c>
      <c r="T242" s="13">
        <v>45</v>
      </c>
      <c r="U242" s="4" t="s">
        <v>134</v>
      </c>
      <c r="V242" s="4">
        <v>400</v>
      </c>
      <c r="W242" s="4" t="s">
        <v>42</v>
      </c>
      <c r="X242" s="4" t="s">
        <v>46</v>
      </c>
      <c r="Y242" s="4">
        <v>32</v>
      </c>
      <c r="AA242" s="4" t="s">
        <v>49</v>
      </c>
      <c r="AB242" s="4">
        <v>0</v>
      </c>
      <c r="AC242" s="4" t="s">
        <v>49</v>
      </c>
      <c r="AD242" s="4">
        <v>0</v>
      </c>
      <c r="AE242" s="4" t="s">
        <v>49</v>
      </c>
      <c r="AF242" s="4">
        <v>0</v>
      </c>
      <c r="AG242" s="4" t="s">
        <v>708</v>
      </c>
      <c r="AH242" s="4" t="s">
        <v>722</v>
      </c>
      <c r="AI242" s="4" t="s">
        <v>78</v>
      </c>
      <c r="AJ242" s="13">
        <v>0</v>
      </c>
      <c r="AK242" s="13">
        <v>20</v>
      </c>
      <c r="AL242" s="13" t="s">
        <v>493</v>
      </c>
      <c r="AM242" s="13">
        <v>1.6</v>
      </c>
      <c r="AN242" s="13" t="s">
        <v>494</v>
      </c>
      <c r="AO242" s="13" t="s">
        <v>495</v>
      </c>
      <c r="AP242" s="13" t="s">
        <v>50</v>
      </c>
      <c r="AQ242" s="13" t="s">
        <v>49</v>
      </c>
      <c r="AR242" s="13" t="s">
        <v>50</v>
      </c>
      <c r="AS242" s="13" t="s">
        <v>49</v>
      </c>
      <c r="AT242" s="13" t="s">
        <v>990</v>
      </c>
      <c r="AU242" s="13" t="s">
        <v>998</v>
      </c>
      <c r="AV242" s="14">
        <f>598.36/1000</f>
        <v>0.59836</v>
      </c>
      <c r="AW242" s="14">
        <f t="shared" si="11"/>
        <v>0.16303999999999999</v>
      </c>
      <c r="AX242" s="14">
        <f>Table1347456[[#This Row],[treatment_mean]]/Table1347456[[#This Row],[control_mean]]</f>
        <v>3.6700196270853782</v>
      </c>
      <c r="AY242" s="14">
        <f>LN(Table1347456[[#This Row],[rr]])</f>
        <v>1.3001970100318456</v>
      </c>
      <c r="AZ242" s="13">
        <v>4</v>
      </c>
      <c r="BA242" s="13">
        <v>4</v>
      </c>
      <c r="BB242" s="14">
        <f>23.18/1000</f>
        <v>2.3179999999999999E-2</v>
      </c>
      <c r="BC242" s="14">
        <f t="shared" si="12"/>
        <v>3.8590000000000006E-2</v>
      </c>
      <c r="BD242" s="15">
        <f>Table1347456[[#This Row],[treatment_se]]*SQRT(Table1347456[[#This Row],[treatment_n]])</f>
        <v>4.6359999999999998E-2</v>
      </c>
      <c r="BE242" s="14">
        <f>Table1347456[[#This Row],[control_se]]*SQRT(Table1347456[[#This Row],[control_n]])</f>
        <v>7.7180000000000012E-2</v>
      </c>
      <c r="BF24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5.7523064483752266E-2</v>
      </c>
      <c r="BG242" s="17">
        <f>SQRT(Table1347456[[#This Row],[v_from_sd_and_n]])</f>
        <v>0.23983966411699351</v>
      </c>
      <c r="BH242" s="13" t="s">
        <v>50</v>
      </c>
      <c r="BI242" s="13">
        <v>2.5000000000000001E-2</v>
      </c>
      <c r="BJ242" s="18">
        <f>ABS(_xlfn.NORM.S.INV(Table1347456[[#This Row],[p_value]]/2))</f>
        <v>2.2414027276049446</v>
      </c>
      <c r="BK242" s="19">
        <f>(Table1347456[[#This Row],[lnrr]]/Table1347456[[#This Row],[z_from_p]])^2</f>
        <v>0.33649493676115272</v>
      </c>
      <c r="BL242" s="16">
        <f>Table1347456[[#This Row],[v_from_sd_and_n]]</f>
        <v>5.7523064483752266E-2</v>
      </c>
      <c r="BM242" s="20">
        <f>SQRT(Table1347456[[#This Row],[v]])</f>
        <v>0.23983966411699351</v>
      </c>
      <c r="BN242" s="20">
        <f>Table1347456[[#This Row],[lnrr]]-(1.96*Table1347456[[#This Row],[se]])</f>
        <v>0.83011126836253835</v>
      </c>
      <c r="BO242" s="20">
        <f>Table1347456[[#This Row],[lnrr]]+(1.96 * Table1347456[[#This Row],[se]])</f>
        <v>1.7702827517011528</v>
      </c>
    </row>
    <row r="243" spans="1:67">
      <c r="A243" s="13" t="s">
        <v>128</v>
      </c>
      <c r="B243" s="13" t="s">
        <v>137</v>
      </c>
      <c r="C243" s="13" t="s">
        <v>130</v>
      </c>
      <c r="D243" s="13" t="s">
        <v>131</v>
      </c>
      <c r="E243" s="13" t="s">
        <v>132</v>
      </c>
      <c r="F243" s="13" t="s">
        <v>589</v>
      </c>
      <c r="G243" s="13" t="s">
        <v>138</v>
      </c>
      <c r="H243" s="13">
        <v>28</v>
      </c>
      <c r="I243" s="13">
        <v>1875</v>
      </c>
      <c r="K243" s="13" t="s">
        <v>831</v>
      </c>
      <c r="L243" s="13" t="s">
        <v>832</v>
      </c>
      <c r="N243" s="13" t="s">
        <v>86</v>
      </c>
      <c r="O243" s="13" t="s">
        <v>644</v>
      </c>
      <c r="P243" s="13" t="s">
        <v>85</v>
      </c>
      <c r="Q243" s="13" t="s">
        <v>48</v>
      </c>
      <c r="R243" s="4">
        <v>4</v>
      </c>
      <c r="S243" s="13" t="s">
        <v>596</v>
      </c>
      <c r="T243" s="13">
        <v>45</v>
      </c>
      <c r="U243" s="4" t="s">
        <v>134</v>
      </c>
      <c r="V243" s="4">
        <v>400</v>
      </c>
      <c r="W243" s="4" t="s">
        <v>42</v>
      </c>
      <c r="X243" s="4" t="s">
        <v>46</v>
      </c>
      <c r="Y243" s="4">
        <v>48</v>
      </c>
      <c r="AA243" s="4" t="s">
        <v>49</v>
      </c>
      <c r="AB243" s="4">
        <v>0</v>
      </c>
      <c r="AC243" s="4" t="s">
        <v>49</v>
      </c>
      <c r="AD243" s="4">
        <v>0</v>
      </c>
      <c r="AE243" s="4" t="s">
        <v>49</v>
      </c>
      <c r="AF243" s="4">
        <v>0</v>
      </c>
      <c r="AG243" s="4" t="s">
        <v>708</v>
      </c>
      <c r="AH243" s="4" t="s">
        <v>722</v>
      </c>
      <c r="AI243" s="4" t="s">
        <v>78</v>
      </c>
      <c r="AJ243" s="13">
        <v>0</v>
      </c>
      <c r="AK243" s="13">
        <v>20</v>
      </c>
      <c r="AL243" s="13" t="s">
        <v>493</v>
      </c>
      <c r="AM243" s="13">
        <v>1.6</v>
      </c>
      <c r="AN243" s="13" t="s">
        <v>494</v>
      </c>
      <c r="AO243" s="13" t="s">
        <v>495</v>
      </c>
      <c r="AP243" s="13" t="s">
        <v>50</v>
      </c>
      <c r="AQ243" s="13" t="s">
        <v>49</v>
      </c>
      <c r="AR243" s="13" t="s">
        <v>50</v>
      </c>
      <c r="AS243" s="13" t="s">
        <v>49</v>
      </c>
      <c r="AT243" s="13" t="s">
        <v>990</v>
      </c>
      <c r="AU243" s="13" t="s">
        <v>998</v>
      </c>
      <c r="AV243" s="14">
        <f>444.29/1000</f>
        <v>0.44429000000000002</v>
      </c>
      <c r="AW243" s="14">
        <f t="shared" si="11"/>
        <v>0.16303999999999999</v>
      </c>
      <c r="AX243" s="14">
        <f>Table1347456[[#This Row],[treatment_mean]]/Table1347456[[#This Row],[control_mean]]</f>
        <v>2.7250368007850838</v>
      </c>
      <c r="AY243" s="14">
        <f>LN(Table1347456[[#This Row],[rr]])</f>
        <v>1.0024819328992776</v>
      </c>
      <c r="AZ243" s="13">
        <v>4</v>
      </c>
      <c r="BA243" s="13">
        <v>4</v>
      </c>
      <c r="BB243" s="14">
        <f>154.43/1000</f>
        <v>0.15443000000000001</v>
      </c>
      <c r="BC243" s="14">
        <f t="shared" si="12"/>
        <v>3.8590000000000006E-2</v>
      </c>
      <c r="BD243" s="15">
        <f>Table1347456[[#This Row],[treatment_se]]*SQRT(Table1347456[[#This Row],[treatment_n]])</f>
        <v>0.30886000000000002</v>
      </c>
      <c r="BE243" s="14">
        <f>Table1347456[[#This Row],[control_se]]*SQRT(Table1347456[[#This Row],[control_n]])</f>
        <v>7.7180000000000012E-2</v>
      </c>
      <c r="BF24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0.17683995448673429</v>
      </c>
      <c r="BG243" s="17">
        <f>SQRT(Table1347456[[#This Row],[v_from_sd_and_n]])</f>
        <v>0.42052342917694169</v>
      </c>
      <c r="BH243" s="13" t="s">
        <v>50</v>
      </c>
      <c r="BI243" s="13">
        <v>2.5000000000000001E-2</v>
      </c>
      <c r="BJ243" s="18">
        <f>ABS(_xlfn.NORM.S.INV(Table1347456[[#This Row],[p_value]]/2))</f>
        <v>2.2414027276049446</v>
      </c>
      <c r="BK243" s="19">
        <f>(Table1347456[[#This Row],[lnrr]]/Table1347456[[#This Row],[z_from_p]])^2</f>
        <v>0.20003837434195487</v>
      </c>
      <c r="BL243" s="16">
        <f>Table1347456[[#This Row],[v_from_sd_and_n]]</f>
        <v>0.17683995448673429</v>
      </c>
      <c r="BM243" s="20">
        <f>SQRT(Table1347456[[#This Row],[v]])</f>
        <v>0.42052342917694169</v>
      </c>
      <c r="BN243" s="20">
        <f>Table1347456[[#This Row],[lnrr]]-(1.96*Table1347456[[#This Row],[se]])</f>
        <v>0.17825601171247185</v>
      </c>
      <c r="BO243" s="20">
        <f>Table1347456[[#This Row],[lnrr]]+(1.96 * Table1347456[[#This Row],[se]])</f>
        <v>1.8267078540860833</v>
      </c>
    </row>
    <row r="244" spans="1:67">
      <c r="A244" s="13" t="s">
        <v>128</v>
      </c>
      <c r="B244" s="13" t="s">
        <v>137</v>
      </c>
      <c r="C244" s="13" t="s">
        <v>130</v>
      </c>
      <c r="D244" s="13" t="s">
        <v>131</v>
      </c>
      <c r="E244" s="13" t="s">
        <v>132</v>
      </c>
      <c r="F244" s="13" t="s">
        <v>589</v>
      </c>
      <c r="G244" s="13" t="s">
        <v>138</v>
      </c>
      <c r="H244" s="13">
        <v>28</v>
      </c>
      <c r="I244" s="13">
        <v>1875</v>
      </c>
      <c r="K244" s="13" t="s">
        <v>831</v>
      </c>
      <c r="L244" s="13" t="s">
        <v>832</v>
      </c>
      <c r="N244" s="13" t="s">
        <v>86</v>
      </c>
      <c r="O244" s="13" t="s">
        <v>644</v>
      </c>
      <c r="P244" s="13" t="s">
        <v>85</v>
      </c>
      <c r="Q244" s="13" t="s">
        <v>48</v>
      </c>
      <c r="R244" s="4">
        <v>4</v>
      </c>
      <c r="S244" s="13" t="s">
        <v>596</v>
      </c>
      <c r="T244" s="13">
        <v>45</v>
      </c>
      <c r="U244" s="4" t="s">
        <v>134</v>
      </c>
      <c r="V244" s="4">
        <v>400</v>
      </c>
      <c r="W244" s="4" t="s">
        <v>42</v>
      </c>
      <c r="X244" s="4" t="s">
        <v>46</v>
      </c>
      <c r="Y244" s="4">
        <v>64</v>
      </c>
      <c r="AA244" s="4" t="s">
        <v>49</v>
      </c>
      <c r="AB244" s="4">
        <v>0</v>
      </c>
      <c r="AC244" s="4" t="s">
        <v>49</v>
      </c>
      <c r="AD244" s="4">
        <v>0</v>
      </c>
      <c r="AE244" s="4" t="s">
        <v>49</v>
      </c>
      <c r="AF244" s="4">
        <v>0</v>
      </c>
      <c r="AG244" s="4" t="s">
        <v>708</v>
      </c>
      <c r="AH244" s="4" t="s">
        <v>722</v>
      </c>
      <c r="AI244" s="4" t="s">
        <v>78</v>
      </c>
      <c r="AJ244" s="13">
        <v>0</v>
      </c>
      <c r="AK244" s="13">
        <v>20</v>
      </c>
      <c r="AL244" s="13" t="s">
        <v>493</v>
      </c>
      <c r="AM244" s="13">
        <v>1.6</v>
      </c>
      <c r="AN244" s="13" t="s">
        <v>494</v>
      </c>
      <c r="AO244" s="13" t="s">
        <v>495</v>
      </c>
      <c r="AP244" s="13" t="s">
        <v>50</v>
      </c>
      <c r="AQ244" s="13" t="s">
        <v>49</v>
      </c>
      <c r="AR244" s="13" t="s">
        <v>50</v>
      </c>
      <c r="AS244" s="13" t="s">
        <v>49</v>
      </c>
      <c r="AT244" s="13" t="s">
        <v>990</v>
      </c>
      <c r="AU244" s="13" t="s">
        <v>998</v>
      </c>
      <c r="AV244" s="14">
        <f>1525.71/1000</f>
        <v>1.5257100000000001</v>
      </c>
      <c r="AW244" s="14">
        <f t="shared" si="11"/>
        <v>0.16303999999999999</v>
      </c>
      <c r="AX244" s="14">
        <f>Table1347456[[#This Row],[treatment_mean]]/Table1347456[[#This Row],[control_mean]]</f>
        <v>9.3578876349362137</v>
      </c>
      <c r="AY244" s="14">
        <f>LN(Table1347456[[#This Row],[rr]])</f>
        <v>2.2362195849917486</v>
      </c>
      <c r="AZ244" s="13">
        <v>4</v>
      </c>
      <c r="BA244" s="13">
        <v>4</v>
      </c>
      <c r="BB244" s="14">
        <f>131.27/1000</f>
        <v>0.13127</v>
      </c>
      <c r="BC244" s="14">
        <f t="shared" si="12"/>
        <v>3.8590000000000006E-2</v>
      </c>
      <c r="BD244" s="15">
        <f>Table1347456[[#This Row],[treatment_se]]*SQRT(Table1347456[[#This Row],[treatment_n]])</f>
        <v>0.26254</v>
      </c>
      <c r="BE244" s="14">
        <f>Table1347456[[#This Row],[control_se]]*SQRT(Table1347456[[#This Row],[control_n]])</f>
        <v>7.7180000000000012E-2</v>
      </c>
      <c r="BF24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6.3424983333855378E-2</v>
      </c>
      <c r="BG244" s="17">
        <f>SQRT(Table1347456[[#This Row],[v_from_sd_and_n]])</f>
        <v>0.2518431721009235</v>
      </c>
      <c r="BH244" s="13" t="s">
        <v>50</v>
      </c>
      <c r="BI244" s="13">
        <v>2.5000000000000001E-2</v>
      </c>
      <c r="BJ244" s="18">
        <f>ABS(_xlfn.NORM.S.INV(Table1347456[[#This Row],[p_value]]/2))</f>
        <v>2.2414027276049446</v>
      </c>
      <c r="BK244" s="19">
        <f>(Table1347456[[#This Row],[lnrr]]/Table1347456[[#This Row],[z_from_p]])^2</f>
        <v>0.99538043774303309</v>
      </c>
      <c r="BL244" s="16">
        <f>Table1347456[[#This Row],[v_from_sd_and_n]]</f>
        <v>6.3424983333855378E-2</v>
      </c>
      <c r="BM244" s="20">
        <f>SQRT(Table1347456[[#This Row],[v]])</f>
        <v>0.2518431721009235</v>
      </c>
      <c r="BN244" s="20">
        <f>Table1347456[[#This Row],[lnrr]]-(1.96*Table1347456[[#This Row],[se]])</f>
        <v>1.7426069676739386</v>
      </c>
      <c r="BO244" s="20">
        <f>Table1347456[[#This Row],[lnrr]]+(1.96 * Table1347456[[#This Row],[se]])</f>
        <v>2.7298322023095585</v>
      </c>
    </row>
    <row r="245" spans="1:67">
      <c r="A245" s="13" t="s">
        <v>128</v>
      </c>
      <c r="B245" s="13" t="s">
        <v>137</v>
      </c>
      <c r="C245" s="13" t="s">
        <v>130</v>
      </c>
      <c r="D245" s="13" t="s">
        <v>131</v>
      </c>
      <c r="E245" s="13" t="s">
        <v>132</v>
      </c>
      <c r="F245" s="13" t="s">
        <v>589</v>
      </c>
      <c r="G245" s="13" t="s">
        <v>138</v>
      </c>
      <c r="H245" s="13">
        <v>28</v>
      </c>
      <c r="I245" s="13">
        <v>1875</v>
      </c>
      <c r="K245" s="13" t="s">
        <v>831</v>
      </c>
      <c r="L245" s="13" t="s">
        <v>832</v>
      </c>
      <c r="N245" s="13" t="s">
        <v>86</v>
      </c>
      <c r="O245" s="13" t="s">
        <v>644</v>
      </c>
      <c r="P245" s="13" t="s">
        <v>85</v>
      </c>
      <c r="Q245" s="13" t="s">
        <v>48</v>
      </c>
      <c r="R245" s="4">
        <v>4</v>
      </c>
      <c r="S245" s="13" t="s">
        <v>596</v>
      </c>
      <c r="T245" s="13">
        <v>45</v>
      </c>
      <c r="U245" s="4" t="s">
        <v>135</v>
      </c>
      <c r="V245" s="4">
        <v>400</v>
      </c>
      <c r="W245" s="4" t="s">
        <v>42</v>
      </c>
      <c r="X245" s="4" t="s">
        <v>46</v>
      </c>
      <c r="Y245" s="4">
        <v>16</v>
      </c>
      <c r="AA245" s="4" t="s">
        <v>49</v>
      </c>
      <c r="AB245" s="4">
        <v>0</v>
      </c>
      <c r="AC245" s="4" t="s">
        <v>49</v>
      </c>
      <c r="AD245" s="4">
        <v>0</v>
      </c>
      <c r="AE245" s="4" t="s">
        <v>49</v>
      </c>
      <c r="AF245" s="4">
        <v>0</v>
      </c>
      <c r="AG245" s="4" t="s">
        <v>750</v>
      </c>
      <c r="AH245" s="4" t="s">
        <v>722</v>
      </c>
      <c r="AI245" s="4" t="s">
        <v>78</v>
      </c>
      <c r="AJ245" s="13">
        <v>0</v>
      </c>
      <c r="AK245" s="13">
        <v>20</v>
      </c>
      <c r="AL245" s="13" t="s">
        <v>493</v>
      </c>
      <c r="AM245" s="13">
        <v>1.6</v>
      </c>
      <c r="AN245" s="13" t="s">
        <v>494</v>
      </c>
      <c r="AO245" s="13" t="s">
        <v>495</v>
      </c>
      <c r="AP245" s="13" t="s">
        <v>50</v>
      </c>
      <c r="AQ245" s="13" t="s">
        <v>49</v>
      </c>
      <c r="AR245" s="13" t="s">
        <v>50</v>
      </c>
      <c r="AS245" s="13" t="s">
        <v>49</v>
      </c>
      <c r="AT245" s="13" t="s">
        <v>990</v>
      </c>
      <c r="AU245" s="13" t="s">
        <v>998</v>
      </c>
      <c r="AV245" s="14">
        <f>182.58/1000</f>
        <v>0.18258000000000002</v>
      </c>
      <c r="AW245" s="14">
        <f t="shared" si="11"/>
        <v>0.16303999999999999</v>
      </c>
      <c r="AX245" s="14">
        <f>Table1347456[[#This Row],[treatment_mean]]/Table1347456[[#This Row],[control_mean]]</f>
        <v>1.119847890088322</v>
      </c>
      <c r="AY245" s="14">
        <f>LN(Table1347456[[#This Row],[rr]])</f>
        <v>0.1131928636625201</v>
      </c>
      <c r="AZ245" s="13">
        <v>4</v>
      </c>
      <c r="BA245" s="13">
        <v>4</v>
      </c>
      <c r="BB245" s="14">
        <v>0</v>
      </c>
      <c r="BC245" s="14">
        <f t="shared" si="12"/>
        <v>3.8590000000000006E-2</v>
      </c>
      <c r="BD245" s="15">
        <f>Table1347456[[#This Row],[treatment_se]]*SQRT(Table1347456[[#This Row],[treatment_n]])</f>
        <v>0</v>
      </c>
      <c r="BE245" s="14">
        <f>Table1347456[[#This Row],[control_se]]*SQRT(Table1347456[[#This Row],[control_n]])</f>
        <v>7.7180000000000012E-2</v>
      </c>
      <c r="BF24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5.6022337276005189E-2</v>
      </c>
      <c r="BG245" s="17">
        <f>SQRT(Table1347456[[#This Row],[v_from_sd_and_n]])</f>
        <v>0.23669038272816492</v>
      </c>
      <c r="BH245" s="13" t="s">
        <v>50</v>
      </c>
      <c r="BI245" s="13">
        <v>2.5000000000000001E-2</v>
      </c>
      <c r="BJ245" s="18">
        <f>ABS(_xlfn.NORM.S.INV(Table1347456[[#This Row],[p_value]]/2))</f>
        <v>2.2414027276049446</v>
      </c>
      <c r="BK245" s="19">
        <f>(Table1347456[[#This Row],[lnrr]]/Table1347456[[#This Row],[z_from_p]])^2</f>
        <v>2.5503412908662684E-3</v>
      </c>
      <c r="BL245" s="16">
        <f>Table1347456[[#This Row],[v_from_sd_and_n]]</f>
        <v>5.6022337276005189E-2</v>
      </c>
      <c r="BM245" s="20">
        <f>SQRT(Table1347456[[#This Row],[v]])</f>
        <v>0.23669038272816492</v>
      </c>
      <c r="BN245" s="20">
        <f>Table1347456[[#This Row],[lnrr]]-(1.96*Table1347456[[#This Row],[se]])</f>
        <v>-0.35072028648468312</v>
      </c>
      <c r="BO245" s="20">
        <f>Table1347456[[#This Row],[lnrr]]+(1.96 * Table1347456[[#This Row],[se]])</f>
        <v>0.57710601380972337</v>
      </c>
    </row>
    <row r="246" spans="1:67">
      <c r="A246" s="13" t="s">
        <v>128</v>
      </c>
      <c r="B246" s="13" t="s">
        <v>137</v>
      </c>
      <c r="C246" s="13" t="s">
        <v>130</v>
      </c>
      <c r="D246" s="13" t="s">
        <v>131</v>
      </c>
      <c r="E246" s="13" t="s">
        <v>132</v>
      </c>
      <c r="F246" s="13" t="s">
        <v>589</v>
      </c>
      <c r="G246" s="13" t="s">
        <v>138</v>
      </c>
      <c r="H246" s="13">
        <v>28</v>
      </c>
      <c r="I246" s="13">
        <v>1875</v>
      </c>
      <c r="K246" s="13" t="s">
        <v>831</v>
      </c>
      <c r="L246" s="13" t="s">
        <v>832</v>
      </c>
      <c r="N246" s="13" t="s">
        <v>86</v>
      </c>
      <c r="O246" s="13" t="s">
        <v>644</v>
      </c>
      <c r="P246" s="13" t="s">
        <v>85</v>
      </c>
      <c r="Q246" s="13" t="s">
        <v>48</v>
      </c>
      <c r="R246" s="4">
        <v>4</v>
      </c>
      <c r="S246" s="13" t="s">
        <v>596</v>
      </c>
      <c r="T246" s="13">
        <v>45</v>
      </c>
      <c r="U246" s="4" t="s">
        <v>135</v>
      </c>
      <c r="V246" s="4">
        <v>400</v>
      </c>
      <c r="W246" s="4" t="s">
        <v>42</v>
      </c>
      <c r="X246" s="4" t="s">
        <v>46</v>
      </c>
      <c r="Y246" s="4">
        <v>32</v>
      </c>
      <c r="AA246" s="4" t="s">
        <v>49</v>
      </c>
      <c r="AB246" s="4">
        <v>0</v>
      </c>
      <c r="AC246" s="4" t="s">
        <v>49</v>
      </c>
      <c r="AD246" s="4">
        <v>0</v>
      </c>
      <c r="AE246" s="4" t="s">
        <v>49</v>
      </c>
      <c r="AF246" s="4">
        <v>0</v>
      </c>
      <c r="AG246" s="4" t="s">
        <v>750</v>
      </c>
      <c r="AH246" s="4" t="s">
        <v>722</v>
      </c>
      <c r="AI246" s="4" t="s">
        <v>78</v>
      </c>
      <c r="AJ246" s="13">
        <v>0</v>
      </c>
      <c r="AK246" s="13">
        <v>20</v>
      </c>
      <c r="AL246" s="13" t="s">
        <v>493</v>
      </c>
      <c r="AM246" s="13">
        <v>1.6</v>
      </c>
      <c r="AN246" s="13" t="s">
        <v>494</v>
      </c>
      <c r="AO246" s="13" t="s">
        <v>495</v>
      </c>
      <c r="AP246" s="13" t="s">
        <v>50</v>
      </c>
      <c r="AQ246" s="13" t="s">
        <v>49</v>
      </c>
      <c r="AR246" s="13" t="s">
        <v>50</v>
      </c>
      <c r="AS246" s="13" t="s">
        <v>49</v>
      </c>
      <c r="AT246" s="13" t="s">
        <v>990</v>
      </c>
      <c r="AU246" s="13" t="s">
        <v>998</v>
      </c>
      <c r="AV246" s="14">
        <f>182.9/1000</f>
        <v>0.18290000000000001</v>
      </c>
      <c r="AW246" s="14">
        <f t="shared" si="11"/>
        <v>0.16303999999999999</v>
      </c>
      <c r="AX246" s="14">
        <f>Table1347456[[#This Row],[treatment_mean]]/Table1347456[[#This Row],[control_mean]]</f>
        <v>1.1218105986261042</v>
      </c>
      <c r="AY246" s="14">
        <f>LN(Table1347456[[#This Row],[rr]])</f>
        <v>0.1149439859224055</v>
      </c>
      <c r="AZ246" s="13">
        <v>4</v>
      </c>
      <c r="BA246" s="13">
        <v>4</v>
      </c>
      <c r="BB246" s="14">
        <v>0</v>
      </c>
      <c r="BC246" s="14">
        <f t="shared" si="12"/>
        <v>3.8590000000000006E-2</v>
      </c>
      <c r="BD246" s="15">
        <f>Table1347456[[#This Row],[treatment_se]]*SQRT(Table1347456[[#This Row],[treatment_n]])</f>
        <v>0</v>
      </c>
      <c r="BE246" s="14">
        <f>Table1347456[[#This Row],[control_se]]*SQRT(Table1347456[[#This Row],[control_n]])</f>
        <v>7.7180000000000012E-2</v>
      </c>
      <c r="BF24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5.6022337276005189E-2</v>
      </c>
      <c r="BG246" s="17">
        <f>SQRT(Table1347456[[#This Row],[v_from_sd_and_n]])</f>
        <v>0.23669038272816492</v>
      </c>
      <c r="BH246" s="13" t="s">
        <v>50</v>
      </c>
      <c r="BI246" s="13">
        <v>2.5000000000000001E-2</v>
      </c>
      <c r="BJ246" s="18">
        <f>ABS(_xlfn.NORM.S.INV(Table1347456[[#This Row],[p_value]]/2))</f>
        <v>2.2414027276049446</v>
      </c>
      <c r="BK246" s="19">
        <f>(Table1347456[[#This Row],[lnrr]]/Table1347456[[#This Row],[z_from_p]])^2</f>
        <v>2.6298605117867193E-3</v>
      </c>
      <c r="BL246" s="16">
        <f>Table1347456[[#This Row],[v_from_sd_and_n]]</f>
        <v>5.6022337276005189E-2</v>
      </c>
      <c r="BM246" s="20">
        <f>SQRT(Table1347456[[#This Row],[v]])</f>
        <v>0.23669038272816492</v>
      </c>
      <c r="BN246" s="20">
        <f>Table1347456[[#This Row],[lnrr]]-(1.96*Table1347456[[#This Row],[se]])</f>
        <v>-0.34896916422479773</v>
      </c>
      <c r="BO246" s="20">
        <f>Table1347456[[#This Row],[lnrr]]+(1.96 * Table1347456[[#This Row],[se]])</f>
        <v>0.57885713606960876</v>
      </c>
    </row>
    <row r="247" spans="1:67">
      <c r="A247" s="13" t="s">
        <v>128</v>
      </c>
      <c r="B247" s="13" t="s">
        <v>137</v>
      </c>
      <c r="C247" s="13" t="s">
        <v>130</v>
      </c>
      <c r="D247" s="13" t="s">
        <v>131</v>
      </c>
      <c r="E247" s="13" t="s">
        <v>132</v>
      </c>
      <c r="F247" s="13" t="s">
        <v>589</v>
      </c>
      <c r="G247" s="13" t="s">
        <v>138</v>
      </c>
      <c r="H247" s="13">
        <v>28</v>
      </c>
      <c r="I247" s="13">
        <v>1875</v>
      </c>
      <c r="K247" s="13" t="s">
        <v>831</v>
      </c>
      <c r="L247" s="13" t="s">
        <v>832</v>
      </c>
      <c r="N247" s="13" t="s">
        <v>86</v>
      </c>
      <c r="O247" s="13" t="s">
        <v>644</v>
      </c>
      <c r="P247" s="13" t="s">
        <v>85</v>
      </c>
      <c r="Q247" s="13" t="s">
        <v>48</v>
      </c>
      <c r="R247" s="4">
        <v>4</v>
      </c>
      <c r="S247" s="13" t="s">
        <v>596</v>
      </c>
      <c r="T247" s="13">
        <v>45</v>
      </c>
      <c r="U247" s="4" t="s">
        <v>135</v>
      </c>
      <c r="V247" s="4">
        <v>400</v>
      </c>
      <c r="W247" s="4" t="s">
        <v>42</v>
      </c>
      <c r="X247" s="4" t="s">
        <v>46</v>
      </c>
      <c r="Y247" s="4">
        <v>48</v>
      </c>
      <c r="AA247" s="4" t="s">
        <v>49</v>
      </c>
      <c r="AB247" s="4">
        <v>0</v>
      </c>
      <c r="AC247" s="4" t="s">
        <v>49</v>
      </c>
      <c r="AD247" s="4">
        <v>0</v>
      </c>
      <c r="AE247" s="4" t="s">
        <v>49</v>
      </c>
      <c r="AF247" s="4">
        <v>0</v>
      </c>
      <c r="AG247" s="4" t="s">
        <v>750</v>
      </c>
      <c r="AH247" s="4" t="s">
        <v>722</v>
      </c>
      <c r="AI247" s="4" t="s">
        <v>78</v>
      </c>
      <c r="AJ247" s="13">
        <v>0</v>
      </c>
      <c r="AK247" s="13">
        <v>20</v>
      </c>
      <c r="AL247" s="13" t="s">
        <v>493</v>
      </c>
      <c r="AM247" s="13">
        <v>1.6</v>
      </c>
      <c r="AN247" s="13" t="s">
        <v>494</v>
      </c>
      <c r="AO247" s="13" t="s">
        <v>495</v>
      </c>
      <c r="AP247" s="13" t="s">
        <v>50</v>
      </c>
      <c r="AQ247" s="13" t="s">
        <v>49</v>
      </c>
      <c r="AR247" s="13" t="s">
        <v>50</v>
      </c>
      <c r="AS247" s="13" t="s">
        <v>49</v>
      </c>
      <c r="AT247" s="13" t="s">
        <v>990</v>
      </c>
      <c r="AU247" s="13" t="s">
        <v>998</v>
      </c>
      <c r="AV247" s="14">
        <f>190.97/1000</f>
        <v>0.19097</v>
      </c>
      <c r="AW247" s="14">
        <f t="shared" si="11"/>
        <v>0.16303999999999999</v>
      </c>
      <c r="AX247" s="14">
        <f>Table1347456[[#This Row],[treatment_mean]]/Table1347456[[#This Row],[control_mean]]</f>
        <v>1.1713076545632974</v>
      </c>
      <c r="AY247" s="14">
        <f>LN(Table1347456[[#This Row],[rr]])</f>
        <v>0.15812077817290807</v>
      </c>
      <c r="AZ247" s="13">
        <v>4</v>
      </c>
      <c r="BA247" s="13">
        <v>4</v>
      </c>
      <c r="BB247" s="14">
        <v>0</v>
      </c>
      <c r="BC247" s="14">
        <f t="shared" si="12"/>
        <v>3.8590000000000006E-2</v>
      </c>
      <c r="BD247" s="15">
        <f>Table1347456[[#This Row],[treatment_se]]*SQRT(Table1347456[[#This Row],[treatment_n]])</f>
        <v>0</v>
      </c>
      <c r="BE247" s="14">
        <f>Table1347456[[#This Row],[control_se]]*SQRT(Table1347456[[#This Row],[control_n]])</f>
        <v>7.7180000000000012E-2</v>
      </c>
      <c r="BF24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5.6022337276005189E-2</v>
      </c>
      <c r="BG247" s="17">
        <f>SQRT(Table1347456[[#This Row],[v_from_sd_and_n]])</f>
        <v>0.23669038272816492</v>
      </c>
      <c r="BH247" s="13" t="s">
        <v>50</v>
      </c>
      <c r="BI247" s="13">
        <v>2.5000000000000001E-2</v>
      </c>
      <c r="BJ247" s="18">
        <f>ABS(_xlfn.NORM.S.INV(Table1347456[[#This Row],[p_value]]/2))</f>
        <v>2.2414027276049446</v>
      </c>
      <c r="BK247" s="19">
        <f>(Table1347456[[#This Row],[lnrr]]/Table1347456[[#This Row],[z_from_p]])^2</f>
        <v>4.9766614046981234E-3</v>
      </c>
      <c r="BL247" s="16">
        <f>Table1347456[[#This Row],[v_from_sd_and_n]]</f>
        <v>5.6022337276005189E-2</v>
      </c>
      <c r="BM247" s="20">
        <f>SQRT(Table1347456[[#This Row],[v]])</f>
        <v>0.23669038272816492</v>
      </c>
      <c r="BN247" s="20">
        <f>Table1347456[[#This Row],[lnrr]]-(1.96*Table1347456[[#This Row],[se]])</f>
        <v>-0.30579237197429521</v>
      </c>
      <c r="BO247" s="20">
        <f>Table1347456[[#This Row],[lnrr]]+(1.96 * Table1347456[[#This Row],[se]])</f>
        <v>0.62203392832011128</v>
      </c>
    </row>
    <row r="248" spans="1:67">
      <c r="A248" s="13" t="s">
        <v>128</v>
      </c>
      <c r="B248" s="13" t="s">
        <v>137</v>
      </c>
      <c r="C248" s="13" t="s">
        <v>130</v>
      </c>
      <c r="D248" s="13" t="s">
        <v>131</v>
      </c>
      <c r="E248" s="13" t="s">
        <v>132</v>
      </c>
      <c r="F248" s="13" t="s">
        <v>589</v>
      </c>
      <c r="G248" s="13" t="s">
        <v>138</v>
      </c>
      <c r="H248" s="13">
        <v>28</v>
      </c>
      <c r="I248" s="13">
        <v>1875</v>
      </c>
      <c r="K248" s="13" t="s">
        <v>831</v>
      </c>
      <c r="L248" s="13" t="s">
        <v>832</v>
      </c>
      <c r="N248" s="13" t="s">
        <v>86</v>
      </c>
      <c r="O248" s="13" t="s">
        <v>644</v>
      </c>
      <c r="P248" s="13" t="s">
        <v>85</v>
      </c>
      <c r="Q248" s="13" t="s">
        <v>48</v>
      </c>
      <c r="R248" s="4">
        <v>4</v>
      </c>
      <c r="S248" s="13" t="s">
        <v>596</v>
      </c>
      <c r="T248" s="13">
        <v>45</v>
      </c>
      <c r="U248" s="4" t="s">
        <v>135</v>
      </c>
      <c r="V248" s="4">
        <v>400</v>
      </c>
      <c r="W248" s="4" t="s">
        <v>42</v>
      </c>
      <c r="X248" s="4" t="s">
        <v>46</v>
      </c>
      <c r="Y248" s="4">
        <v>64</v>
      </c>
      <c r="AA248" s="4" t="s">
        <v>49</v>
      </c>
      <c r="AB248" s="4">
        <v>0</v>
      </c>
      <c r="AC248" s="4" t="s">
        <v>49</v>
      </c>
      <c r="AD248" s="4">
        <v>0</v>
      </c>
      <c r="AE248" s="4" t="s">
        <v>49</v>
      </c>
      <c r="AF248" s="4">
        <v>0</v>
      </c>
      <c r="AG248" s="4" t="s">
        <v>750</v>
      </c>
      <c r="AH248" s="4" t="s">
        <v>722</v>
      </c>
      <c r="AI248" s="4" t="s">
        <v>78</v>
      </c>
      <c r="AJ248" s="13">
        <v>0</v>
      </c>
      <c r="AK248" s="13">
        <v>20</v>
      </c>
      <c r="AL248" s="13" t="s">
        <v>493</v>
      </c>
      <c r="AM248" s="13">
        <v>1.6</v>
      </c>
      <c r="AN248" s="13" t="s">
        <v>494</v>
      </c>
      <c r="AO248" s="13" t="s">
        <v>495</v>
      </c>
      <c r="AP248" s="13" t="s">
        <v>50</v>
      </c>
      <c r="AQ248" s="13" t="s">
        <v>49</v>
      </c>
      <c r="AR248" s="13" t="s">
        <v>50</v>
      </c>
      <c r="AS248" s="13" t="s">
        <v>49</v>
      </c>
      <c r="AT248" s="13" t="s">
        <v>990</v>
      </c>
      <c r="AU248" s="13" t="s">
        <v>998</v>
      </c>
      <c r="AV248" s="14">
        <f>206.78/1000</f>
        <v>0.20677999999999999</v>
      </c>
      <c r="AW248" s="14">
        <f t="shared" si="11"/>
        <v>0.16303999999999999</v>
      </c>
      <c r="AX248" s="14">
        <f>Table1347456[[#This Row],[treatment_mean]]/Table1347456[[#This Row],[control_mean]]</f>
        <v>1.2682777232580962</v>
      </c>
      <c r="AY248" s="14">
        <f>LN(Table1347456[[#This Row],[rr]])</f>
        <v>0.23765985668413236</v>
      </c>
      <c r="AZ248" s="13">
        <v>4</v>
      </c>
      <c r="BA248" s="13">
        <v>4</v>
      </c>
      <c r="BB248" s="14">
        <v>0</v>
      </c>
      <c r="BC248" s="14">
        <f t="shared" si="12"/>
        <v>3.8590000000000006E-2</v>
      </c>
      <c r="BD248" s="15">
        <f>Table1347456[[#This Row],[treatment_se]]*SQRT(Table1347456[[#This Row],[treatment_n]])</f>
        <v>0</v>
      </c>
      <c r="BE248" s="14">
        <f>Table1347456[[#This Row],[control_se]]*SQRT(Table1347456[[#This Row],[control_n]])</f>
        <v>7.7180000000000012E-2</v>
      </c>
      <c r="BF24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5.6022337276005189E-2</v>
      </c>
      <c r="BG248" s="17">
        <f>SQRT(Table1347456[[#This Row],[v_from_sd_and_n]])</f>
        <v>0.23669038272816492</v>
      </c>
      <c r="BH248" s="13" t="s">
        <v>50</v>
      </c>
      <c r="BI248" s="13">
        <v>2.5000000000000001E-2</v>
      </c>
      <c r="BJ248" s="18">
        <f>ABS(_xlfn.NORM.S.INV(Table1347456[[#This Row],[p_value]]/2))</f>
        <v>2.2414027276049446</v>
      </c>
      <c r="BK248" s="19">
        <f>(Table1347456[[#This Row],[lnrr]]/Table1347456[[#This Row],[z_from_p]])^2</f>
        <v>1.124273229392371E-2</v>
      </c>
      <c r="BL248" s="16">
        <f>Table1347456[[#This Row],[v_from_sd_and_n]]</f>
        <v>5.6022337276005189E-2</v>
      </c>
      <c r="BM248" s="20">
        <f>SQRT(Table1347456[[#This Row],[v]])</f>
        <v>0.23669038272816492</v>
      </c>
      <c r="BN248" s="20">
        <f>Table1347456[[#This Row],[lnrr]]-(1.96*Table1347456[[#This Row],[se]])</f>
        <v>-0.22625329346307088</v>
      </c>
      <c r="BO248" s="20">
        <f>Table1347456[[#This Row],[lnrr]]+(1.96 * Table1347456[[#This Row],[se]])</f>
        <v>0.70157300683133561</v>
      </c>
    </row>
    <row r="249" spans="1:67">
      <c r="A249" s="13" t="s">
        <v>128</v>
      </c>
      <c r="B249" s="13" t="s">
        <v>137</v>
      </c>
      <c r="C249" s="13" t="s">
        <v>130</v>
      </c>
      <c r="D249" s="13" t="s">
        <v>131</v>
      </c>
      <c r="E249" s="13" t="s">
        <v>132</v>
      </c>
      <c r="F249" s="13" t="s">
        <v>589</v>
      </c>
      <c r="G249" s="13" t="s">
        <v>138</v>
      </c>
      <c r="H249" s="13">
        <v>28</v>
      </c>
      <c r="I249" s="13">
        <v>1875</v>
      </c>
      <c r="K249" s="13" t="s">
        <v>831</v>
      </c>
      <c r="L249" s="13" t="s">
        <v>832</v>
      </c>
      <c r="N249" s="13" t="s">
        <v>86</v>
      </c>
      <c r="O249" s="13" t="s">
        <v>644</v>
      </c>
      <c r="P249" s="13" t="s">
        <v>85</v>
      </c>
      <c r="Q249" s="13" t="s">
        <v>48</v>
      </c>
      <c r="R249" s="4">
        <v>4</v>
      </c>
      <c r="S249" s="13" t="s">
        <v>596</v>
      </c>
      <c r="T249" s="13">
        <v>45</v>
      </c>
      <c r="U249" s="4" t="s">
        <v>136</v>
      </c>
      <c r="V249" s="4">
        <v>400</v>
      </c>
      <c r="W249" s="4" t="s">
        <v>42</v>
      </c>
      <c r="X249" s="4" t="s">
        <v>46</v>
      </c>
      <c r="Y249" s="4">
        <v>16</v>
      </c>
      <c r="AA249" s="4" t="s">
        <v>49</v>
      </c>
      <c r="AB249" s="4">
        <v>0</v>
      </c>
      <c r="AC249" s="4" t="s">
        <v>49</v>
      </c>
      <c r="AD249" s="4">
        <v>0</v>
      </c>
      <c r="AE249" s="4" t="s">
        <v>49</v>
      </c>
      <c r="AF249" s="4">
        <v>0</v>
      </c>
      <c r="AG249" s="4" t="s">
        <v>776</v>
      </c>
      <c r="AH249" s="4" t="s">
        <v>722</v>
      </c>
      <c r="AI249" s="4" t="s">
        <v>78</v>
      </c>
      <c r="AJ249" s="13">
        <v>0</v>
      </c>
      <c r="AK249" s="13">
        <v>20</v>
      </c>
      <c r="AL249" s="13" t="s">
        <v>493</v>
      </c>
      <c r="AM249" s="13">
        <v>1.6</v>
      </c>
      <c r="AN249" s="13" t="s">
        <v>494</v>
      </c>
      <c r="AO249" s="13" t="s">
        <v>495</v>
      </c>
      <c r="AP249" s="13" t="s">
        <v>50</v>
      </c>
      <c r="AQ249" s="13" t="s">
        <v>49</v>
      </c>
      <c r="AR249" s="13" t="s">
        <v>50</v>
      </c>
      <c r="AS249" s="13" t="s">
        <v>49</v>
      </c>
      <c r="AT249" s="13" t="s">
        <v>990</v>
      </c>
      <c r="AU249" s="13" t="s">
        <v>998</v>
      </c>
      <c r="AV249" s="14">
        <f>160.93/1000</f>
        <v>0.16093000000000002</v>
      </c>
      <c r="AW249" s="14">
        <f t="shared" si="11"/>
        <v>0.16303999999999999</v>
      </c>
      <c r="AX249" s="14">
        <f>Table1347456[[#This Row],[treatment_mean]]/Table1347456[[#This Row],[control_mean]]</f>
        <v>0.98705839057899913</v>
      </c>
      <c r="AY249" s="14">
        <f>LN(Table1347456[[#This Row],[rr]])</f>
        <v>-1.3026081644011081E-2</v>
      </c>
      <c r="AZ249" s="13">
        <v>4</v>
      </c>
      <c r="BA249" s="13">
        <v>4</v>
      </c>
      <c r="BB249" s="14">
        <v>0</v>
      </c>
      <c r="BC249" s="14">
        <f t="shared" si="12"/>
        <v>3.8590000000000006E-2</v>
      </c>
      <c r="BD249" s="15">
        <f>Table1347456[[#This Row],[treatment_se]]*SQRT(Table1347456[[#This Row],[treatment_n]])</f>
        <v>0</v>
      </c>
      <c r="BE249" s="14">
        <f>Table1347456[[#This Row],[control_se]]*SQRT(Table1347456[[#This Row],[control_n]])</f>
        <v>7.7180000000000012E-2</v>
      </c>
      <c r="BF24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5.6022337276005189E-2</v>
      </c>
      <c r="BG249" s="17">
        <f>SQRT(Table1347456[[#This Row],[v_from_sd_and_n]])</f>
        <v>0.23669038272816492</v>
      </c>
      <c r="BH249" s="13" t="s">
        <v>50</v>
      </c>
      <c r="BI249" s="13">
        <v>2.5000000000000001E-2</v>
      </c>
      <c r="BJ249" s="18">
        <f>ABS(_xlfn.NORM.S.INV(Table1347456[[#This Row],[p_value]]/2))</f>
        <v>2.2414027276049446</v>
      </c>
      <c r="BK249" s="19">
        <f>(Table1347456[[#This Row],[lnrr]]/Table1347456[[#This Row],[z_from_p]])^2</f>
        <v>3.3774412211979386E-5</v>
      </c>
      <c r="BL249" s="16">
        <f>Table1347456[[#This Row],[v_from_sd_and_n]]</f>
        <v>5.6022337276005189E-2</v>
      </c>
      <c r="BM249" s="20">
        <f>SQRT(Table1347456[[#This Row],[v]])</f>
        <v>0.23669038272816492</v>
      </c>
      <c r="BN249" s="20">
        <f>Table1347456[[#This Row],[lnrr]]-(1.96*Table1347456[[#This Row],[se]])</f>
        <v>-0.47693923179121434</v>
      </c>
      <c r="BO249" s="20">
        <f>Table1347456[[#This Row],[lnrr]]+(1.96 * Table1347456[[#This Row],[se]])</f>
        <v>0.45088706850319216</v>
      </c>
    </row>
    <row r="250" spans="1:67">
      <c r="A250" s="13" t="s">
        <v>128</v>
      </c>
      <c r="B250" s="13" t="s">
        <v>137</v>
      </c>
      <c r="C250" s="13" t="s">
        <v>130</v>
      </c>
      <c r="D250" s="13" t="s">
        <v>131</v>
      </c>
      <c r="E250" s="13" t="s">
        <v>132</v>
      </c>
      <c r="F250" s="13" t="s">
        <v>589</v>
      </c>
      <c r="G250" s="13" t="s">
        <v>138</v>
      </c>
      <c r="H250" s="13">
        <v>28</v>
      </c>
      <c r="I250" s="13">
        <v>1875</v>
      </c>
      <c r="K250" s="13" t="s">
        <v>831</v>
      </c>
      <c r="L250" s="13" t="s">
        <v>832</v>
      </c>
      <c r="N250" s="13" t="s">
        <v>86</v>
      </c>
      <c r="O250" s="13" t="s">
        <v>644</v>
      </c>
      <c r="P250" s="13" t="s">
        <v>85</v>
      </c>
      <c r="Q250" s="13" t="s">
        <v>48</v>
      </c>
      <c r="R250" s="4">
        <v>4</v>
      </c>
      <c r="S250" s="13" t="s">
        <v>596</v>
      </c>
      <c r="T250" s="13">
        <v>45</v>
      </c>
      <c r="U250" s="4" t="s">
        <v>136</v>
      </c>
      <c r="V250" s="4">
        <v>400</v>
      </c>
      <c r="W250" s="4" t="s">
        <v>42</v>
      </c>
      <c r="X250" s="4" t="s">
        <v>46</v>
      </c>
      <c r="Y250" s="4">
        <v>32</v>
      </c>
      <c r="AA250" s="4" t="s">
        <v>49</v>
      </c>
      <c r="AB250" s="4">
        <v>0</v>
      </c>
      <c r="AC250" s="4" t="s">
        <v>49</v>
      </c>
      <c r="AD250" s="4">
        <v>0</v>
      </c>
      <c r="AE250" s="4" t="s">
        <v>49</v>
      </c>
      <c r="AF250" s="4">
        <v>0</v>
      </c>
      <c r="AG250" s="4" t="s">
        <v>776</v>
      </c>
      <c r="AH250" s="4" t="s">
        <v>722</v>
      </c>
      <c r="AI250" s="4" t="s">
        <v>78</v>
      </c>
      <c r="AJ250" s="13">
        <v>0</v>
      </c>
      <c r="AK250" s="13">
        <v>20</v>
      </c>
      <c r="AL250" s="13" t="s">
        <v>493</v>
      </c>
      <c r="AM250" s="13">
        <v>1.6</v>
      </c>
      <c r="AN250" s="13" t="s">
        <v>494</v>
      </c>
      <c r="AO250" s="13" t="s">
        <v>495</v>
      </c>
      <c r="AP250" s="13" t="s">
        <v>50</v>
      </c>
      <c r="AQ250" s="13" t="s">
        <v>49</v>
      </c>
      <c r="AR250" s="13" t="s">
        <v>50</v>
      </c>
      <c r="AS250" s="13" t="s">
        <v>49</v>
      </c>
      <c r="AT250" s="13" t="s">
        <v>990</v>
      </c>
      <c r="AU250" s="13" t="s">
        <v>998</v>
      </c>
      <c r="AV250" s="14">
        <f>235.94/1000</f>
        <v>0.23594000000000001</v>
      </c>
      <c r="AW250" s="14">
        <f t="shared" si="11"/>
        <v>0.16303999999999999</v>
      </c>
      <c r="AX250" s="14">
        <f>Table1347456[[#This Row],[treatment_mean]]/Table1347456[[#This Row],[control_mean]]</f>
        <v>1.4471295387634937</v>
      </c>
      <c r="AY250" s="14">
        <f>LN(Table1347456[[#This Row],[rr]])</f>
        <v>0.36958196593928178</v>
      </c>
      <c r="AZ250" s="13">
        <v>4</v>
      </c>
      <c r="BA250" s="13">
        <v>4</v>
      </c>
      <c r="BB250" s="14">
        <f>46.31/1000</f>
        <v>4.6310000000000004E-2</v>
      </c>
      <c r="BC250" s="14">
        <f t="shared" si="12"/>
        <v>3.8590000000000006E-2</v>
      </c>
      <c r="BD250" s="15">
        <f>Table1347456[[#This Row],[treatment_se]]*SQRT(Table1347456[[#This Row],[treatment_n]])</f>
        <v>9.2620000000000008E-2</v>
      </c>
      <c r="BE250" s="14">
        <f>Table1347456[[#This Row],[control_se]]*SQRT(Table1347456[[#This Row],[control_n]])</f>
        <v>7.7180000000000012E-2</v>
      </c>
      <c r="BF25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9.4547671209605402E-2</v>
      </c>
      <c r="BG250" s="17">
        <f>SQRT(Table1347456[[#This Row],[v_from_sd_and_n]])</f>
        <v>0.30748605043091859</v>
      </c>
      <c r="BH250" s="13" t="s">
        <v>50</v>
      </c>
      <c r="BI250" s="13">
        <v>2.5000000000000001E-2</v>
      </c>
      <c r="BJ250" s="18">
        <f>ABS(_xlfn.NORM.S.INV(Table1347456[[#This Row],[p_value]]/2))</f>
        <v>2.2414027276049446</v>
      </c>
      <c r="BK250" s="19">
        <f>(Table1347456[[#This Row],[lnrr]]/Table1347456[[#This Row],[z_from_p]])^2</f>
        <v>2.7188281034795512E-2</v>
      </c>
      <c r="BL250" s="16">
        <f>Table1347456[[#This Row],[v_from_sd_and_n]]</f>
        <v>9.4547671209605402E-2</v>
      </c>
      <c r="BM250" s="20">
        <f>SQRT(Table1347456[[#This Row],[v]])</f>
        <v>0.30748605043091859</v>
      </c>
      <c r="BN250" s="20">
        <f>Table1347456[[#This Row],[lnrr]]-(1.96*Table1347456[[#This Row],[se]])</f>
        <v>-0.23309069290531864</v>
      </c>
      <c r="BO250" s="20">
        <f>Table1347456[[#This Row],[lnrr]]+(1.96 * Table1347456[[#This Row],[se]])</f>
        <v>0.97225462478388214</v>
      </c>
    </row>
    <row r="251" spans="1:67">
      <c r="A251" s="13" t="s">
        <v>128</v>
      </c>
      <c r="B251" s="13" t="s">
        <v>137</v>
      </c>
      <c r="C251" s="13" t="s">
        <v>130</v>
      </c>
      <c r="D251" s="13" t="s">
        <v>131</v>
      </c>
      <c r="E251" s="13" t="s">
        <v>132</v>
      </c>
      <c r="F251" s="13" t="s">
        <v>589</v>
      </c>
      <c r="G251" s="13" t="s">
        <v>138</v>
      </c>
      <c r="H251" s="13">
        <v>28</v>
      </c>
      <c r="I251" s="13">
        <v>1875</v>
      </c>
      <c r="K251" s="13" t="s">
        <v>831</v>
      </c>
      <c r="L251" s="13" t="s">
        <v>832</v>
      </c>
      <c r="N251" s="13" t="s">
        <v>86</v>
      </c>
      <c r="O251" s="13" t="s">
        <v>644</v>
      </c>
      <c r="P251" s="13" t="s">
        <v>85</v>
      </c>
      <c r="Q251" s="13" t="s">
        <v>48</v>
      </c>
      <c r="R251" s="4">
        <v>4</v>
      </c>
      <c r="S251" s="13" t="s">
        <v>596</v>
      </c>
      <c r="T251" s="13">
        <v>45</v>
      </c>
      <c r="U251" s="4" t="s">
        <v>136</v>
      </c>
      <c r="V251" s="4">
        <v>400</v>
      </c>
      <c r="W251" s="4" t="s">
        <v>42</v>
      </c>
      <c r="X251" s="4" t="s">
        <v>46</v>
      </c>
      <c r="Y251" s="4">
        <v>48</v>
      </c>
      <c r="AA251" s="4" t="s">
        <v>49</v>
      </c>
      <c r="AB251" s="4">
        <v>0</v>
      </c>
      <c r="AC251" s="4" t="s">
        <v>49</v>
      </c>
      <c r="AD251" s="4">
        <v>0</v>
      </c>
      <c r="AE251" s="4" t="s">
        <v>49</v>
      </c>
      <c r="AF251" s="4">
        <v>0</v>
      </c>
      <c r="AG251" s="4" t="s">
        <v>776</v>
      </c>
      <c r="AH251" s="4" t="s">
        <v>722</v>
      </c>
      <c r="AI251" s="4" t="s">
        <v>78</v>
      </c>
      <c r="AJ251" s="13">
        <v>0</v>
      </c>
      <c r="AK251" s="13">
        <v>20</v>
      </c>
      <c r="AL251" s="13" t="s">
        <v>493</v>
      </c>
      <c r="AM251" s="13">
        <v>1.6</v>
      </c>
      <c r="AN251" s="13" t="s">
        <v>494</v>
      </c>
      <c r="AO251" s="13" t="s">
        <v>495</v>
      </c>
      <c r="AP251" s="13" t="s">
        <v>50</v>
      </c>
      <c r="AQ251" s="13" t="s">
        <v>49</v>
      </c>
      <c r="AR251" s="13" t="s">
        <v>50</v>
      </c>
      <c r="AS251" s="13" t="s">
        <v>49</v>
      </c>
      <c r="AT251" s="13" t="s">
        <v>990</v>
      </c>
      <c r="AU251" s="13" t="s">
        <v>998</v>
      </c>
      <c r="AV251" s="14">
        <f>215.68/1000</f>
        <v>0.21568000000000001</v>
      </c>
      <c r="AW251" s="14">
        <f t="shared" si="11"/>
        <v>0.16303999999999999</v>
      </c>
      <c r="AX251" s="14">
        <f>Table1347456[[#This Row],[treatment_mean]]/Table1347456[[#This Row],[control_mean]]</f>
        <v>1.322865554465162</v>
      </c>
      <c r="AY251" s="14">
        <f>LN(Table1347456[[#This Row],[rr]])</f>
        <v>0.27980025824952753</v>
      </c>
      <c r="AZ251" s="13">
        <v>4</v>
      </c>
      <c r="BA251" s="13">
        <v>4</v>
      </c>
      <c r="BB251" s="14">
        <v>0</v>
      </c>
      <c r="BC251" s="14">
        <f t="shared" si="12"/>
        <v>3.8590000000000006E-2</v>
      </c>
      <c r="BD251" s="15">
        <f>Table1347456[[#This Row],[treatment_se]]*SQRT(Table1347456[[#This Row],[treatment_n]])</f>
        <v>0</v>
      </c>
      <c r="BE251" s="14">
        <f>Table1347456[[#This Row],[control_se]]*SQRT(Table1347456[[#This Row],[control_n]])</f>
        <v>7.7180000000000012E-2</v>
      </c>
      <c r="BF25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5.6022337276005189E-2</v>
      </c>
      <c r="BG251" s="17">
        <f>SQRT(Table1347456[[#This Row],[v_from_sd_and_n]])</f>
        <v>0.23669038272816492</v>
      </c>
      <c r="BH251" s="13" t="s">
        <v>50</v>
      </c>
      <c r="BI251" s="13">
        <v>2.5000000000000001E-2</v>
      </c>
      <c r="BJ251" s="18">
        <f>ABS(_xlfn.NORM.S.INV(Table1347456[[#This Row],[p_value]]/2))</f>
        <v>2.2414027276049446</v>
      </c>
      <c r="BK251" s="19">
        <f>(Table1347456[[#This Row],[lnrr]]/Table1347456[[#This Row],[z_from_p]])^2</f>
        <v>1.5583192293284207E-2</v>
      </c>
      <c r="BL251" s="16">
        <f>Table1347456[[#This Row],[v_from_sd_and_n]]</f>
        <v>5.6022337276005189E-2</v>
      </c>
      <c r="BM251" s="20">
        <f>SQRT(Table1347456[[#This Row],[v]])</f>
        <v>0.23669038272816492</v>
      </c>
      <c r="BN251" s="20">
        <f>Table1347456[[#This Row],[lnrr]]-(1.96*Table1347456[[#This Row],[se]])</f>
        <v>-0.18411289189767571</v>
      </c>
      <c r="BO251" s="20">
        <f>Table1347456[[#This Row],[lnrr]]+(1.96 * Table1347456[[#This Row],[se]])</f>
        <v>0.74371340839673072</v>
      </c>
    </row>
    <row r="252" spans="1:67">
      <c r="A252" s="13" t="s">
        <v>128</v>
      </c>
      <c r="B252" s="13" t="s">
        <v>137</v>
      </c>
      <c r="C252" s="13" t="s">
        <v>130</v>
      </c>
      <c r="D252" s="13" t="s">
        <v>131</v>
      </c>
      <c r="E252" s="13" t="s">
        <v>132</v>
      </c>
      <c r="F252" s="13" t="s">
        <v>589</v>
      </c>
      <c r="G252" s="13" t="s">
        <v>138</v>
      </c>
      <c r="H252" s="13">
        <v>28</v>
      </c>
      <c r="I252" s="13">
        <v>1875</v>
      </c>
      <c r="K252" s="13" t="s">
        <v>831</v>
      </c>
      <c r="L252" s="13" t="s">
        <v>832</v>
      </c>
      <c r="N252" s="13" t="s">
        <v>86</v>
      </c>
      <c r="O252" s="13" t="s">
        <v>644</v>
      </c>
      <c r="P252" s="13" t="s">
        <v>85</v>
      </c>
      <c r="Q252" s="13" t="s">
        <v>48</v>
      </c>
      <c r="R252" s="4">
        <v>4</v>
      </c>
      <c r="S252" s="13" t="s">
        <v>596</v>
      </c>
      <c r="T252" s="13">
        <v>45</v>
      </c>
      <c r="U252" s="4" t="s">
        <v>136</v>
      </c>
      <c r="V252" s="4">
        <v>400</v>
      </c>
      <c r="W252" s="4" t="s">
        <v>42</v>
      </c>
      <c r="X252" s="4" t="s">
        <v>46</v>
      </c>
      <c r="Y252" s="4">
        <v>64</v>
      </c>
      <c r="AA252" s="4" t="s">
        <v>49</v>
      </c>
      <c r="AB252" s="4">
        <v>0</v>
      </c>
      <c r="AC252" s="4" t="s">
        <v>49</v>
      </c>
      <c r="AD252" s="4">
        <v>0</v>
      </c>
      <c r="AE252" s="4" t="s">
        <v>49</v>
      </c>
      <c r="AF252" s="4">
        <v>0</v>
      </c>
      <c r="AG252" s="4" t="s">
        <v>776</v>
      </c>
      <c r="AH252" s="4" t="s">
        <v>722</v>
      </c>
      <c r="AI252" s="4" t="s">
        <v>78</v>
      </c>
      <c r="AJ252" s="13">
        <v>0</v>
      </c>
      <c r="AK252" s="13">
        <v>20</v>
      </c>
      <c r="AL252" s="13" t="s">
        <v>493</v>
      </c>
      <c r="AM252" s="13">
        <v>1.6</v>
      </c>
      <c r="AN252" s="13" t="s">
        <v>494</v>
      </c>
      <c r="AO252" s="13" t="s">
        <v>495</v>
      </c>
      <c r="AP252" s="13" t="s">
        <v>50</v>
      </c>
      <c r="AQ252" s="13" t="s">
        <v>49</v>
      </c>
      <c r="AR252" s="13" t="s">
        <v>50</v>
      </c>
      <c r="AS252" s="13" t="s">
        <v>49</v>
      </c>
      <c r="AT252" s="13" t="s">
        <v>990</v>
      </c>
      <c r="AU252" s="13" t="s">
        <v>998</v>
      </c>
      <c r="AV252" s="14">
        <f>192.84/1000</f>
        <v>0.19284000000000001</v>
      </c>
      <c r="AW252" s="14">
        <f t="shared" si="11"/>
        <v>0.16303999999999999</v>
      </c>
      <c r="AX252" s="14">
        <f>Table1347456[[#This Row],[treatment_mean]]/Table1347456[[#This Row],[control_mean]]</f>
        <v>1.1827772325809618</v>
      </c>
      <c r="AY252" s="14">
        <f>LN(Table1347456[[#This Row],[rr]])</f>
        <v>0.16786526006300689</v>
      </c>
      <c r="AZ252" s="13">
        <v>4</v>
      </c>
      <c r="BA252" s="13">
        <v>4</v>
      </c>
      <c r="BB252" s="14">
        <f>38.64/1000</f>
        <v>3.8640000000000001E-2</v>
      </c>
      <c r="BC252" s="14">
        <f t="shared" si="12"/>
        <v>3.8590000000000006E-2</v>
      </c>
      <c r="BD252" s="15">
        <f>Table1347456[[#This Row],[treatment_se]]*SQRT(Table1347456[[#This Row],[treatment_n]])</f>
        <v>7.7280000000000001E-2</v>
      </c>
      <c r="BE252" s="14">
        <f>Table1347456[[#This Row],[control_se]]*SQRT(Table1347456[[#This Row],[control_n]])</f>
        <v>7.7180000000000012E-2</v>
      </c>
      <c r="BF25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9.6171823287151958E-2</v>
      </c>
      <c r="BG252" s="17">
        <f>SQRT(Table1347456[[#This Row],[v_from_sd_and_n]])</f>
        <v>0.31011582237472496</v>
      </c>
      <c r="BH252" s="13" t="s">
        <v>50</v>
      </c>
      <c r="BI252" s="13">
        <v>2.5000000000000001E-2</v>
      </c>
      <c r="BJ252" s="18">
        <f>ABS(_xlfn.NORM.S.INV(Table1347456[[#This Row],[p_value]]/2))</f>
        <v>2.2414027276049446</v>
      </c>
      <c r="BK252" s="19">
        <f>(Table1347456[[#This Row],[lnrr]]/Table1347456[[#This Row],[z_from_p]])^2</f>
        <v>5.6089538029685379E-3</v>
      </c>
      <c r="BL252" s="16">
        <f>Table1347456[[#This Row],[v_from_sd_and_n]]</f>
        <v>9.6171823287151958E-2</v>
      </c>
      <c r="BM252" s="20">
        <f>SQRT(Table1347456[[#This Row],[v]])</f>
        <v>0.31011582237472496</v>
      </c>
      <c r="BN252" s="20">
        <f>Table1347456[[#This Row],[lnrr]]-(1.96*Table1347456[[#This Row],[se]])</f>
        <v>-0.43996175179145397</v>
      </c>
      <c r="BO252" s="20">
        <f>Table1347456[[#This Row],[lnrr]]+(1.96 * Table1347456[[#This Row],[se]])</f>
        <v>0.7756922719174677</v>
      </c>
    </row>
    <row r="253" spans="1:67">
      <c r="A253" s="13" t="s">
        <v>128</v>
      </c>
      <c r="B253" s="13" t="s">
        <v>137</v>
      </c>
      <c r="C253" s="13" t="s">
        <v>130</v>
      </c>
      <c r="D253" s="13" t="s">
        <v>131</v>
      </c>
      <c r="E253" s="13" t="s">
        <v>132</v>
      </c>
      <c r="F253" s="13" t="s">
        <v>589</v>
      </c>
      <c r="G253" s="13" t="s">
        <v>138</v>
      </c>
      <c r="H253" s="13">
        <v>28</v>
      </c>
      <c r="I253" s="13">
        <v>1875</v>
      </c>
      <c r="K253" s="13" t="s">
        <v>831</v>
      </c>
      <c r="L253" s="13" t="s">
        <v>832</v>
      </c>
      <c r="N253" s="13" t="s">
        <v>139</v>
      </c>
      <c r="O253" s="13" t="s">
        <v>643</v>
      </c>
      <c r="P253" s="13" t="s">
        <v>140</v>
      </c>
      <c r="Q253" s="13" t="s">
        <v>422</v>
      </c>
      <c r="R253" s="4">
        <v>4</v>
      </c>
      <c r="S253" s="13" t="s">
        <v>596</v>
      </c>
      <c r="T253" s="13">
        <v>45</v>
      </c>
      <c r="U253" s="4" t="s">
        <v>133</v>
      </c>
      <c r="V253" s="4">
        <v>400</v>
      </c>
      <c r="W253" s="4" t="s">
        <v>42</v>
      </c>
      <c r="X253" s="4" t="s">
        <v>46</v>
      </c>
      <c r="Y253" s="4">
        <v>16</v>
      </c>
      <c r="AA253" s="4" t="s">
        <v>49</v>
      </c>
      <c r="AB253" s="4">
        <v>0</v>
      </c>
      <c r="AC253" s="4" t="s">
        <v>49</v>
      </c>
      <c r="AD253" s="4">
        <v>0</v>
      </c>
      <c r="AE253" s="4" t="s">
        <v>49</v>
      </c>
      <c r="AF253" s="4">
        <v>0</v>
      </c>
      <c r="AG253" s="4" t="s">
        <v>685</v>
      </c>
      <c r="AH253" s="4" t="s">
        <v>722</v>
      </c>
      <c r="AI253" s="4" t="s">
        <v>78</v>
      </c>
      <c r="AJ253" s="13">
        <v>0</v>
      </c>
      <c r="AK253" s="13">
        <v>20</v>
      </c>
      <c r="AL253" s="13" t="s">
        <v>493</v>
      </c>
      <c r="AM253" s="13">
        <v>1.6</v>
      </c>
      <c r="AN253" s="13" t="s">
        <v>494</v>
      </c>
      <c r="AO253" s="13" t="s">
        <v>495</v>
      </c>
      <c r="AP253" s="13" t="s">
        <v>50</v>
      </c>
      <c r="AQ253" s="13" t="s">
        <v>49</v>
      </c>
      <c r="AR253" s="13" t="s">
        <v>50</v>
      </c>
      <c r="AS253" s="13" t="s">
        <v>49</v>
      </c>
      <c r="AT253" s="13" t="s">
        <v>990</v>
      </c>
      <c r="AU253" s="13" t="s">
        <v>998</v>
      </c>
      <c r="AV253" s="14">
        <f>3.1/10</f>
        <v>0.31</v>
      </c>
      <c r="AW253" s="14">
        <f>5.4/10</f>
        <v>0.54</v>
      </c>
      <c r="AX253" s="14">
        <f>Table1347456[[#This Row],[treatment_mean]]/Table1347456[[#This Row],[control_mean]]</f>
        <v>0.57407407407407407</v>
      </c>
      <c r="AY253" s="14">
        <f>LN(Table1347456[[#This Row],[rr]])</f>
        <v>-0.55499684207912814</v>
      </c>
      <c r="AZ253" s="13">
        <v>4</v>
      </c>
      <c r="BA253" s="13">
        <v>4</v>
      </c>
      <c r="BB253" s="14">
        <f>0.2/10</f>
        <v>0.02</v>
      </c>
      <c r="BC253" s="14">
        <f>0.6/10</f>
        <v>0.06</v>
      </c>
      <c r="BD253" s="15">
        <f>Table1347456[[#This Row],[treatment_se]]*SQRT(Table1347456[[#This Row],[treatment_n]])</f>
        <v>0.04</v>
      </c>
      <c r="BE253" s="14">
        <f>Table1347456[[#This Row],[control_se]]*SQRT(Table1347456[[#This Row],[control_n]])</f>
        <v>0.12</v>
      </c>
      <c r="BF25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1.6508009917652652E-2</v>
      </c>
      <c r="BG253" s="17">
        <f>SQRT(Table1347456[[#This Row],[v_from_sd_and_n]])</f>
        <v>0.12848350056584174</v>
      </c>
      <c r="BH253" s="13" t="s">
        <v>50</v>
      </c>
      <c r="BI253" s="13">
        <v>2.5000000000000001E-2</v>
      </c>
      <c r="BJ253" s="18">
        <f>ABS(_xlfn.NORM.S.INV(Table1347456[[#This Row],[p_value]]/2))</f>
        <v>2.2414027276049446</v>
      </c>
      <c r="BK253" s="19">
        <f>(Table1347456[[#This Row],[lnrr]]/Table1347456[[#This Row],[z_from_p]])^2</f>
        <v>6.131139982739793E-2</v>
      </c>
      <c r="BL253" s="16">
        <f>Table1347456[[#This Row],[v_from_sd_and_n]]</f>
        <v>1.6508009917652652E-2</v>
      </c>
      <c r="BM253" s="20">
        <f>SQRT(Table1347456[[#This Row],[v]])</f>
        <v>0.12848350056584174</v>
      </c>
      <c r="BN253" s="20">
        <f>Table1347456[[#This Row],[lnrr]]-(1.96*Table1347456[[#This Row],[se]])</f>
        <v>-0.806824503188178</v>
      </c>
      <c r="BO253" s="20">
        <f>Table1347456[[#This Row],[lnrr]]+(1.96 * Table1347456[[#This Row],[se]])</f>
        <v>-0.30316918097007833</v>
      </c>
    </row>
    <row r="254" spans="1:67">
      <c r="A254" s="13" t="s">
        <v>128</v>
      </c>
      <c r="B254" s="13" t="s">
        <v>137</v>
      </c>
      <c r="C254" s="13" t="s">
        <v>130</v>
      </c>
      <c r="D254" s="13" t="s">
        <v>131</v>
      </c>
      <c r="E254" s="13" t="s">
        <v>132</v>
      </c>
      <c r="F254" s="13" t="s">
        <v>589</v>
      </c>
      <c r="G254" s="13" t="s">
        <v>138</v>
      </c>
      <c r="H254" s="13">
        <v>28</v>
      </c>
      <c r="I254" s="13">
        <v>1875</v>
      </c>
      <c r="K254" s="13" t="s">
        <v>831</v>
      </c>
      <c r="L254" s="13" t="s">
        <v>832</v>
      </c>
      <c r="N254" s="13" t="s">
        <v>139</v>
      </c>
      <c r="O254" s="13" t="s">
        <v>643</v>
      </c>
      <c r="P254" s="13" t="s">
        <v>140</v>
      </c>
      <c r="Q254" s="13" t="s">
        <v>422</v>
      </c>
      <c r="R254" s="4">
        <v>4</v>
      </c>
      <c r="S254" s="13" t="s">
        <v>596</v>
      </c>
      <c r="T254" s="13">
        <v>45</v>
      </c>
      <c r="U254" s="4" t="s">
        <v>134</v>
      </c>
      <c r="V254" s="4">
        <v>400</v>
      </c>
      <c r="W254" s="4" t="s">
        <v>42</v>
      </c>
      <c r="X254" s="4" t="s">
        <v>46</v>
      </c>
      <c r="Y254" s="4">
        <v>16</v>
      </c>
      <c r="AA254" s="4" t="s">
        <v>49</v>
      </c>
      <c r="AB254" s="4">
        <v>0</v>
      </c>
      <c r="AC254" s="4" t="s">
        <v>49</v>
      </c>
      <c r="AD254" s="4">
        <v>0</v>
      </c>
      <c r="AE254" s="4" t="s">
        <v>49</v>
      </c>
      <c r="AF254" s="4">
        <v>0</v>
      </c>
      <c r="AG254" s="4" t="s">
        <v>708</v>
      </c>
      <c r="AH254" s="4" t="s">
        <v>722</v>
      </c>
      <c r="AI254" s="4" t="s">
        <v>78</v>
      </c>
      <c r="AJ254" s="13">
        <v>0</v>
      </c>
      <c r="AK254" s="13">
        <v>20</v>
      </c>
      <c r="AL254" s="13" t="s">
        <v>493</v>
      </c>
      <c r="AM254" s="13">
        <v>1.6</v>
      </c>
      <c r="AN254" s="13" t="s">
        <v>494</v>
      </c>
      <c r="AO254" s="13" t="s">
        <v>495</v>
      </c>
      <c r="AP254" s="13" t="s">
        <v>50</v>
      </c>
      <c r="AQ254" s="13" t="s">
        <v>49</v>
      </c>
      <c r="AR254" s="13" t="s">
        <v>50</v>
      </c>
      <c r="AS254" s="13" t="s">
        <v>49</v>
      </c>
      <c r="AT254" s="13" t="s">
        <v>990</v>
      </c>
      <c r="AU254" s="13" t="s">
        <v>998</v>
      </c>
      <c r="AV254" s="14">
        <f>4.5/10</f>
        <v>0.45</v>
      </c>
      <c r="AW254" s="14">
        <f>5.4/10</f>
        <v>0.54</v>
      </c>
      <c r="AX254" s="14">
        <f>Table1347456[[#This Row],[treatment_mean]]/Table1347456[[#This Row],[control_mean]]</f>
        <v>0.83333333333333326</v>
      </c>
      <c r="AY254" s="14">
        <f>LN(Table1347456[[#This Row],[rr]])</f>
        <v>-0.1823215567939547</v>
      </c>
      <c r="AZ254" s="13">
        <v>4</v>
      </c>
      <c r="BA254" s="13">
        <v>4</v>
      </c>
      <c r="BB254" s="14">
        <f>0.3/10</f>
        <v>0.03</v>
      </c>
      <c r="BC254" s="14">
        <f>0.6/10</f>
        <v>0.06</v>
      </c>
      <c r="BD254" s="15">
        <f>Table1347456[[#This Row],[treatment_se]]*SQRT(Table1347456[[#This Row],[treatment_n]])</f>
        <v>0.06</v>
      </c>
      <c r="BE254" s="14">
        <f>Table1347456[[#This Row],[control_se]]*SQRT(Table1347456[[#This Row],[control_n]])</f>
        <v>0.12</v>
      </c>
      <c r="BF25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1.6790123456790124E-2</v>
      </c>
      <c r="BG254" s="17">
        <f>SQRT(Table1347456[[#This Row],[v_from_sd_and_n]])</f>
        <v>0.12957670877434002</v>
      </c>
      <c r="BH254" s="13" t="s">
        <v>50</v>
      </c>
      <c r="BI254" s="13">
        <v>2.5000000000000001E-2</v>
      </c>
      <c r="BJ254" s="18">
        <f>ABS(_xlfn.NORM.S.INV(Table1347456[[#This Row],[p_value]]/2))</f>
        <v>2.2414027276049446</v>
      </c>
      <c r="BK254" s="19">
        <f>(Table1347456[[#This Row],[lnrr]]/Table1347456[[#This Row],[z_from_p]])^2</f>
        <v>6.6166208453734164E-3</v>
      </c>
      <c r="BL254" s="16">
        <f>Table1347456[[#This Row],[v_from_sd_and_n]]</f>
        <v>1.6790123456790124E-2</v>
      </c>
      <c r="BM254" s="20">
        <f>SQRT(Table1347456[[#This Row],[v]])</f>
        <v>0.12957670877434002</v>
      </c>
      <c r="BN254" s="20">
        <f>Table1347456[[#This Row],[lnrr]]-(1.96*Table1347456[[#This Row],[se]])</f>
        <v>-0.43629190599166112</v>
      </c>
      <c r="BO254" s="20">
        <f>Table1347456[[#This Row],[lnrr]]+(1.96 * Table1347456[[#This Row],[se]])</f>
        <v>7.1648792403751743E-2</v>
      </c>
    </row>
    <row r="255" spans="1:67">
      <c r="A255" s="13" t="s">
        <v>128</v>
      </c>
      <c r="B255" s="13" t="s">
        <v>137</v>
      </c>
      <c r="C255" s="13" t="s">
        <v>130</v>
      </c>
      <c r="D255" s="13" t="s">
        <v>131</v>
      </c>
      <c r="E255" s="13" t="s">
        <v>132</v>
      </c>
      <c r="F255" s="13" t="s">
        <v>589</v>
      </c>
      <c r="G255" s="13" t="s">
        <v>138</v>
      </c>
      <c r="H255" s="13">
        <v>28</v>
      </c>
      <c r="I255" s="13">
        <v>1875</v>
      </c>
      <c r="K255" s="13" t="s">
        <v>831</v>
      </c>
      <c r="L255" s="13" t="s">
        <v>832</v>
      </c>
      <c r="N255" s="13" t="s">
        <v>139</v>
      </c>
      <c r="O255" s="13" t="s">
        <v>643</v>
      </c>
      <c r="P255" s="13" t="s">
        <v>140</v>
      </c>
      <c r="Q255" s="13" t="s">
        <v>422</v>
      </c>
      <c r="R255" s="4">
        <v>4</v>
      </c>
      <c r="S255" s="13" t="s">
        <v>596</v>
      </c>
      <c r="T255" s="13">
        <v>45</v>
      </c>
      <c r="U255" s="4" t="s">
        <v>135</v>
      </c>
      <c r="V255" s="4">
        <v>400</v>
      </c>
      <c r="W255" s="4" t="s">
        <v>42</v>
      </c>
      <c r="X255" s="4" t="s">
        <v>46</v>
      </c>
      <c r="Y255" s="4">
        <v>16</v>
      </c>
      <c r="AA255" s="4" t="s">
        <v>49</v>
      </c>
      <c r="AB255" s="4">
        <v>0</v>
      </c>
      <c r="AC255" s="4" t="s">
        <v>49</v>
      </c>
      <c r="AD255" s="4">
        <v>0</v>
      </c>
      <c r="AE255" s="4" t="s">
        <v>49</v>
      </c>
      <c r="AF255" s="4">
        <v>0</v>
      </c>
      <c r="AG255" s="4" t="s">
        <v>750</v>
      </c>
      <c r="AH255" s="4" t="s">
        <v>722</v>
      </c>
      <c r="AI255" s="4" t="s">
        <v>78</v>
      </c>
      <c r="AJ255" s="13">
        <v>0</v>
      </c>
      <c r="AK255" s="13">
        <v>20</v>
      </c>
      <c r="AL255" s="13" t="s">
        <v>493</v>
      </c>
      <c r="AM255" s="13">
        <v>1.6</v>
      </c>
      <c r="AN255" s="13" t="s">
        <v>494</v>
      </c>
      <c r="AO255" s="13" t="s">
        <v>495</v>
      </c>
      <c r="AP255" s="13" t="s">
        <v>50</v>
      </c>
      <c r="AQ255" s="13" t="s">
        <v>49</v>
      </c>
      <c r="AR255" s="13" t="s">
        <v>50</v>
      </c>
      <c r="AS255" s="13" t="s">
        <v>49</v>
      </c>
      <c r="AT255" s="13" t="s">
        <v>990</v>
      </c>
      <c r="AU255" s="13" t="s">
        <v>998</v>
      </c>
      <c r="AV255" s="14">
        <f>5.8/10</f>
        <v>0.57999999999999996</v>
      </c>
      <c r="AW255" s="14">
        <f>5.4/10</f>
        <v>0.54</v>
      </c>
      <c r="AX255" s="14">
        <f>Table1347456[[#This Row],[treatment_mean]]/Table1347456[[#This Row],[control_mean]]</f>
        <v>1.074074074074074</v>
      </c>
      <c r="AY255" s="14">
        <f>LN(Table1347456[[#This Row],[rr]])</f>
        <v>7.1458963982144852E-2</v>
      </c>
      <c r="AZ255" s="13">
        <v>4</v>
      </c>
      <c r="BA255" s="13">
        <v>4</v>
      </c>
      <c r="BB255" s="14">
        <f>0.6/10</f>
        <v>0.06</v>
      </c>
      <c r="BC255" s="14">
        <f>0.6/10</f>
        <v>0.06</v>
      </c>
      <c r="BD255" s="15">
        <f>Table1347456[[#This Row],[treatment_se]]*SQRT(Table1347456[[#This Row],[treatment_n]])</f>
        <v>0.12</v>
      </c>
      <c r="BE255" s="14">
        <f>Table1347456[[#This Row],[control_se]]*SQRT(Table1347456[[#This Row],[control_n]])</f>
        <v>0.12</v>
      </c>
      <c r="BF25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2.3047224791180397E-2</v>
      </c>
      <c r="BG255" s="17">
        <f>SQRT(Table1347456[[#This Row],[v_from_sd_and_n]])</f>
        <v>0.15181312456826782</v>
      </c>
      <c r="BH255" s="13" t="s">
        <v>50</v>
      </c>
      <c r="BI255" s="13">
        <v>2.5000000000000001E-2</v>
      </c>
      <c r="BJ255" s="18">
        <f>ABS(_xlfn.NORM.S.INV(Table1347456[[#This Row],[p_value]]/2))</f>
        <v>2.2414027276049446</v>
      </c>
      <c r="BK255" s="19">
        <f>(Table1347456[[#This Row],[lnrr]]/Table1347456[[#This Row],[z_from_p]])^2</f>
        <v>1.0164210220953837E-3</v>
      </c>
      <c r="BL255" s="16">
        <f>Table1347456[[#This Row],[v_from_sd_and_n]]</f>
        <v>2.3047224791180397E-2</v>
      </c>
      <c r="BM255" s="20">
        <f>SQRT(Table1347456[[#This Row],[v]])</f>
        <v>0.15181312456826782</v>
      </c>
      <c r="BN255" s="20">
        <f>Table1347456[[#This Row],[lnrr]]-(1.96*Table1347456[[#This Row],[se]])</f>
        <v>-0.22609476017166008</v>
      </c>
      <c r="BO255" s="20">
        <f>Table1347456[[#This Row],[lnrr]]+(1.96 * Table1347456[[#This Row],[se]])</f>
        <v>0.36901268813594978</v>
      </c>
    </row>
    <row r="256" spans="1:67">
      <c r="A256" s="13" t="s">
        <v>128</v>
      </c>
      <c r="B256" s="13" t="s">
        <v>137</v>
      </c>
      <c r="C256" s="13" t="s">
        <v>130</v>
      </c>
      <c r="D256" s="13" t="s">
        <v>131</v>
      </c>
      <c r="E256" s="13" t="s">
        <v>132</v>
      </c>
      <c r="F256" s="13" t="s">
        <v>589</v>
      </c>
      <c r="G256" s="13" t="s">
        <v>138</v>
      </c>
      <c r="H256" s="13">
        <v>28</v>
      </c>
      <c r="I256" s="13">
        <v>1875</v>
      </c>
      <c r="K256" s="13" t="s">
        <v>831</v>
      </c>
      <c r="L256" s="13" t="s">
        <v>832</v>
      </c>
      <c r="N256" s="13" t="s">
        <v>139</v>
      </c>
      <c r="O256" s="13" t="s">
        <v>643</v>
      </c>
      <c r="P256" s="13" t="s">
        <v>140</v>
      </c>
      <c r="Q256" s="13" t="s">
        <v>422</v>
      </c>
      <c r="R256" s="4">
        <v>4</v>
      </c>
      <c r="S256" s="13" t="s">
        <v>596</v>
      </c>
      <c r="T256" s="13">
        <v>45</v>
      </c>
      <c r="U256" s="4" t="s">
        <v>136</v>
      </c>
      <c r="V256" s="4">
        <v>400</v>
      </c>
      <c r="W256" s="4" t="s">
        <v>42</v>
      </c>
      <c r="X256" s="4" t="s">
        <v>46</v>
      </c>
      <c r="Y256" s="4">
        <v>16</v>
      </c>
      <c r="AA256" s="4" t="s">
        <v>49</v>
      </c>
      <c r="AB256" s="4">
        <v>0</v>
      </c>
      <c r="AC256" s="4" t="s">
        <v>49</v>
      </c>
      <c r="AD256" s="4">
        <v>0</v>
      </c>
      <c r="AE256" s="4" t="s">
        <v>49</v>
      </c>
      <c r="AF256" s="4">
        <v>0</v>
      </c>
      <c r="AG256" s="4" t="s">
        <v>776</v>
      </c>
      <c r="AH256" s="4" t="s">
        <v>722</v>
      </c>
      <c r="AI256" s="4" t="s">
        <v>78</v>
      </c>
      <c r="AJ256" s="13">
        <v>0</v>
      </c>
      <c r="AK256" s="13">
        <v>20</v>
      </c>
      <c r="AL256" s="13" t="s">
        <v>493</v>
      </c>
      <c r="AM256" s="13">
        <v>1.6</v>
      </c>
      <c r="AN256" s="13" t="s">
        <v>494</v>
      </c>
      <c r="AO256" s="13" t="s">
        <v>495</v>
      </c>
      <c r="AP256" s="13" t="s">
        <v>50</v>
      </c>
      <c r="AQ256" s="13" t="s">
        <v>49</v>
      </c>
      <c r="AR256" s="13" t="s">
        <v>50</v>
      </c>
      <c r="AS256" s="13" t="s">
        <v>49</v>
      </c>
      <c r="AT256" s="13" t="s">
        <v>990</v>
      </c>
      <c r="AU256" s="13" t="s">
        <v>998</v>
      </c>
      <c r="AV256" s="14">
        <f>6.5/10</f>
        <v>0.65</v>
      </c>
      <c r="AW256" s="14">
        <f>5.4/10</f>
        <v>0.54</v>
      </c>
      <c r="AX256" s="14">
        <f>Table1347456[[#This Row],[treatment_mean]]/Table1347456[[#This Row],[control_mean]]</f>
        <v>1.2037037037037037</v>
      </c>
      <c r="AY256" s="14">
        <f>LN(Table1347456[[#This Row],[rr]])</f>
        <v>0.18540322333136275</v>
      </c>
      <c r="AZ256" s="13">
        <v>4</v>
      </c>
      <c r="BA256" s="13">
        <v>4</v>
      </c>
      <c r="BB256" s="14">
        <f>0.5/10</f>
        <v>0.05</v>
      </c>
      <c r="BC256" s="14">
        <f>0.6/10</f>
        <v>0.06</v>
      </c>
      <c r="BD256" s="15">
        <f>Table1347456[[#This Row],[treatment_se]]*SQRT(Table1347456[[#This Row],[treatment_n]])</f>
        <v>0.1</v>
      </c>
      <c r="BE256" s="14">
        <f>Table1347456[[#This Row],[control_se]]*SQRT(Table1347456[[#This Row],[control_n]])</f>
        <v>0.12</v>
      </c>
      <c r="BF25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1.826283877565929E-2</v>
      </c>
      <c r="BG256" s="17">
        <f>SQRT(Table1347456[[#This Row],[v_from_sd_and_n]])</f>
        <v>0.13514007094736666</v>
      </c>
      <c r="BH256" s="13" t="s">
        <v>50</v>
      </c>
      <c r="BI256" s="13">
        <v>2.5000000000000001E-2</v>
      </c>
      <c r="BJ256" s="18">
        <f>ABS(_xlfn.NORM.S.INV(Table1347456[[#This Row],[p_value]]/2))</f>
        <v>2.2414027276049446</v>
      </c>
      <c r="BK256" s="19">
        <f>(Table1347456[[#This Row],[lnrr]]/Table1347456[[#This Row],[z_from_p]])^2</f>
        <v>6.8421843051407229E-3</v>
      </c>
      <c r="BL256" s="16">
        <f>Table1347456[[#This Row],[v_from_sd_and_n]]</f>
        <v>1.826283877565929E-2</v>
      </c>
      <c r="BM256" s="20">
        <f>SQRT(Table1347456[[#This Row],[v]])</f>
        <v>0.13514007094736666</v>
      </c>
      <c r="BN256" s="20">
        <f>Table1347456[[#This Row],[lnrr]]-(1.96*Table1347456[[#This Row],[se]])</f>
        <v>-7.9471315725475916E-2</v>
      </c>
      <c r="BO256" s="20">
        <f>Table1347456[[#This Row],[lnrr]]+(1.96 * Table1347456[[#This Row],[se]])</f>
        <v>0.45027776238820139</v>
      </c>
    </row>
    <row r="257" spans="1:67">
      <c r="A257" s="13" t="s">
        <v>128</v>
      </c>
      <c r="B257" s="13" t="s">
        <v>137</v>
      </c>
      <c r="C257" s="13" t="s">
        <v>130</v>
      </c>
      <c r="D257" s="13" t="s">
        <v>131</v>
      </c>
      <c r="E257" s="13" t="s">
        <v>132</v>
      </c>
      <c r="F257" s="13" t="s">
        <v>589</v>
      </c>
      <c r="G257" s="13" t="s">
        <v>138</v>
      </c>
      <c r="H257" s="13">
        <v>28</v>
      </c>
      <c r="I257" s="13">
        <v>1875</v>
      </c>
      <c r="K257" s="13" t="s">
        <v>831</v>
      </c>
      <c r="L257" s="13" t="s">
        <v>832</v>
      </c>
      <c r="N257" s="13" t="s">
        <v>66</v>
      </c>
      <c r="O257" s="13" t="s">
        <v>67</v>
      </c>
      <c r="P257" s="13" t="s">
        <v>141</v>
      </c>
      <c r="Q257" s="13" t="s">
        <v>48</v>
      </c>
      <c r="R257" s="4">
        <v>4</v>
      </c>
      <c r="S257" s="13" t="s">
        <v>596</v>
      </c>
      <c r="T257" s="13">
        <v>45</v>
      </c>
      <c r="U257" s="4" t="s">
        <v>133</v>
      </c>
      <c r="V257" s="4">
        <v>400</v>
      </c>
      <c r="W257" s="4" t="s">
        <v>42</v>
      </c>
      <c r="X257" s="4" t="s">
        <v>46</v>
      </c>
      <c r="Y257" s="4">
        <v>16</v>
      </c>
      <c r="AA257" s="4" t="s">
        <v>49</v>
      </c>
      <c r="AB257" s="4">
        <v>0</v>
      </c>
      <c r="AC257" s="4" t="s">
        <v>49</v>
      </c>
      <c r="AD257" s="4">
        <v>0</v>
      </c>
      <c r="AE257" s="4" t="s">
        <v>49</v>
      </c>
      <c r="AF257" s="4">
        <v>0</v>
      </c>
      <c r="AG257" s="4" t="s">
        <v>685</v>
      </c>
      <c r="AH257" s="4" t="s">
        <v>722</v>
      </c>
      <c r="AI257" s="4" t="s">
        <v>78</v>
      </c>
      <c r="AJ257" s="13">
        <v>0</v>
      </c>
      <c r="AK257" s="13">
        <v>20</v>
      </c>
      <c r="AL257" s="13" t="s">
        <v>493</v>
      </c>
      <c r="AM257" s="13">
        <v>1.6</v>
      </c>
      <c r="AN257" s="13" t="s">
        <v>494</v>
      </c>
      <c r="AO257" s="13" t="s">
        <v>495</v>
      </c>
      <c r="AP257" s="13" t="s">
        <v>50</v>
      </c>
      <c r="AQ257" s="13" t="s">
        <v>49</v>
      </c>
      <c r="AR257" s="13" t="s">
        <v>50</v>
      </c>
      <c r="AS257" s="13" t="s">
        <v>49</v>
      </c>
      <c r="AT257" s="13" t="s">
        <v>990</v>
      </c>
      <c r="AU257" s="13" t="s">
        <v>998</v>
      </c>
      <c r="AV257" s="14">
        <f>38.2/8</f>
        <v>4.7750000000000004</v>
      </c>
      <c r="AW257" s="14">
        <f>68.4/8</f>
        <v>8.5500000000000007</v>
      </c>
      <c r="AX257" s="14">
        <f>Table1347456[[#This Row],[treatment_mean]]/Table1347456[[#This Row],[control_mean]]</f>
        <v>0.55847953216374269</v>
      </c>
      <c r="AY257" s="14">
        <f>LN(Table1347456[[#This Row],[rr]])</f>
        <v>-0.58253730901597534</v>
      </c>
      <c r="AZ257" s="13">
        <v>4</v>
      </c>
      <c r="BA257" s="13">
        <v>4</v>
      </c>
      <c r="BB257" s="14">
        <v>0.5</v>
      </c>
      <c r="BC257" s="14">
        <f>6/8</f>
        <v>0.75</v>
      </c>
      <c r="BD257" s="15">
        <f>Table1347456[[#This Row],[treatment_se]]*SQRT(Table1347456[[#This Row],[treatment_n]])</f>
        <v>1</v>
      </c>
      <c r="BE257" s="14">
        <f>Table1347456[[#This Row],[control_se]]*SQRT(Table1347456[[#This Row],[control_n]])</f>
        <v>1.5</v>
      </c>
      <c r="BF25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1.8659287000390601E-2</v>
      </c>
      <c r="BG257" s="17">
        <f>SQRT(Table1347456[[#This Row],[v_from_sd_and_n]])</f>
        <v>0.13659900072983916</v>
      </c>
      <c r="BH257" s="13" t="s">
        <v>50</v>
      </c>
      <c r="BI257" s="13">
        <v>2.5000000000000001E-2</v>
      </c>
      <c r="BJ257" s="18">
        <f>ABS(_xlfn.NORM.S.INV(Table1347456[[#This Row],[p_value]]/2))</f>
        <v>2.2414027276049446</v>
      </c>
      <c r="BK257" s="19">
        <f>(Table1347456[[#This Row],[lnrr]]/Table1347456[[#This Row],[z_from_p]])^2</f>
        <v>6.7547254006752502E-2</v>
      </c>
      <c r="BL257" s="16">
        <f>Table1347456[[#This Row],[v_from_sd_and_n]]</f>
        <v>1.8659287000390601E-2</v>
      </c>
      <c r="BM257" s="20">
        <f>SQRT(Table1347456[[#This Row],[v]])</f>
        <v>0.13659900072983916</v>
      </c>
      <c r="BN257" s="20">
        <f>Table1347456[[#This Row],[lnrr]]-(1.96*Table1347456[[#This Row],[se]])</f>
        <v>-0.85027135044646007</v>
      </c>
      <c r="BO257" s="20">
        <f>Table1347456[[#This Row],[lnrr]]+(1.96 * Table1347456[[#This Row],[se]])</f>
        <v>-0.3148032675854906</v>
      </c>
    </row>
    <row r="258" spans="1:67">
      <c r="A258" s="13" t="s">
        <v>128</v>
      </c>
      <c r="B258" s="13" t="s">
        <v>137</v>
      </c>
      <c r="C258" s="13" t="s">
        <v>130</v>
      </c>
      <c r="D258" s="13" t="s">
        <v>131</v>
      </c>
      <c r="E258" s="13" t="s">
        <v>132</v>
      </c>
      <c r="F258" s="13" t="s">
        <v>589</v>
      </c>
      <c r="G258" s="13" t="s">
        <v>138</v>
      </c>
      <c r="H258" s="13">
        <v>28</v>
      </c>
      <c r="I258" s="13">
        <v>1875</v>
      </c>
      <c r="K258" s="13" t="s">
        <v>831</v>
      </c>
      <c r="L258" s="13" t="s">
        <v>832</v>
      </c>
      <c r="N258" s="13" t="s">
        <v>66</v>
      </c>
      <c r="O258" s="13" t="s">
        <v>67</v>
      </c>
      <c r="P258" s="13" t="s">
        <v>141</v>
      </c>
      <c r="Q258" s="13" t="s">
        <v>48</v>
      </c>
      <c r="R258" s="4">
        <v>4</v>
      </c>
      <c r="S258" s="13" t="s">
        <v>596</v>
      </c>
      <c r="T258" s="13">
        <v>45</v>
      </c>
      <c r="U258" s="4" t="s">
        <v>134</v>
      </c>
      <c r="V258" s="4">
        <v>400</v>
      </c>
      <c r="W258" s="4" t="s">
        <v>42</v>
      </c>
      <c r="X258" s="4" t="s">
        <v>46</v>
      </c>
      <c r="Y258" s="4">
        <v>16</v>
      </c>
      <c r="AA258" s="4" t="s">
        <v>49</v>
      </c>
      <c r="AB258" s="4">
        <v>0</v>
      </c>
      <c r="AC258" s="4" t="s">
        <v>49</v>
      </c>
      <c r="AD258" s="4">
        <v>0</v>
      </c>
      <c r="AE258" s="4" t="s">
        <v>49</v>
      </c>
      <c r="AF258" s="4">
        <v>0</v>
      </c>
      <c r="AG258" s="4" t="s">
        <v>708</v>
      </c>
      <c r="AH258" s="4" t="s">
        <v>722</v>
      </c>
      <c r="AI258" s="4" t="s">
        <v>78</v>
      </c>
      <c r="AJ258" s="13">
        <v>0</v>
      </c>
      <c r="AK258" s="13">
        <v>20</v>
      </c>
      <c r="AL258" s="13" t="s">
        <v>493</v>
      </c>
      <c r="AM258" s="13">
        <v>1.6</v>
      </c>
      <c r="AN258" s="13" t="s">
        <v>494</v>
      </c>
      <c r="AO258" s="13" t="s">
        <v>495</v>
      </c>
      <c r="AP258" s="13" t="s">
        <v>50</v>
      </c>
      <c r="AQ258" s="13" t="s">
        <v>49</v>
      </c>
      <c r="AR258" s="13" t="s">
        <v>50</v>
      </c>
      <c r="AS258" s="13" t="s">
        <v>49</v>
      </c>
      <c r="AT258" s="13" t="s">
        <v>990</v>
      </c>
      <c r="AU258" s="13" t="s">
        <v>998</v>
      </c>
      <c r="AV258" s="14">
        <f>53.5/8</f>
        <v>6.6875</v>
      </c>
      <c r="AW258" s="14">
        <f>68.4/8</f>
        <v>8.5500000000000007</v>
      </c>
      <c r="AX258" s="14">
        <f>Table1347456[[#This Row],[treatment_mean]]/Table1347456[[#This Row],[control_mean]]</f>
        <v>0.78216374269005839</v>
      </c>
      <c r="AY258" s="14">
        <f>LN(Table1347456[[#This Row],[rr]])</f>
        <v>-0.24569117072654403</v>
      </c>
      <c r="AZ258" s="13">
        <v>4</v>
      </c>
      <c r="BA258" s="13">
        <v>4</v>
      </c>
      <c r="BB258" s="14">
        <v>2</v>
      </c>
      <c r="BC258" s="14">
        <f>6/8</f>
        <v>0.75</v>
      </c>
      <c r="BD258" s="15">
        <f>Table1347456[[#This Row],[treatment_se]]*SQRT(Table1347456[[#This Row],[treatment_n]])</f>
        <v>4</v>
      </c>
      <c r="BE258" s="14">
        <f>Table1347456[[#This Row],[control_se]]*SQRT(Table1347456[[#This Row],[control_n]])</f>
        <v>1.5</v>
      </c>
      <c r="BF25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9.7134801059879858E-2</v>
      </c>
      <c r="BG258" s="17">
        <f>SQRT(Table1347456[[#This Row],[v_from_sd_and_n]])</f>
        <v>0.31166456497311312</v>
      </c>
      <c r="BH258" s="13" t="s">
        <v>50</v>
      </c>
      <c r="BI258" s="13">
        <v>2.5000000000000001E-2</v>
      </c>
      <c r="BJ258" s="18">
        <f>ABS(_xlfn.NORM.S.INV(Table1347456[[#This Row],[p_value]]/2))</f>
        <v>2.2414027276049446</v>
      </c>
      <c r="BK258" s="19">
        <f>(Table1347456[[#This Row],[lnrr]]/Table1347456[[#This Row],[z_from_p]])^2</f>
        <v>1.2015429713634221E-2</v>
      </c>
      <c r="BL258" s="16">
        <f>Table1347456[[#This Row],[v_from_sd_and_n]]</f>
        <v>9.7134801059879858E-2</v>
      </c>
      <c r="BM258" s="20">
        <f>SQRT(Table1347456[[#This Row],[v]])</f>
        <v>0.31166456497311312</v>
      </c>
      <c r="BN258" s="20">
        <f>Table1347456[[#This Row],[lnrr]]-(1.96*Table1347456[[#This Row],[se]])</f>
        <v>-0.85655371807384573</v>
      </c>
      <c r="BO258" s="20">
        <f>Table1347456[[#This Row],[lnrr]]+(1.96 * Table1347456[[#This Row],[se]])</f>
        <v>0.36517137662075771</v>
      </c>
    </row>
    <row r="259" spans="1:67">
      <c r="A259" s="13" t="s">
        <v>128</v>
      </c>
      <c r="B259" s="13" t="s">
        <v>137</v>
      </c>
      <c r="C259" s="13" t="s">
        <v>130</v>
      </c>
      <c r="D259" s="13" t="s">
        <v>131</v>
      </c>
      <c r="E259" s="13" t="s">
        <v>132</v>
      </c>
      <c r="F259" s="13" t="s">
        <v>589</v>
      </c>
      <c r="G259" s="13" t="s">
        <v>138</v>
      </c>
      <c r="H259" s="13">
        <v>28</v>
      </c>
      <c r="I259" s="13">
        <v>1875</v>
      </c>
      <c r="K259" s="13" t="s">
        <v>831</v>
      </c>
      <c r="L259" s="13" t="s">
        <v>832</v>
      </c>
      <c r="N259" s="13" t="s">
        <v>66</v>
      </c>
      <c r="O259" s="13" t="s">
        <v>67</v>
      </c>
      <c r="P259" s="13" t="s">
        <v>141</v>
      </c>
      <c r="Q259" s="13" t="s">
        <v>48</v>
      </c>
      <c r="R259" s="4">
        <v>4</v>
      </c>
      <c r="S259" s="13" t="s">
        <v>596</v>
      </c>
      <c r="T259" s="13">
        <v>45</v>
      </c>
      <c r="U259" s="4" t="s">
        <v>135</v>
      </c>
      <c r="V259" s="4">
        <v>400</v>
      </c>
      <c r="W259" s="4" t="s">
        <v>42</v>
      </c>
      <c r="X259" s="4" t="s">
        <v>46</v>
      </c>
      <c r="Y259" s="4">
        <v>16</v>
      </c>
      <c r="AA259" s="4" t="s">
        <v>49</v>
      </c>
      <c r="AB259" s="4">
        <v>0</v>
      </c>
      <c r="AC259" s="4" t="s">
        <v>49</v>
      </c>
      <c r="AD259" s="4">
        <v>0</v>
      </c>
      <c r="AE259" s="4" t="s">
        <v>49</v>
      </c>
      <c r="AF259" s="4">
        <v>0</v>
      </c>
      <c r="AG259" s="4" t="s">
        <v>750</v>
      </c>
      <c r="AH259" s="4" t="s">
        <v>722</v>
      </c>
      <c r="AI259" s="4" t="s">
        <v>78</v>
      </c>
      <c r="AJ259" s="13">
        <v>0</v>
      </c>
      <c r="AK259" s="13">
        <v>20</v>
      </c>
      <c r="AL259" s="13" t="s">
        <v>493</v>
      </c>
      <c r="AM259" s="13">
        <v>1.6</v>
      </c>
      <c r="AN259" s="13" t="s">
        <v>494</v>
      </c>
      <c r="AO259" s="13" t="s">
        <v>495</v>
      </c>
      <c r="AP259" s="13" t="s">
        <v>50</v>
      </c>
      <c r="AQ259" s="13" t="s">
        <v>49</v>
      </c>
      <c r="AR259" s="13" t="s">
        <v>50</v>
      </c>
      <c r="AS259" s="13" t="s">
        <v>49</v>
      </c>
      <c r="AT259" s="13" t="s">
        <v>990</v>
      </c>
      <c r="AU259" s="13" t="s">
        <v>998</v>
      </c>
      <c r="AV259" s="14">
        <f>65.2/8</f>
        <v>8.15</v>
      </c>
      <c r="AW259" s="14">
        <f>68.4/8</f>
        <v>8.5500000000000007</v>
      </c>
      <c r="AX259" s="14">
        <f>Table1347456[[#This Row],[treatment_mean]]/Table1347456[[#This Row],[control_mean]]</f>
        <v>0.95321637426900585</v>
      </c>
      <c r="AY259" s="14">
        <f>LN(Table1347456[[#This Row],[rr]])</f>
        <v>-4.7913355695897504E-2</v>
      </c>
      <c r="AZ259" s="13">
        <v>4</v>
      </c>
      <c r="BA259" s="13">
        <v>4</v>
      </c>
      <c r="BB259" s="14">
        <v>3.7</v>
      </c>
      <c r="BC259" s="14">
        <f>6/8</f>
        <v>0.75</v>
      </c>
      <c r="BD259" s="15">
        <f>Table1347456[[#This Row],[treatment_se]]*SQRT(Table1347456[[#This Row],[treatment_n]])</f>
        <v>7.4</v>
      </c>
      <c r="BE259" s="14">
        <f>Table1347456[[#This Row],[control_se]]*SQRT(Table1347456[[#This Row],[control_n]])</f>
        <v>1.5</v>
      </c>
      <c r="BF25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0.21379953433095994</v>
      </c>
      <c r="BG259" s="17">
        <f>SQRT(Table1347456[[#This Row],[v_from_sd_and_n]])</f>
        <v>0.46238461731653652</v>
      </c>
      <c r="BH259" s="13" t="s">
        <v>50</v>
      </c>
      <c r="BI259" s="13">
        <v>2.5000000000000001E-2</v>
      </c>
      <c r="BJ259" s="18">
        <f>ABS(_xlfn.NORM.S.INV(Table1347456[[#This Row],[p_value]]/2))</f>
        <v>2.2414027276049446</v>
      </c>
      <c r="BK259" s="19">
        <f>(Table1347456[[#This Row],[lnrr]]/Table1347456[[#This Row],[z_from_p]])^2</f>
        <v>4.569549485094069E-4</v>
      </c>
      <c r="BL259" s="16">
        <f>Table1347456[[#This Row],[v_from_sd_and_n]]</f>
        <v>0.21379953433095994</v>
      </c>
      <c r="BM259" s="20">
        <f>SQRT(Table1347456[[#This Row],[v]])</f>
        <v>0.46238461731653652</v>
      </c>
      <c r="BN259" s="20">
        <f>Table1347456[[#This Row],[lnrr]]-(1.96*Table1347456[[#This Row],[se]])</f>
        <v>-0.9541872056363091</v>
      </c>
      <c r="BO259" s="20">
        <f>Table1347456[[#This Row],[lnrr]]+(1.96 * Table1347456[[#This Row],[se]])</f>
        <v>0.85836049424451411</v>
      </c>
    </row>
    <row r="260" spans="1:67" ht="14" customHeight="1">
      <c r="A260" s="13" t="s">
        <v>128</v>
      </c>
      <c r="B260" s="13" t="s">
        <v>137</v>
      </c>
      <c r="C260" s="13" t="s">
        <v>130</v>
      </c>
      <c r="D260" s="13" t="s">
        <v>131</v>
      </c>
      <c r="E260" s="13" t="s">
        <v>132</v>
      </c>
      <c r="F260" s="13" t="s">
        <v>589</v>
      </c>
      <c r="G260" s="13" t="s">
        <v>138</v>
      </c>
      <c r="H260" s="13">
        <v>28</v>
      </c>
      <c r="I260" s="13">
        <v>1875</v>
      </c>
      <c r="K260" s="13" t="s">
        <v>831</v>
      </c>
      <c r="L260" s="13" t="s">
        <v>832</v>
      </c>
      <c r="N260" s="13" t="s">
        <v>66</v>
      </c>
      <c r="O260" s="13" t="s">
        <v>67</v>
      </c>
      <c r="P260" s="13" t="s">
        <v>141</v>
      </c>
      <c r="Q260" s="13" t="s">
        <v>48</v>
      </c>
      <c r="R260" s="4">
        <v>4</v>
      </c>
      <c r="S260" s="13" t="s">
        <v>596</v>
      </c>
      <c r="T260" s="13">
        <v>45</v>
      </c>
      <c r="U260" s="4" t="s">
        <v>136</v>
      </c>
      <c r="V260" s="4">
        <v>400</v>
      </c>
      <c r="W260" s="4" t="s">
        <v>42</v>
      </c>
      <c r="X260" s="4" t="s">
        <v>46</v>
      </c>
      <c r="Y260" s="4">
        <v>16</v>
      </c>
      <c r="AA260" s="4" t="s">
        <v>49</v>
      </c>
      <c r="AB260" s="4">
        <v>0</v>
      </c>
      <c r="AC260" s="4" t="s">
        <v>49</v>
      </c>
      <c r="AD260" s="4">
        <v>0</v>
      </c>
      <c r="AE260" s="4" t="s">
        <v>49</v>
      </c>
      <c r="AF260" s="4">
        <v>0</v>
      </c>
      <c r="AG260" s="4" t="s">
        <v>776</v>
      </c>
      <c r="AH260" s="4" t="s">
        <v>722</v>
      </c>
      <c r="AI260" s="4" t="s">
        <v>78</v>
      </c>
      <c r="AJ260" s="13">
        <v>0</v>
      </c>
      <c r="AK260" s="13">
        <v>20</v>
      </c>
      <c r="AL260" s="13" t="s">
        <v>493</v>
      </c>
      <c r="AM260" s="13">
        <v>1.6</v>
      </c>
      <c r="AN260" s="13" t="s">
        <v>494</v>
      </c>
      <c r="AO260" s="13" t="s">
        <v>495</v>
      </c>
      <c r="AP260" s="13" t="s">
        <v>50</v>
      </c>
      <c r="AQ260" s="13" t="s">
        <v>49</v>
      </c>
      <c r="AR260" s="13" t="s">
        <v>50</v>
      </c>
      <c r="AS260" s="13" t="s">
        <v>49</v>
      </c>
      <c r="AT260" s="13" t="s">
        <v>990</v>
      </c>
      <c r="AU260" s="13" t="s">
        <v>998</v>
      </c>
      <c r="AV260" s="14">
        <f>65.3/8</f>
        <v>8.1624999999999996</v>
      </c>
      <c r="AW260" s="14">
        <f>68.4/8</f>
        <v>8.5500000000000007</v>
      </c>
      <c r="AX260" s="14">
        <f>Table1347456[[#This Row],[treatment_mean]]/Table1347456[[#This Row],[control_mean]]</f>
        <v>0.95467836257309935</v>
      </c>
      <c r="AY260" s="14">
        <f>LN(Table1347456[[#This Row],[rr]])</f>
        <v>-4.6380788346119473E-2</v>
      </c>
      <c r="AZ260" s="13">
        <v>4</v>
      </c>
      <c r="BA260" s="13">
        <v>4</v>
      </c>
      <c r="BB260" s="14">
        <f>(5.9/8)</f>
        <v>0.73750000000000004</v>
      </c>
      <c r="BC260" s="14">
        <f>(6/8)</f>
        <v>0.75</v>
      </c>
      <c r="BD260" s="15">
        <f>Table1347456[[#This Row],[treatment_se]]*SQRT(Table1347456[[#This Row],[treatment_n]])</f>
        <v>1.4750000000000001</v>
      </c>
      <c r="BE260" s="14">
        <f>Table1347456[[#This Row],[control_se]]*SQRT(Table1347456[[#This Row],[control_n]])</f>
        <v>1.5</v>
      </c>
      <c r="BF26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1.5858199037719456E-2</v>
      </c>
      <c r="BG260" s="17">
        <f>SQRT(Table1347456[[#This Row],[v_from_sd_and_n]])</f>
        <v>0.12592934144876425</v>
      </c>
      <c r="BH260" s="13" t="s">
        <v>50</v>
      </c>
      <c r="BI260" s="13">
        <v>2.5000000000000001E-2</v>
      </c>
      <c r="BJ260" s="18">
        <f>ABS(_xlfn.NORM.S.INV(Table1347456[[#This Row],[p_value]]/2))</f>
        <v>2.2414027276049446</v>
      </c>
      <c r="BK260" s="19">
        <f>(Table1347456[[#This Row],[lnrr]]/Table1347456[[#This Row],[z_from_p]])^2</f>
        <v>4.2818994049649654E-4</v>
      </c>
      <c r="BL260" s="16">
        <f>Table1347456[[#This Row],[v_from_sd_and_n]]</f>
        <v>1.5858199037719456E-2</v>
      </c>
      <c r="BM260" s="20">
        <f>SQRT(Table1347456[[#This Row],[v]])</f>
        <v>0.12592934144876425</v>
      </c>
      <c r="BN260" s="20">
        <f>Table1347456[[#This Row],[lnrr]]-(1.96*Table1347456[[#This Row],[se]])</f>
        <v>-0.29320229758569738</v>
      </c>
      <c r="BO260" s="20">
        <f>Table1347456[[#This Row],[lnrr]]+(1.96 * Table1347456[[#This Row],[se]])</f>
        <v>0.20044072089345846</v>
      </c>
    </row>
    <row r="261" spans="1:67">
      <c r="A261" s="13" t="s">
        <v>128</v>
      </c>
      <c r="B261" s="13" t="s">
        <v>734</v>
      </c>
      <c r="C261" s="13" t="s">
        <v>130</v>
      </c>
      <c r="D261" s="13" t="s">
        <v>131</v>
      </c>
      <c r="E261" s="13" t="s">
        <v>132</v>
      </c>
      <c r="F261" s="13" t="s">
        <v>589</v>
      </c>
      <c r="G261" s="13" t="s">
        <v>138</v>
      </c>
      <c r="H261" s="13">
        <v>28</v>
      </c>
      <c r="I261" s="13">
        <v>1875</v>
      </c>
      <c r="K261" s="13" t="s">
        <v>831</v>
      </c>
      <c r="L261" s="13" t="s">
        <v>832</v>
      </c>
      <c r="N261" s="13" t="s">
        <v>638</v>
      </c>
      <c r="O261" s="13" t="s">
        <v>54</v>
      </c>
      <c r="P261" s="13" t="s">
        <v>143</v>
      </c>
      <c r="Q261" s="13" t="s">
        <v>48</v>
      </c>
      <c r="R261" s="4">
        <v>4</v>
      </c>
      <c r="S261" s="13" t="s">
        <v>596</v>
      </c>
      <c r="T261" s="13">
        <v>45</v>
      </c>
      <c r="U261" s="4" t="s">
        <v>133</v>
      </c>
      <c r="V261" s="4">
        <v>400</v>
      </c>
      <c r="W261" s="4" t="s">
        <v>42</v>
      </c>
      <c r="X261" s="4">
        <v>560</v>
      </c>
      <c r="Y261" s="4">
        <v>80</v>
      </c>
      <c r="AA261" s="4" t="s">
        <v>49</v>
      </c>
      <c r="AB261" s="4">
        <v>0</v>
      </c>
      <c r="AC261" s="4" t="s">
        <v>49</v>
      </c>
      <c r="AD261" s="4">
        <v>0</v>
      </c>
      <c r="AE261" s="4" t="s">
        <v>49</v>
      </c>
      <c r="AF261" s="4">
        <v>0</v>
      </c>
      <c r="AG261" s="4" t="s">
        <v>46</v>
      </c>
      <c r="AH261" s="4" t="s">
        <v>722</v>
      </c>
      <c r="AI261" s="4" t="s">
        <v>78</v>
      </c>
      <c r="AJ261" s="13">
        <v>0</v>
      </c>
      <c r="AK261" s="13">
        <v>20</v>
      </c>
      <c r="AL261" s="13" t="s">
        <v>493</v>
      </c>
      <c r="AM261" s="13">
        <v>1.6</v>
      </c>
      <c r="AN261" s="13" t="s">
        <v>494</v>
      </c>
      <c r="AO261" s="13" t="s">
        <v>495</v>
      </c>
      <c r="AP261" s="13" t="s">
        <v>50</v>
      </c>
      <c r="AQ261" s="13" t="s">
        <v>49</v>
      </c>
      <c r="AR261" s="13" t="s">
        <v>50</v>
      </c>
      <c r="AS261" s="13" t="s">
        <v>49</v>
      </c>
      <c r="AT261" s="13" t="s">
        <v>990</v>
      </c>
      <c r="AU261" s="13" t="s">
        <v>998</v>
      </c>
      <c r="AV261" s="14">
        <f>(201.41*2)/1.6/1000</f>
        <v>0.2517625</v>
      </c>
      <c r="AW261" s="14">
        <f>(30.99*2)/1.6/1000</f>
        <v>3.8737499999999994E-2</v>
      </c>
      <c r="AX261" s="14">
        <f>Table1347456[[#This Row],[treatment_mean]]/Table1347456[[#This Row],[control_mean]]</f>
        <v>6.4991932881574712</v>
      </c>
      <c r="AY261" s="14">
        <f>LN(Table1347456[[#This Row],[rr]])</f>
        <v>1.8716780596851332</v>
      </c>
      <c r="AZ261" s="13">
        <v>4</v>
      </c>
      <c r="BA261" s="13">
        <v>4</v>
      </c>
      <c r="BB261" s="14">
        <f>(11.27*2)/1.6/1000</f>
        <v>1.4087499999999999E-2</v>
      </c>
      <c r="BC261" s="14">
        <f>(3.52*2)/1.6/1000</f>
        <v>4.3999999999999994E-3</v>
      </c>
      <c r="BD261" s="15">
        <f>Table1347456[[#This Row],[treatment_se]]*SQRT(Table1347456[[#This Row],[treatment_n]])</f>
        <v>2.8174999999999999E-2</v>
      </c>
      <c r="BE261" s="14">
        <f>Table1347456[[#This Row],[control_se]]*SQRT(Table1347456[[#This Row],[control_n]])</f>
        <v>8.7999999999999988E-3</v>
      </c>
      <c r="BF26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1.603257796134137E-2</v>
      </c>
      <c r="BG261" s="17">
        <f>SQRT(Table1347456[[#This Row],[v_from_sd_and_n]])</f>
        <v>0.12661981662181229</v>
      </c>
      <c r="BH261" s="13" t="s">
        <v>50</v>
      </c>
      <c r="BI261" s="13">
        <v>2.5000000000000001E-2</v>
      </c>
      <c r="BJ261" s="18">
        <f>ABS(_xlfn.NORM.S.INV(Table1347456[[#This Row],[p_value]]/2))</f>
        <v>2.2414027276049446</v>
      </c>
      <c r="BK261" s="19">
        <f>(Table1347456[[#This Row],[lnrr]]/Table1347456[[#This Row],[z_from_p]])^2</f>
        <v>0.69730456234301119</v>
      </c>
      <c r="BL261" s="16">
        <f>Table1347456[[#This Row],[v_from_sd_and_n]]</f>
        <v>1.603257796134137E-2</v>
      </c>
      <c r="BM261" s="20">
        <f>SQRT(Table1347456[[#This Row],[v]])</f>
        <v>0.12661981662181229</v>
      </c>
      <c r="BN261" s="20">
        <f>Table1347456[[#This Row],[lnrr]]-(1.96*Table1347456[[#This Row],[se]])</f>
        <v>1.6235032191063812</v>
      </c>
      <c r="BO261" s="20">
        <f>Table1347456[[#This Row],[lnrr]]+(1.96 * Table1347456[[#This Row],[se]])</f>
        <v>2.1198529002638855</v>
      </c>
    </row>
    <row r="262" spans="1:67">
      <c r="A262" s="13" t="s">
        <v>128</v>
      </c>
      <c r="B262" s="13" t="s">
        <v>142</v>
      </c>
      <c r="C262" s="13" t="s">
        <v>130</v>
      </c>
      <c r="D262" s="13" t="s">
        <v>131</v>
      </c>
      <c r="E262" s="13" t="s">
        <v>132</v>
      </c>
      <c r="F262" s="13" t="s">
        <v>589</v>
      </c>
      <c r="G262" s="13" t="s">
        <v>138</v>
      </c>
      <c r="H262" s="13">
        <v>28</v>
      </c>
      <c r="I262" s="13">
        <v>1875</v>
      </c>
      <c r="K262" s="13" t="s">
        <v>831</v>
      </c>
      <c r="L262" s="13" t="s">
        <v>832</v>
      </c>
      <c r="N262" s="13" t="s">
        <v>638</v>
      </c>
      <c r="O262" s="13" t="s">
        <v>54</v>
      </c>
      <c r="P262" s="13" t="s">
        <v>143</v>
      </c>
      <c r="Q262" s="13" t="s">
        <v>48</v>
      </c>
      <c r="R262" s="4">
        <v>4</v>
      </c>
      <c r="S262" s="13" t="s">
        <v>596</v>
      </c>
      <c r="T262" s="13">
        <v>45</v>
      </c>
      <c r="U262" s="4" t="s">
        <v>133</v>
      </c>
      <c r="V262" s="4">
        <v>500</v>
      </c>
      <c r="W262" s="4" t="s">
        <v>601</v>
      </c>
      <c r="X262" s="4">
        <v>581</v>
      </c>
      <c r="Y262" s="4">
        <v>80</v>
      </c>
      <c r="AA262" s="4" t="s">
        <v>49</v>
      </c>
      <c r="AB262" s="4">
        <v>0</v>
      </c>
      <c r="AC262" s="4" t="s">
        <v>49</v>
      </c>
      <c r="AD262" s="4">
        <v>0</v>
      </c>
      <c r="AE262" s="4" t="s">
        <v>49</v>
      </c>
      <c r="AF262" s="4">
        <v>0</v>
      </c>
      <c r="AG262" s="4" t="s">
        <v>46</v>
      </c>
      <c r="AH262" s="4" t="s">
        <v>722</v>
      </c>
      <c r="AI262" s="4" t="s">
        <v>78</v>
      </c>
      <c r="AJ262" s="13">
        <v>0</v>
      </c>
      <c r="AK262" s="13">
        <v>20</v>
      </c>
      <c r="AL262" s="13" t="s">
        <v>493</v>
      </c>
      <c r="AM262" s="13">
        <v>1.6</v>
      </c>
      <c r="AN262" s="13" t="s">
        <v>494</v>
      </c>
      <c r="AO262" s="13" t="s">
        <v>495</v>
      </c>
      <c r="AP262" s="13" t="s">
        <v>50</v>
      </c>
      <c r="AQ262" s="13" t="s">
        <v>49</v>
      </c>
      <c r="AR262" s="13" t="s">
        <v>50</v>
      </c>
      <c r="AS262" s="13" t="s">
        <v>49</v>
      </c>
      <c r="AT262" s="13" t="s">
        <v>990</v>
      </c>
      <c r="AU262" s="13" t="s">
        <v>998</v>
      </c>
      <c r="AV262" s="14">
        <f>(243.66*2)/1.6/1000</f>
        <v>0.30457499999999998</v>
      </c>
      <c r="AW262" s="14">
        <f t="shared" ref="AW262:AW272" si="13">(30.99*2)/1.6/1000</f>
        <v>3.8737499999999994E-2</v>
      </c>
      <c r="AX262" s="14">
        <f>Table1347456[[#This Row],[treatment_mean]]/Table1347456[[#This Row],[control_mean]]</f>
        <v>7.8625363020329146</v>
      </c>
      <c r="AY262" s="14">
        <f>LN(Table1347456[[#This Row],[rr]])</f>
        <v>2.0621092391266047</v>
      </c>
      <c r="AZ262" s="13">
        <v>4</v>
      </c>
      <c r="BA262" s="13">
        <v>4</v>
      </c>
      <c r="BB262" s="14">
        <f>(9.16*2)/1.6/1000</f>
        <v>1.145E-2</v>
      </c>
      <c r="BC262" s="14">
        <f t="shared" ref="BC262:BC272" si="14">(3.52*2)/1.6/1000</f>
        <v>4.3999999999999994E-3</v>
      </c>
      <c r="BD262" s="15">
        <f>Table1347456[[#This Row],[treatment_se]]*SQRT(Table1347456[[#This Row],[treatment_n]])</f>
        <v>2.29E-2</v>
      </c>
      <c r="BE262" s="14">
        <f>Table1347456[[#This Row],[control_se]]*SQRT(Table1347456[[#This Row],[control_n]])</f>
        <v>8.7999999999999988E-3</v>
      </c>
      <c r="BF26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1.4314819758983102E-2</v>
      </c>
      <c r="BG262" s="17">
        <f>SQRT(Table1347456[[#This Row],[v_from_sd_and_n]])</f>
        <v>0.11964455591034262</v>
      </c>
      <c r="BH262" s="13" t="s">
        <v>50</v>
      </c>
      <c r="BI262" s="13">
        <v>2.5000000000000001E-2</v>
      </c>
      <c r="BJ262" s="18">
        <f>ABS(_xlfn.NORM.S.INV(Table1347456[[#This Row],[p_value]]/2))</f>
        <v>2.2414027276049446</v>
      </c>
      <c r="BK262" s="19">
        <f>(Table1347456[[#This Row],[lnrr]]/Table1347456[[#This Row],[z_from_p]])^2</f>
        <v>0.84641537557681545</v>
      </c>
      <c r="BL262" s="16">
        <f>Table1347456[[#This Row],[v_from_sd_and_n]]</f>
        <v>1.4314819758983102E-2</v>
      </c>
      <c r="BM262" s="20">
        <f>SQRT(Table1347456[[#This Row],[v]])</f>
        <v>0.11964455591034262</v>
      </c>
      <c r="BN262" s="20">
        <f>Table1347456[[#This Row],[lnrr]]-(1.96*Table1347456[[#This Row],[se]])</f>
        <v>1.8276059095423332</v>
      </c>
      <c r="BO262" s="20">
        <f>Table1347456[[#This Row],[lnrr]]+(1.96 * Table1347456[[#This Row],[se]])</f>
        <v>2.2966125687108763</v>
      </c>
    </row>
    <row r="263" spans="1:67">
      <c r="A263" s="13" t="s">
        <v>128</v>
      </c>
      <c r="B263" s="13" t="s">
        <v>142</v>
      </c>
      <c r="C263" s="13" t="s">
        <v>130</v>
      </c>
      <c r="D263" s="13" t="s">
        <v>131</v>
      </c>
      <c r="E263" s="13" t="s">
        <v>132</v>
      </c>
      <c r="F263" s="13" t="s">
        <v>589</v>
      </c>
      <c r="G263" s="13" t="s">
        <v>138</v>
      </c>
      <c r="H263" s="13">
        <v>28</v>
      </c>
      <c r="I263" s="13">
        <v>1875</v>
      </c>
      <c r="K263" s="13" t="s">
        <v>831</v>
      </c>
      <c r="L263" s="13" t="s">
        <v>832</v>
      </c>
      <c r="N263" s="13" t="s">
        <v>638</v>
      </c>
      <c r="O263" s="13" t="s">
        <v>54</v>
      </c>
      <c r="P263" s="13" t="s">
        <v>143</v>
      </c>
      <c r="Q263" s="13" t="s">
        <v>48</v>
      </c>
      <c r="R263" s="4">
        <v>4</v>
      </c>
      <c r="S263" s="13" t="s">
        <v>596</v>
      </c>
      <c r="T263" s="13">
        <v>45</v>
      </c>
      <c r="U263" s="4" t="s">
        <v>133</v>
      </c>
      <c r="V263" s="4">
        <v>600</v>
      </c>
      <c r="W263" s="4" t="s">
        <v>602</v>
      </c>
      <c r="X263" s="4">
        <v>554</v>
      </c>
      <c r="Y263" s="4">
        <v>80</v>
      </c>
      <c r="AA263" s="4" t="s">
        <v>49</v>
      </c>
      <c r="AB263" s="4">
        <v>0</v>
      </c>
      <c r="AC263" s="4" t="s">
        <v>49</v>
      </c>
      <c r="AD263" s="4">
        <v>0</v>
      </c>
      <c r="AE263" s="4" t="s">
        <v>49</v>
      </c>
      <c r="AF263" s="4">
        <v>0</v>
      </c>
      <c r="AG263" s="4" t="s">
        <v>46</v>
      </c>
      <c r="AH263" s="4" t="s">
        <v>722</v>
      </c>
      <c r="AI263" s="4" t="s">
        <v>78</v>
      </c>
      <c r="AJ263" s="13">
        <v>0</v>
      </c>
      <c r="AK263" s="13">
        <v>20</v>
      </c>
      <c r="AL263" s="13" t="s">
        <v>493</v>
      </c>
      <c r="AM263" s="13">
        <v>1.6</v>
      </c>
      <c r="AN263" s="13" t="s">
        <v>494</v>
      </c>
      <c r="AO263" s="13" t="s">
        <v>495</v>
      </c>
      <c r="AP263" s="13" t="s">
        <v>50</v>
      </c>
      <c r="AQ263" s="13" t="s">
        <v>49</v>
      </c>
      <c r="AR263" s="13" t="s">
        <v>50</v>
      </c>
      <c r="AS263" s="13" t="s">
        <v>49</v>
      </c>
      <c r="AT263" s="13" t="s">
        <v>990</v>
      </c>
      <c r="AU263" s="13" t="s">
        <v>998</v>
      </c>
      <c r="AV263" s="14">
        <f>(231.69*2)/1.6/1000</f>
        <v>0.28961249999999994</v>
      </c>
      <c r="AW263" s="14">
        <f t="shared" si="13"/>
        <v>3.8737499999999994E-2</v>
      </c>
      <c r="AX263" s="14">
        <f>Table1347456[[#This Row],[treatment_mean]]/Table1347456[[#This Row],[control_mean]]</f>
        <v>7.4762826718296216</v>
      </c>
      <c r="AY263" s="14">
        <f>LN(Table1347456[[#This Row],[rr]])</f>
        <v>2.0117356994496252</v>
      </c>
      <c r="AZ263" s="13">
        <v>4</v>
      </c>
      <c r="BA263" s="13">
        <v>4</v>
      </c>
      <c r="BB263" s="14">
        <f>(4.93*2)/1.6/1000</f>
        <v>6.1624999999999996E-3</v>
      </c>
      <c r="BC263" s="14">
        <f t="shared" si="14"/>
        <v>4.3999999999999994E-3</v>
      </c>
      <c r="BD263" s="15">
        <f>Table1347456[[#This Row],[treatment_se]]*SQRT(Table1347456[[#This Row],[treatment_n]])</f>
        <v>1.2324999999999999E-2</v>
      </c>
      <c r="BE263" s="14">
        <f>Table1347456[[#This Row],[control_se]]*SQRT(Table1347456[[#This Row],[control_n]])</f>
        <v>8.7999999999999988E-3</v>
      </c>
      <c r="BF26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1.3354330140760696E-2</v>
      </c>
      <c r="BG263" s="17">
        <f>SQRT(Table1347456[[#This Row],[v_from_sd_and_n]])</f>
        <v>0.11556093691538112</v>
      </c>
      <c r="BH263" s="13" t="s">
        <v>50</v>
      </c>
      <c r="BI263" s="13">
        <v>2.5000000000000001E-2</v>
      </c>
      <c r="BJ263" s="18">
        <f>ABS(_xlfn.NORM.S.INV(Table1347456[[#This Row],[p_value]]/2))</f>
        <v>2.2414027276049446</v>
      </c>
      <c r="BK263" s="19">
        <f>(Table1347456[[#This Row],[lnrr]]/Table1347456[[#This Row],[z_from_p]])^2</f>
        <v>0.80556771661324467</v>
      </c>
      <c r="BL263" s="16">
        <f>Table1347456[[#This Row],[v_from_sd_and_n]]</f>
        <v>1.3354330140760696E-2</v>
      </c>
      <c r="BM263" s="20">
        <f>SQRT(Table1347456[[#This Row],[v]])</f>
        <v>0.11556093691538112</v>
      </c>
      <c r="BN263" s="20">
        <f>Table1347456[[#This Row],[lnrr]]-(1.96*Table1347456[[#This Row],[se]])</f>
        <v>1.7852362630954781</v>
      </c>
      <c r="BO263" s="20">
        <f>Table1347456[[#This Row],[lnrr]]+(1.96 * Table1347456[[#This Row],[se]])</f>
        <v>2.2382351358037722</v>
      </c>
    </row>
    <row r="264" spans="1:67">
      <c r="A264" s="13" t="s">
        <v>128</v>
      </c>
      <c r="B264" s="13" t="s">
        <v>142</v>
      </c>
      <c r="C264" s="13" t="s">
        <v>130</v>
      </c>
      <c r="D264" s="13" t="s">
        <v>131</v>
      </c>
      <c r="E264" s="13" t="s">
        <v>132</v>
      </c>
      <c r="F264" s="13" t="s">
        <v>589</v>
      </c>
      <c r="G264" s="13" t="s">
        <v>138</v>
      </c>
      <c r="H264" s="13">
        <v>28</v>
      </c>
      <c r="I264" s="13">
        <v>1875</v>
      </c>
      <c r="K264" s="13" t="s">
        <v>831</v>
      </c>
      <c r="L264" s="13" t="s">
        <v>832</v>
      </c>
      <c r="N264" s="13" t="s">
        <v>638</v>
      </c>
      <c r="O264" s="13" t="s">
        <v>54</v>
      </c>
      <c r="P264" s="13" t="s">
        <v>143</v>
      </c>
      <c r="Q264" s="13" t="s">
        <v>48</v>
      </c>
      <c r="R264" s="4">
        <v>4</v>
      </c>
      <c r="S264" s="13" t="s">
        <v>596</v>
      </c>
      <c r="T264" s="13">
        <v>45</v>
      </c>
      <c r="U264" s="4" t="s">
        <v>134</v>
      </c>
      <c r="V264" s="4">
        <v>400</v>
      </c>
      <c r="W264" s="4" t="s">
        <v>42</v>
      </c>
      <c r="X264" s="4">
        <v>367</v>
      </c>
      <c r="Y264" s="4">
        <v>80</v>
      </c>
      <c r="AA264" s="4" t="s">
        <v>49</v>
      </c>
      <c r="AB264" s="4">
        <v>0</v>
      </c>
      <c r="AC264" s="4" t="s">
        <v>49</v>
      </c>
      <c r="AD264" s="4">
        <v>0</v>
      </c>
      <c r="AE264" s="4" t="s">
        <v>49</v>
      </c>
      <c r="AF264" s="4">
        <v>0</v>
      </c>
      <c r="AG264" s="4" t="s">
        <v>46</v>
      </c>
      <c r="AH264" s="4" t="s">
        <v>722</v>
      </c>
      <c r="AI264" s="4" t="s">
        <v>78</v>
      </c>
      <c r="AJ264" s="13">
        <v>0</v>
      </c>
      <c r="AK264" s="13">
        <v>20</v>
      </c>
      <c r="AL264" s="13" t="s">
        <v>493</v>
      </c>
      <c r="AM264" s="13">
        <v>1.6</v>
      </c>
      <c r="AN264" s="13" t="s">
        <v>494</v>
      </c>
      <c r="AO264" s="13" t="s">
        <v>495</v>
      </c>
      <c r="AP264" s="13" t="s">
        <v>50</v>
      </c>
      <c r="AQ264" s="13" t="s">
        <v>49</v>
      </c>
      <c r="AR264" s="13" t="s">
        <v>50</v>
      </c>
      <c r="AS264" s="13" t="s">
        <v>49</v>
      </c>
      <c r="AT264" s="13" t="s">
        <v>990</v>
      </c>
      <c r="AU264" s="13" t="s">
        <v>998</v>
      </c>
      <c r="AV264" s="14">
        <f>(119.01*2)/1.6/1000</f>
        <v>0.14876249999999999</v>
      </c>
      <c r="AW264" s="14">
        <f t="shared" si="13"/>
        <v>3.8737499999999994E-2</v>
      </c>
      <c r="AX264" s="14">
        <f>Table1347456[[#This Row],[treatment_mean]]/Table1347456[[#This Row],[control_mean]]</f>
        <v>3.8402710551790906</v>
      </c>
      <c r="AY264" s="14">
        <f>LN(Table1347456[[#This Row],[rr]])</f>
        <v>1.3455429513946917</v>
      </c>
      <c r="AZ264" s="13">
        <v>4</v>
      </c>
      <c r="BA264" s="13">
        <v>4</v>
      </c>
      <c r="BB264" s="14">
        <f>(3.53*2)/1.6/1000</f>
        <v>4.4124999999999998E-3</v>
      </c>
      <c r="BC264" s="14">
        <f t="shared" si="14"/>
        <v>4.3999999999999994E-3</v>
      </c>
      <c r="BD264" s="15">
        <f>Table1347456[[#This Row],[treatment_se]]*SQRT(Table1347456[[#This Row],[treatment_n]])</f>
        <v>8.8249999999999995E-3</v>
      </c>
      <c r="BE264" s="14">
        <f>Table1347456[[#This Row],[control_se]]*SQRT(Table1347456[[#This Row],[control_n]])</f>
        <v>8.7999999999999988E-3</v>
      </c>
      <c r="BF26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1.3781355503746796E-2</v>
      </c>
      <c r="BG264" s="17">
        <f>SQRT(Table1347456[[#This Row],[v_from_sd_and_n]])</f>
        <v>0.11739401817702125</v>
      </c>
      <c r="BH264" s="13" t="s">
        <v>50</v>
      </c>
      <c r="BI264" s="13">
        <v>2.5000000000000001E-2</v>
      </c>
      <c r="BJ264" s="18">
        <f>ABS(_xlfn.NORM.S.INV(Table1347456[[#This Row],[p_value]]/2))</f>
        <v>2.2414027276049446</v>
      </c>
      <c r="BK264" s="19">
        <f>(Table1347456[[#This Row],[lnrr]]/Table1347456[[#This Row],[z_from_p]])^2</f>
        <v>0.36037556714945951</v>
      </c>
      <c r="BL264" s="16">
        <f>Table1347456[[#This Row],[v_from_sd_and_n]]</f>
        <v>1.3781355503746796E-2</v>
      </c>
      <c r="BM264" s="20">
        <f>SQRT(Table1347456[[#This Row],[v]])</f>
        <v>0.11739401817702125</v>
      </c>
      <c r="BN264" s="20">
        <f>Table1347456[[#This Row],[lnrr]]-(1.96*Table1347456[[#This Row],[se]])</f>
        <v>1.11545067576773</v>
      </c>
      <c r="BO264" s="20">
        <f>Table1347456[[#This Row],[lnrr]]+(1.96 * Table1347456[[#This Row],[se]])</f>
        <v>1.5756352270216534</v>
      </c>
    </row>
    <row r="265" spans="1:67">
      <c r="A265" s="13" t="s">
        <v>128</v>
      </c>
      <c r="B265" s="13" t="s">
        <v>142</v>
      </c>
      <c r="C265" s="13" t="s">
        <v>130</v>
      </c>
      <c r="D265" s="13" t="s">
        <v>131</v>
      </c>
      <c r="E265" s="13" t="s">
        <v>132</v>
      </c>
      <c r="F265" s="13" t="s">
        <v>589</v>
      </c>
      <c r="G265" s="13" t="s">
        <v>138</v>
      </c>
      <c r="H265" s="13">
        <v>28</v>
      </c>
      <c r="I265" s="13">
        <v>1875</v>
      </c>
      <c r="K265" s="13" t="s">
        <v>831</v>
      </c>
      <c r="L265" s="13" t="s">
        <v>832</v>
      </c>
      <c r="N265" s="13" t="s">
        <v>53</v>
      </c>
      <c r="O265" s="13" t="s">
        <v>54</v>
      </c>
      <c r="P265" s="13" t="s">
        <v>143</v>
      </c>
      <c r="Q265" s="13" t="s">
        <v>48</v>
      </c>
      <c r="R265" s="4">
        <v>4</v>
      </c>
      <c r="S265" s="13" t="s">
        <v>596</v>
      </c>
      <c r="T265" s="13">
        <v>45</v>
      </c>
      <c r="U265" s="4" t="s">
        <v>134</v>
      </c>
      <c r="V265" s="4">
        <v>500</v>
      </c>
      <c r="W265" s="4" t="s">
        <v>601</v>
      </c>
      <c r="X265" s="4">
        <v>324</v>
      </c>
      <c r="Y265" s="4">
        <v>80</v>
      </c>
      <c r="AA265" s="4" t="s">
        <v>49</v>
      </c>
      <c r="AB265" s="4">
        <v>0</v>
      </c>
      <c r="AC265" s="4" t="s">
        <v>49</v>
      </c>
      <c r="AD265" s="4">
        <v>0</v>
      </c>
      <c r="AE265" s="4" t="s">
        <v>49</v>
      </c>
      <c r="AF265" s="4">
        <v>0</v>
      </c>
      <c r="AG265" s="4" t="s">
        <v>46</v>
      </c>
      <c r="AH265" s="4" t="s">
        <v>722</v>
      </c>
      <c r="AI265" s="4" t="s">
        <v>78</v>
      </c>
      <c r="AJ265" s="13">
        <v>0</v>
      </c>
      <c r="AK265" s="13">
        <v>20</v>
      </c>
      <c r="AL265" s="13" t="s">
        <v>493</v>
      </c>
      <c r="AM265" s="13">
        <v>1.6</v>
      </c>
      <c r="AN265" s="13" t="s">
        <v>494</v>
      </c>
      <c r="AO265" s="13" t="s">
        <v>495</v>
      </c>
      <c r="AP265" s="13" t="s">
        <v>50</v>
      </c>
      <c r="AQ265" s="13" t="s">
        <v>49</v>
      </c>
      <c r="AR265" s="13" t="s">
        <v>50</v>
      </c>
      <c r="AS265" s="13" t="s">
        <v>49</v>
      </c>
      <c r="AT265" s="13" t="s">
        <v>990</v>
      </c>
      <c r="AU265" s="13" t="s">
        <v>998</v>
      </c>
      <c r="AV265" s="14">
        <f>(61.97*2)/1.6/1000</f>
        <v>7.746249999999999E-2</v>
      </c>
      <c r="AW265" s="14">
        <f t="shared" si="13"/>
        <v>3.8737499999999994E-2</v>
      </c>
      <c r="AX265" s="14">
        <f>Table1347456[[#This Row],[treatment_mean]]/Table1347456[[#This Row],[control_mean]]</f>
        <v>1.9996773152629881</v>
      </c>
      <c r="AY265" s="14">
        <f>LN(Table1347456[[#This Row],[rr]])</f>
        <v>0.69298582517435925</v>
      </c>
      <c r="AZ265" s="13">
        <v>4</v>
      </c>
      <c r="BA265" s="13">
        <v>4</v>
      </c>
      <c r="BB265" s="14">
        <f>(1.41*2)/1.6/1000</f>
        <v>1.7624999999999997E-3</v>
      </c>
      <c r="BC265" s="14">
        <f t="shared" si="14"/>
        <v>4.3999999999999994E-3</v>
      </c>
      <c r="BD265" s="15">
        <f>Table1347456[[#This Row],[treatment_se]]*SQRT(Table1347456[[#This Row],[treatment_n]])</f>
        <v>3.5249999999999995E-3</v>
      </c>
      <c r="BE265" s="14">
        <f>Table1347456[[#This Row],[control_se]]*SQRT(Table1347456[[#This Row],[control_n]])</f>
        <v>8.7999999999999988E-3</v>
      </c>
      <c r="BF26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1.3419254960826944E-2</v>
      </c>
      <c r="BG265" s="17">
        <f>SQRT(Table1347456[[#This Row],[v_from_sd_and_n]])</f>
        <v>0.11584150793574359</v>
      </c>
      <c r="BH265" s="13" t="s">
        <v>50</v>
      </c>
      <c r="BI265" s="13">
        <v>2.5000000000000001E-2</v>
      </c>
      <c r="BJ265" s="18">
        <f>ABS(_xlfn.NORM.S.INV(Table1347456[[#This Row],[p_value]]/2))</f>
        <v>2.2414027276049446</v>
      </c>
      <c r="BK265" s="19">
        <f>(Table1347456[[#This Row],[lnrr]]/Table1347456[[#This Row],[z_from_p]])^2</f>
        <v>9.5589218383399663E-2</v>
      </c>
      <c r="BL265" s="16">
        <f>Table1347456[[#This Row],[v_from_sd_and_n]]</f>
        <v>1.3419254960826944E-2</v>
      </c>
      <c r="BM265" s="20">
        <f>SQRT(Table1347456[[#This Row],[v]])</f>
        <v>0.11584150793574359</v>
      </c>
      <c r="BN265" s="20">
        <f>Table1347456[[#This Row],[lnrr]]-(1.96*Table1347456[[#This Row],[se]])</f>
        <v>0.46593646962030183</v>
      </c>
      <c r="BO265" s="20">
        <f>Table1347456[[#This Row],[lnrr]]+(1.96 * Table1347456[[#This Row],[se]])</f>
        <v>0.92003518072841661</v>
      </c>
    </row>
    <row r="266" spans="1:67">
      <c r="A266" s="13" t="s">
        <v>128</v>
      </c>
      <c r="B266" s="13" t="s">
        <v>142</v>
      </c>
      <c r="C266" s="13" t="s">
        <v>130</v>
      </c>
      <c r="D266" s="13" t="s">
        <v>131</v>
      </c>
      <c r="E266" s="13" t="s">
        <v>132</v>
      </c>
      <c r="F266" s="13" t="s">
        <v>589</v>
      </c>
      <c r="G266" s="13" t="s">
        <v>138</v>
      </c>
      <c r="H266" s="13">
        <v>28</v>
      </c>
      <c r="I266" s="13">
        <v>1875</v>
      </c>
      <c r="K266" s="13" t="s">
        <v>831</v>
      </c>
      <c r="L266" s="13" t="s">
        <v>832</v>
      </c>
      <c r="N266" s="13" t="s">
        <v>53</v>
      </c>
      <c r="O266" s="13" t="s">
        <v>54</v>
      </c>
      <c r="P266" s="13" t="s">
        <v>143</v>
      </c>
      <c r="Q266" s="13" t="s">
        <v>48</v>
      </c>
      <c r="R266" s="4">
        <v>4</v>
      </c>
      <c r="S266" s="13" t="s">
        <v>596</v>
      </c>
      <c r="T266" s="13">
        <v>45</v>
      </c>
      <c r="U266" s="4" t="s">
        <v>134</v>
      </c>
      <c r="V266" s="4">
        <v>600</v>
      </c>
      <c r="W266" s="4" t="s">
        <v>602</v>
      </c>
      <c r="X266" s="4">
        <v>317</v>
      </c>
      <c r="Y266" s="4">
        <v>80</v>
      </c>
      <c r="AA266" s="4" t="s">
        <v>49</v>
      </c>
      <c r="AB266" s="4">
        <v>0</v>
      </c>
      <c r="AC266" s="4" t="s">
        <v>49</v>
      </c>
      <c r="AD266" s="4">
        <v>0</v>
      </c>
      <c r="AE266" s="4" t="s">
        <v>49</v>
      </c>
      <c r="AF266" s="4">
        <v>0</v>
      </c>
      <c r="AG266" s="4" t="s">
        <v>46</v>
      </c>
      <c r="AH266" s="4" t="s">
        <v>722</v>
      </c>
      <c r="AI266" s="4" t="s">
        <v>78</v>
      </c>
      <c r="AJ266" s="13">
        <v>0</v>
      </c>
      <c r="AK266" s="13">
        <v>20</v>
      </c>
      <c r="AL266" s="13" t="s">
        <v>493</v>
      </c>
      <c r="AM266" s="13">
        <v>1.6</v>
      </c>
      <c r="AN266" s="13" t="s">
        <v>494</v>
      </c>
      <c r="AO266" s="13" t="s">
        <v>495</v>
      </c>
      <c r="AP266" s="13" t="s">
        <v>50</v>
      </c>
      <c r="AQ266" s="13" t="s">
        <v>49</v>
      </c>
      <c r="AR266" s="13" t="s">
        <v>50</v>
      </c>
      <c r="AS266" s="13" t="s">
        <v>49</v>
      </c>
      <c r="AT266" s="13" t="s">
        <v>990</v>
      </c>
      <c r="AU266" s="13" t="s">
        <v>998</v>
      </c>
      <c r="AV266" s="14">
        <f>(84.51*2)/1.6/1000</f>
        <v>0.10563750000000001</v>
      </c>
      <c r="AW266" s="14">
        <f t="shared" si="13"/>
        <v>3.8737499999999994E-2</v>
      </c>
      <c r="AX266" s="14">
        <f>Table1347456[[#This Row],[treatment_mean]]/Table1347456[[#This Row],[control_mean]]</f>
        <v>2.7270087124878999</v>
      </c>
      <c r="AY266" s="14">
        <f>LN(Table1347456[[#This Row],[rr]])</f>
        <v>1.0032052987567344</v>
      </c>
      <c r="AZ266" s="13">
        <v>4</v>
      </c>
      <c r="BA266" s="13">
        <v>4</v>
      </c>
      <c r="BB266" s="14">
        <f>(4.22*2)/1.6/1000</f>
        <v>5.2749999999999993E-3</v>
      </c>
      <c r="BC266" s="14">
        <f t="shared" si="14"/>
        <v>4.3999999999999994E-3</v>
      </c>
      <c r="BD266" s="15">
        <f>Table1347456[[#This Row],[treatment_se]]*SQRT(Table1347456[[#This Row],[treatment_n]])</f>
        <v>1.0549999999999999E-2</v>
      </c>
      <c r="BE266" s="14">
        <f>Table1347456[[#This Row],[control_se]]*SQRT(Table1347456[[#This Row],[control_n]])</f>
        <v>8.7999999999999988E-3</v>
      </c>
      <c r="BF26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1.5395054585859692E-2</v>
      </c>
      <c r="BG266" s="17">
        <f>SQRT(Table1347456[[#This Row],[v_from_sd_and_n]])</f>
        <v>0.12407680921856305</v>
      </c>
      <c r="BH266" s="13" t="s">
        <v>50</v>
      </c>
      <c r="BI266" s="13">
        <v>2.5000000000000001E-2</v>
      </c>
      <c r="BJ266" s="18">
        <f>ABS(_xlfn.NORM.S.INV(Table1347456[[#This Row],[p_value]]/2))</f>
        <v>2.2414027276049446</v>
      </c>
      <c r="BK266" s="19">
        <f>(Table1347456[[#This Row],[lnrr]]/Table1347456[[#This Row],[z_from_p]])^2</f>
        <v>0.2003271638586801</v>
      </c>
      <c r="BL266" s="16">
        <f>Table1347456[[#This Row],[v_from_sd_and_n]]</f>
        <v>1.5395054585859692E-2</v>
      </c>
      <c r="BM266" s="20">
        <f>SQRT(Table1347456[[#This Row],[v]])</f>
        <v>0.12407680921856305</v>
      </c>
      <c r="BN266" s="20">
        <f>Table1347456[[#This Row],[lnrr]]-(1.96*Table1347456[[#This Row],[se]])</f>
        <v>0.76001475268835073</v>
      </c>
      <c r="BO266" s="20">
        <f>Table1347456[[#This Row],[lnrr]]+(1.96 * Table1347456[[#This Row],[se]])</f>
        <v>1.246395844825118</v>
      </c>
    </row>
    <row r="267" spans="1:67">
      <c r="A267" s="13" t="s">
        <v>128</v>
      </c>
      <c r="B267" s="13" t="s">
        <v>142</v>
      </c>
      <c r="C267" s="13" t="s">
        <v>130</v>
      </c>
      <c r="D267" s="13" t="s">
        <v>131</v>
      </c>
      <c r="E267" s="13" t="s">
        <v>132</v>
      </c>
      <c r="F267" s="13" t="s">
        <v>589</v>
      </c>
      <c r="G267" s="13" t="s">
        <v>138</v>
      </c>
      <c r="H267" s="13">
        <v>28</v>
      </c>
      <c r="I267" s="13">
        <v>1875</v>
      </c>
      <c r="K267" s="13" t="s">
        <v>831</v>
      </c>
      <c r="L267" s="13" t="s">
        <v>832</v>
      </c>
      <c r="N267" s="13" t="s">
        <v>53</v>
      </c>
      <c r="O267" s="13" t="s">
        <v>54</v>
      </c>
      <c r="P267" s="13" t="s">
        <v>143</v>
      </c>
      <c r="Q267" s="13" t="s">
        <v>48</v>
      </c>
      <c r="R267" s="4">
        <v>4</v>
      </c>
      <c r="S267" s="13" t="s">
        <v>596</v>
      </c>
      <c r="T267" s="13">
        <v>45</v>
      </c>
      <c r="U267" s="4" t="s">
        <v>135</v>
      </c>
      <c r="V267" s="4">
        <v>400</v>
      </c>
      <c r="W267" s="4" t="s">
        <v>42</v>
      </c>
      <c r="X267" s="4">
        <v>673</v>
      </c>
      <c r="Y267" s="4">
        <v>80</v>
      </c>
      <c r="AA267" s="4" t="s">
        <v>49</v>
      </c>
      <c r="AB267" s="4">
        <v>0</v>
      </c>
      <c r="AC267" s="4" t="s">
        <v>49</v>
      </c>
      <c r="AD267" s="4">
        <v>0</v>
      </c>
      <c r="AE267" s="4" t="s">
        <v>49</v>
      </c>
      <c r="AF267" s="4">
        <v>0</v>
      </c>
      <c r="AG267" s="4" t="s">
        <v>46</v>
      </c>
      <c r="AH267" s="4" t="s">
        <v>722</v>
      </c>
      <c r="AI267" s="4" t="s">
        <v>78</v>
      </c>
      <c r="AJ267" s="13">
        <v>0</v>
      </c>
      <c r="AK267" s="13">
        <v>20</v>
      </c>
      <c r="AL267" s="13" t="s">
        <v>493</v>
      </c>
      <c r="AM267" s="13">
        <v>1.6</v>
      </c>
      <c r="AN267" s="13" t="s">
        <v>494</v>
      </c>
      <c r="AO267" s="13" t="s">
        <v>495</v>
      </c>
      <c r="AP267" s="13" t="s">
        <v>50</v>
      </c>
      <c r="AQ267" s="13" t="s">
        <v>49</v>
      </c>
      <c r="AR267" s="13" t="s">
        <v>50</v>
      </c>
      <c r="AS267" s="13" t="s">
        <v>49</v>
      </c>
      <c r="AT267" s="13" t="s">
        <v>990</v>
      </c>
      <c r="AU267" s="13" t="s">
        <v>998</v>
      </c>
      <c r="AV267" s="14">
        <f>(33.1*2)/1.6/1000</f>
        <v>4.1375000000000002E-2</v>
      </c>
      <c r="AW267" s="14">
        <f t="shared" si="13"/>
        <v>3.8737499999999994E-2</v>
      </c>
      <c r="AX267" s="14">
        <f>Table1347456[[#This Row],[treatment_mean]]/Table1347456[[#This Row],[control_mean]]</f>
        <v>1.0680864795095195</v>
      </c>
      <c r="AY267" s="14">
        <f>LN(Table1347456[[#This Row],[rr]])</f>
        <v>6.5868710583360648E-2</v>
      </c>
      <c r="AZ267" s="13">
        <v>4</v>
      </c>
      <c r="BA267" s="13">
        <v>4</v>
      </c>
      <c r="BB267" s="14">
        <f>(4.93*2)/1.6/1000</f>
        <v>6.1624999999999996E-3</v>
      </c>
      <c r="BC267" s="14">
        <f t="shared" si="14"/>
        <v>4.3999999999999994E-3</v>
      </c>
      <c r="BD267" s="15">
        <f>Table1347456[[#This Row],[treatment_se]]*SQRT(Table1347456[[#This Row],[treatment_n]])</f>
        <v>1.2324999999999999E-2</v>
      </c>
      <c r="BE267" s="14">
        <f>Table1347456[[#This Row],[control_se]]*SQRT(Table1347456[[#This Row],[control_n]])</f>
        <v>8.7999999999999988E-3</v>
      </c>
      <c r="BF26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3.5085456010652376E-2</v>
      </c>
      <c r="BG267" s="17">
        <f>SQRT(Table1347456[[#This Row],[v_from_sd_and_n]])</f>
        <v>0.18731112089422874</v>
      </c>
      <c r="BH267" s="13" t="s">
        <v>50</v>
      </c>
      <c r="BI267" s="13">
        <v>2.5000000000000001E-2</v>
      </c>
      <c r="BJ267" s="18">
        <f>ABS(_xlfn.NORM.S.INV(Table1347456[[#This Row],[p_value]]/2))</f>
        <v>2.2414027276049446</v>
      </c>
      <c r="BK267" s="19">
        <f>(Table1347456[[#This Row],[lnrr]]/Table1347456[[#This Row],[z_from_p]])^2</f>
        <v>8.6361172848014353E-4</v>
      </c>
      <c r="BL267" s="16">
        <f>Table1347456[[#This Row],[v_from_sd_and_n]]</f>
        <v>3.5085456010652376E-2</v>
      </c>
      <c r="BM267" s="20">
        <f>SQRT(Table1347456[[#This Row],[v]])</f>
        <v>0.18731112089422874</v>
      </c>
      <c r="BN267" s="20">
        <f>Table1347456[[#This Row],[lnrr]]-(1.96*Table1347456[[#This Row],[se]])</f>
        <v>-0.30126108636932769</v>
      </c>
      <c r="BO267" s="20">
        <f>Table1347456[[#This Row],[lnrr]]+(1.96 * Table1347456[[#This Row],[se]])</f>
        <v>0.43299850753604896</v>
      </c>
    </row>
    <row r="268" spans="1:67">
      <c r="A268" s="13" t="s">
        <v>128</v>
      </c>
      <c r="B268" s="13" t="s">
        <v>142</v>
      </c>
      <c r="C268" s="13" t="s">
        <v>130</v>
      </c>
      <c r="D268" s="13" t="s">
        <v>131</v>
      </c>
      <c r="E268" s="13" t="s">
        <v>132</v>
      </c>
      <c r="F268" s="13" t="s">
        <v>589</v>
      </c>
      <c r="G268" s="13" t="s">
        <v>138</v>
      </c>
      <c r="H268" s="13">
        <v>28</v>
      </c>
      <c r="I268" s="13">
        <v>1875</v>
      </c>
      <c r="K268" s="13" t="s">
        <v>831</v>
      </c>
      <c r="L268" s="13" t="s">
        <v>832</v>
      </c>
      <c r="N268" s="13" t="s">
        <v>53</v>
      </c>
      <c r="O268" s="13" t="s">
        <v>54</v>
      </c>
      <c r="P268" s="13" t="s">
        <v>143</v>
      </c>
      <c r="Q268" s="13" t="s">
        <v>48</v>
      </c>
      <c r="R268" s="4">
        <v>4</v>
      </c>
      <c r="S268" s="13" t="s">
        <v>596</v>
      </c>
      <c r="T268" s="13">
        <v>45</v>
      </c>
      <c r="U268" s="4" t="s">
        <v>135</v>
      </c>
      <c r="V268" s="4">
        <v>500</v>
      </c>
      <c r="W268" s="4" t="s">
        <v>601</v>
      </c>
      <c r="X268" s="4">
        <v>581</v>
      </c>
      <c r="Y268" s="4">
        <v>80</v>
      </c>
      <c r="AA268" s="4" t="s">
        <v>49</v>
      </c>
      <c r="AB268" s="4">
        <v>0</v>
      </c>
      <c r="AC268" s="4" t="s">
        <v>49</v>
      </c>
      <c r="AD268" s="4">
        <v>0</v>
      </c>
      <c r="AE268" s="4" t="s">
        <v>49</v>
      </c>
      <c r="AF268" s="4">
        <v>0</v>
      </c>
      <c r="AG268" s="4" t="s">
        <v>46</v>
      </c>
      <c r="AH268" s="4" t="s">
        <v>722</v>
      </c>
      <c r="AI268" s="4" t="s">
        <v>78</v>
      </c>
      <c r="AJ268" s="13">
        <v>0</v>
      </c>
      <c r="AK268" s="13">
        <v>20</v>
      </c>
      <c r="AL268" s="13" t="s">
        <v>493</v>
      </c>
      <c r="AM268" s="13">
        <v>1.6</v>
      </c>
      <c r="AN268" s="13" t="s">
        <v>494</v>
      </c>
      <c r="AO268" s="13" t="s">
        <v>495</v>
      </c>
      <c r="AP268" s="13" t="s">
        <v>50</v>
      </c>
      <c r="AQ268" s="13" t="s">
        <v>49</v>
      </c>
      <c r="AR268" s="13" t="s">
        <v>50</v>
      </c>
      <c r="AS268" s="13" t="s">
        <v>49</v>
      </c>
      <c r="AT268" s="13" t="s">
        <v>990</v>
      </c>
      <c r="AU268" s="13" t="s">
        <v>998</v>
      </c>
      <c r="AV268" s="14">
        <f>(33.8*2)/1.6/1000</f>
        <v>4.2249999999999996E-2</v>
      </c>
      <c r="AW268" s="14">
        <f t="shared" si="13"/>
        <v>3.8737499999999994E-2</v>
      </c>
      <c r="AX268" s="14">
        <f>Table1347456[[#This Row],[treatment_mean]]/Table1347456[[#This Row],[control_mean]]</f>
        <v>1.090674411100355</v>
      </c>
      <c r="AY268" s="14">
        <f>LN(Table1347456[[#This Row],[rr]])</f>
        <v>8.6796230689316287E-2</v>
      </c>
      <c r="AZ268" s="13">
        <v>4</v>
      </c>
      <c r="BA268" s="13">
        <v>4</v>
      </c>
      <c r="BB268" s="14">
        <f>(2.12*2)/1.6/1000</f>
        <v>2.65E-3</v>
      </c>
      <c r="BC268" s="14">
        <f t="shared" si="14"/>
        <v>4.3999999999999994E-3</v>
      </c>
      <c r="BD268" s="15">
        <f>Table1347456[[#This Row],[treatment_se]]*SQRT(Table1347456[[#This Row],[treatment_n]])</f>
        <v>5.3E-3</v>
      </c>
      <c r="BE268" s="14">
        <f>Table1347456[[#This Row],[control_se]]*SQRT(Table1347456[[#This Row],[control_n]])</f>
        <v>8.7999999999999988E-3</v>
      </c>
      <c r="BF26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1.6835594378977484E-2</v>
      </c>
      <c r="BG268" s="17">
        <f>SQRT(Table1347456[[#This Row],[v_from_sd_and_n]])</f>
        <v>0.12975204961378253</v>
      </c>
      <c r="BH268" s="13" t="s">
        <v>50</v>
      </c>
      <c r="BI268" s="13">
        <v>2.5000000000000001E-2</v>
      </c>
      <c r="BJ268" s="18">
        <f>ABS(_xlfn.NORM.S.INV(Table1347456[[#This Row],[p_value]]/2))</f>
        <v>2.2414027276049446</v>
      </c>
      <c r="BK268" s="19">
        <f>(Table1347456[[#This Row],[lnrr]]/Table1347456[[#This Row],[z_from_p]])^2</f>
        <v>1.4995534096482949E-3</v>
      </c>
      <c r="BL268" s="16">
        <f>Table1347456[[#This Row],[v_from_sd_and_n]]</f>
        <v>1.6835594378977484E-2</v>
      </c>
      <c r="BM268" s="20">
        <f>SQRT(Table1347456[[#This Row],[v]])</f>
        <v>0.12975204961378253</v>
      </c>
      <c r="BN268" s="20">
        <f>Table1347456[[#This Row],[lnrr]]-(1.96*Table1347456[[#This Row],[se]])</f>
        <v>-0.16751778655369748</v>
      </c>
      <c r="BO268" s="20">
        <f>Table1347456[[#This Row],[lnrr]]+(1.96 * Table1347456[[#This Row],[se]])</f>
        <v>0.34111024793233008</v>
      </c>
    </row>
    <row r="269" spans="1:67">
      <c r="A269" s="13" t="s">
        <v>128</v>
      </c>
      <c r="B269" s="13" t="s">
        <v>142</v>
      </c>
      <c r="C269" s="13" t="s">
        <v>130</v>
      </c>
      <c r="D269" s="13" t="s">
        <v>131</v>
      </c>
      <c r="E269" s="13" t="s">
        <v>132</v>
      </c>
      <c r="F269" s="13" t="s">
        <v>589</v>
      </c>
      <c r="G269" s="13" t="s">
        <v>138</v>
      </c>
      <c r="H269" s="13">
        <v>28</v>
      </c>
      <c r="I269" s="13">
        <v>1875</v>
      </c>
      <c r="K269" s="13" t="s">
        <v>831</v>
      </c>
      <c r="L269" s="13" t="s">
        <v>832</v>
      </c>
      <c r="N269" s="13" t="s">
        <v>53</v>
      </c>
      <c r="O269" s="13" t="s">
        <v>54</v>
      </c>
      <c r="P269" s="13" t="s">
        <v>143</v>
      </c>
      <c r="Q269" s="13" t="s">
        <v>48</v>
      </c>
      <c r="R269" s="4">
        <v>4</v>
      </c>
      <c r="S269" s="13" t="s">
        <v>596</v>
      </c>
      <c r="T269" s="13">
        <v>45</v>
      </c>
      <c r="U269" s="4" t="s">
        <v>135</v>
      </c>
      <c r="V269" s="4">
        <v>600</v>
      </c>
      <c r="W269" s="4" t="s">
        <v>602</v>
      </c>
      <c r="X269" s="4">
        <v>739</v>
      </c>
      <c r="Y269" s="4">
        <v>80</v>
      </c>
      <c r="AA269" s="4" t="s">
        <v>49</v>
      </c>
      <c r="AB269" s="4">
        <v>0</v>
      </c>
      <c r="AC269" s="4" t="s">
        <v>49</v>
      </c>
      <c r="AD269" s="4">
        <v>0</v>
      </c>
      <c r="AE269" s="4" t="s">
        <v>49</v>
      </c>
      <c r="AF269" s="4">
        <v>0</v>
      </c>
      <c r="AG269" s="4" t="s">
        <v>46</v>
      </c>
      <c r="AH269" s="4" t="s">
        <v>722</v>
      </c>
      <c r="AI269" s="4" t="s">
        <v>78</v>
      </c>
      <c r="AJ269" s="13">
        <v>0</v>
      </c>
      <c r="AK269" s="13">
        <v>20</v>
      </c>
      <c r="AL269" s="13" t="s">
        <v>493</v>
      </c>
      <c r="AM269" s="13">
        <v>1.6</v>
      </c>
      <c r="AN269" s="13" t="s">
        <v>494</v>
      </c>
      <c r="AO269" s="13" t="s">
        <v>495</v>
      </c>
      <c r="AP269" s="13" t="s">
        <v>50</v>
      </c>
      <c r="AQ269" s="13" t="s">
        <v>49</v>
      </c>
      <c r="AR269" s="13" t="s">
        <v>50</v>
      </c>
      <c r="AS269" s="13" t="s">
        <v>49</v>
      </c>
      <c r="AT269" s="13" t="s">
        <v>990</v>
      </c>
      <c r="AU269" s="13" t="s">
        <v>998</v>
      </c>
      <c r="AV269" s="14">
        <f>(33.8*2)/1.6/1000</f>
        <v>4.2249999999999996E-2</v>
      </c>
      <c r="AW269" s="14">
        <f t="shared" si="13"/>
        <v>3.8737499999999994E-2</v>
      </c>
      <c r="AX269" s="14">
        <f>Table1347456[[#This Row],[treatment_mean]]/Table1347456[[#This Row],[control_mean]]</f>
        <v>1.090674411100355</v>
      </c>
      <c r="AY269" s="14">
        <f>LN(Table1347456[[#This Row],[rr]])</f>
        <v>8.6796230689316287E-2</v>
      </c>
      <c r="AZ269" s="13">
        <v>4</v>
      </c>
      <c r="BA269" s="13">
        <v>4</v>
      </c>
      <c r="BB269" s="14">
        <f>(4.23*2)/1.6/1000</f>
        <v>5.2875000000000005E-3</v>
      </c>
      <c r="BC269" s="14">
        <f t="shared" si="14"/>
        <v>4.3999999999999994E-3</v>
      </c>
      <c r="BD269" s="15">
        <f>Table1347456[[#This Row],[treatment_se]]*SQRT(Table1347456[[#This Row],[treatment_n]])</f>
        <v>1.0575000000000001E-2</v>
      </c>
      <c r="BE269" s="14">
        <f>Table1347456[[#This Row],[control_se]]*SQRT(Table1347456[[#This Row],[control_n]])</f>
        <v>8.7999999999999988E-3</v>
      </c>
      <c r="BF26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2.8563562587373553E-2</v>
      </c>
      <c r="BG269" s="17">
        <f>SQRT(Table1347456[[#This Row],[v_from_sd_and_n]])</f>
        <v>0.16900758144939401</v>
      </c>
      <c r="BH269" s="13" t="s">
        <v>50</v>
      </c>
      <c r="BI269" s="13">
        <v>2.5000000000000001E-2</v>
      </c>
      <c r="BJ269" s="18">
        <f>ABS(_xlfn.NORM.S.INV(Table1347456[[#This Row],[p_value]]/2))</f>
        <v>2.2414027276049446</v>
      </c>
      <c r="BK269" s="19">
        <f>(Table1347456[[#This Row],[lnrr]]/Table1347456[[#This Row],[z_from_p]])^2</f>
        <v>1.4995534096482949E-3</v>
      </c>
      <c r="BL269" s="16">
        <f>Table1347456[[#This Row],[v_from_sd_and_n]]</f>
        <v>2.8563562587373553E-2</v>
      </c>
      <c r="BM269" s="20">
        <f>SQRT(Table1347456[[#This Row],[v]])</f>
        <v>0.16900758144939401</v>
      </c>
      <c r="BN269" s="20">
        <f>Table1347456[[#This Row],[lnrr]]-(1.96*Table1347456[[#This Row],[se]])</f>
        <v>-0.24445862895149595</v>
      </c>
      <c r="BO269" s="20">
        <f>Table1347456[[#This Row],[lnrr]]+(1.96 * Table1347456[[#This Row],[se]])</f>
        <v>0.41805109033012855</v>
      </c>
    </row>
    <row r="270" spans="1:67">
      <c r="A270" s="13" t="s">
        <v>128</v>
      </c>
      <c r="B270" s="13" t="s">
        <v>142</v>
      </c>
      <c r="C270" s="13" t="s">
        <v>130</v>
      </c>
      <c r="D270" s="13" t="s">
        <v>131</v>
      </c>
      <c r="E270" s="13" t="s">
        <v>132</v>
      </c>
      <c r="F270" s="13" t="s">
        <v>589</v>
      </c>
      <c r="G270" s="13" t="s">
        <v>138</v>
      </c>
      <c r="H270" s="13">
        <v>28</v>
      </c>
      <c r="I270" s="13">
        <v>1875</v>
      </c>
      <c r="K270" s="13" t="s">
        <v>831</v>
      </c>
      <c r="L270" s="13" t="s">
        <v>832</v>
      </c>
      <c r="N270" s="13" t="s">
        <v>53</v>
      </c>
      <c r="O270" s="13" t="s">
        <v>54</v>
      </c>
      <c r="P270" s="13" t="s">
        <v>143</v>
      </c>
      <c r="Q270" s="13" t="s">
        <v>48</v>
      </c>
      <c r="R270" s="4">
        <v>4</v>
      </c>
      <c r="S270" s="13" t="s">
        <v>596</v>
      </c>
      <c r="T270" s="13">
        <v>45</v>
      </c>
      <c r="U270" s="4" t="s">
        <v>136</v>
      </c>
      <c r="V270" s="4">
        <v>400</v>
      </c>
      <c r="W270" s="4" t="s">
        <v>42</v>
      </c>
      <c r="X270" s="4">
        <v>193</v>
      </c>
      <c r="Y270" s="4">
        <v>80</v>
      </c>
      <c r="AA270" s="4" t="s">
        <v>49</v>
      </c>
      <c r="AB270" s="4">
        <v>0</v>
      </c>
      <c r="AC270" s="4" t="s">
        <v>49</v>
      </c>
      <c r="AD270" s="4">
        <v>0</v>
      </c>
      <c r="AE270" s="4" t="s">
        <v>49</v>
      </c>
      <c r="AF270" s="4">
        <v>0</v>
      </c>
      <c r="AG270" s="4" t="s">
        <v>46</v>
      </c>
      <c r="AH270" s="4" t="s">
        <v>722</v>
      </c>
      <c r="AI270" s="4" t="s">
        <v>78</v>
      </c>
      <c r="AJ270" s="13">
        <v>0</v>
      </c>
      <c r="AK270" s="13">
        <v>20</v>
      </c>
      <c r="AL270" s="13" t="s">
        <v>493</v>
      </c>
      <c r="AM270" s="13">
        <v>1.6</v>
      </c>
      <c r="AN270" s="13" t="s">
        <v>494</v>
      </c>
      <c r="AO270" s="13" t="s">
        <v>495</v>
      </c>
      <c r="AP270" s="13" t="s">
        <v>50</v>
      </c>
      <c r="AQ270" s="13" t="s">
        <v>49</v>
      </c>
      <c r="AR270" s="13" t="s">
        <v>50</v>
      </c>
      <c r="AS270" s="13" t="s">
        <v>49</v>
      </c>
      <c r="AT270" s="13" t="s">
        <v>990</v>
      </c>
      <c r="AU270" s="13" t="s">
        <v>998</v>
      </c>
      <c r="AV270" s="14">
        <f>(33.1*2)/1.6/1000</f>
        <v>4.1375000000000002E-2</v>
      </c>
      <c r="AW270" s="14">
        <f t="shared" si="13"/>
        <v>3.8737499999999994E-2</v>
      </c>
      <c r="AX270" s="14">
        <f>Table1347456[[#This Row],[treatment_mean]]/Table1347456[[#This Row],[control_mean]]</f>
        <v>1.0680864795095195</v>
      </c>
      <c r="AY270" s="14">
        <f>LN(Table1347456[[#This Row],[rr]])</f>
        <v>6.5868710583360648E-2</v>
      </c>
      <c r="AZ270" s="13">
        <v>4</v>
      </c>
      <c r="BA270" s="13">
        <v>4</v>
      </c>
      <c r="BB270" s="14">
        <f>(4.93*2)/1.6/1000</f>
        <v>6.1624999999999996E-3</v>
      </c>
      <c r="BC270" s="14">
        <f t="shared" si="14"/>
        <v>4.3999999999999994E-3</v>
      </c>
      <c r="BD270" s="15">
        <f>Table1347456[[#This Row],[treatment_se]]*SQRT(Table1347456[[#This Row],[treatment_n]])</f>
        <v>1.2324999999999999E-2</v>
      </c>
      <c r="BE270" s="14">
        <f>Table1347456[[#This Row],[control_se]]*SQRT(Table1347456[[#This Row],[control_n]])</f>
        <v>8.7999999999999988E-3</v>
      </c>
      <c r="BF27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3.5085456010652376E-2</v>
      </c>
      <c r="BG270" s="17">
        <f>SQRT(Table1347456[[#This Row],[v_from_sd_and_n]])</f>
        <v>0.18731112089422874</v>
      </c>
      <c r="BH270" s="13" t="s">
        <v>50</v>
      </c>
      <c r="BI270" s="13">
        <v>2.5000000000000001E-2</v>
      </c>
      <c r="BJ270" s="18">
        <f>ABS(_xlfn.NORM.S.INV(Table1347456[[#This Row],[p_value]]/2))</f>
        <v>2.2414027276049446</v>
      </c>
      <c r="BK270" s="19">
        <f>(Table1347456[[#This Row],[lnrr]]/Table1347456[[#This Row],[z_from_p]])^2</f>
        <v>8.6361172848014353E-4</v>
      </c>
      <c r="BL270" s="16">
        <f>Table1347456[[#This Row],[v_from_sd_and_n]]</f>
        <v>3.5085456010652376E-2</v>
      </c>
      <c r="BM270" s="20">
        <f>SQRT(Table1347456[[#This Row],[v]])</f>
        <v>0.18731112089422874</v>
      </c>
      <c r="BN270" s="20">
        <f>Table1347456[[#This Row],[lnrr]]-(1.96*Table1347456[[#This Row],[se]])</f>
        <v>-0.30126108636932769</v>
      </c>
      <c r="BO270" s="20">
        <f>Table1347456[[#This Row],[lnrr]]+(1.96 * Table1347456[[#This Row],[se]])</f>
        <v>0.43299850753604896</v>
      </c>
    </row>
    <row r="271" spans="1:67">
      <c r="A271" s="13" t="s">
        <v>128</v>
      </c>
      <c r="B271" s="13" t="s">
        <v>142</v>
      </c>
      <c r="C271" s="13" t="s">
        <v>130</v>
      </c>
      <c r="D271" s="13" t="s">
        <v>131</v>
      </c>
      <c r="E271" s="13" t="s">
        <v>132</v>
      </c>
      <c r="F271" s="13" t="s">
        <v>589</v>
      </c>
      <c r="G271" s="13" t="s">
        <v>138</v>
      </c>
      <c r="H271" s="13">
        <v>28</v>
      </c>
      <c r="I271" s="13">
        <v>1875</v>
      </c>
      <c r="K271" s="13" t="s">
        <v>831</v>
      </c>
      <c r="L271" s="13" t="s">
        <v>832</v>
      </c>
      <c r="N271" s="13" t="s">
        <v>53</v>
      </c>
      <c r="O271" s="13" t="s">
        <v>54</v>
      </c>
      <c r="P271" s="13" t="s">
        <v>143</v>
      </c>
      <c r="Q271" s="13" t="s">
        <v>48</v>
      </c>
      <c r="R271" s="4">
        <v>4</v>
      </c>
      <c r="S271" s="13" t="s">
        <v>596</v>
      </c>
      <c r="T271" s="13">
        <v>45</v>
      </c>
      <c r="U271" s="4" t="s">
        <v>136</v>
      </c>
      <c r="V271" s="4">
        <v>500</v>
      </c>
      <c r="W271" s="4" t="s">
        <v>601</v>
      </c>
      <c r="X271" s="4">
        <v>196</v>
      </c>
      <c r="Y271" s="4">
        <v>80</v>
      </c>
      <c r="AA271" s="4" t="s">
        <v>49</v>
      </c>
      <c r="AB271" s="4">
        <v>0</v>
      </c>
      <c r="AC271" s="4" t="s">
        <v>49</v>
      </c>
      <c r="AD271" s="4">
        <v>0</v>
      </c>
      <c r="AE271" s="4" t="s">
        <v>49</v>
      </c>
      <c r="AF271" s="4">
        <v>0</v>
      </c>
      <c r="AG271" s="4" t="s">
        <v>46</v>
      </c>
      <c r="AH271" s="4" t="s">
        <v>722</v>
      </c>
      <c r="AI271" s="4" t="s">
        <v>78</v>
      </c>
      <c r="AJ271" s="13">
        <v>0</v>
      </c>
      <c r="AK271" s="13">
        <v>20</v>
      </c>
      <c r="AL271" s="13" t="s">
        <v>493</v>
      </c>
      <c r="AM271" s="13">
        <v>1.6</v>
      </c>
      <c r="AN271" s="13" t="s">
        <v>494</v>
      </c>
      <c r="AO271" s="13" t="s">
        <v>495</v>
      </c>
      <c r="AP271" s="13" t="s">
        <v>50</v>
      </c>
      <c r="AQ271" s="13" t="s">
        <v>49</v>
      </c>
      <c r="AR271" s="13" t="s">
        <v>50</v>
      </c>
      <c r="AS271" s="13" t="s">
        <v>49</v>
      </c>
      <c r="AT271" s="13" t="s">
        <v>990</v>
      </c>
      <c r="AU271" s="13" t="s">
        <v>998</v>
      </c>
      <c r="AV271" s="14">
        <f>(33.8*2)/1.6/1000</f>
        <v>4.2249999999999996E-2</v>
      </c>
      <c r="AW271" s="14">
        <f t="shared" si="13"/>
        <v>3.8737499999999994E-2</v>
      </c>
      <c r="AX271" s="14">
        <f>Table1347456[[#This Row],[treatment_mean]]/Table1347456[[#This Row],[control_mean]]</f>
        <v>1.090674411100355</v>
      </c>
      <c r="AY271" s="14">
        <f>LN(Table1347456[[#This Row],[rr]])</f>
        <v>8.6796230689316287E-2</v>
      </c>
      <c r="AZ271" s="13">
        <v>4</v>
      </c>
      <c r="BA271" s="13">
        <v>4</v>
      </c>
      <c r="BB271" s="14">
        <f>(2.12*2)/1.6/1000</f>
        <v>2.65E-3</v>
      </c>
      <c r="BC271" s="14">
        <f t="shared" si="14"/>
        <v>4.3999999999999994E-3</v>
      </c>
      <c r="BD271" s="15">
        <f>Table1347456[[#This Row],[treatment_se]]*SQRT(Table1347456[[#This Row],[treatment_n]])</f>
        <v>5.3E-3</v>
      </c>
      <c r="BE271" s="14">
        <f>Table1347456[[#This Row],[control_se]]*SQRT(Table1347456[[#This Row],[control_n]])</f>
        <v>8.7999999999999988E-3</v>
      </c>
      <c r="BF27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1.6835594378977484E-2</v>
      </c>
      <c r="BG271" s="17">
        <f>SQRT(Table1347456[[#This Row],[v_from_sd_and_n]])</f>
        <v>0.12975204961378253</v>
      </c>
      <c r="BH271" s="13" t="s">
        <v>50</v>
      </c>
      <c r="BI271" s="13">
        <v>2.5000000000000001E-2</v>
      </c>
      <c r="BJ271" s="18">
        <f>ABS(_xlfn.NORM.S.INV(Table1347456[[#This Row],[p_value]]/2))</f>
        <v>2.2414027276049446</v>
      </c>
      <c r="BK271" s="19">
        <f>(Table1347456[[#This Row],[lnrr]]/Table1347456[[#This Row],[z_from_p]])^2</f>
        <v>1.4995534096482949E-3</v>
      </c>
      <c r="BL271" s="16">
        <f>Table1347456[[#This Row],[v_from_sd_and_n]]</f>
        <v>1.6835594378977484E-2</v>
      </c>
      <c r="BM271" s="20">
        <f>SQRT(Table1347456[[#This Row],[v]])</f>
        <v>0.12975204961378253</v>
      </c>
      <c r="BN271" s="20">
        <f>Table1347456[[#This Row],[lnrr]]-(1.96*Table1347456[[#This Row],[se]])</f>
        <v>-0.16751778655369748</v>
      </c>
      <c r="BO271" s="20">
        <f>Table1347456[[#This Row],[lnrr]]+(1.96 * Table1347456[[#This Row],[se]])</f>
        <v>0.34111024793233008</v>
      </c>
    </row>
    <row r="272" spans="1:67">
      <c r="A272" s="13" t="s">
        <v>128</v>
      </c>
      <c r="B272" s="13" t="s">
        <v>142</v>
      </c>
      <c r="C272" s="13" t="s">
        <v>130</v>
      </c>
      <c r="D272" s="13" t="s">
        <v>131</v>
      </c>
      <c r="E272" s="13" t="s">
        <v>132</v>
      </c>
      <c r="F272" s="13" t="s">
        <v>589</v>
      </c>
      <c r="G272" s="13" t="s">
        <v>138</v>
      </c>
      <c r="H272" s="13">
        <v>28</v>
      </c>
      <c r="I272" s="13">
        <v>1875</v>
      </c>
      <c r="K272" s="13" t="s">
        <v>831</v>
      </c>
      <c r="L272" s="13" t="s">
        <v>832</v>
      </c>
      <c r="N272" s="13" t="s">
        <v>53</v>
      </c>
      <c r="O272" s="13" t="s">
        <v>54</v>
      </c>
      <c r="P272" s="13" t="s">
        <v>143</v>
      </c>
      <c r="Q272" s="13" t="s">
        <v>48</v>
      </c>
      <c r="R272" s="4">
        <v>4</v>
      </c>
      <c r="S272" s="13" t="s">
        <v>596</v>
      </c>
      <c r="T272" s="13">
        <v>45</v>
      </c>
      <c r="U272" s="4" t="s">
        <v>136</v>
      </c>
      <c r="V272" s="4">
        <v>600</v>
      </c>
      <c r="W272" s="4" t="s">
        <v>602</v>
      </c>
      <c r="X272" s="4">
        <v>233</v>
      </c>
      <c r="Y272" s="4">
        <v>80</v>
      </c>
      <c r="AA272" s="4" t="s">
        <v>49</v>
      </c>
      <c r="AB272" s="4">
        <v>0</v>
      </c>
      <c r="AC272" s="4" t="s">
        <v>49</v>
      </c>
      <c r="AD272" s="4">
        <v>0</v>
      </c>
      <c r="AE272" s="4" t="s">
        <v>49</v>
      </c>
      <c r="AF272" s="4">
        <v>0</v>
      </c>
      <c r="AG272" s="4" t="s">
        <v>46</v>
      </c>
      <c r="AH272" s="4" t="s">
        <v>722</v>
      </c>
      <c r="AI272" s="4" t="s">
        <v>78</v>
      </c>
      <c r="AJ272" s="13">
        <v>0</v>
      </c>
      <c r="AK272" s="13">
        <v>20</v>
      </c>
      <c r="AL272" s="13" t="s">
        <v>493</v>
      </c>
      <c r="AM272" s="13">
        <v>1.6</v>
      </c>
      <c r="AN272" s="13" t="s">
        <v>494</v>
      </c>
      <c r="AO272" s="13" t="s">
        <v>495</v>
      </c>
      <c r="AP272" s="13" t="s">
        <v>50</v>
      </c>
      <c r="AQ272" s="13" t="s">
        <v>49</v>
      </c>
      <c r="AR272" s="13" t="s">
        <v>50</v>
      </c>
      <c r="AS272" s="13" t="s">
        <v>49</v>
      </c>
      <c r="AT272" s="13" t="s">
        <v>990</v>
      </c>
      <c r="AU272" s="13" t="s">
        <v>998</v>
      </c>
      <c r="AV272" s="14">
        <f>(33.8*2)/1.6/1000</f>
        <v>4.2249999999999996E-2</v>
      </c>
      <c r="AW272" s="14">
        <f t="shared" si="13"/>
        <v>3.8737499999999994E-2</v>
      </c>
      <c r="AX272" s="14">
        <f>Table1347456[[#This Row],[treatment_mean]]/Table1347456[[#This Row],[control_mean]]</f>
        <v>1.090674411100355</v>
      </c>
      <c r="AY272" s="14">
        <f>LN(Table1347456[[#This Row],[rr]])</f>
        <v>8.6796230689316287E-2</v>
      </c>
      <c r="AZ272" s="13">
        <v>4</v>
      </c>
      <c r="BA272" s="13">
        <v>4</v>
      </c>
      <c r="BB272" s="14">
        <f>(4.23*2)/1.6/1000</f>
        <v>5.2875000000000005E-3</v>
      </c>
      <c r="BC272" s="14">
        <f t="shared" si="14"/>
        <v>4.3999999999999994E-3</v>
      </c>
      <c r="BD272" s="15">
        <f>Table1347456[[#This Row],[treatment_se]]*SQRT(Table1347456[[#This Row],[treatment_n]])</f>
        <v>1.0575000000000001E-2</v>
      </c>
      <c r="BE272" s="14">
        <f>Table1347456[[#This Row],[control_se]]*SQRT(Table1347456[[#This Row],[control_n]])</f>
        <v>8.7999999999999988E-3</v>
      </c>
      <c r="BF27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2.8563562587373553E-2</v>
      </c>
      <c r="BG272" s="17">
        <f>SQRT(Table1347456[[#This Row],[v_from_sd_and_n]])</f>
        <v>0.16900758144939401</v>
      </c>
      <c r="BH272" s="13" t="s">
        <v>50</v>
      </c>
      <c r="BI272" s="13">
        <v>2.5000000000000001E-2</v>
      </c>
      <c r="BJ272" s="18">
        <f>ABS(_xlfn.NORM.S.INV(Table1347456[[#This Row],[p_value]]/2))</f>
        <v>2.2414027276049446</v>
      </c>
      <c r="BK272" s="19">
        <f>(Table1347456[[#This Row],[lnrr]]/Table1347456[[#This Row],[z_from_p]])^2</f>
        <v>1.4995534096482949E-3</v>
      </c>
      <c r="BL272" s="16">
        <f>Table1347456[[#This Row],[v_from_sd_and_n]]</f>
        <v>2.8563562587373553E-2</v>
      </c>
      <c r="BM272" s="20">
        <f>SQRT(Table1347456[[#This Row],[v]])</f>
        <v>0.16900758144939401</v>
      </c>
      <c r="BN272" s="20">
        <f>Table1347456[[#This Row],[lnrr]]-(1.96*Table1347456[[#This Row],[se]])</f>
        <v>-0.24445862895149595</v>
      </c>
      <c r="BO272" s="20">
        <f>Table1347456[[#This Row],[lnrr]]+(1.96 * Table1347456[[#This Row],[se]])</f>
        <v>0.41805109033012855</v>
      </c>
    </row>
    <row r="273" spans="1:67">
      <c r="A273" s="13" t="s">
        <v>144</v>
      </c>
      <c r="B273" s="13" t="s">
        <v>145</v>
      </c>
      <c r="C273" s="13" t="s">
        <v>43</v>
      </c>
      <c r="D273" s="13" t="s">
        <v>146</v>
      </c>
      <c r="E273" s="13" t="s">
        <v>91</v>
      </c>
      <c r="F273" s="13" t="s">
        <v>587</v>
      </c>
      <c r="G273" s="13" t="s">
        <v>46</v>
      </c>
      <c r="H273" s="13">
        <v>16.05</v>
      </c>
      <c r="I273" s="13">
        <v>1045</v>
      </c>
      <c r="K273" s="13" t="s">
        <v>833</v>
      </c>
      <c r="L273" s="13" t="s">
        <v>834</v>
      </c>
      <c r="N273" s="13" t="s">
        <v>69</v>
      </c>
      <c r="O273" s="13" t="s">
        <v>70</v>
      </c>
      <c r="P273" s="13" t="s">
        <v>71</v>
      </c>
      <c r="Q273" s="13" t="s">
        <v>71</v>
      </c>
      <c r="R273" s="4">
        <v>4</v>
      </c>
      <c r="S273" s="13" t="s">
        <v>594</v>
      </c>
      <c r="T273" s="13">
        <v>350</v>
      </c>
      <c r="U273" s="4" t="s">
        <v>147</v>
      </c>
      <c r="V273" s="4">
        <v>400</v>
      </c>
      <c r="W273" s="4" t="s">
        <v>42</v>
      </c>
      <c r="X273" s="4">
        <v>596</v>
      </c>
      <c r="Y273" s="4">
        <v>10</v>
      </c>
      <c r="AA273" s="4" t="s">
        <v>49</v>
      </c>
      <c r="AB273" s="4">
        <v>0</v>
      </c>
      <c r="AC273" s="4" t="s">
        <v>49</v>
      </c>
      <c r="AD273" s="4">
        <v>0</v>
      </c>
      <c r="AE273" s="4" t="s">
        <v>49</v>
      </c>
      <c r="AF273" s="4">
        <v>0</v>
      </c>
      <c r="AG273" s="4" t="s">
        <v>692</v>
      </c>
      <c r="AH273" s="4" t="s">
        <v>691</v>
      </c>
      <c r="AI273" s="4" t="s">
        <v>64</v>
      </c>
      <c r="AJ273" s="13">
        <v>0</v>
      </c>
      <c r="AK273" s="13">
        <v>10</v>
      </c>
      <c r="AM273" s="13" t="s">
        <v>496</v>
      </c>
      <c r="AP273" s="13" t="s">
        <v>50</v>
      </c>
      <c r="AQ273" s="13" t="s">
        <v>49</v>
      </c>
      <c r="AR273" s="13" t="s">
        <v>49</v>
      </c>
      <c r="AS273" s="13" t="s">
        <v>49</v>
      </c>
      <c r="AT273" s="13" t="s">
        <v>990</v>
      </c>
      <c r="AU273" s="13" t="s">
        <v>998</v>
      </c>
      <c r="AV273" s="14">
        <v>0.24</v>
      </c>
      <c r="AW273" s="14">
        <v>1.1399999999999999</v>
      </c>
      <c r="AX273" s="14">
        <f>Table1347456[[#This Row],[treatment_mean]]/Table1347456[[#This Row],[control_mean]]</f>
        <v>0.2105263157894737</v>
      </c>
      <c r="AY273" s="14">
        <f>LN(Table1347456[[#This Row],[rr]])</f>
        <v>-1.5581446180465497</v>
      </c>
      <c r="AZ273" s="13">
        <v>4</v>
      </c>
      <c r="BA273" s="13">
        <v>4</v>
      </c>
      <c r="BB273" s="14">
        <f>SQRT(0.00065)</f>
        <v>2.5495097567963924E-2</v>
      </c>
      <c r="BC273" s="14">
        <f>SQRT(0.3393)</f>
        <v>0.58249463516842792</v>
      </c>
      <c r="BD273" s="15">
        <f>Table1347456[[#This Row],[treatment_se]]*SQRT(Table1347456[[#This Row],[treatment_n]])</f>
        <v>5.0990195135927847E-2</v>
      </c>
      <c r="BE273" s="14">
        <f>Table1347456[[#This Row],[control_se]]*SQRT(Table1347456[[#This Row],[control_n]])</f>
        <v>1.1649892703368558</v>
      </c>
      <c r="BF27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0.27236505463219446</v>
      </c>
      <c r="BG273" s="17">
        <f>SQRT(Table1347456[[#This Row],[v_from_sd_and_n]])</f>
        <v>0.52188605521913922</v>
      </c>
      <c r="BH273" s="13" t="s">
        <v>50</v>
      </c>
      <c r="BI273" s="13">
        <v>2.5000000000000001E-2</v>
      </c>
      <c r="BJ273" s="18">
        <f>ABS(_xlfn.NORM.S.INV(Table1347456[[#This Row],[p_value]]/2))</f>
        <v>2.2414027276049446</v>
      </c>
      <c r="BK273" s="19">
        <f>(Table1347456[[#This Row],[lnrr]]/Table1347456[[#This Row],[z_from_p]])^2</f>
        <v>0.48325430955772136</v>
      </c>
      <c r="BL273" s="16">
        <f>Table1347456[[#This Row],[v_from_sd_and_n]]</f>
        <v>0.27236505463219446</v>
      </c>
      <c r="BM273" s="20">
        <f>SQRT(Table1347456[[#This Row],[v]])</f>
        <v>0.52188605521913922</v>
      </c>
      <c r="BN273" s="20">
        <f>Table1347456[[#This Row],[lnrr]]-(1.96*Table1347456[[#This Row],[se]])</f>
        <v>-2.5810412862760623</v>
      </c>
      <c r="BO273" s="20">
        <f>Table1347456[[#This Row],[lnrr]]+(1.96 * Table1347456[[#This Row],[se]])</f>
        <v>-0.53524794981703683</v>
      </c>
    </row>
    <row r="274" spans="1:67">
      <c r="A274" s="13" t="s">
        <v>144</v>
      </c>
      <c r="B274" s="13" t="s">
        <v>145</v>
      </c>
      <c r="C274" s="13" t="s">
        <v>43</v>
      </c>
      <c r="D274" s="13" t="s">
        <v>146</v>
      </c>
      <c r="E274" s="13" t="s">
        <v>91</v>
      </c>
      <c r="F274" s="13" t="s">
        <v>587</v>
      </c>
      <c r="G274" s="13" t="s">
        <v>46</v>
      </c>
      <c r="H274" s="13">
        <v>16.05</v>
      </c>
      <c r="I274" s="13">
        <v>1045</v>
      </c>
      <c r="K274" s="13" t="s">
        <v>833</v>
      </c>
      <c r="L274" s="13" t="s">
        <v>834</v>
      </c>
      <c r="N274" s="13" t="s">
        <v>69</v>
      </c>
      <c r="O274" s="13" t="s">
        <v>70</v>
      </c>
      <c r="P274" s="13" t="s">
        <v>71</v>
      </c>
      <c r="Q274" s="13" t="s">
        <v>71</v>
      </c>
      <c r="R274" s="4">
        <v>4</v>
      </c>
      <c r="S274" s="13" t="s">
        <v>594</v>
      </c>
      <c r="T274" s="13">
        <v>350</v>
      </c>
      <c r="U274" s="4" t="s">
        <v>147</v>
      </c>
      <c r="V274" s="4">
        <v>400</v>
      </c>
      <c r="W274" s="4" t="s">
        <v>42</v>
      </c>
      <c r="X274" s="4">
        <v>596</v>
      </c>
      <c r="Y274" s="4">
        <v>10</v>
      </c>
      <c r="AA274" s="4" t="s">
        <v>50</v>
      </c>
      <c r="AB274" s="4">
        <v>225</v>
      </c>
      <c r="AC274" s="4" t="s">
        <v>49</v>
      </c>
      <c r="AD274" s="4">
        <v>0</v>
      </c>
      <c r="AE274" s="4" t="s">
        <v>49</v>
      </c>
      <c r="AF274" s="4">
        <v>0</v>
      </c>
      <c r="AG274" s="4" t="s">
        <v>692</v>
      </c>
      <c r="AH274" s="4" t="s">
        <v>691</v>
      </c>
      <c r="AI274" s="4" t="s">
        <v>64</v>
      </c>
      <c r="AJ274" s="13">
        <v>0</v>
      </c>
      <c r="AK274" s="13">
        <v>10</v>
      </c>
      <c r="AM274" s="13" t="s">
        <v>496</v>
      </c>
      <c r="AP274" s="13" t="s">
        <v>50</v>
      </c>
      <c r="AQ274" s="13" t="s">
        <v>49</v>
      </c>
      <c r="AR274" s="13" t="s">
        <v>49</v>
      </c>
      <c r="AS274" s="13" t="s">
        <v>49</v>
      </c>
      <c r="AT274" s="13" t="s">
        <v>992</v>
      </c>
      <c r="AU274" s="4" t="s">
        <v>1000</v>
      </c>
      <c r="AV274" s="14">
        <v>5.28</v>
      </c>
      <c r="AW274" s="14">
        <v>5.68</v>
      </c>
      <c r="AX274" s="14">
        <f>Table1347456[[#This Row],[treatment_mean]]/Table1347456[[#This Row],[control_mean]]</f>
        <v>0.92957746478873249</v>
      </c>
      <c r="AY274" s="14">
        <f>LN(Table1347456[[#This Row],[rr]])</f>
        <v>-7.3025135014889775E-2</v>
      </c>
      <c r="AZ274" s="13">
        <v>4</v>
      </c>
      <c r="BA274" s="13">
        <v>4</v>
      </c>
      <c r="BB274" s="14">
        <f>SQRT(0.221)</f>
        <v>0.47010637094172636</v>
      </c>
      <c r="BC274" s="14">
        <f>SQRT(0.0936)</f>
        <v>0.3059411708155671</v>
      </c>
      <c r="BD274" s="15">
        <f>Table1347456[[#This Row],[treatment_se]]*SQRT(Table1347456[[#This Row],[treatment_n]])</f>
        <v>0.94021274188345272</v>
      </c>
      <c r="BE274" s="14">
        <f>Table1347456[[#This Row],[control_se]]*SQRT(Table1347456[[#This Row],[control_n]])</f>
        <v>0.6118823416311342</v>
      </c>
      <c r="BF27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1.08284942830589E-2</v>
      </c>
      <c r="BG274" s="17">
        <f>SQRT(Table1347456[[#This Row],[v_from_sd_and_n]])</f>
        <v>0.10406005133123325</v>
      </c>
      <c r="BH274" s="13" t="s">
        <v>50</v>
      </c>
      <c r="BI274" s="13">
        <v>2.5000000000000001E-2</v>
      </c>
      <c r="BJ274" s="18">
        <f>ABS(_xlfn.NORM.S.INV(Table1347456[[#This Row],[p_value]]/2))</f>
        <v>2.2414027276049446</v>
      </c>
      <c r="BK274" s="19">
        <f>(Table1347456[[#This Row],[lnrr]]/Table1347456[[#This Row],[z_from_p]])^2</f>
        <v>1.0614632069905689E-3</v>
      </c>
      <c r="BL274" s="16">
        <f>Table1347456[[#This Row],[v_from_sd_and_n]]</f>
        <v>1.08284942830589E-2</v>
      </c>
      <c r="BM274" s="20">
        <f>SQRT(Table1347456[[#This Row],[v]])</f>
        <v>0.10406005133123325</v>
      </c>
      <c r="BN274" s="20">
        <f>Table1347456[[#This Row],[lnrr]]-(1.96*Table1347456[[#This Row],[se]])</f>
        <v>-0.27698283562410697</v>
      </c>
      <c r="BO274" s="20">
        <f>Table1347456[[#This Row],[lnrr]]+(1.96 * Table1347456[[#This Row],[se]])</f>
        <v>0.13093256559432739</v>
      </c>
    </row>
    <row r="275" spans="1:67">
      <c r="A275" s="13" t="s">
        <v>148</v>
      </c>
      <c r="B275" s="13" t="s">
        <v>149</v>
      </c>
      <c r="C275" s="13" t="s">
        <v>43</v>
      </c>
      <c r="D275" s="13" t="s">
        <v>150</v>
      </c>
      <c r="E275" s="13" t="s">
        <v>151</v>
      </c>
      <c r="F275" s="13" t="s">
        <v>587</v>
      </c>
      <c r="G275" s="13" t="s">
        <v>46</v>
      </c>
      <c r="H275" s="13">
        <v>27.9</v>
      </c>
      <c r="I275" s="13">
        <v>935</v>
      </c>
      <c r="K275" s="13" t="s">
        <v>835</v>
      </c>
      <c r="L275" s="13" t="s">
        <v>836</v>
      </c>
      <c r="N275" s="13" t="s">
        <v>99</v>
      </c>
      <c r="O275" s="13" t="s">
        <v>644</v>
      </c>
      <c r="P275" s="13" t="s">
        <v>71</v>
      </c>
      <c r="Q275" s="13" t="s">
        <v>48</v>
      </c>
      <c r="R275" s="4">
        <v>3</v>
      </c>
      <c r="S275" s="13" t="s">
        <v>594</v>
      </c>
      <c r="T275" s="13">
        <v>1095</v>
      </c>
      <c r="U275" s="4" t="s">
        <v>152</v>
      </c>
      <c r="V275" s="4">
        <v>400</v>
      </c>
      <c r="W275" s="4" t="s">
        <v>42</v>
      </c>
      <c r="X275" s="4">
        <v>650</v>
      </c>
      <c r="Y275" s="4">
        <v>5</v>
      </c>
      <c r="AA275" s="4" t="s">
        <v>49</v>
      </c>
      <c r="AB275" s="4">
        <v>0</v>
      </c>
      <c r="AC275" s="4" t="s">
        <v>49</v>
      </c>
      <c r="AD275" s="4">
        <v>0</v>
      </c>
      <c r="AE275" s="4" t="s">
        <v>49</v>
      </c>
      <c r="AF275" s="4">
        <v>0</v>
      </c>
      <c r="AG275" s="4" t="s">
        <v>694</v>
      </c>
      <c r="AH275" s="4" t="s">
        <v>693</v>
      </c>
      <c r="AI275" s="4" t="s">
        <v>64</v>
      </c>
      <c r="AJ275" s="13">
        <v>0</v>
      </c>
      <c r="AK275" s="13">
        <v>15</v>
      </c>
      <c r="AM275" s="13" t="s">
        <v>497</v>
      </c>
      <c r="AP275" s="13" t="s">
        <v>50</v>
      </c>
      <c r="AQ275" s="13" t="s">
        <v>49</v>
      </c>
      <c r="AR275" s="13" t="s">
        <v>49</v>
      </c>
      <c r="AS275" s="13" t="s">
        <v>49</v>
      </c>
      <c r="AT275" s="13" t="s">
        <v>990</v>
      </c>
      <c r="AU275" s="13" t="s">
        <v>998</v>
      </c>
      <c r="AV275" s="14">
        <f>(156*1.5)/1.39/1000</f>
        <v>0.16834532374100722</v>
      </c>
      <c r="AW275" s="14">
        <f>(140*1.5)/1.39/1000</f>
        <v>0.15107913669064749</v>
      </c>
      <c r="AX275" s="14">
        <f>Table1347456[[#This Row],[treatment_mean]]/Table1347456[[#This Row],[control_mean]]</f>
        <v>1.1142857142857143</v>
      </c>
      <c r="AY275" s="14">
        <f>LN(Table1347456[[#This Row],[rr]])</f>
        <v>0.10821358464023279</v>
      </c>
      <c r="AZ275" s="13">
        <v>3</v>
      </c>
      <c r="BA275" s="13">
        <v>3</v>
      </c>
      <c r="BB275" s="14" t="s">
        <v>46</v>
      </c>
      <c r="BC275" s="14" t="s">
        <v>46</v>
      </c>
      <c r="BD275" s="15" t="s">
        <v>46</v>
      </c>
      <c r="BE275" s="14" t="s">
        <v>46</v>
      </c>
      <c r="BF27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275" s="17" t="s">
        <v>46</v>
      </c>
      <c r="BH275" s="13" t="s">
        <v>50</v>
      </c>
      <c r="BI275" s="13">
        <v>2.5000000000000001E-2</v>
      </c>
      <c r="BJ275" s="18">
        <f>ABS(_xlfn.NORM.S.INV(Table1347456[[#This Row],[p_value]]/2))</f>
        <v>2.2414027276049446</v>
      </c>
      <c r="BK275" s="19">
        <f>(Table1347456[[#This Row],[lnrr]]/Table1347456[[#This Row],[z_from_p]])^2</f>
        <v>2.3309007139247239E-3</v>
      </c>
      <c r="BL275" s="16">
        <f>Table1347456[[#This Row],[v_from_z_from_p]]</f>
        <v>2.3309007139247239E-3</v>
      </c>
      <c r="BM275" s="20">
        <f>SQRT(Table1347456[[#This Row],[v]])</f>
        <v>4.8279402584588016E-2</v>
      </c>
      <c r="BN275" s="20">
        <f>Table1347456[[#This Row],[lnrr]]-(1.96*Table1347456[[#This Row],[se]])</f>
        <v>1.358595557444027E-2</v>
      </c>
      <c r="BO275" s="20">
        <f>Table1347456[[#This Row],[lnrr]]+(1.96 * Table1347456[[#This Row],[se]])</f>
        <v>0.20284121370602531</v>
      </c>
    </row>
    <row r="276" spans="1:67">
      <c r="A276" s="13" t="s">
        <v>148</v>
      </c>
      <c r="B276" s="13" t="s">
        <v>149</v>
      </c>
      <c r="C276" s="13" t="s">
        <v>43</v>
      </c>
      <c r="D276" s="13" t="s">
        <v>150</v>
      </c>
      <c r="E276" s="13" t="s">
        <v>151</v>
      </c>
      <c r="F276" s="13" t="s">
        <v>587</v>
      </c>
      <c r="G276" s="13" t="s">
        <v>46</v>
      </c>
      <c r="H276" s="13">
        <v>27.9</v>
      </c>
      <c r="I276" s="13">
        <v>935</v>
      </c>
      <c r="K276" s="13" t="s">
        <v>835</v>
      </c>
      <c r="L276" s="13" t="s">
        <v>836</v>
      </c>
      <c r="N276" s="13" t="s">
        <v>99</v>
      </c>
      <c r="O276" s="13" t="s">
        <v>644</v>
      </c>
      <c r="P276" s="13" t="s">
        <v>71</v>
      </c>
      <c r="Q276" s="13" t="s">
        <v>48</v>
      </c>
      <c r="R276" s="4">
        <v>3</v>
      </c>
      <c r="S276" s="13" t="s">
        <v>594</v>
      </c>
      <c r="T276" s="13">
        <v>1095</v>
      </c>
      <c r="U276" s="4" t="s">
        <v>153</v>
      </c>
      <c r="V276" s="4">
        <v>400</v>
      </c>
      <c r="W276" s="4" t="s">
        <v>42</v>
      </c>
      <c r="X276" s="4">
        <v>650</v>
      </c>
      <c r="Y276" s="4">
        <v>5</v>
      </c>
      <c r="AA276" s="4" t="s">
        <v>49</v>
      </c>
      <c r="AB276" s="4">
        <v>0</v>
      </c>
      <c r="AC276" s="4" t="s">
        <v>49</v>
      </c>
      <c r="AD276" s="4">
        <v>0</v>
      </c>
      <c r="AE276" s="4" t="s">
        <v>49</v>
      </c>
      <c r="AF276" s="4">
        <v>0</v>
      </c>
      <c r="AG276" s="4" t="s">
        <v>695</v>
      </c>
      <c r="AH276" s="4" t="s">
        <v>693</v>
      </c>
      <c r="AI276" s="4" t="s">
        <v>64</v>
      </c>
      <c r="AJ276" s="13">
        <v>0</v>
      </c>
      <c r="AK276" s="13">
        <v>15</v>
      </c>
      <c r="AM276" s="13" t="s">
        <v>497</v>
      </c>
      <c r="AP276" s="13" t="s">
        <v>50</v>
      </c>
      <c r="AQ276" s="13" t="s">
        <v>49</v>
      </c>
      <c r="AR276" s="13" t="s">
        <v>49</v>
      </c>
      <c r="AS276" s="13" t="s">
        <v>49</v>
      </c>
      <c r="AT276" s="13" t="s">
        <v>990</v>
      </c>
      <c r="AU276" s="13" t="s">
        <v>998</v>
      </c>
      <c r="AV276" s="14">
        <f>(154*1.5)/1.39/1000</f>
        <v>0.16618705035971224</v>
      </c>
      <c r="AW276" s="14">
        <f>(140*1.5)/1.39/1000</f>
        <v>0.15107913669064749</v>
      </c>
      <c r="AX276" s="14">
        <f>Table1347456[[#This Row],[treatment_mean]]/Table1347456[[#This Row],[control_mean]]</f>
        <v>1.1000000000000001</v>
      </c>
      <c r="AY276" s="14">
        <f>LN(Table1347456[[#This Row],[rr]])</f>
        <v>9.5310179804324935E-2</v>
      </c>
      <c r="AZ276" s="13">
        <v>3</v>
      </c>
      <c r="BA276" s="13">
        <v>3</v>
      </c>
      <c r="BB276" s="14" t="s">
        <v>46</v>
      </c>
      <c r="BC276" s="14" t="s">
        <v>46</v>
      </c>
      <c r="BD276" s="15" t="s">
        <v>46</v>
      </c>
      <c r="BE276" s="14" t="s">
        <v>46</v>
      </c>
      <c r="BF27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276" s="17" t="s">
        <v>46</v>
      </c>
      <c r="BH276" s="13" t="s">
        <v>50</v>
      </c>
      <c r="BI276" s="13">
        <v>2.5000000000000001E-2</v>
      </c>
      <c r="BJ276" s="18">
        <f>ABS(_xlfn.NORM.S.INV(Table1347456[[#This Row],[p_value]]/2))</f>
        <v>2.2414027276049446</v>
      </c>
      <c r="BK276" s="19">
        <f>(Table1347456[[#This Row],[lnrr]]/Table1347456[[#This Row],[z_from_p]])^2</f>
        <v>1.808168026829423E-3</v>
      </c>
      <c r="BL276" s="16">
        <f>Table1347456[[#This Row],[v_from_z_from_p]]</f>
        <v>1.808168026829423E-3</v>
      </c>
      <c r="BM276" s="20">
        <f>SQRT(Table1347456[[#This Row],[v]])</f>
        <v>4.2522559034345792E-2</v>
      </c>
      <c r="BN276" s="20">
        <f>Table1347456[[#This Row],[lnrr]]-(1.96*Table1347456[[#This Row],[se]])</f>
        <v>1.196596409700719E-2</v>
      </c>
      <c r="BO276" s="20">
        <f>Table1347456[[#This Row],[lnrr]]+(1.96 * Table1347456[[#This Row],[se]])</f>
        <v>0.17865439551164269</v>
      </c>
    </row>
    <row r="277" spans="1:67">
      <c r="A277" s="13" t="s">
        <v>148</v>
      </c>
      <c r="B277" s="13" t="s">
        <v>149</v>
      </c>
      <c r="C277" s="13" t="s">
        <v>43</v>
      </c>
      <c r="D277" s="13" t="s">
        <v>150</v>
      </c>
      <c r="E277" s="13" t="s">
        <v>151</v>
      </c>
      <c r="F277" s="13" t="s">
        <v>587</v>
      </c>
      <c r="G277" s="13" t="s">
        <v>46</v>
      </c>
      <c r="H277" s="13">
        <v>27.9</v>
      </c>
      <c r="I277" s="13">
        <v>935</v>
      </c>
      <c r="J277" s="13" t="s">
        <v>652</v>
      </c>
      <c r="K277" s="13" t="s">
        <v>835</v>
      </c>
      <c r="L277" s="13" t="s">
        <v>836</v>
      </c>
      <c r="M277" s="13" t="s">
        <v>800</v>
      </c>
      <c r="N277" s="13" t="s">
        <v>84</v>
      </c>
      <c r="O277" s="13" t="s">
        <v>644</v>
      </c>
      <c r="P277" s="13" t="s">
        <v>71</v>
      </c>
      <c r="Q277" s="13" t="s">
        <v>48</v>
      </c>
      <c r="R277" s="4">
        <v>3</v>
      </c>
      <c r="S277" s="13" t="s">
        <v>594</v>
      </c>
      <c r="T277" s="13">
        <v>1095</v>
      </c>
      <c r="U277" s="4" t="s">
        <v>153</v>
      </c>
      <c r="V277" s="4">
        <v>400</v>
      </c>
      <c r="W277" s="4" t="s">
        <v>42</v>
      </c>
      <c r="X277" s="4">
        <v>650</v>
      </c>
      <c r="Y277" s="4">
        <v>5</v>
      </c>
      <c r="AA277" s="4" t="s">
        <v>49</v>
      </c>
      <c r="AB277" s="4">
        <v>0</v>
      </c>
      <c r="AC277" s="4" t="s">
        <v>49</v>
      </c>
      <c r="AD277" s="4">
        <v>0</v>
      </c>
      <c r="AE277" s="4" t="s">
        <v>49</v>
      </c>
      <c r="AF277" s="4">
        <v>0</v>
      </c>
      <c r="AG277" s="4" t="s">
        <v>695</v>
      </c>
      <c r="AH277" s="4" t="s">
        <v>693</v>
      </c>
      <c r="AI277" s="4" t="s">
        <v>64</v>
      </c>
      <c r="AJ277" s="13">
        <v>0</v>
      </c>
      <c r="AK277" s="13">
        <v>15</v>
      </c>
      <c r="AM277" s="13" t="s">
        <v>497</v>
      </c>
      <c r="AP277" s="13" t="s">
        <v>50</v>
      </c>
      <c r="AQ277" s="13" t="s">
        <v>49</v>
      </c>
      <c r="AR277" s="13" t="s">
        <v>49</v>
      </c>
      <c r="AS277" s="13" t="s">
        <v>49</v>
      </c>
      <c r="AT277" s="13" t="s">
        <v>990</v>
      </c>
      <c r="AU277" s="13" t="s">
        <v>998</v>
      </c>
      <c r="AV277" s="23">
        <f>(29.3*1.5)/1.39/1000</f>
        <v>3.161870503597123E-2</v>
      </c>
      <c r="AW277" s="23">
        <f>(24.2*1.5)/1.39/1000</f>
        <v>2.6115107913669063E-2</v>
      </c>
      <c r="AX277" s="14">
        <f>Table1347456[[#This Row],[treatment_mean]]/Table1347456[[#This Row],[control_mean]]</f>
        <v>1.2107438016528929</v>
      </c>
      <c r="AY277" s="14">
        <f>LN(Table1347456[[#This Row],[rr]])</f>
        <v>0.19123488286038115</v>
      </c>
      <c r="AZ277" s="13">
        <v>3</v>
      </c>
      <c r="BA277" s="13">
        <v>3</v>
      </c>
      <c r="BB277" s="14" t="s">
        <v>46</v>
      </c>
      <c r="BC277" s="14" t="s">
        <v>46</v>
      </c>
      <c r="BD277" s="15" t="s">
        <v>46</v>
      </c>
      <c r="BE277" s="14" t="s">
        <v>46</v>
      </c>
      <c r="BF27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277" s="17" t="s">
        <v>46</v>
      </c>
      <c r="BH277" s="13" t="s">
        <v>50</v>
      </c>
      <c r="BI277" s="13">
        <v>2.5000000000000001E-2</v>
      </c>
      <c r="BJ277" s="18">
        <f>ABS(_xlfn.NORM.S.INV(Table1347456[[#This Row],[p_value]]/2))</f>
        <v>2.2414027276049446</v>
      </c>
      <c r="BK277" s="19">
        <f>(Table1347456[[#This Row],[lnrr]]/Table1347456[[#This Row],[z_from_p]])^2</f>
        <v>7.2793807540790798E-3</v>
      </c>
      <c r="BL277" s="16">
        <f>Table1347456[[#This Row],[v_from_z_from_p]]</f>
        <v>7.2793807540790798E-3</v>
      </c>
      <c r="BM277" s="20">
        <f>SQRT(Table1347456[[#This Row],[v]])</f>
        <v>8.531928711656632E-2</v>
      </c>
      <c r="BN277" s="20">
        <f>Table1347456[[#This Row],[lnrr]]-(1.96*Table1347456[[#This Row],[se]])</f>
        <v>2.4009080111911163E-2</v>
      </c>
      <c r="BO277" s="20">
        <f>Table1347456[[#This Row],[lnrr]]+(1.96 * Table1347456[[#This Row],[se]])</f>
        <v>0.35846068560885114</v>
      </c>
    </row>
    <row r="278" spans="1:67">
      <c r="A278" s="13" t="s">
        <v>148</v>
      </c>
      <c r="B278" s="13" t="s">
        <v>149</v>
      </c>
      <c r="C278" s="13" t="s">
        <v>43</v>
      </c>
      <c r="D278" s="13" t="s">
        <v>150</v>
      </c>
      <c r="E278" s="13" t="s">
        <v>151</v>
      </c>
      <c r="F278" s="13" t="s">
        <v>587</v>
      </c>
      <c r="G278" s="13" t="s">
        <v>46</v>
      </c>
      <c r="H278" s="13">
        <v>27.9</v>
      </c>
      <c r="I278" s="13">
        <v>935</v>
      </c>
      <c r="J278" s="13" t="s">
        <v>652</v>
      </c>
      <c r="K278" s="13" t="s">
        <v>835</v>
      </c>
      <c r="L278" s="13" t="s">
        <v>836</v>
      </c>
      <c r="M278" s="13" t="s">
        <v>800</v>
      </c>
      <c r="N278" s="13" t="s">
        <v>84</v>
      </c>
      <c r="O278" s="13" t="s">
        <v>644</v>
      </c>
      <c r="P278" s="13" t="s">
        <v>71</v>
      </c>
      <c r="Q278" s="13" t="s">
        <v>48</v>
      </c>
      <c r="R278" s="4">
        <v>3</v>
      </c>
      <c r="S278" s="13" t="s">
        <v>594</v>
      </c>
      <c r="T278" s="13">
        <v>1095</v>
      </c>
      <c r="U278" s="4" t="s">
        <v>152</v>
      </c>
      <c r="V278" s="4">
        <v>400</v>
      </c>
      <c r="W278" s="4" t="s">
        <v>42</v>
      </c>
      <c r="X278" s="4">
        <v>650</v>
      </c>
      <c r="Y278" s="4">
        <v>5</v>
      </c>
      <c r="AA278" s="4" t="s">
        <v>49</v>
      </c>
      <c r="AB278" s="4">
        <v>0</v>
      </c>
      <c r="AC278" s="4" t="s">
        <v>49</v>
      </c>
      <c r="AD278" s="4">
        <v>0</v>
      </c>
      <c r="AE278" s="4" t="s">
        <v>49</v>
      </c>
      <c r="AF278" s="4">
        <v>0</v>
      </c>
      <c r="AG278" s="4" t="s">
        <v>694</v>
      </c>
      <c r="AH278" s="4" t="s">
        <v>693</v>
      </c>
      <c r="AI278" s="4" t="s">
        <v>64</v>
      </c>
      <c r="AJ278" s="13">
        <v>0</v>
      </c>
      <c r="AK278" s="13">
        <v>15</v>
      </c>
      <c r="AM278" s="13" t="s">
        <v>497</v>
      </c>
      <c r="AP278" s="13" t="s">
        <v>50</v>
      </c>
      <c r="AQ278" s="13" t="s">
        <v>49</v>
      </c>
      <c r="AR278" s="13" t="s">
        <v>49</v>
      </c>
      <c r="AS278" s="13" t="s">
        <v>49</v>
      </c>
      <c r="AT278" s="13" t="s">
        <v>990</v>
      </c>
      <c r="AU278" s="13" t="s">
        <v>998</v>
      </c>
      <c r="AV278" s="23">
        <f>(29.3*1.5)/1.39/1000</f>
        <v>3.161870503597123E-2</v>
      </c>
      <c r="AW278" s="23">
        <f>(24.2*1.5)/1.39/1000</f>
        <v>2.6115107913669063E-2</v>
      </c>
      <c r="AX278" s="14">
        <f>Table1347456[[#This Row],[treatment_mean]]/Table1347456[[#This Row],[control_mean]]</f>
        <v>1.2107438016528929</v>
      </c>
      <c r="AY278" s="14">
        <f>LN(Table1347456[[#This Row],[rr]])</f>
        <v>0.19123488286038115</v>
      </c>
      <c r="AZ278" s="13">
        <v>3</v>
      </c>
      <c r="BA278" s="13">
        <v>3</v>
      </c>
      <c r="BB278" s="14" t="s">
        <v>46</v>
      </c>
      <c r="BC278" s="14" t="s">
        <v>46</v>
      </c>
      <c r="BD278" s="15" t="s">
        <v>46</v>
      </c>
      <c r="BE278" s="14" t="s">
        <v>46</v>
      </c>
      <c r="BF27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278" s="17" t="s">
        <v>46</v>
      </c>
      <c r="BH278" s="13" t="s">
        <v>50</v>
      </c>
      <c r="BI278" s="13">
        <v>2.5000000000000001E-2</v>
      </c>
      <c r="BJ278" s="18">
        <f>ABS(_xlfn.NORM.S.INV(Table1347456[[#This Row],[p_value]]/2))</f>
        <v>2.2414027276049446</v>
      </c>
      <c r="BK278" s="19">
        <f>(Table1347456[[#This Row],[lnrr]]/Table1347456[[#This Row],[z_from_p]])^2</f>
        <v>7.2793807540790798E-3</v>
      </c>
      <c r="BL278" s="16">
        <f>Table1347456[[#This Row],[v_from_z_from_p]]</f>
        <v>7.2793807540790798E-3</v>
      </c>
      <c r="BM278" s="20">
        <f>SQRT(Table1347456[[#This Row],[v]])</f>
        <v>8.531928711656632E-2</v>
      </c>
      <c r="BN278" s="20">
        <f>Table1347456[[#This Row],[lnrr]]-(1.96*Table1347456[[#This Row],[se]])</f>
        <v>2.4009080111911163E-2</v>
      </c>
      <c r="BO278" s="20">
        <f>Table1347456[[#This Row],[lnrr]]+(1.96 * Table1347456[[#This Row],[se]])</f>
        <v>0.35846068560885114</v>
      </c>
    </row>
    <row r="279" spans="1:67">
      <c r="A279" s="13" t="s">
        <v>148</v>
      </c>
      <c r="B279" s="13" t="s">
        <v>149</v>
      </c>
      <c r="C279" s="13" t="s">
        <v>43</v>
      </c>
      <c r="D279" s="13" t="s">
        <v>150</v>
      </c>
      <c r="E279" s="13" t="s">
        <v>151</v>
      </c>
      <c r="F279" s="13" t="s">
        <v>587</v>
      </c>
      <c r="G279" s="13" t="s">
        <v>46</v>
      </c>
      <c r="H279" s="13">
        <v>27.9</v>
      </c>
      <c r="I279" s="13">
        <v>935</v>
      </c>
      <c r="K279" s="13" t="s">
        <v>835</v>
      </c>
      <c r="L279" s="13" t="s">
        <v>836</v>
      </c>
      <c r="N279" s="13" t="s">
        <v>86</v>
      </c>
      <c r="O279" s="13" t="s">
        <v>644</v>
      </c>
      <c r="P279" s="13" t="s">
        <v>71</v>
      </c>
      <c r="Q279" s="13" t="s">
        <v>48</v>
      </c>
      <c r="R279" s="4">
        <v>3</v>
      </c>
      <c r="S279" s="13" t="s">
        <v>594</v>
      </c>
      <c r="T279" s="13">
        <v>1095</v>
      </c>
      <c r="U279" s="4" t="s">
        <v>153</v>
      </c>
      <c r="V279" s="4">
        <v>400</v>
      </c>
      <c r="W279" s="4" t="s">
        <v>42</v>
      </c>
      <c r="X279" s="4">
        <v>650</v>
      </c>
      <c r="Y279" s="4">
        <v>5</v>
      </c>
      <c r="AA279" s="4" t="s">
        <v>49</v>
      </c>
      <c r="AB279" s="4">
        <v>0</v>
      </c>
      <c r="AC279" s="4" t="s">
        <v>49</v>
      </c>
      <c r="AD279" s="4">
        <v>0</v>
      </c>
      <c r="AE279" s="4" t="s">
        <v>49</v>
      </c>
      <c r="AF279" s="4">
        <v>0</v>
      </c>
      <c r="AG279" s="4" t="s">
        <v>695</v>
      </c>
      <c r="AH279" s="4" t="s">
        <v>693</v>
      </c>
      <c r="AI279" s="4" t="s">
        <v>64</v>
      </c>
      <c r="AJ279" s="13">
        <v>0</v>
      </c>
      <c r="AK279" s="13">
        <v>15</v>
      </c>
      <c r="AM279" s="13" t="s">
        <v>497</v>
      </c>
      <c r="AP279" s="13" t="s">
        <v>50</v>
      </c>
      <c r="AQ279" s="13" t="s">
        <v>49</v>
      </c>
      <c r="AR279" s="13" t="s">
        <v>49</v>
      </c>
      <c r="AS279" s="13" t="s">
        <v>49</v>
      </c>
      <c r="AT279" s="13" t="s">
        <v>990</v>
      </c>
      <c r="AU279" s="13" t="s">
        <v>998</v>
      </c>
      <c r="AV279" s="14">
        <f>(148*1.5)/1.39/1000</f>
        <v>0.15971223021582737</v>
      </c>
      <c r="AW279" s="14">
        <f>(141*1.5)/1.39/1000</f>
        <v>0.15215827338129498</v>
      </c>
      <c r="AX279" s="14">
        <f>Table1347456[[#This Row],[treatment_mean]]/Table1347456[[#This Row],[control_mean]]</f>
        <v>1.0496453900709222</v>
      </c>
      <c r="AY279" s="14">
        <f>LN(Table1347456[[#This Row],[rr]])</f>
        <v>4.8452383385946957E-2</v>
      </c>
      <c r="AZ279" s="13">
        <v>3</v>
      </c>
      <c r="BA279" s="13">
        <v>3</v>
      </c>
      <c r="BB279" s="14" t="s">
        <v>46</v>
      </c>
      <c r="BC279" s="14" t="s">
        <v>46</v>
      </c>
      <c r="BD279" s="15" t="s">
        <v>46</v>
      </c>
      <c r="BE279" s="14" t="s">
        <v>46</v>
      </c>
      <c r="BF27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279" s="17" t="s">
        <v>46</v>
      </c>
      <c r="BH279" s="13" t="s">
        <v>50</v>
      </c>
      <c r="BI279" s="13">
        <v>2.5000000000000001E-2</v>
      </c>
      <c r="BJ279" s="18">
        <f>ABS(_xlfn.NORM.S.INV(Table1347456[[#This Row],[p_value]]/2))</f>
        <v>2.2414027276049446</v>
      </c>
      <c r="BK279" s="19">
        <f>(Table1347456[[#This Row],[lnrr]]/Table1347456[[#This Row],[z_from_p]])^2</f>
        <v>4.6729431524672476E-4</v>
      </c>
      <c r="BL279" s="16">
        <f>Table1347456[[#This Row],[v_from_z_from_p]]</f>
        <v>4.6729431524672476E-4</v>
      </c>
      <c r="BM279" s="20">
        <f>SQRT(Table1347456[[#This Row],[v]])</f>
        <v>2.1616991355105936E-2</v>
      </c>
      <c r="BN279" s="20">
        <f>Table1347456[[#This Row],[lnrr]]-(1.96*Table1347456[[#This Row],[se]])</f>
        <v>6.0830803299393235E-3</v>
      </c>
      <c r="BO279" s="20">
        <f>Table1347456[[#This Row],[lnrr]]+(1.96 * Table1347456[[#This Row],[se]])</f>
        <v>9.0821686441954597E-2</v>
      </c>
    </row>
    <row r="280" spans="1:67">
      <c r="A280" s="13" t="s">
        <v>148</v>
      </c>
      <c r="B280" s="13" t="s">
        <v>149</v>
      </c>
      <c r="C280" s="13" t="s">
        <v>43</v>
      </c>
      <c r="D280" s="13" t="s">
        <v>150</v>
      </c>
      <c r="E280" s="13" t="s">
        <v>151</v>
      </c>
      <c r="F280" s="13" t="s">
        <v>587</v>
      </c>
      <c r="G280" s="13" t="s">
        <v>46</v>
      </c>
      <c r="H280" s="13">
        <v>27.9</v>
      </c>
      <c r="I280" s="13">
        <v>935</v>
      </c>
      <c r="K280" s="13" t="s">
        <v>835</v>
      </c>
      <c r="L280" s="13" t="s">
        <v>836</v>
      </c>
      <c r="N280" s="13" t="s">
        <v>86</v>
      </c>
      <c r="O280" s="13" t="s">
        <v>644</v>
      </c>
      <c r="P280" s="13" t="s">
        <v>71</v>
      </c>
      <c r="Q280" s="13" t="s">
        <v>48</v>
      </c>
      <c r="R280" s="4">
        <v>3</v>
      </c>
      <c r="S280" s="13" t="s">
        <v>594</v>
      </c>
      <c r="T280" s="13">
        <v>1095</v>
      </c>
      <c r="U280" s="4" t="s">
        <v>152</v>
      </c>
      <c r="V280" s="4">
        <v>400</v>
      </c>
      <c r="W280" s="4" t="s">
        <v>42</v>
      </c>
      <c r="X280" s="4">
        <v>650</v>
      </c>
      <c r="Y280" s="4">
        <v>5</v>
      </c>
      <c r="AA280" s="4" t="s">
        <v>49</v>
      </c>
      <c r="AB280" s="4">
        <v>0</v>
      </c>
      <c r="AC280" s="4" t="s">
        <v>49</v>
      </c>
      <c r="AD280" s="4">
        <v>0</v>
      </c>
      <c r="AE280" s="4" t="s">
        <v>49</v>
      </c>
      <c r="AF280" s="4">
        <v>0</v>
      </c>
      <c r="AG280" s="4" t="s">
        <v>694</v>
      </c>
      <c r="AH280" s="4" t="s">
        <v>693</v>
      </c>
      <c r="AI280" s="4" t="s">
        <v>64</v>
      </c>
      <c r="AJ280" s="13">
        <v>0</v>
      </c>
      <c r="AK280" s="13">
        <v>15</v>
      </c>
      <c r="AM280" s="13" t="s">
        <v>497</v>
      </c>
      <c r="AP280" s="13" t="s">
        <v>50</v>
      </c>
      <c r="AQ280" s="13" t="s">
        <v>49</v>
      </c>
      <c r="AR280" s="13" t="s">
        <v>49</v>
      </c>
      <c r="AS280" s="13" t="s">
        <v>49</v>
      </c>
      <c r="AT280" s="13" t="s">
        <v>990</v>
      </c>
      <c r="AU280" s="13" t="s">
        <v>998</v>
      </c>
      <c r="AV280" s="14">
        <f>(150*1.5)/1.39/1000</f>
        <v>0.16187050359712229</v>
      </c>
      <c r="AW280" s="14">
        <f>(141*1.5)/1.39/1000</f>
        <v>0.15215827338129498</v>
      </c>
      <c r="AX280" s="14">
        <f>Table1347456[[#This Row],[treatment_mean]]/Table1347456[[#This Row],[control_mean]]</f>
        <v>1.0638297872340423</v>
      </c>
      <c r="AY280" s="14">
        <f>LN(Table1347456[[#This Row],[rr]])</f>
        <v>6.1875403718087245E-2</v>
      </c>
      <c r="AZ280" s="13">
        <v>3</v>
      </c>
      <c r="BA280" s="13">
        <v>3</v>
      </c>
      <c r="BB280" s="14" t="s">
        <v>46</v>
      </c>
      <c r="BC280" s="14" t="s">
        <v>46</v>
      </c>
      <c r="BD280" s="15" t="s">
        <v>46</v>
      </c>
      <c r="BE280" s="14" t="s">
        <v>46</v>
      </c>
      <c r="BF28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280" s="17" t="s">
        <v>46</v>
      </c>
      <c r="BH280" s="13" t="s">
        <v>50</v>
      </c>
      <c r="BI280" s="13">
        <v>2.5000000000000001E-2</v>
      </c>
      <c r="BJ280" s="18">
        <f>ABS(_xlfn.NORM.S.INV(Table1347456[[#This Row],[p_value]]/2))</f>
        <v>2.2414027276049446</v>
      </c>
      <c r="BK280" s="19">
        <f>(Table1347456[[#This Row],[lnrr]]/Table1347456[[#This Row],[z_from_p]])^2</f>
        <v>7.6207251568382694E-4</v>
      </c>
      <c r="BL280" s="16">
        <f>Table1347456[[#This Row],[v_from_z_from_p]]</f>
        <v>7.6207251568382694E-4</v>
      </c>
      <c r="BM280" s="20">
        <f>SQRT(Table1347456[[#This Row],[v]])</f>
        <v>2.7605660935464432E-2</v>
      </c>
      <c r="BN280" s="20">
        <f>Table1347456[[#This Row],[lnrr]]-(1.96*Table1347456[[#This Row],[se]])</f>
        <v>7.7683082845769608E-3</v>
      </c>
      <c r="BO280" s="20">
        <f>Table1347456[[#This Row],[lnrr]]+(1.96 * Table1347456[[#This Row],[se]])</f>
        <v>0.11598249915159753</v>
      </c>
    </row>
    <row r="281" spans="1:67">
      <c r="A281" s="13" t="s">
        <v>148</v>
      </c>
      <c r="B281" s="13" t="s">
        <v>149</v>
      </c>
      <c r="C281" s="13" t="s">
        <v>43</v>
      </c>
      <c r="D281" s="13" t="s">
        <v>150</v>
      </c>
      <c r="E281" s="13" t="s">
        <v>151</v>
      </c>
      <c r="F281" s="13" t="s">
        <v>587</v>
      </c>
      <c r="G281" s="13" t="s">
        <v>46</v>
      </c>
      <c r="H281" s="13">
        <v>27.9</v>
      </c>
      <c r="I281" s="13">
        <v>935</v>
      </c>
      <c r="K281" s="13" t="s">
        <v>835</v>
      </c>
      <c r="L281" s="13" t="s">
        <v>836</v>
      </c>
      <c r="N281" s="13" t="s">
        <v>61</v>
      </c>
      <c r="O281" s="13" t="s">
        <v>642</v>
      </c>
      <c r="P281" s="13" t="s">
        <v>71</v>
      </c>
      <c r="Q281" s="13" t="s">
        <v>48</v>
      </c>
      <c r="R281" s="4">
        <v>3</v>
      </c>
      <c r="S281" s="13" t="s">
        <v>594</v>
      </c>
      <c r="T281" s="13">
        <v>1095</v>
      </c>
      <c r="U281" s="4" t="s">
        <v>153</v>
      </c>
      <c r="V281" s="4">
        <v>400</v>
      </c>
      <c r="W281" s="4" t="s">
        <v>42</v>
      </c>
      <c r="X281" s="4">
        <v>650</v>
      </c>
      <c r="Y281" s="4">
        <v>5</v>
      </c>
      <c r="AA281" s="4" t="s">
        <v>49</v>
      </c>
      <c r="AB281" s="4">
        <v>0</v>
      </c>
      <c r="AC281" s="4" t="s">
        <v>49</v>
      </c>
      <c r="AD281" s="4">
        <v>0</v>
      </c>
      <c r="AE281" s="4" t="s">
        <v>49</v>
      </c>
      <c r="AF281" s="4">
        <v>0</v>
      </c>
      <c r="AG281" s="4" t="s">
        <v>695</v>
      </c>
      <c r="AH281" s="4" t="s">
        <v>693</v>
      </c>
      <c r="AI281" s="4" t="s">
        <v>64</v>
      </c>
      <c r="AJ281" s="13">
        <v>0</v>
      </c>
      <c r="AK281" s="13">
        <v>15</v>
      </c>
      <c r="AM281" s="13" t="s">
        <v>497</v>
      </c>
      <c r="AP281" s="13" t="s">
        <v>50</v>
      </c>
      <c r="AQ281" s="13" t="s">
        <v>49</v>
      </c>
      <c r="AR281" s="13" t="s">
        <v>49</v>
      </c>
      <c r="AS281" s="13" t="s">
        <v>49</v>
      </c>
      <c r="AT281" s="13" t="s">
        <v>990</v>
      </c>
      <c r="AU281" s="13" t="s">
        <v>998</v>
      </c>
      <c r="AV281" s="14">
        <f>(13.1*1.5)/1.39/1000</f>
        <v>1.4136690647482015E-2</v>
      </c>
      <c r="AW281" s="14">
        <f>(9.2*1.5)/1.39/1000</f>
        <v>9.9280575539568358E-3</v>
      </c>
      <c r="AX281" s="14">
        <f>Table1347456[[#This Row],[treatment_mean]]/Table1347456[[#This Row],[control_mean]]</f>
        <v>1.4239130434782608</v>
      </c>
      <c r="AY281" s="14">
        <f>LN(Table1347456[[#This Row],[rr]])</f>
        <v>0.35340874615211115</v>
      </c>
      <c r="AZ281" s="13">
        <v>3</v>
      </c>
      <c r="BA281" s="13">
        <v>3</v>
      </c>
      <c r="BB281" s="14" t="s">
        <v>46</v>
      </c>
      <c r="BC281" s="14" t="s">
        <v>46</v>
      </c>
      <c r="BD281" s="15" t="s">
        <v>46</v>
      </c>
      <c r="BE281" s="14" t="s">
        <v>46</v>
      </c>
      <c r="BF28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281" s="17" t="s">
        <v>46</v>
      </c>
      <c r="BH281" s="13" t="s">
        <v>50</v>
      </c>
      <c r="BI281" s="13">
        <v>2.5000000000000001E-2</v>
      </c>
      <c r="BJ281" s="18">
        <f>ABS(_xlfn.NORM.S.INV(Table1347456[[#This Row],[p_value]]/2))</f>
        <v>2.2414027276049446</v>
      </c>
      <c r="BK281" s="19">
        <f>(Table1347456[[#This Row],[lnrr]]/Table1347456[[#This Row],[z_from_p]])^2</f>
        <v>2.4860782509796737E-2</v>
      </c>
      <c r="BL281" s="16">
        <f>Table1347456[[#This Row],[v_from_z_from_p]]</f>
        <v>2.4860782509796737E-2</v>
      </c>
      <c r="BM281" s="20">
        <f>SQRT(Table1347456[[#This Row],[v]])</f>
        <v>0.15767302403961414</v>
      </c>
      <c r="BN281" s="20">
        <f>Table1347456[[#This Row],[lnrr]]-(1.96*Table1347456[[#This Row],[se]])</f>
        <v>4.4369619034467456E-2</v>
      </c>
      <c r="BO281" s="20">
        <f>Table1347456[[#This Row],[lnrr]]+(1.96 * Table1347456[[#This Row],[se]])</f>
        <v>0.66244787326975485</v>
      </c>
    </row>
    <row r="282" spans="1:67">
      <c r="A282" s="13" t="s">
        <v>148</v>
      </c>
      <c r="B282" s="13" t="s">
        <v>149</v>
      </c>
      <c r="C282" s="13" t="s">
        <v>43</v>
      </c>
      <c r="D282" s="13" t="s">
        <v>150</v>
      </c>
      <c r="E282" s="13" t="s">
        <v>151</v>
      </c>
      <c r="F282" s="13" t="s">
        <v>587</v>
      </c>
      <c r="G282" s="13" t="s">
        <v>46</v>
      </c>
      <c r="H282" s="13">
        <v>27.9</v>
      </c>
      <c r="I282" s="13">
        <v>935</v>
      </c>
      <c r="K282" s="13" t="s">
        <v>835</v>
      </c>
      <c r="L282" s="13" t="s">
        <v>836</v>
      </c>
      <c r="N282" s="13" t="s">
        <v>61</v>
      </c>
      <c r="O282" s="13" t="s">
        <v>642</v>
      </c>
      <c r="P282" s="13" t="s">
        <v>71</v>
      </c>
      <c r="Q282" s="13" t="s">
        <v>48</v>
      </c>
      <c r="R282" s="4">
        <v>3</v>
      </c>
      <c r="S282" s="13" t="s">
        <v>594</v>
      </c>
      <c r="T282" s="13">
        <v>1095</v>
      </c>
      <c r="U282" s="4" t="s">
        <v>152</v>
      </c>
      <c r="V282" s="4">
        <v>400</v>
      </c>
      <c r="W282" s="4" t="s">
        <v>42</v>
      </c>
      <c r="X282" s="4">
        <v>650</v>
      </c>
      <c r="Y282" s="4">
        <v>5</v>
      </c>
      <c r="AA282" s="4" t="s">
        <v>49</v>
      </c>
      <c r="AB282" s="4">
        <v>0</v>
      </c>
      <c r="AC282" s="4" t="s">
        <v>49</v>
      </c>
      <c r="AD282" s="4">
        <v>0</v>
      </c>
      <c r="AE282" s="4" t="s">
        <v>49</v>
      </c>
      <c r="AF282" s="4">
        <v>0</v>
      </c>
      <c r="AG282" s="4" t="s">
        <v>694</v>
      </c>
      <c r="AH282" s="4" t="s">
        <v>693</v>
      </c>
      <c r="AI282" s="4" t="s">
        <v>64</v>
      </c>
      <c r="AJ282" s="13">
        <v>0</v>
      </c>
      <c r="AK282" s="13">
        <v>15</v>
      </c>
      <c r="AM282" s="13" t="s">
        <v>497</v>
      </c>
      <c r="AP282" s="13" t="s">
        <v>50</v>
      </c>
      <c r="AQ282" s="13" t="s">
        <v>49</v>
      </c>
      <c r="AR282" s="13" t="s">
        <v>49</v>
      </c>
      <c r="AS282" s="13" t="s">
        <v>49</v>
      </c>
      <c r="AT282" s="13" t="s">
        <v>990</v>
      </c>
      <c r="AU282" s="13" t="s">
        <v>998</v>
      </c>
      <c r="AV282" s="14">
        <f>(13.5*1.5)/1.39/1000</f>
        <v>1.4568345323741008E-2</v>
      </c>
      <c r="AW282" s="14">
        <f>(9.2*1.5)/1.39/1000</f>
        <v>9.9280575539568358E-3</v>
      </c>
      <c r="AX282" s="14">
        <f>Table1347456[[#This Row],[treatment_mean]]/Table1347456[[#This Row],[control_mean]]</f>
        <v>1.4673913043478259</v>
      </c>
      <c r="AY282" s="14">
        <f>LN(Table1347456[[#This Row],[rr]])</f>
        <v>0.38348620138938905</v>
      </c>
      <c r="AZ282" s="13">
        <v>3</v>
      </c>
      <c r="BA282" s="13">
        <v>3</v>
      </c>
      <c r="BB282" s="14" t="s">
        <v>46</v>
      </c>
      <c r="BC282" s="14" t="s">
        <v>46</v>
      </c>
      <c r="BD282" s="15" t="s">
        <v>46</v>
      </c>
      <c r="BE282" s="14" t="s">
        <v>46</v>
      </c>
      <c r="BF28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282" s="17" t="s">
        <v>46</v>
      </c>
      <c r="BH282" s="13" t="s">
        <v>50</v>
      </c>
      <c r="BI282" s="13">
        <v>2.5000000000000001E-2</v>
      </c>
      <c r="BJ282" s="18">
        <f>ABS(_xlfn.NORM.S.INV(Table1347456[[#This Row],[p_value]]/2))</f>
        <v>2.2414027276049446</v>
      </c>
      <c r="BK282" s="19">
        <f>(Table1347456[[#This Row],[lnrr]]/Table1347456[[#This Row],[z_from_p]])^2</f>
        <v>2.9272491687289407E-2</v>
      </c>
      <c r="BL282" s="16">
        <f>Table1347456[[#This Row],[v_from_z_from_p]]</f>
        <v>2.9272491687289407E-2</v>
      </c>
      <c r="BM282" s="20">
        <f>SQRT(Table1347456[[#This Row],[v]])</f>
        <v>0.1710920561782148</v>
      </c>
      <c r="BN282" s="20">
        <f>Table1347456[[#This Row],[lnrr]]-(1.96*Table1347456[[#This Row],[se]])</f>
        <v>4.8145771280088068E-2</v>
      </c>
      <c r="BO282" s="20">
        <f>Table1347456[[#This Row],[lnrr]]+(1.96 * Table1347456[[#This Row],[se]])</f>
        <v>0.71882663149868997</v>
      </c>
    </row>
    <row r="283" spans="1:67">
      <c r="A283" s="13" t="s">
        <v>148</v>
      </c>
      <c r="B283" s="13" t="s">
        <v>149</v>
      </c>
      <c r="C283" s="13" t="s">
        <v>43</v>
      </c>
      <c r="D283" s="13" t="s">
        <v>150</v>
      </c>
      <c r="E283" s="13" t="s">
        <v>151</v>
      </c>
      <c r="F283" s="13" t="s">
        <v>587</v>
      </c>
      <c r="G283" s="13" t="s">
        <v>46</v>
      </c>
      <c r="H283" s="13">
        <v>27.9</v>
      </c>
      <c r="I283" s="13">
        <v>935</v>
      </c>
      <c r="K283" s="13" t="s">
        <v>835</v>
      </c>
      <c r="L283" s="13" t="s">
        <v>836</v>
      </c>
      <c r="N283" s="13" t="s">
        <v>79</v>
      </c>
      <c r="O283" s="13" t="s">
        <v>642</v>
      </c>
      <c r="P283" s="13" t="s">
        <v>71</v>
      </c>
      <c r="Q283" s="13" t="s">
        <v>48</v>
      </c>
      <c r="R283" s="4">
        <v>3</v>
      </c>
      <c r="S283" s="13" t="s">
        <v>594</v>
      </c>
      <c r="T283" s="13">
        <v>1095</v>
      </c>
      <c r="U283" s="4" t="s">
        <v>153</v>
      </c>
      <c r="V283" s="4">
        <v>400</v>
      </c>
      <c r="W283" s="4" t="s">
        <v>42</v>
      </c>
      <c r="X283" s="4">
        <v>650</v>
      </c>
      <c r="Y283" s="4">
        <v>5</v>
      </c>
      <c r="AA283" s="4" t="s">
        <v>49</v>
      </c>
      <c r="AB283" s="4">
        <v>0</v>
      </c>
      <c r="AC283" s="4" t="s">
        <v>49</v>
      </c>
      <c r="AD283" s="4">
        <v>0</v>
      </c>
      <c r="AE283" s="4" t="s">
        <v>49</v>
      </c>
      <c r="AF283" s="4">
        <v>0</v>
      </c>
      <c r="AG283" s="4" t="s">
        <v>695</v>
      </c>
      <c r="AH283" s="4" t="s">
        <v>693</v>
      </c>
      <c r="AI283" s="4" t="s">
        <v>64</v>
      </c>
      <c r="AJ283" s="13">
        <v>0</v>
      </c>
      <c r="AK283" s="13">
        <v>15</v>
      </c>
      <c r="AM283" s="13" t="s">
        <v>497</v>
      </c>
      <c r="AP283" s="13" t="s">
        <v>50</v>
      </c>
      <c r="AQ283" s="13" t="s">
        <v>49</v>
      </c>
      <c r="AR283" s="13" t="s">
        <v>49</v>
      </c>
      <c r="AS283" s="13" t="s">
        <v>49</v>
      </c>
      <c r="AT283" s="13" t="s">
        <v>990</v>
      </c>
      <c r="AU283" s="13" t="s">
        <v>998</v>
      </c>
      <c r="AV283" s="14">
        <f>(4.2*1.5)/1.39/1000</f>
        <v>4.5323741007194255E-3</v>
      </c>
      <c r="AW283" s="14">
        <f>(3.1*1.5)/1.39/1000</f>
        <v>3.3453237410071947E-3</v>
      </c>
      <c r="AX283" s="14">
        <f>Table1347456[[#This Row],[treatment_mean]]/Table1347456[[#This Row],[control_mean]]</f>
        <v>1.3548387096774195</v>
      </c>
      <c r="AY283" s="14">
        <f>LN(Table1347456[[#This Row],[rr]])</f>
        <v>0.30368241379822214</v>
      </c>
      <c r="AZ283" s="13">
        <v>3</v>
      </c>
      <c r="BA283" s="13">
        <v>3</v>
      </c>
      <c r="BB283" s="14" t="s">
        <v>46</v>
      </c>
      <c r="BC283" s="14" t="s">
        <v>46</v>
      </c>
      <c r="BD283" s="15" t="s">
        <v>46</v>
      </c>
      <c r="BE283" s="14" t="s">
        <v>46</v>
      </c>
      <c r="BF28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283" s="17" t="s">
        <v>46</v>
      </c>
      <c r="BH283" s="13" t="s">
        <v>50</v>
      </c>
      <c r="BI283" s="13">
        <v>2.5000000000000001E-2</v>
      </c>
      <c r="BJ283" s="18">
        <f>ABS(_xlfn.NORM.S.INV(Table1347456[[#This Row],[p_value]]/2))</f>
        <v>2.2414027276049446</v>
      </c>
      <c r="BK283" s="19">
        <f>(Table1347456[[#This Row],[lnrr]]/Table1347456[[#This Row],[z_from_p]])^2</f>
        <v>1.8356906389156286E-2</v>
      </c>
      <c r="BL283" s="16">
        <f>Table1347456[[#This Row],[v_from_z_from_p]]</f>
        <v>1.8356906389156286E-2</v>
      </c>
      <c r="BM283" s="20">
        <f>SQRT(Table1347456[[#This Row],[v]])</f>
        <v>0.13548766139083029</v>
      </c>
      <c r="BN283" s="20">
        <f>Table1347456[[#This Row],[lnrr]]-(1.96*Table1347456[[#This Row],[se]])</f>
        <v>3.8126597472194768E-2</v>
      </c>
      <c r="BO283" s="20">
        <f>Table1347456[[#This Row],[lnrr]]+(1.96 * Table1347456[[#This Row],[se]])</f>
        <v>0.56923823012424957</v>
      </c>
    </row>
    <row r="284" spans="1:67">
      <c r="A284" s="13" t="s">
        <v>148</v>
      </c>
      <c r="B284" s="13" t="s">
        <v>149</v>
      </c>
      <c r="C284" s="13" t="s">
        <v>43</v>
      </c>
      <c r="D284" s="13" t="s">
        <v>150</v>
      </c>
      <c r="E284" s="13" t="s">
        <v>151</v>
      </c>
      <c r="F284" s="13" t="s">
        <v>587</v>
      </c>
      <c r="G284" s="13" t="s">
        <v>46</v>
      </c>
      <c r="H284" s="13">
        <v>27.9</v>
      </c>
      <c r="I284" s="13">
        <v>935</v>
      </c>
      <c r="K284" s="13" t="s">
        <v>835</v>
      </c>
      <c r="L284" s="13" t="s">
        <v>836</v>
      </c>
      <c r="N284" s="13" t="s">
        <v>79</v>
      </c>
      <c r="O284" s="13" t="s">
        <v>642</v>
      </c>
      <c r="P284" s="13" t="s">
        <v>71</v>
      </c>
      <c r="Q284" s="13" t="s">
        <v>48</v>
      </c>
      <c r="R284" s="4">
        <v>3</v>
      </c>
      <c r="S284" s="13" t="s">
        <v>594</v>
      </c>
      <c r="T284" s="13">
        <v>1095</v>
      </c>
      <c r="U284" s="4" t="s">
        <v>152</v>
      </c>
      <c r="V284" s="4">
        <v>400</v>
      </c>
      <c r="W284" s="4" t="s">
        <v>42</v>
      </c>
      <c r="X284" s="4">
        <v>650</v>
      </c>
      <c r="Y284" s="4">
        <v>5</v>
      </c>
      <c r="AA284" s="4" t="s">
        <v>49</v>
      </c>
      <c r="AB284" s="4">
        <v>0</v>
      </c>
      <c r="AC284" s="4" t="s">
        <v>49</v>
      </c>
      <c r="AD284" s="4">
        <v>0</v>
      </c>
      <c r="AE284" s="4" t="s">
        <v>49</v>
      </c>
      <c r="AF284" s="4">
        <v>0</v>
      </c>
      <c r="AG284" s="4" t="s">
        <v>694</v>
      </c>
      <c r="AH284" s="4" t="s">
        <v>693</v>
      </c>
      <c r="AI284" s="4" t="s">
        <v>64</v>
      </c>
      <c r="AJ284" s="13">
        <v>0</v>
      </c>
      <c r="AK284" s="13">
        <v>15</v>
      </c>
      <c r="AM284" s="13" t="s">
        <v>497</v>
      </c>
      <c r="AP284" s="13" t="s">
        <v>50</v>
      </c>
      <c r="AQ284" s="13" t="s">
        <v>49</v>
      </c>
      <c r="AR284" s="13" t="s">
        <v>49</v>
      </c>
      <c r="AS284" s="13" t="s">
        <v>49</v>
      </c>
      <c r="AT284" s="13" t="s">
        <v>990</v>
      </c>
      <c r="AU284" s="13" t="s">
        <v>998</v>
      </c>
      <c r="AV284" s="14">
        <f>(4.2*1.5)/1.39/1000</f>
        <v>4.5323741007194255E-3</v>
      </c>
      <c r="AW284" s="14">
        <f>(3.1*1.5)/1.39/1000</f>
        <v>3.3453237410071947E-3</v>
      </c>
      <c r="AX284" s="14">
        <f>Table1347456[[#This Row],[treatment_mean]]/Table1347456[[#This Row],[control_mean]]</f>
        <v>1.3548387096774195</v>
      </c>
      <c r="AY284" s="14">
        <f>LN(Table1347456[[#This Row],[rr]])</f>
        <v>0.30368241379822214</v>
      </c>
      <c r="AZ284" s="13">
        <v>3</v>
      </c>
      <c r="BA284" s="13">
        <v>3</v>
      </c>
      <c r="BB284" s="14" t="s">
        <v>46</v>
      </c>
      <c r="BC284" s="14" t="s">
        <v>46</v>
      </c>
      <c r="BD284" s="15" t="s">
        <v>46</v>
      </c>
      <c r="BE284" s="14" t="s">
        <v>46</v>
      </c>
      <c r="BF28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284" s="17" t="s">
        <v>46</v>
      </c>
      <c r="BH284" s="13" t="s">
        <v>50</v>
      </c>
      <c r="BI284" s="13">
        <v>2.5000000000000001E-2</v>
      </c>
      <c r="BJ284" s="18">
        <f>ABS(_xlfn.NORM.S.INV(Table1347456[[#This Row],[p_value]]/2))</f>
        <v>2.2414027276049446</v>
      </c>
      <c r="BK284" s="19">
        <f>(Table1347456[[#This Row],[lnrr]]/Table1347456[[#This Row],[z_from_p]])^2</f>
        <v>1.8356906389156286E-2</v>
      </c>
      <c r="BL284" s="16">
        <f>Table1347456[[#This Row],[v_from_z_from_p]]</f>
        <v>1.8356906389156286E-2</v>
      </c>
      <c r="BM284" s="20">
        <f>SQRT(Table1347456[[#This Row],[v]])</f>
        <v>0.13548766139083029</v>
      </c>
      <c r="BN284" s="20">
        <f>Table1347456[[#This Row],[lnrr]]-(1.96*Table1347456[[#This Row],[se]])</f>
        <v>3.8126597472194768E-2</v>
      </c>
      <c r="BO284" s="20">
        <f>Table1347456[[#This Row],[lnrr]]+(1.96 * Table1347456[[#This Row],[se]])</f>
        <v>0.56923823012424957</v>
      </c>
    </row>
    <row r="285" spans="1:67">
      <c r="A285" s="13" t="s">
        <v>154</v>
      </c>
      <c r="B285" s="13" t="s">
        <v>155</v>
      </c>
      <c r="C285" s="13" t="s">
        <v>43</v>
      </c>
      <c r="D285" s="13" t="s">
        <v>156</v>
      </c>
      <c r="E285" s="13" t="s">
        <v>157</v>
      </c>
      <c r="F285" s="13" t="s">
        <v>585</v>
      </c>
      <c r="G285" s="13" t="s">
        <v>46</v>
      </c>
      <c r="H285" s="13">
        <v>13.3</v>
      </c>
      <c r="I285" s="13">
        <v>685.7</v>
      </c>
      <c r="K285" s="13" t="s">
        <v>837</v>
      </c>
      <c r="L285" s="13" t="s">
        <v>838</v>
      </c>
      <c r="N285" s="13" t="s">
        <v>47</v>
      </c>
      <c r="O285" s="13" t="s">
        <v>645</v>
      </c>
      <c r="P285" s="13" t="s">
        <v>422</v>
      </c>
      <c r="Q285" s="13" t="s">
        <v>48</v>
      </c>
      <c r="R285" s="4">
        <v>36</v>
      </c>
      <c r="S285" s="13" t="s">
        <v>594</v>
      </c>
      <c r="T285" s="13">
        <v>540</v>
      </c>
      <c r="U285" s="4" t="s">
        <v>158</v>
      </c>
      <c r="V285" s="4">
        <v>500</v>
      </c>
      <c r="W285" s="4" t="s">
        <v>601</v>
      </c>
      <c r="X285" s="4">
        <v>510</v>
      </c>
      <c r="Y285" s="4">
        <v>1</v>
      </c>
      <c r="AA285" s="4" t="s">
        <v>49</v>
      </c>
      <c r="AB285" s="4">
        <v>0</v>
      </c>
      <c r="AC285" s="4" t="s">
        <v>49</v>
      </c>
      <c r="AD285" s="4">
        <v>0</v>
      </c>
      <c r="AE285" s="4" t="s">
        <v>49</v>
      </c>
      <c r="AF285" s="4">
        <v>0</v>
      </c>
      <c r="AG285" s="4" t="s">
        <v>714</v>
      </c>
      <c r="AH285" s="4" t="s">
        <v>715</v>
      </c>
      <c r="AI285" s="4" t="s">
        <v>64</v>
      </c>
      <c r="AJ285" s="13">
        <v>0</v>
      </c>
      <c r="AK285" s="13">
        <v>10</v>
      </c>
      <c r="AM285" s="13" t="s">
        <v>498</v>
      </c>
      <c r="AP285" s="13" t="s">
        <v>49</v>
      </c>
      <c r="AQ285" s="13" t="s">
        <v>49</v>
      </c>
      <c r="AR285" s="13" t="s">
        <v>49</v>
      </c>
      <c r="AS285" s="13" t="s">
        <v>49</v>
      </c>
      <c r="AT285" s="13" t="s">
        <v>990</v>
      </c>
      <c r="AU285" s="13" t="s">
        <v>998</v>
      </c>
      <c r="AV285" s="14">
        <f>0.33*10</f>
        <v>3.3000000000000003</v>
      </c>
      <c r="AW285" s="14">
        <f>0.32*10</f>
        <v>3.2</v>
      </c>
      <c r="AX285" s="14">
        <f>Table1347456[[#This Row],[treatment_mean]]/Table1347456[[#This Row],[control_mean]]</f>
        <v>1.03125</v>
      </c>
      <c r="AY285" s="14">
        <f>LN(Table1347456[[#This Row],[rr]])</f>
        <v>3.0771658666753687E-2</v>
      </c>
      <c r="AZ285" s="13">
        <v>27</v>
      </c>
      <c r="BA285" s="13">
        <v>27</v>
      </c>
      <c r="BB285" s="14">
        <f>0.01*10</f>
        <v>0.1</v>
      </c>
      <c r="BC285" s="14">
        <f>0.01*10</f>
        <v>0.1</v>
      </c>
      <c r="BD285" s="15">
        <f>Table1347456[[#This Row],[treatment_se]]*SQRT(Table1347456[[#This Row],[treatment_n]])</f>
        <v>0.51961524227066325</v>
      </c>
      <c r="BE285" s="14">
        <f>Table1347456[[#This Row],[control_se]]*SQRT(Table1347456[[#This Row],[control_n]])</f>
        <v>0.51961524227066325</v>
      </c>
      <c r="BF28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1.8948361455463727E-3</v>
      </c>
      <c r="BG285" s="17">
        <f>SQRT(Table1347456[[#This Row],[v_from_sd_and_n]])</f>
        <v>4.3529715661216682E-2</v>
      </c>
      <c r="BH285" s="13" t="s">
        <v>50</v>
      </c>
      <c r="BI285" s="13">
        <v>2.5000000000000001E-2</v>
      </c>
      <c r="BJ285" s="18">
        <f>ABS(_xlfn.NORM.S.INV(Table1347456[[#This Row],[p_value]]/2))</f>
        <v>2.2414027276049446</v>
      </c>
      <c r="BK285" s="19">
        <f>(Table1347456[[#This Row],[lnrr]]/Table1347456[[#This Row],[z_from_p]])^2</f>
        <v>1.8847858844694171E-4</v>
      </c>
      <c r="BL285" s="16">
        <f>Table1347456[[#This Row],[v_from_sd_and_n]]</f>
        <v>1.8948361455463727E-3</v>
      </c>
      <c r="BM285" s="20">
        <f>SQRT(Table1347456[[#This Row],[v]])</f>
        <v>4.3529715661216682E-2</v>
      </c>
      <c r="BN285" s="20">
        <f>Table1347456[[#This Row],[lnrr]]-(1.96*Table1347456[[#This Row],[se]])</f>
        <v>-5.4546584029231002E-2</v>
      </c>
      <c r="BO285" s="20">
        <f>Table1347456[[#This Row],[lnrr]]+(1.96 * Table1347456[[#This Row],[se]])</f>
        <v>0.11608990136273838</v>
      </c>
    </row>
    <row r="286" spans="1:67">
      <c r="A286" s="13" t="s">
        <v>154</v>
      </c>
      <c r="B286" s="13" t="s">
        <v>155</v>
      </c>
      <c r="C286" s="13" t="s">
        <v>43</v>
      </c>
      <c r="D286" s="13" t="s">
        <v>156</v>
      </c>
      <c r="E286" s="13" t="s">
        <v>157</v>
      </c>
      <c r="F286" s="13" t="s">
        <v>585</v>
      </c>
      <c r="G286" s="13" t="s">
        <v>46</v>
      </c>
      <c r="H286" s="13">
        <v>13.3</v>
      </c>
      <c r="I286" s="13">
        <v>685.7</v>
      </c>
      <c r="K286" s="13" t="s">
        <v>837</v>
      </c>
      <c r="L286" s="13" t="s">
        <v>838</v>
      </c>
      <c r="N286" s="13" t="s">
        <v>47</v>
      </c>
      <c r="O286" s="13" t="s">
        <v>645</v>
      </c>
      <c r="P286" s="13" t="s">
        <v>422</v>
      </c>
      <c r="Q286" s="13" t="s">
        <v>48</v>
      </c>
      <c r="R286" s="4">
        <v>36</v>
      </c>
      <c r="S286" s="13" t="s">
        <v>594</v>
      </c>
      <c r="T286" s="13">
        <v>540</v>
      </c>
      <c r="U286" s="4" t="s">
        <v>158</v>
      </c>
      <c r="V286" s="4">
        <v>500</v>
      </c>
      <c r="W286" s="4" t="s">
        <v>601</v>
      </c>
      <c r="X286" s="4">
        <v>510</v>
      </c>
      <c r="Y286" s="4">
        <v>3</v>
      </c>
      <c r="AA286" s="4" t="s">
        <v>49</v>
      </c>
      <c r="AB286" s="4">
        <v>0</v>
      </c>
      <c r="AC286" s="4" t="s">
        <v>49</v>
      </c>
      <c r="AD286" s="4">
        <v>0</v>
      </c>
      <c r="AE286" s="4" t="s">
        <v>49</v>
      </c>
      <c r="AF286" s="4">
        <v>0</v>
      </c>
      <c r="AG286" s="4" t="s">
        <v>714</v>
      </c>
      <c r="AH286" s="4" t="s">
        <v>715</v>
      </c>
      <c r="AI286" s="4" t="s">
        <v>64</v>
      </c>
      <c r="AJ286" s="13">
        <v>0</v>
      </c>
      <c r="AK286" s="13">
        <v>10</v>
      </c>
      <c r="AM286" s="13" t="s">
        <v>498</v>
      </c>
      <c r="AP286" s="13" t="s">
        <v>49</v>
      </c>
      <c r="AQ286" s="13" t="s">
        <v>49</v>
      </c>
      <c r="AR286" s="13" t="s">
        <v>49</v>
      </c>
      <c r="AS286" s="13" t="s">
        <v>49</v>
      </c>
      <c r="AT286" s="13" t="s">
        <v>990</v>
      </c>
      <c r="AU286" s="13" t="s">
        <v>998</v>
      </c>
      <c r="AV286" s="14">
        <f>0.34*10</f>
        <v>3.4000000000000004</v>
      </c>
      <c r="AW286" s="14">
        <f>0.32*10</f>
        <v>3.2</v>
      </c>
      <c r="AX286" s="14">
        <f>Table1347456[[#This Row],[treatment_mean]]/Table1347456[[#This Row],[control_mean]]</f>
        <v>1.0625</v>
      </c>
      <c r="AY286" s="14">
        <f>LN(Table1347456[[#This Row],[rr]])</f>
        <v>6.062462181643484E-2</v>
      </c>
      <c r="AZ286" s="13">
        <v>27</v>
      </c>
      <c r="BA286" s="13">
        <v>27</v>
      </c>
      <c r="BB286" s="14">
        <f t="shared" ref="BB286:BC293" si="15">0.01*10</f>
        <v>0.1</v>
      </c>
      <c r="BC286" s="14">
        <f t="shared" si="15"/>
        <v>0.1</v>
      </c>
      <c r="BD286" s="15">
        <f>Table1347456[[#This Row],[treatment_se]]*SQRT(Table1347456[[#This Row],[treatment_n]])</f>
        <v>0.51961524227066325</v>
      </c>
      <c r="BE286" s="14">
        <f>Table1347456[[#This Row],[control_se]]*SQRT(Table1347456[[#This Row],[control_n]])</f>
        <v>0.51961524227066325</v>
      </c>
      <c r="BF28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1.8416144031141869E-3</v>
      </c>
      <c r="BG286" s="17">
        <f>SQRT(Table1347456[[#This Row],[v_from_sd_and_n]])</f>
        <v>4.2914035036502762E-2</v>
      </c>
      <c r="BH286" s="13" t="s">
        <v>50</v>
      </c>
      <c r="BI286" s="13">
        <v>2.5000000000000001E-2</v>
      </c>
      <c r="BJ286" s="18">
        <f>ABS(_xlfn.NORM.S.INV(Table1347456[[#This Row],[p_value]]/2))</f>
        <v>2.2414027276049446</v>
      </c>
      <c r="BK286" s="19">
        <f>(Table1347456[[#This Row],[lnrr]]/Table1347456[[#This Row],[z_from_p]])^2</f>
        <v>7.3157405111322945E-4</v>
      </c>
      <c r="BL286" s="16">
        <f>Table1347456[[#This Row],[v_from_sd_and_n]]</f>
        <v>1.8416144031141869E-3</v>
      </c>
      <c r="BM286" s="20">
        <f>SQRT(Table1347456[[#This Row],[v]])</f>
        <v>4.2914035036502762E-2</v>
      </c>
      <c r="BN286" s="20">
        <f>Table1347456[[#This Row],[lnrr]]-(1.96*Table1347456[[#This Row],[se]])</f>
        <v>-2.3486886855110578E-2</v>
      </c>
      <c r="BO286" s="20">
        <f>Table1347456[[#This Row],[lnrr]]+(1.96 * Table1347456[[#This Row],[se]])</f>
        <v>0.14473613048798026</v>
      </c>
    </row>
    <row r="287" spans="1:67">
      <c r="A287" s="13" t="s">
        <v>154</v>
      </c>
      <c r="B287" s="13" t="s">
        <v>155</v>
      </c>
      <c r="C287" s="13" t="s">
        <v>43</v>
      </c>
      <c r="D287" s="13" t="s">
        <v>156</v>
      </c>
      <c r="E287" s="13" t="s">
        <v>157</v>
      </c>
      <c r="F287" s="13" t="s">
        <v>585</v>
      </c>
      <c r="G287" s="13" t="s">
        <v>46</v>
      </c>
      <c r="H287" s="13">
        <v>13.3</v>
      </c>
      <c r="I287" s="13">
        <v>685.7</v>
      </c>
      <c r="K287" s="13" t="s">
        <v>837</v>
      </c>
      <c r="L287" s="13" t="s">
        <v>838</v>
      </c>
      <c r="N287" s="13" t="s">
        <v>47</v>
      </c>
      <c r="O287" s="13" t="s">
        <v>645</v>
      </c>
      <c r="P287" s="13" t="s">
        <v>422</v>
      </c>
      <c r="Q287" s="13" t="s">
        <v>48</v>
      </c>
      <c r="R287" s="4">
        <v>36</v>
      </c>
      <c r="S287" s="13" t="s">
        <v>594</v>
      </c>
      <c r="T287" s="13">
        <v>540</v>
      </c>
      <c r="U287" s="4" t="s">
        <v>158</v>
      </c>
      <c r="V287" s="4">
        <v>500</v>
      </c>
      <c r="W287" s="4" t="s">
        <v>601</v>
      </c>
      <c r="X287" s="4">
        <v>510</v>
      </c>
      <c r="Y287" s="4">
        <v>6</v>
      </c>
      <c r="AA287" s="4" t="s">
        <v>49</v>
      </c>
      <c r="AB287" s="4">
        <v>0</v>
      </c>
      <c r="AC287" s="4" t="s">
        <v>49</v>
      </c>
      <c r="AD287" s="4">
        <v>0</v>
      </c>
      <c r="AE287" s="4" t="s">
        <v>49</v>
      </c>
      <c r="AF287" s="4">
        <v>0</v>
      </c>
      <c r="AG287" s="4" t="s">
        <v>714</v>
      </c>
      <c r="AH287" s="4" t="s">
        <v>715</v>
      </c>
      <c r="AI287" s="4" t="s">
        <v>64</v>
      </c>
      <c r="AJ287" s="13">
        <v>0</v>
      </c>
      <c r="AK287" s="13">
        <v>10</v>
      </c>
      <c r="AM287" s="13" t="s">
        <v>498</v>
      </c>
      <c r="AP287" s="13" t="s">
        <v>49</v>
      </c>
      <c r="AQ287" s="13" t="s">
        <v>49</v>
      </c>
      <c r="AR287" s="13" t="s">
        <v>49</v>
      </c>
      <c r="AS287" s="13" t="s">
        <v>49</v>
      </c>
      <c r="AT287" s="13" t="s">
        <v>990</v>
      </c>
      <c r="AU287" s="13" t="s">
        <v>998</v>
      </c>
      <c r="AV287" s="14">
        <f>0.34*10</f>
        <v>3.4000000000000004</v>
      </c>
      <c r="AW287" s="14">
        <f>0.32*10</f>
        <v>3.2</v>
      </c>
      <c r="AX287" s="14">
        <f>Table1347456[[#This Row],[treatment_mean]]/Table1347456[[#This Row],[control_mean]]</f>
        <v>1.0625</v>
      </c>
      <c r="AY287" s="14">
        <f>LN(Table1347456[[#This Row],[rr]])</f>
        <v>6.062462181643484E-2</v>
      </c>
      <c r="AZ287" s="13">
        <v>27</v>
      </c>
      <c r="BA287" s="13">
        <v>27</v>
      </c>
      <c r="BB287" s="14">
        <f t="shared" si="15"/>
        <v>0.1</v>
      </c>
      <c r="BC287" s="14">
        <f t="shared" si="15"/>
        <v>0.1</v>
      </c>
      <c r="BD287" s="15">
        <f>Table1347456[[#This Row],[treatment_se]]*SQRT(Table1347456[[#This Row],[treatment_n]])</f>
        <v>0.51961524227066325</v>
      </c>
      <c r="BE287" s="14">
        <f>Table1347456[[#This Row],[control_se]]*SQRT(Table1347456[[#This Row],[control_n]])</f>
        <v>0.51961524227066325</v>
      </c>
      <c r="BF28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1.8416144031141869E-3</v>
      </c>
      <c r="BG287" s="17">
        <f>SQRT(Table1347456[[#This Row],[v_from_sd_and_n]])</f>
        <v>4.2914035036502762E-2</v>
      </c>
      <c r="BH287" s="13" t="s">
        <v>50</v>
      </c>
      <c r="BI287" s="13">
        <v>2.5000000000000001E-2</v>
      </c>
      <c r="BJ287" s="18">
        <f>ABS(_xlfn.NORM.S.INV(Table1347456[[#This Row],[p_value]]/2))</f>
        <v>2.2414027276049446</v>
      </c>
      <c r="BK287" s="19">
        <f>(Table1347456[[#This Row],[lnrr]]/Table1347456[[#This Row],[z_from_p]])^2</f>
        <v>7.3157405111322945E-4</v>
      </c>
      <c r="BL287" s="16">
        <f>Table1347456[[#This Row],[v_from_sd_and_n]]</f>
        <v>1.8416144031141869E-3</v>
      </c>
      <c r="BM287" s="20">
        <f>SQRT(Table1347456[[#This Row],[v]])</f>
        <v>4.2914035036502762E-2</v>
      </c>
      <c r="BN287" s="20">
        <f>Table1347456[[#This Row],[lnrr]]-(1.96*Table1347456[[#This Row],[se]])</f>
        <v>-2.3486886855110578E-2</v>
      </c>
      <c r="BO287" s="20">
        <f>Table1347456[[#This Row],[lnrr]]+(1.96 * Table1347456[[#This Row],[se]])</f>
        <v>0.14473613048798026</v>
      </c>
    </row>
    <row r="288" spans="1:67">
      <c r="A288" s="13" t="s">
        <v>154</v>
      </c>
      <c r="B288" s="13" t="s">
        <v>155</v>
      </c>
      <c r="C288" s="13" t="s">
        <v>43</v>
      </c>
      <c r="D288" s="13" t="s">
        <v>159</v>
      </c>
      <c r="E288" s="13" t="s">
        <v>157</v>
      </c>
      <c r="F288" s="13" t="s">
        <v>585</v>
      </c>
      <c r="G288" s="13" t="s">
        <v>46</v>
      </c>
      <c r="H288" s="13">
        <v>13.3</v>
      </c>
      <c r="I288" s="13">
        <v>685.7</v>
      </c>
      <c r="K288" s="13" t="s">
        <v>837</v>
      </c>
      <c r="L288" s="13" t="s">
        <v>838</v>
      </c>
      <c r="N288" s="13" t="s">
        <v>47</v>
      </c>
      <c r="O288" s="13" t="s">
        <v>645</v>
      </c>
      <c r="P288" s="13" t="s">
        <v>422</v>
      </c>
      <c r="Q288" s="13" t="s">
        <v>48</v>
      </c>
      <c r="R288" s="4">
        <v>36</v>
      </c>
      <c r="S288" s="13" t="s">
        <v>594</v>
      </c>
      <c r="T288" s="13">
        <v>540</v>
      </c>
      <c r="U288" s="4" t="s">
        <v>158</v>
      </c>
      <c r="V288" s="4">
        <v>500</v>
      </c>
      <c r="W288" s="4" t="s">
        <v>601</v>
      </c>
      <c r="X288" s="4">
        <v>510</v>
      </c>
      <c r="Y288" s="4">
        <v>1</v>
      </c>
      <c r="AA288" s="4" t="s">
        <v>49</v>
      </c>
      <c r="AB288" s="4">
        <v>0</v>
      </c>
      <c r="AC288" s="4" t="s">
        <v>49</v>
      </c>
      <c r="AD288" s="4">
        <v>0</v>
      </c>
      <c r="AE288" s="4" t="s">
        <v>49</v>
      </c>
      <c r="AF288" s="4">
        <v>0</v>
      </c>
      <c r="AG288" s="4" t="s">
        <v>714</v>
      </c>
      <c r="AH288" s="4" t="s">
        <v>681</v>
      </c>
      <c r="AI288" s="4" t="s">
        <v>64</v>
      </c>
      <c r="AJ288" s="13">
        <v>0</v>
      </c>
      <c r="AK288" s="13">
        <v>10</v>
      </c>
      <c r="AM288" s="13" t="s">
        <v>498</v>
      </c>
      <c r="AP288" s="13" t="s">
        <v>49</v>
      </c>
      <c r="AQ288" s="13" t="s">
        <v>49</v>
      </c>
      <c r="AR288" s="13" t="s">
        <v>49</v>
      </c>
      <c r="AS288" s="13" t="s">
        <v>49</v>
      </c>
      <c r="AT288" s="13" t="s">
        <v>990</v>
      </c>
      <c r="AU288" s="13" t="s">
        <v>998</v>
      </c>
      <c r="AV288" s="14">
        <f>0.18*10</f>
        <v>1.7999999999999998</v>
      </c>
      <c r="AW288" s="14">
        <f>0.18*10</f>
        <v>1.7999999999999998</v>
      </c>
      <c r="AX288" s="14">
        <f>Table1347456[[#This Row],[treatment_mean]]/Table1347456[[#This Row],[control_mean]]</f>
        <v>1</v>
      </c>
      <c r="AY288" s="14">
        <f>LN(Table1347456[[#This Row],[rr]])</f>
        <v>0</v>
      </c>
      <c r="AZ288" s="13">
        <v>18</v>
      </c>
      <c r="BA288" s="13">
        <v>18</v>
      </c>
      <c r="BB288" s="14">
        <f t="shared" si="15"/>
        <v>0.1</v>
      </c>
      <c r="BC288" s="14">
        <f t="shared" si="15"/>
        <v>0.1</v>
      </c>
      <c r="BD288" s="15">
        <f>Table1347456[[#This Row],[treatment_se]]*SQRT(Table1347456[[#This Row],[treatment_n]])</f>
        <v>0.42426406871192851</v>
      </c>
      <c r="BE288" s="14">
        <f>Table1347456[[#This Row],[control_se]]*SQRT(Table1347456[[#This Row],[control_n]])</f>
        <v>0.42426406871192851</v>
      </c>
      <c r="BF28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6.1728395061728409E-3</v>
      </c>
      <c r="BG288" s="17">
        <f>SQRT(Table1347456[[#This Row],[v_from_sd_and_n]])</f>
        <v>7.8567420131838622E-2</v>
      </c>
      <c r="BH288" s="13" t="s">
        <v>50</v>
      </c>
      <c r="BI288" s="13">
        <v>2.5000000000000001E-2</v>
      </c>
      <c r="BJ288" s="18">
        <f>ABS(_xlfn.NORM.S.INV(Table1347456[[#This Row],[p_value]]/2))</f>
        <v>2.2414027276049446</v>
      </c>
      <c r="BK288" s="19">
        <f>(Table1347456[[#This Row],[lnrr]]/Table1347456[[#This Row],[z_from_p]])^2</f>
        <v>0</v>
      </c>
      <c r="BL288" s="16">
        <f>Table1347456[[#This Row],[v_from_sd_and_n]]</f>
        <v>6.1728395061728409E-3</v>
      </c>
      <c r="BM288" s="20">
        <f>SQRT(Table1347456[[#This Row],[v]])</f>
        <v>7.8567420131838622E-2</v>
      </c>
      <c r="BN288" s="20">
        <f>Table1347456[[#This Row],[lnrr]]-(1.96*Table1347456[[#This Row],[se]])</f>
        <v>-0.1539921434584037</v>
      </c>
      <c r="BO288" s="20">
        <f>Table1347456[[#This Row],[lnrr]]+(1.96 * Table1347456[[#This Row],[se]])</f>
        <v>0.1539921434584037</v>
      </c>
    </row>
    <row r="289" spans="1:67">
      <c r="A289" s="13" t="s">
        <v>154</v>
      </c>
      <c r="B289" s="13" t="s">
        <v>155</v>
      </c>
      <c r="C289" s="13" t="s">
        <v>43</v>
      </c>
      <c r="D289" s="13" t="s">
        <v>159</v>
      </c>
      <c r="E289" s="13" t="s">
        <v>157</v>
      </c>
      <c r="F289" s="13" t="s">
        <v>585</v>
      </c>
      <c r="G289" s="13" t="s">
        <v>46</v>
      </c>
      <c r="H289" s="13">
        <v>13.3</v>
      </c>
      <c r="I289" s="13">
        <v>685.7</v>
      </c>
      <c r="K289" s="13" t="s">
        <v>837</v>
      </c>
      <c r="L289" s="13" t="s">
        <v>838</v>
      </c>
      <c r="N289" s="13" t="s">
        <v>47</v>
      </c>
      <c r="O289" s="13" t="s">
        <v>645</v>
      </c>
      <c r="P289" s="13" t="s">
        <v>422</v>
      </c>
      <c r="Q289" s="13" t="s">
        <v>48</v>
      </c>
      <c r="R289" s="4">
        <v>36</v>
      </c>
      <c r="S289" s="13" t="s">
        <v>594</v>
      </c>
      <c r="T289" s="13">
        <v>540</v>
      </c>
      <c r="U289" s="4" t="s">
        <v>158</v>
      </c>
      <c r="V289" s="4">
        <v>500</v>
      </c>
      <c r="W289" s="4" t="s">
        <v>601</v>
      </c>
      <c r="X289" s="4">
        <v>510</v>
      </c>
      <c r="Y289" s="4">
        <v>3</v>
      </c>
      <c r="AA289" s="4" t="s">
        <v>49</v>
      </c>
      <c r="AB289" s="4">
        <v>0</v>
      </c>
      <c r="AC289" s="4" t="s">
        <v>49</v>
      </c>
      <c r="AD289" s="4">
        <v>0</v>
      </c>
      <c r="AE289" s="4" t="s">
        <v>49</v>
      </c>
      <c r="AF289" s="4">
        <v>0</v>
      </c>
      <c r="AG289" s="4" t="s">
        <v>714</v>
      </c>
      <c r="AH289" s="4" t="s">
        <v>681</v>
      </c>
      <c r="AI289" s="4" t="s">
        <v>64</v>
      </c>
      <c r="AJ289" s="13">
        <v>0</v>
      </c>
      <c r="AK289" s="13">
        <v>10</v>
      </c>
      <c r="AM289" s="13" t="s">
        <v>498</v>
      </c>
      <c r="AP289" s="13" t="s">
        <v>49</v>
      </c>
      <c r="AQ289" s="13" t="s">
        <v>49</v>
      </c>
      <c r="AR289" s="13" t="s">
        <v>49</v>
      </c>
      <c r="AS289" s="13" t="s">
        <v>49</v>
      </c>
      <c r="AT289" s="13" t="s">
        <v>990</v>
      </c>
      <c r="AU289" s="13" t="s">
        <v>998</v>
      </c>
      <c r="AV289" s="14">
        <f>0.18*10</f>
        <v>1.7999999999999998</v>
      </c>
      <c r="AW289" s="14">
        <f>0.18*10</f>
        <v>1.7999999999999998</v>
      </c>
      <c r="AX289" s="14">
        <f>Table1347456[[#This Row],[treatment_mean]]/Table1347456[[#This Row],[control_mean]]</f>
        <v>1</v>
      </c>
      <c r="AY289" s="14">
        <f>LN(Table1347456[[#This Row],[rr]])</f>
        <v>0</v>
      </c>
      <c r="AZ289" s="13">
        <v>18</v>
      </c>
      <c r="BA289" s="13">
        <v>18</v>
      </c>
      <c r="BB289" s="14">
        <f t="shared" si="15"/>
        <v>0.1</v>
      </c>
      <c r="BC289" s="14">
        <f t="shared" si="15"/>
        <v>0.1</v>
      </c>
      <c r="BD289" s="15">
        <f>Table1347456[[#This Row],[treatment_se]]*SQRT(Table1347456[[#This Row],[treatment_n]])</f>
        <v>0.42426406871192851</v>
      </c>
      <c r="BE289" s="14">
        <f>Table1347456[[#This Row],[control_se]]*SQRT(Table1347456[[#This Row],[control_n]])</f>
        <v>0.42426406871192851</v>
      </c>
      <c r="BF28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6.1728395061728409E-3</v>
      </c>
      <c r="BG289" s="17">
        <f>SQRT(Table1347456[[#This Row],[v_from_sd_and_n]])</f>
        <v>7.8567420131838622E-2</v>
      </c>
      <c r="BH289" s="13" t="s">
        <v>50</v>
      </c>
      <c r="BI289" s="13">
        <v>2.5000000000000001E-2</v>
      </c>
      <c r="BJ289" s="18">
        <f>ABS(_xlfn.NORM.S.INV(Table1347456[[#This Row],[p_value]]/2))</f>
        <v>2.2414027276049446</v>
      </c>
      <c r="BK289" s="19">
        <f>(Table1347456[[#This Row],[lnrr]]/Table1347456[[#This Row],[z_from_p]])^2</f>
        <v>0</v>
      </c>
      <c r="BL289" s="16">
        <f>Table1347456[[#This Row],[v_from_sd_and_n]]</f>
        <v>6.1728395061728409E-3</v>
      </c>
      <c r="BM289" s="20">
        <f>SQRT(Table1347456[[#This Row],[v]])</f>
        <v>7.8567420131838622E-2</v>
      </c>
      <c r="BN289" s="20">
        <f>Table1347456[[#This Row],[lnrr]]-(1.96*Table1347456[[#This Row],[se]])</f>
        <v>-0.1539921434584037</v>
      </c>
      <c r="BO289" s="20">
        <f>Table1347456[[#This Row],[lnrr]]+(1.96 * Table1347456[[#This Row],[se]])</f>
        <v>0.1539921434584037</v>
      </c>
    </row>
    <row r="290" spans="1:67">
      <c r="A290" s="13" t="s">
        <v>154</v>
      </c>
      <c r="B290" s="13" t="s">
        <v>155</v>
      </c>
      <c r="C290" s="13" t="s">
        <v>43</v>
      </c>
      <c r="D290" s="13" t="s">
        <v>159</v>
      </c>
      <c r="E290" s="13" t="s">
        <v>157</v>
      </c>
      <c r="F290" s="13" t="s">
        <v>585</v>
      </c>
      <c r="G290" s="13" t="s">
        <v>46</v>
      </c>
      <c r="H290" s="13">
        <v>13.3</v>
      </c>
      <c r="I290" s="13">
        <v>685.7</v>
      </c>
      <c r="K290" s="13" t="s">
        <v>837</v>
      </c>
      <c r="L290" s="13" t="s">
        <v>838</v>
      </c>
      <c r="N290" s="13" t="s">
        <v>47</v>
      </c>
      <c r="O290" s="13" t="s">
        <v>645</v>
      </c>
      <c r="P290" s="13" t="s">
        <v>422</v>
      </c>
      <c r="Q290" s="13" t="s">
        <v>48</v>
      </c>
      <c r="R290" s="4">
        <v>36</v>
      </c>
      <c r="S290" s="13" t="s">
        <v>594</v>
      </c>
      <c r="T290" s="13">
        <v>540</v>
      </c>
      <c r="U290" s="4" t="s">
        <v>158</v>
      </c>
      <c r="V290" s="4">
        <v>500</v>
      </c>
      <c r="W290" s="4" t="s">
        <v>601</v>
      </c>
      <c r="X290" s="4">
        <v>510</v>
      </c>
      <c r="Y290" s="4">
        <v>6</v>
      </c>
      <c r="AA290" s="4" t="s">
        <v>49</v>
      </c>
      <c r="AB290" s="4">
        <v>0</v>
      </c>
      <c r="AC290" s="4" t="s">
        <v>49</v>
      </c>
      <c r="AD290" s="4">
        <v>0</v>
      </c>
      <c r="AE290" s="4" t="s">
        <v>49</v>
      </c>
      <c r="AF290" s="4">
        <v>0</v>
      </c>
      <c r="AG290" s="4" t="s">
        <v>714</v>
      </c>
      <c r="AH290" s="4" t="s">
        <v>681</v>
      </c>
      <c r="AI290" s="4" t="s">
        <v>64</v>
      </c>
      <c r="AJ290" s="13">
        <v>0</v>
      </c>
      <c r="AK290" s="13">
        <v>10</v>
      </c>
      <c r="AM290" s="13" t="s">
        <v>498</v>
      </c>
      <c r="AP290" s="13" t="s">
        <v>49</v>
      </c>
      <c r="AQ290" s="13" t="s">
        <v>49</v>
      </c>
      <c r="AR290" s="13" t="s">
        <v>49</v>
      </c>
      <c r="AS290" s="13" t="s">
        <v>49</v>
      </c>
      <c r="AT290" s="13" t="s">
        <v>990</v>
      </c>
      <c r="AU290" s="13" t="s">
        <v>998</v>
      </c>
      <c r="AV290" s="14">
        <f>0.2*10</f>
        <v>2</v>
      </c>
      <c r="AW290" s="14">
        <f>0.18*10</f>
        <v>1.7999999999999998</v>
      </c>
      <c r="AX290" s="14">
        <f>Table1347456[[#This Row],[treatment_mean]]/Table1347456[[#This Row],[control_mean]]</f>
        <v>1.1111111111111112</v>
      </c>
      <c r="AY290" s="14">
        <f>LN(Table1347456[[#This Row],[rr]])</f>
        <v>0.10536051565782635</v>
      </c>
      <c r="AZ290" s="13">
        <v>18</v>
      </c>
      <c r="BA290" s="13">
        <v>18</v>
      </c>
      <c r="BB290" s="14">
        <f t="shared" si="15"/>
        <v>0.1</v>
      </c>
      <c r="BC290" s="14">
        <f t="shared" si="15"/>
        <v>0.1</v>
      </c>
      <c r="BD290" s="15">
        <f>Table1347456[[#This Row],[treatment_se]]*SQRT(Table1347456[[#This Row],[treatment_n]])</f>
        <v>0.42426406871192851</v>
      </c>
      <c r="BE290" s="14">
        <f>Table1347456[[#This Row],[control_se]]*SQRT(Table1347456[[#This Row],[control_n]])</f>
        <v>0.42426406871192851</v>
      </c>
      <c r="BF29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5.5864197530864201E-3</v>
      </c>
      <c r="BG290" s="17">
        <f>SQRT(Table1347456[[#This Row],[v_from_sd_and_n]])</f>
        <v>7.4742355817076167E-2</v>
      </c>
      <c r="BH290" s="13" t="s">
        <v>50</v>
      </c>
      <c r="BI290" s="13">
        <v>2.5000000000000001E-2</v>
      </c>
      <c r="BJ290" s="18">
        <f>ABS(_xlfn.NORM.S.INV(Table1347456[[#This Row],[p_value]]/2))</f>
        <v>2.2414027276049446</v>
      </c>
      <c r="BK290" s="19">
        <f>(Table1347456[[#This Row],[lnrr]]/Table1347456[[#This Row],[z_from_p]])^2</f>
        <v>2.2096118116115468E-3</v>
      </c>
      <c r="BL290" s="16">
        <f>Table1347456[[#This Row],[v_from_sd_and_n]]</f>
        <v>5.5864197530864201E-3</v>
      </c>
      <c r="BM290" s="20">
        <f>SQRT(Table1347456[[#This Row],[v]])</f>
        <v>7.4742355817076167E-2</v>
      </c>
      <c r="BN290" s="20">
        <f>Table1347456[[#This Row],[lnrr]]-(1.96*Table1347456[[#This Row],[se]])</f>
        <v>-4.1134501743642929E-2</v>
      </c>
      <c r="BO290" s="20">
        <f>Table1347456[[#This Row],[lnrr]]+(1.96 * Table1347456[[#This Row],[se]])</f>
        <v>0.25185553305929564</v>
      </c>
    </row>
    <row r="291" spans="1:67">
      <c r="A291" s="13" t="s">
        <v>154</v>
      </c>
      <c r="B291" s="13" t="s">
        <v>155</v>
      </c>
      <c r="C291" s="13" t="s">
        <v>43</v>
      </c>
      <c r="D291" s="13" t="s">
        <v>160</v>
      </c>
      <c r="E291" s="13" t="s">
        <v>157</v>
      </c>
      <c r="F291" s="13" t="s">
        <v>585</v>
      </c>
      <c r="G291" s="13" t="s">
        <v>46</v>
      </c>
      <c r="H291" s="13">
        <v>13.3</v>
      </c>
      <c r="I291" s="13">
        <v>685.7</v>
      </c>
      <c r="K291" s="13" t="s">
        <v>839</v>
      </c>
      <c r="L291" s="13" t="s">
        <v>840</v>
      </c>
      <c r="N291" s="13" t="s">
        <v>47</v>
      </c>
      <c r="O291" s="13" t="s">
        <v>645</v>
      </c>
      <c r="P291" s="13" t="s">
        <v>422</v>
      </c>
      <c r="Q291" s="13" t="s">
        <v>48</v>
      </c>
      <c r="R291" s="4">
        <v>36</v>
      </c>
      <c r="S291" s="13" t="s">
        <v>594</v>
      </c>
      <c r="T291" s="13">
        <v>540</v>
      </c>
      <c r="U291" s="4" t="s">
        <v>158</v>
      </c>
      <c r="V291" s="4">
        <v>500</v>
      </c>
      <c r="W291" s="4" t="s">
        <v>601</v>
      </c>
      <c r="X291" s="4">
        <v>510</v>
      </c>
      <c r="Y291" s="4">
        <v>1</v>
      </c>
      <c r="AA291" s="4" t="s">
        <v>49</v>
      </c>
      <c r="AB291" s="4">
        <v>0</v>
      </c>
      <c r="AC291" s="4" t="s">
        <v>49</v>
      </c>
      <c r="AD291" s="4">
        <v>0</v>
      </c>
      <c r="AE291" s="4" t="s">
        <v>49</v>
      </c>
      <c r="AF291" s="4">
        <v>0</v>
      </c>
      <c r="AG291" s="4" t="s">
        <v>714</v>
      </c>
      <c r="AH291" s="4" t="s">
        <v>716</v>
      </c>
      <c r="AI291" s="4" t="s">
        <v>64</v>
      </c>
      <c r="AJ291" s="13">
        <v>0</v>
      </c>
      <c r="AK291" s="13">
        <v>10</v>
      </c>
      <c r="AM291" s="13" t="s">
        <v>498</v>
      </c>
      <c r="AP291" s="13" t="s">
        <v>49</v>
      </c>
      <c r="AQ291" s="13" t="s">
        <v>49</v>
      </c>
      <c r="AR291" s="13" t="s">
        <v>49</v>
      </c>
      <c r="AS291" s="13" t="s">
        <v>49</v>
      </c>
      <c r="AT291" s="13" t="s">
        <v>990</v>
      </c>
      <c r="AU291" s="13" t="s">
        <v>998</v>
      </c>
      <c r="AV291" s="14">
        <f>0.1*10</f>
        <v>1</v>
      </c>
      <c r="AW291" s="14">
        <f>0.1*10</f>
        <v>1</v>
      </c>
      <c r="AX291" s="14">
        <f>Table1347456[[#This Row],[treatment_mean]]/Table1347456[[#This Row],[control_mean]]</f>
        <v>1</v>
      </c>
      <c r="AY291" s="14">
        <f>LN(Table1347456[[#This Row],[rr]])</f>
        <v>0</v>
      </c>
      <c r="AZ291" s="13">
        <v>18</v>
      </c>
      <c r="BA291" s="13">
        <v>18</v>
      </c>
      <c r="BB291" s="14">
        <f t="shared" si="15"/>
        <v>0.1</v>
      </c>
      <c r="BC291" s="14">
        <f t="shared" si="15"/>
        <v>0.1</v>
      </c>
      <c r="BD291" s="15">
        <f>Table1347456[[#This Row],[treatment_se]]*SQRT(Table1347456[[#This Row],[treatment_n]])</f>
        <v>0.42426406871192851</v>
      </c>
      <c r="BE291" s="14">
        <f>Table1347456[[#This Row],[control_se]]*SQRT(Table1347456[[#This Row],[control_n]])</f>
        <v>0.42426406871192851</v>
      </c>
      <c r="BF29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0.02</v>
      </c>
      <c r="BG291" s="17">
        <f>SQRT(Table1347456[[#This Row],[v_from_sd_and_n]])</f>
        <v>0.1414213562373095</v>
      </c>
      <c r="BH291" s="13" t="s">
        <v>50</v>
      </c>
      <c r="BI291" s="13">
        <v>2.5000000000000001E-2</v>
      </c>
      <c r="BJ291" s="18">
        <f>ABS(_xlfn.NORM.S.INV(Table1347456[[#This Row],[p_value]]/2))</f>
        <v>2.2414027276049446</v>
      </c>
      <c r="BK291" s="19">
        <f>(Table1347456[[#This Row],[lnrr]]/Table1347456[[#This Row],[z_from_p]])^2</f>
        <v>0</v>
      </c>
      <c r="BL291" s="16">
        <f>Table1347456[[#This Row],[v_from_sd_and_n]]</f>
        <v>0.02</v>
      </c>
      <c r="BM291" s="20">
        <f>SQRT(Table1347456[[#This Row],[v]])</f>
        <v>0.1414213562373095</v>
      </c>
      <c r="BN291" s="20">
        <f>Table1347456[[#This Row],[lnrr]]-(1.96*Table1347456[[#This Row],[se]])</f>
        <v>-0.27718585822512665</v>
      </c>
      <c r="BO291" s="20">
        <f>Table1347456[[#This Row],[lnrr]]+(1.96 * Table1347456[[#This Row],[se]])</f>
        <v>0.27718585822512665</v>
      </c>
    </row>
    <row r="292" spans="1:67">
      <c r="A292" s="13" t="s">
        <v>154</v>
      </c>
      <c r="B292" s="13" t="s">
        <v>155</v>
      </c>
      <c r="C292" s="13" t="s">
        <v>43</v>
      </c>
      <c r="D292" s="13" t="s">
        <v>160</v>
      </c>
      <c r="E292" s="13" t="s">
        <v>157</v>
      </c>
      <c r="F292" s="13" t="s">
        <v>585</v>
      </c>
      <c r="G292" s="13" t="s">
        <v>46</v>
      </c>
      <c r="H292" s="13">
        <v>13.3</v>
      </c>
      <c r="I292" s="13">
        <v>685.7</v>
      </c>
      <c r="K292" s="13" t="s">
        <v>839</v>
      </c>
      <c r="L292" s="13" t="s">
        <v>840</v>
      </c>
      <c r="N292" s="13" t="s">
        <v>47</v>
      </c>
      <c r="O292" s="13" t="s">
        <v>645</v>
      </c>
      <c r="P292" s="13" t="s">
        <v>422</v>
      </c>
      <c r="Q292" s="13" t="s">
        <v>48</v>
      </c>
      <c r="R292" s="4">
        <v>36</v>
      </c>
      <c r="S292" s="13" t="s">
        <v>594</v>
      </c>
      <c r="T292" s="13">
        <v>540</v>
      </c>
      <c r="U292" s="4" t="s">
        <v>158</v>
      </c>
      <c r="V292" s="4">
        <v>500</v>
      </c>
      <c r="W292" s="4" t="s">
        <v>601</v>
      </c>
      <c r="X292" s="4">
        <v>510</v>
      </c>
      <c r="Y292" s="4">
        <v>3</v>
      </c>
      <c r="AA292" s="4" t="s">
        <v>49</v>
      </c>
      <c r="AB292" s="4">
        <v>0</v>
      </c>
      <c r="AC292" s="4" t="s">
        <v>49</v>
      </c>
      <c r="AD292" s="4">
        <v>0</v>
      </c>
      <c r="AE292" s="4" t="s">
        <v>49</v>
      </c>
      <c r="AF292" s="4">
        <v>0</v>
      </c>
      <c r="AG292" s="4" t="s">
        <v>714</v>
      </c>
      <c r="AH292" s="4" t="s">
        <v>716</v>
      </c>
      <c r="AI292" s="4" t="s">
        <v>64</v>
      </c>
      <c r="AJ292" s="13">
        <v>0</v>
      </c>
      <c r="AK292" s="13">
        <v>10</v>
      </c>
      <c r="AM292" s="13" t="s">
        <v>498</v>
      </c>
      <c r="AP292" s="13" t="s">
        <v>49</v>
      </c>
      <c r="AQ292" s="13" t="s">
        <v>49</v>
      </c>
      <c r="AR292" s="13" t="s">
        <v>49</v>
      </c>
      <c r="AS292" s="13" t="s">
        <v>49</v>
      </c>
      <c r="AT292" s="13" t="s">
        <v>990</v>
      </c>
      <c r="AU292" s="13" t="s">
        <v>998</v>
      </c>
      <c r="AV292" s="14">
        <f>0.1*10</f>
        <v>1</v>
      </c>
      <c r="AW292" s="14">
        <f>0.1*10</f>
        <v>1</v>
      </c>
      <c r="AX292" s="14">
        <f>Table1347456[[#This Row],[treatment_mean]]/Table1347456[[#This Row],[control_mean]]</f>
        <v>1</v>
      </c>
      <c r="AY292" s="14">
        <f>LN(Table1347456[[#This Row],[rr]])</f>
        <v>0</v>
      </c>
      <c r="AZ292" s="13">
        <v>18</v>
      </c>
      <c r="BA292" s="13">
        <v>18</v>
      </c>
      <c r="BB292" s="14">
        <f t="shared" si="15"/>
        <v>0.1</v>
      </c>
      <c r="BC292" s="14">
        <f t="shared" si="15"/>
        <v>0.1</v>
      </c>
      <c r="BD292" s="15">
        <f>Table1347456[[#This Row],[treatment_se]]*SQRT(Table1347456[[#This Row],[treatment_n]])</f>
        <v>0.42426406871192851</v>
      </c>
      <c r="BE292" s="14">
        <f>Table1347456[[#This Row],[control_se]]*SQRT(Table1347456[[#This Row],[control_n]])</f>
        <v>0.42426406871192851</v>
      </c>
      <c r="BF29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0.02</v>
      </c>
      <c r="BG292" s="17">
        <f>SQRT(Table1347456[[#This Row],[v_from_sd_and_n]])</f>
        <v>0.1414213562373095</v>
      </c>
      <c r="BH292" s="13" t="s">
        <v>50</v>
      </c>
      <c r="BI292" s="13">
        <v>2.5000000000000001E-2</v>
      </c>
      <c r="BJ292" s="18">
        <f>ABS(_xlfn.NORM.S.INV(Table1347456[[#This Row],[p_value]]/2))</f>
        <v>2.2414027276049446</v>
      </c>
      <c r="BK292" s="19">
        <f>(Table1347456[[#This Row],[lnrr]]/Table1347456[[#This Row],[z_from_p]])^2</f>
        <v>0</v>
      </c>
      <c r="BL292" s="16">
        <f>Table1347456[[#This Row],[v_from_sd_and_n]]</f>
        <v>0.02</v>
      </c>
      <c r="BM292" s="20">
        <f>SQRT(Table1347456[[#This Row],[v]])</f>
        <v>0.1414213562373095</v>
      </c>
      <c r="BN292" s="20">
        <f>Table1347456[[#This Row],[lnrr]]-(1.96*Table1347456[[#This Row],[se]])</f>
        <v>-0.27718585822512665</v>
      </c>
      <c r="BO292" s="20">
        <f>Table1347456[[#This Row],[lnrr]]+(1.96 * Table1347456[[#This Row],[se]])</f>
        <v>0.27718585822512665</v>
      </c>
    </row>
    <row r="293" spans="1:67">
      <c r="A293" s="13" t="s">
        <v>154</v>
      </c>
      <c r="B293" s="13" t="s">
        <v>155</v>
      </c>
      <c r="C293" s="13" t="s">
        <v>43</v>
      </c>
      <c r="D293" s="13" t="s">
        <v>160</v>
      </c>
      <c r="E293" s="13" t="s">
        <v>157</v>
      </c>
      <c r="F293" s="13" t="s">
        <v>585</v>
      </c>
      <c r="G293" s="13" t="s">
        <v>46</v>
      </c>
      <c r="H293" s="13">
        <v>13.3</v>
      </c>
      <c r="I293" s="13">
        <v>685.7</v>
      </c>
      <c r="K293" s="13" t="s">
        <v>839</v>
      </c>
      <c r="L293" s="13" t="s">
        <v>840</v>
      </c>
      <c r="N293" s="13" t="s">
        <v>47</v>
      </c>
      <c r="O293" s="13" t="s">
        <v>645</v>
      </c>
      <c r="P293" s="13" t="s">
        <v>422</v>
      </c>
      <c r="Q293" s="13" t="s">
        <v>48</v>
      </c>
      <c r="R293" s="4">
        <v>36</v>
      </c>
      <c r="S293" s="13" t="s">
        <v>594</v>
      </c>
      <c r="T293" s="13">
        <v>540</v>
      </c>
      <c r="U293" s="4" t="s">
        <v>158</v>
      </c>
      <c r="V293" s="4">
        <v>500</v>
      </c>
      <c r="W293" s="4" t="s">
        <v>601</v>
      </c>
      <c r="X293" s="4">
        <v>510</v>
      </c>
      <c r="Y293" s="4">
        <v>6</v>
      </c>
      <c r="AA293" s="4" t="s">
        <v>49</v>
      </c>
      <c r="AB293" s="4">
        <v>0</v>
      </c>
      <c r="AC293" s="4" t="s">
        <v>49</v>
      </c>
      <c r="AD293" s="4">
        <v>0</v>
      </c>
      <c r="AE293" s="4" t="s">
        <v>49</v>
      </c>
      <c r="AF293" s="4">
        <v>0</v>
      </c>
      <c r="AG293" s="4" t="s">
        <v>714</v>
      </c>
      <c r="AH293" s="4" t="s">
        <v>716</v>
      </c>
      <c r="AI293" s="4" t="s">
        <v>64</v>
      </c>
      <c r="AJ293" s="13">
        <v>0</v>
      </c>
      <c r="AK293" s="13">
        <v>10</v>
      </c>
      <c r="AM293" s="13" t="s">
        <v>498</v>
      </c>
      <c r="AP293" s="13" t="s">
        <v>49</v>
      </c>
      <c r="AQ293" s="13" t="s">
        <v>49</v>
      </c>
      <c r="AR293" s="13" t="s">
        <v>49</v>
      </c>
      <c r="AS293" s="13" t="s">
        <v>49</v>
      </c>
      <c r="AT293" s="13" t="s">
        <v>990</v>
      </c>
      <c r="AU293" s="13" t="s">
        <v>998</v>
      </c>
      <c r="AV293" s="14">
        <f>0.11*10</f>
        <v>1.1000000000000001</v>
      </c>
      <c r="AW293" s="14">
        <f>0.1*10</f>
        <v>1</v>
      </c>
      <c r="AX293" s="14">
        <f>Table1347456[[#This Row],[treatment_mean]]/Table1347456[[#This Row],[control_mean]]</f>
        <v>1.1000000000000001</v>
      </c>
      <c r="AY293" s="14">
        <f>LN(Table1347456[[#This Row],[rr]])</f>
        <v>9.5310179804324935E-2</v>
      </c>
      <c r="AZ293" s="13">
        <v>18</v>
      </c>
      <c r="BA293" s="13">
        <v>18</v>
      </c>
      <c r="BB293" s="14">
        <f t="shared" si="15"/>
        <v>0.1</v>
      </c>
      <c r="BC293" s="14">
        <f t="shared" si="15"/>
        <v>0.1</v>
      </c>
      <c r="BD293" s="15">
        <f>Table1347456[[#This Row],[treatment_se]]*SQRT(Table1347456[[#This Row],[treatment_n]])</f>
        <v>0.42426406871192851</v>
      </c>
      <c r="BE293" s="14">
        <f>Table1347456[[#This Row],[control_se]]*SQRT(Table1347456[[#This Row],[control_n]])</f>
        <v>0.42426406871192851</v>
      </c>
      <c r="BF29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1.8264462809917354E-2</v>
      </c>
      <c r="BG293" s="17">
        <f>SQRT(Table1347456[[#This Row],[v_from_sd_and_n]])</f>
        <v>0.13514607952107732</v>
      </c>
      <c r="BH293" s="13" t="s">
        <v>50</v>
      </c>
      <c r="BI293" s="13">
        <v>2.5000000000000001E-2</v>
      </c>
      <c r="BJ293" s="18">
        <f>ABS(_xlfn.NORM.S.INV(Table1347456[[#This Row],[p_value]]/2))</f>
        <v>2.2414027276049446</v>
      </c>
      <c r="BK293" s="19">
        <f>(Table1347456[[#This Row],[lnrr]]/Table1347456[[#This Row],[z_from_p]])^2</f>
        <v>1.808168026829423E-3</v>
      </c>
      <c r="BL293" s="16">
        <f>Table1347456[[#This Row],[v_from_sd_and_n]]</f>
        <v>1.8264462809917354E-2</v>
      </c>
      <c r="BM293" s="20">
        <f>SQRT(Table1347456[[#This Row],[v]])</f>
        <v>0.13514607952107732</v>
      </c>
      <c r="BN293" s="20">
        <f>Table1347456[[#This Row],[lnrr]]-(1.96*Table1347456[[#This Row],[se]])</f>
        <v>-0.16957613605698663</v>
      </c>
      <c r="BO293" s="20">
        <f>Table1347456[[#This Row],[lnrr]]+(1.96 * Table1347456[[#This Row],[se]])</f>
        <v>0.3601964956656365</v>
      </c>
    </row>
    <row r="294" spans="1:67">
      <c r="A294" s="13" t="s">
        <v>154</v>
      </c>
      <c r="B294" s="13" t="s">
        <v>155</v>
      </c>
      <c r="C294" s="13" t="s">
        <v>43</v>
      </c>
      <c r="D294" s="13" t="s">
        <v>160</v>
      </c>
      <c r="E294" s="13" t="s">
        <v>157</v>
      </c>
      <c r="F294" s="13" t="s">
        <v>585</v>
      </c>
      <c r="G294" s="13" t="s">
        <v>46</v>
      </c>
      <c r="H294" s="13">
        <v>13.3</v>
      </c>
      <c r="I294" s="13">
        <v>685.7</v>
      </c>
      <c r="K294" s="13" t="s">
        <v>839</v>
      </c>
      <c r="L294" s="13" t="s">
        <v>840</v>
      </c>
      <c r="N294" s="13" t="s">
        <v>615</v>
      </c>
      <c r="O294" s="13" t="s">
        <v>54</v>
      </c>
      <c r="P294" s="13" t="s">
        <v>85</v>
      </c>
      <c r="Q294" s="13" t="s">
        <v>48</v>
      </c>
      <c r="R294" s="4">
        <v>36</v>
      </c>
      <c r="S294" s="13" t="s">
        <v>594</v>
      </c>
      <c r="T294" s="13">
        <v>540</v>
      </c>
      <c r="U294" s="4" t="s">
        <v>158</v>
      </c>
      <c r="V294" s="4">
        <v>500</v>
      </c>
      <c r="W294" s="4" t="s">
        <v>601</v>
      </c>
      <c r="X294" s="4">
        <v>510</v>
      </c>
      <c r="Y294" s="4">
        <v>1</v>
      </c>
      <c r="AA294" s="4" t="s">
        <v>49</v>
      </c>
      <c r="AB294" s="4">
        <v>0</v>
      </c>
      <c r="AC294" s="4" t="s">
        <v>49</v>
      </c>
      <c r="AD294" s="4">
        <v>0</v>
      </c>
      <c r="AE294" s="4" t="s">
        <v>49</v>
      </c>
      <c r="AF294" s="4">
        <v>0</v>
      </c>
      <c r="AG294" s="4" t="s">
        <v>714</v>
      </c>
      <c r="AH294" s="4" t="s">
        <v>716</v>
      </c>
      <c r="AI294" s="4" t="s">
        <v>64</v>
      </c>
      <c r="AJ294" s="13">
        <v>0</v>
      </c>
      <c r="AK294" s="13">
        <v>10</v>
      </c>
      <c r="AM294" s="13" t="s">
        <v>498</v>
      </c>
      <c r="AP294" s="13" t="s">
        <v>49</v>
      </c>
      <c r="AQ294" s="13" t="s">
        <v>49</v>
      </c>
      <c r="AR294" s="13" t="s">
        <v>49</v>
      </c>
      <c r="AS294" s="13" t="s">
        <v>49</v>
      </c>
      <c r="AT294" s="13" t="s">
        <v>990</v>
      </c>
      <c r="AU294" s="13" t="s">
        <v>998</v>
      </c>
      <c r="AV294" s="14">
        <f>15.4/1000</f>
        <v>1.54E-2</v>
      </c>
      <c r="AW294" s="14">
        <f>14.5/1000</f>
        <v>1.4500000000000001E-2</v>
      </c>
      <c r="AX294" s="14">
        <f>Table1347456[[#This Row],[treatment_mean]]/Table1347456[[#This Row],[control_mean]]</f>
        <v>1.0620689655172413</v>
      </c>
      <c r="AY294" s="14">
        <f>LN(Table1347456[[#This Row],[rr]])</f>
        <v>6.0218859993054666E-2</v>
      </c>
      <c r="AZ294" s="13">
        <v>18</v>
      </c>
      <c r="BA294" s="13">
        <v>18</v>
      </c>
      <c r="BB294" s="14">
        <f>0.9/1000</f>
        <v>8.9999999999999998E-4</v>
      </c>
      <c r="BC294" s="14">
        <f>1.1/1000</f>
        <v>1.1000000000000001E-3</v>
      </c>
      <c r="BD294" s="15">
        <f>Table1347456[[#This Row],[treatment_se]]*SQRT(Table1347456[[#This Row],[treatment_n]])</f>
        <v>3.8183766184073562E-3</v>
      </c>
      <c r="BE294" s="14">
        <f>Table1347456[[#This Row],[control_se]]*SQRT(Table1347456[[#This Row],[control_n]])</f>
        <v>4.666904755831214E-3</v>
      </c>
      <c r="BF29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9.1704692608069842E-3</v>
      </c>
      <c r="BG294" s="17">
        <f>SQRT(Table1347456[[#This Row],[v_from_sd_and_n]])</f>
        <v>9.5762567116838421E-2</v>
      </c>
      <c r="BH294" s="13" t="s">
        <v>50</v>
      </c>
      <c r="BI294" s="13">
        <v>2.5000000000000001E-2</v>
      </c>
      <c r="BJ294" s="18">
        <f>ABS(_xlfn.NORM.S.INV(Table1347456[[#This Row],[p_value]]/2))</f>
        <v>2.2414027276049446</v>
      </c>
      <c r="BK294" s="19">
        <f>(Table1347456[[#This Row],[lnrr]]/Table1347456[[#This Row],[z_from_p]])^2</f>
        <v>7.2181394316205103E-4</v>
      </c>
      <c r="BL294" s="16">
        <f>Table1347456[[#This Row],[v_from_sd_and_n]]</f>
        <v>9.1704692608069842E-3</v>
      </c>
      <c r="BM294" s="20">
        <f>SQRT(Table1347456[[#This Row],[v]])</f>
        <v>9.5762567116838421E-2</v>
      </c>
      <c r="BN294" s="20">
        <f>Table1347456[[#This Row],[lnrr]]-(1.96*Table1347456[[#This Row],[se]])</f>
        <v>-0.12747577155594864</v>
      </c>
      <c r="BO294" s="20">
        <f>Table1347456[[#This Row],[lnrr]]+(1.96 * Table1347456[[#This Row],[se]])</f>
        <v>0.24791349154205794</v>
      </c>
    </row>
    <row r="295" spans="1:67">
      <c r="A295" s="13" t="s">
        <v>154</v>
      </c>
      <c r="B295" s="13" t="s">
        <v>155</v>
      </c>
      <c r="C295" s="13" t="s">
        <v>43</v>
      </c>
      <c r="D295" s="13" t="s">
        <v>160</v>
      </c>
      <c r="E295" s="13" t="s">
        <v>157</v>
      </c>
      <c r="F295" s="13" t="s">
        <v>585</v>
      </c>
      <c r="G295" s="13" t="s">
        <v>46</v>
      </c>
      <c r="H295" s="13">
        <v>13.3</v>
      </c>
      <c r="I295" s="13">
        <v>685.7</v>
      </c>
      <c r="K295" s="13" t="s">
        <v>839</v>
      </c>
      <c r="L295" s="13" t="s">
        <v>840</v>
      </c>
      <c r="N295" s="13" t="s">
        <v>615</v>
      </c>
      <c r="O295" s="13" t="s">
        <v>54</v>
      </c>
      <c r="P295" s="13" t="s">
        <v>85</v>
      </c>
      <c r="Q295" s="13" t="s">
        <v>48</v>
      </c>
      <c r="R295" s="4">
        <v>36</v>
      </c>
      <c r="S295" s="13" t="s">
        <v>594</v>
      </c>
      <c r="T295" s="13">
        <v>540</v>
      </c>
      <c r="U295" s="4" t="s">
        <v>158</v>
      </c>
      <c r="V295" s="4">
        <v>500</v>
      </c>
      <c r="W295" s="4" t="s">
        <v>601</v>
      </c>
      <c r="X295" s="4">
        <v>510</v>
      </c>
      <c r="Y295" s="4">
        <v>3</v>
      </c>
      <c r="AA295" s="4" t="s">
        <v>49</v>
      </c>
      <c r="AB295" s="4">
        <v>0</v>
      </c>
      <c r="AC295" s="4" t="s">
        <v>49</v>
      </c>
      <c r="AD295" s="4">
        <v>0</v>
      </c>
      <c r="AE295" s="4" t="s">
        <v>49</v>
      </c>
      <c r="AF295" s="4">
        <v>0</v>
      </c>
      <c r="AG295" s="4" t="s">
        <v>714</v>
      </c>
      <c r="AH295" s="4" t="s">
        <v>716</v>
      </c>
      <c r="AI295" s="4" t="s">
        <v>64</v>
      </c>
      <c r="AJ295" s="13">
        <v>0</v>
      </c>
      <c r="AK295" s="13">
        <v>10</v>
      </c>
      <c r="AM295" s="13" t="s">
        <v>498</v>
      </c>
      <c r="AP295" s="13" t="s">
        <v>49</v>
      </c>
      <c r="AQ295" s="13" t="s">
        <v>49</v>
      </c>
      <c r="AR295" s="13" t="s">
        <v>49</v>
      </c>
      <c r="AS295" s="13" t="s">
        <v>49</v>
      </c>
      <c r="AT295" s="13" t="s">
        <v>990</v>
      </c>
      <c r="AU295" s="13" t="s">
        <v>998</v>
      </c>
      <c r="AV295" s="14">
        <f>14.5/1000</f>
        <v>1.4500000000000001E-2</v>
      </c>
      <c r="AW295" s="14">
        <f>14.5/1000</f>
        <v>1.4500000000000001E-2</v>
      </c>
      <c r="AX295" s="14">
        <f>Table1347456[[#This Row],[treatment_mean]]/Table1347456[[#This Row],[control_mean]]</f>
        <v>1</v>
      </c>
      <c r="AY295" s="14">
        <f>LN(Table1347456[[#This Row],[rr]])</f>
        <v>0</v>
      </c>
      <c r="AZ295" s="13">
        <v>18</v>
      </c>
      <c r="BA295" s="13">
        <v>18</v>
      </c>
      <c r="BB295" s="14">
        <f>0.6/1000</f>
        <v>5.9999999999999995E-4</v>
      </c>
      <c r="BC295" s="14">
        <f>1.1/1000</f>
        <v>1.1000000000000001E-3</v>
      </c>
      <c r="BD295" s="15">
        <f>Table1347456[[#This Row],[treatment_se]]*SQRT(Table1347456[[#This Row],[treatment_n]])</f>
        <v>2.5455844122715707E-3</v>
      </c>
      <c r="BE295" s="14">
        <f>Table1347456[[#This Row],[control_se]]*SQRT(Table1347456[[#This Row],[control_n]])</f>
        <v>4.666904755831214E-3</v>
      </c>
      <c r="BF29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7.4673008323424489E-3</v>
      </c>
      <c r="BG295" s="17">
        <f>SQRT(Table1347456[[#This Row],[v_from_sd_and_n]])</f>
        <v>8.6413545421666668E-2</v>
      </c>
      <c r="BH295" s="13" t="s">
        <v>50</v>
      </c>
      <c r="BI295" s="13">
        <v>2.5000000000000001E-2</v>
      </c>
      <c r="BJ295" s="18">
        <f>ABS(_xlfn.NORM.S.INV(Table1347456[[#This Row],[p_value]]/2))</f>
        <v>2.2414027276049446</v>
      </c>
      <c r="BK295" s="19">
        <f>(Table1347456[[#This Row],[lnrr]]/Table1347456[[#This Row],[z_from_p]])^2</f>
        <v>0</v>
      </c>
      <c r="BL295" s="16">
        <f>Table1347456[[#This Row],[v_from_sd_and_n]]</f>
        <v>7.4673008323424489E-3</v>
      </c>
      <c r="BM295" s="20">
        <f>SQRT(Table1347456[[#This Row],[v]])</f>
        <v>8.6413545421666668E-2</v>
      </c>
      <c r="BN295" s="20">
        <f>Table1347456[[#This Row],[lnrr]]-(1.96*Table1347456[[#This Row],[se]])</f>
        <v>-0.16937054902646667</v>
      </c>
      <c r="BO295" s="20">
        <f>Table1347456[[#This Row],[lnrr]]+(1.96 * Table1347456[[#This Row],[se]])</f>
        <v>0.16937054902646667</v>
      </c>
    </row>
    <row r="296" spans="1:67">
      <c r="A296" s="13" t="s">
        <v>154</v>
      </c>
      <c r="B296" s="13" t="s">
        <v>155</v>
      </c>
      <c r="C296" s="13" t="s">
        <v>43</v>
      </c>
      <c r="D296" s="13" t="s">
        <v>160</v>
      </c>
      <c r="E296" s="13" t="s">
        <v>157</v>
      </c>
      <c r="F296" s="13" t="s">
        <v>585</v>
      </c>
      <c r="G296" s="13" t="s">
        <v>46</v>
      </c>
      <c r="H296" s="13">
        <v>13.3</v>
      </c>
      <c r="I296" s="13">
        <v>685.7</v>
      </c>
      <c r="K296" s="13" t="s">
        <v>839</v>
      </c>
      <c r="L296" s="13" t="s">
        <v>840</v>
      </c>
      <c r="N296" s="13" t="s">
        <v>615</v>
      </c>
      <c r="O296" s="13" t="s">
        <v>54</v>
      </c>
      <c r="P296" s="13" t="s">
        <v>85</v>
      </c>
      <c r="Q296" s="13" t="s">
        <v>48</v>
      </c>
      <c r="R296" s="4">
        <v>36</v>
      </c>
      <c r="S296" s="13" t="s">
        <v>594</v>
      </c>
      <c r="T296" s="13">
        <v>540</v>
      </c>
      <c r="U296" s="4" t="s">
        <v>158</v>
      </c>
      <c r="V296" s="4">
        <v>500</v>
      </c>
      <c r="W296" s="4" t="s">
        <v>601</v>
      </c>
      <c r="X296" s="4">
        <v>510</v>
      </c>
      <c r="Y296" s="4">
        <v>6</v>
      </c>
      <c r="AA296" s="4" t="s">
        <v>49</v>
      </c>
      <c r="AB296" s="4">
        <v>0</v>
      </c>
      <c r="AC296" s="4" t="s">
        <v>49</v>
      </c>
      <c r="AD296" s="4">
        <v>0</v>
      </c>
      <c r="AE296" s="4" t="s">
        <v>49</v>
      </c>
      <c r="AF296" s="4">
        <v>0</v>
      </c>
      <c r="AG296" s="4" t="s">
        <v>714</v>
      </c>
      <c r="AH296" s="4" t="s">
        <v>716</v>
      </c>
      <c r="AI296" s="4" t="s">
        <v>64</v>
      </c>
      <c r="AJ296" s="13">
        <v>0</v>
      </c>
      <c r="AK296" s="13">
        <v>10</v>
      </c>
      <c r="AM296" s="13" t="s">
        <v>498</v>
      </c>
      <c r="AP296" s="13" t="s">
        <v>49</v>
      </c>
      <c r="AQ296" s="13" t="s">
        <v>49</v>
      </c>
      <c r="AR296" s="13" t="s">
        <v>49</v>
      </c>
      <c r="AS296" s="13" t="s">
        <v>49</v>
      </c>
      <c r="AT296" s="13" t="s">
        <v>990</v>
      </c>
      <c r="AU296" s="13" t="s">
        <v>998</v>
      </c>
      <c r="AV296" s="14">
        <f>14.1/1000</f>
        <v>1.41E-2</v>
      </c>
      <c r="AW296" s="14">
        <f>14.5/1000</f>
        <v>1.4500000000000001E-2</v>
      </c>
      <c r="AX296" s="14">
        <f>Table1347456[[#This Row],[treatment_mean]]/Table1347456[[#This Row],[control_mean]]</f>
        <v>0.97241379310344822</v>
      </c>
      <c r="AY296" s="14">
        <f>LN(Table1347456[[#This Row],[rr]])</f>
        <v>-2.797385204240618E-2</v>
      </c>
      <c r="AZ296" s="13">
        <v>18</v>
      </c>
      <c r="BA296" s="13">
        <v>18</v>
      </c>
      <c r="BB296" s="14">
        <f>0.9/1000</f>
        <v>8.9999999999999998E-4</v>
      </c>
      <c r="BC296" s="14">
        <f>1.1/1000</f>
        <v>1.1000000000000001E-3</v>
      </c>
      <c r="BD296" s="15">
        <f>Table1347456[[#This Row],[treatment_se]]*SQRT(Table1347456[[#This Row],[treatment_n]])</f>
        <v>3.8183766184073562E-3</v>
      </c>
      <c r="BE296" s="14">
        <f>Table1347456[[#This Row],[control_se]]*SQRT(Table1347456[[#This Row],[control_n]])</f>
        <v>4.666904755831214E-3</v>
      </c>
      <c r="BF29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9.8292952460720343E-3</v>
      </c>
      <c r="BG296" s="17">
        <f>SQRT(Table1347456[[#This Row],[v_from_sd_and_n]])</f>
        <v>9.9142802290796861E-2</v>
      </c>
      <c r="BH296" s="13" t="s">
        <v>50</v>
      </c>
      <c r="BI296" s="13">
        <v>2.5000000000000001E-2</v>
      </c>
      <c r="BJ296" s="18">
        <f>ABS(_xlfn.NORM.S.INV(Table1347456[[#This Row],[p_value]]/2))</f>
        <v>2.2414027276049446</v>
      </c>
      <c r="BK296" s="19">
        <f>(Table1347456[[#This Row],[lnrr]]/Table1347456[[#This Row],[z_from_p]])^2</f>
        <v>1.5576316200520342E-4</v>
      </c>
      <c r="BL296" s="16">
        <f>Table1347456[[#This Row],[v_from_sd_and_n]]</f>
        <v>9.8292952460720343E-3</v>
      </c>
      <c r="BM296" s="20">
        <f>SQRT(Table1347456[[#This Row],[v]])</f>
        <v>9.9142802290796861E-2</v>
      </c>
      <c r="BN296" s="20">
        <f>Table1347456[[#This Row],[lnrr]]-(1.96*Table1347456[[#This Row],[se]])</f>
        <v>-0.22229374453236803</v>
      </c>
      <c r="BO296" s="20">
        <f>Table1347456[[#This Row],[lnrr]]+(1.96 * Table1347456[[#This Row],[se]])</f>
        <v>0.16634604044755566</v>
      </c>
    </row>
    <row r="297" spans="1:67">
      <c r="A297" s="13" t="s">
        <v>154</v>
      </c>
      <c r="B297" s="13" t="s">
        <v>155</v>
      </c>
      <c r="C297" s="13" t="s">
        <v>43</v>
      </c>
      <c r="D297" s="13" t="s">
        <v>159</v>
      </c>
      <c r="E297" s="13" t="s">
        <v>157</v>
      </c>
      <c r="F297" s="13" t="s">
        <v>585</v>
      </c>
      <c r="G297" s="13" t="s">
        <v>46</v>
      </c>
      <c r="H297" s="13">
        <v>13.3</v>
      </c>
      <c r="I297" s="13">
        <v>685.7</v>
      </c>
      <c r="K297" s="13" t="s">
        <v>837</v>
      </c>
      <c r="L297" s="13" t="s">
        <v>838</v>
      </c>
      <c r="N297" s="13" t="s">
        <v>615</v>
      </c>
      <c r="O297" s="13" t="s">
        <v>54</v>
      </c>
      <c r="P297" s="13" t="s">
        <v>85</v>
      </c>
      <c r="Q297" s="13" t="s">
        <v>48</v>
      </c>
      <c r="R297" s="4">
        <v>36</v>
      </c>
      <c r="S297" s="13" t="s">
        <v>594</v>
      </c>
      <c r="T297" s="13">
        <v>540</v>
      </c>
      <c r="U297" s="4" t="s">
        <v>158</v>
      </c>
      <c r="V297" s="4">
        <v>500</v>
      </c>
      <c r="W297" s="4" t="s">
        <v>601</v>
      </c>
      <c r="X297" s="4">
        <v>510</v>
      </c>
      <c r="Y297" s="4">
        <v>1</v>
      </c>
      <c r="AA297" s="4" t="s">
        <v>49</v>
      </c>
      <c r="AB297" s="4">
        <v>0</v>
      </c>
      <c r="AC297" s="4" t="s">
        <v>49</v>
      </c>
      <c r="AD297" s="4">
        <v>0</v>
      </c>
      <c r="AE297" s="4" t="s">
        <v>49</v>
      </c>
      <c r="AF297" s="4">
        <v>0</v>
      </c>
      <c r="AG297" s="4" t="s">
        <v>714</v>
      </c>
      <c r="AH297" s="4" t="s">
        <v>681</v>
      </c>
      <c r="AI297" s="4" t="s">
        <v>64</v>
      </c>
      <c r="AJ297" s="13">
        <v>0</v>
      </c>
      <c r="AK297" s="13">
        <v>10</v>
      </c>
      <c r="AM297" s="13" t="s">
        <v>498</v>
      </c>
      <c r="AP297" s="13" t="s">
        <v>49</v>
      </c>
      <c r="AQ297" s="13" t="s">
        <v>49</v>
      </c>
      <c r="AR297" s="13" t="s">
        <v>49</v>
      </c>
      <c r="AS297" s="13" t="s">
        <v>49</v>
      </c>
      <c r="AT297" s="13" t="s">
        <v>990</v>
      </c>
      <c r="AU297" s="13" t="s">
        <v>998</v>
      </c>
      <c r="AV297" s="14">
        <f>27/1000</f>
        <v>2.7E-2</v>
      </c>
      <c r="AW297" s="14">
        <f>31.2/1000</f>
        <v>3.1199999999999999E-2</v>
      </c>
      <c r="AX297" s="14">
        <f>Table1347456[[#This Row],[treatment_mean]]/Table1347456[[#This Row],[control_mean]]</f>
        <v>0.86538461538461542</v>
      </c>
      <c r="AY297" s="14">
        <f>LN(Table1347456[[#This Row],[rr]])</f>
        <v>-0.14458122881110755</v>
      </c>
      <c r="AZ297" s="13">
        <v>18</v>
      </c>
      <c r="BA297" s="13">
        <v>18</v>
      </c>
      <c r="BB297" s="14">
        <f>2.9/1000</f>
        <v>2.8999999999999998E-3</v>
      </c>
      <c r="BC297" s="14">
        <f>2.2/1000</f>
        <v>2.2000000000000001E-3</v>
      </c>
      <c r="BD297" s="15">
        <f>Table1347456[[#This Row],[treatment_se]]*SQRT(Table1347456[[#This Row],[treatment_n]])</f>
        <v>1.2303657992645925E-2</v>
      </c>
      <c r="BE297" s="14">
        <f>Table1347456[[#This Row],[control_se]]*SQRT(Table1347456[[#This Row],[control_n]])</f>
        <v>9.3338095116624279E-3</v>
      </c>
      <c r="BF29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1.6508409022654037E-2</v>
      </c>
      <c r="BG297" s="17">
        <f>SQRT(Table1347456[[#This Row],[v_from_sd_and_n]])</f>
        <v>0.12848505369362631</v>
      </c>
      <c r="BH297" s="13" t="s">
        <v>50</v>
      </c>
      <c r="BI297" s="13">
        <v>2.5000000000000001E-2</v>
      </c>
      <c r="BJ297" s="18">
        <f>ABS(_xlfn.NORM.S.INV(Table1347456[[#This Row],[p_value]]/2))</f>
        <v>2.2414027276049446</v>
      </c>
      <c r="BK297" s="19">
        <f>(Table1347456[[#This Row],[lnrr]]/Table1347456[[#This Row],[z_from_p]])^2</f>
        <v>4.1608688861843506E-3</v>
      </c>
      <c r="BL297" s="16">
        <f>Table1347456[[#This Row],[v_from_sd_and_n]]</f>
        <v>1.6508409022654037E-2</v>
      </c>
      <c r="BM297" s="20">
        <f>SQRT(Table1347456[[#This Row],[v]])</f>
        <v>0.12848505369362631</v>
      </c>
      <c r="BN297" s="20">
        <f>Table1347456[[#This Row],[lnrr]]-(1.96*Table1347456[[#This Row],[se]])</f>
        <v>-0.39641193405061514</v>
      </c>
      <c r="BO297" s="20">
        <f>Table1347456[[#This Row],[lnrr]]+(1.96 * Table1347456[[#This Row],[se]])</f>
        <v>0.10724947642840002</v>
      </c>
    </row>
    <row r="298" spans="1:67">
      <c r="A298" s="13" t="s">
        <v>154</v>
      </c>
      <c r="B298" s="13" t="s">
        <v>155</v>
      </c>
      <c r="C298" s="13" t="s">
        <v>43</v>
      </c>
      <c r="D298" s="13" t="s">
        <v>159</v>
      </c>
      <c r="E298" s="13" t="s">
        <v>157</v>
      </c>
      <c r="F298" s="13" t="s">
        <v>585</v>
      </c>
      <c r="G298" s="13" t="s">
        <v>46</v>
      </c>
      <c r="H298" s="13">
        <v>13.3</v>
      </c>
      <c r="I298" s="13">
        <v>685.7</v>
      </c>
      <c r="K298" s="13" t="s">
        <v>837</v>
      </c>
      <c r="L298" s="13" t="s">
        <v>838</v>
      </c>
      <c r="N298" s="13" t="s">
        <v>615</v>
      </c>
      <c r="O298" s="13" t="s">
        <v>54</v>
      </c>
      <c r="P298" s="13" t="s">
        <v>85</v>
      </c>
      <c r="Q298" s="13" t="s">
        <v>48</v>
      </c>
      <c r="R298" s="4">
        <v>36</v>
      </c>
      <c r="S298" s="13" t="s">
        <v>594</v>
      </c>
      <c r="T298" s="13">
        <v>540</v>
      </c>
      <c r="U298" s="4" t="s">
        <v>158</v>
      </c>
      <c r="V298" s="4">
        <v>500</v>
      </c>
      <c r="W298" s="4" t="s">
        <v>601</v>
      </c>
      <c r="X298" s="4">
        <v>510</v>
      </c>
      <c r="Y298" s="4">
        <v>3</v>
      </c>
      <c r="AA298" s="4" t="s">
        <v>49</v>
      </c>
      <c r="AB298" s="4">
        <v>0</v>
      </c>
      <c r="AC298" s="4" t="s">
        <v>49</v>
      </c>
      <c r="AD298" s="4">
        <v>0</v>
      </c>
      <c r="AE298" s="4" t="s">
        <v>49</v>
      </c>
      <c r="AF298" s="4">
        <v>0</v>
      </c>
      <c r="AG298" s="4" t="s">
        <v>714</v>
      </c>
      <c r="AH298" s="4" t="s">
        <v>681</v>
      </c>
      <c r="AI298" s="4" t="s">
        <v>64</v>
      </c>
      <c r="AJ298" s="13">
        <v>0</v>
      </c>
      <c r="AK298" s="13">
        <v>10</v>
      </c>
      <c r="AM298" s="13" t="s">
        <v>498</v>
      </c>
      <c r="AP298" s="13" t="s">
        <v>49</v>
      </c>
      <c r="AQ298" s="13" t="s">
        <v>49</v>
      </c>
      <c r="AR298" s="13" t="s">
        <v>49</v>
      </c>
      <c r="AS298" s="13" t="s">
        <v>49</v>
      </c>
      <c r="AT298" s="13" t="s">
        <v>990</v>
      </c>
      <c r="AU298" s="13" t="s">
        <v>998</v>
      </c>
      <c r="AV298" s="14">
        <f>20.3/1000</f>
        <v>2.0300000000000002E-2</v>
      </c>
      <c r="AW298" s="14">
        <f>31.2/1000</f>
        <v>3.1199999999999999E-2</v>
      </c>
      <c r="AX298" s="14">
        <f>Table1347456[[#This Row],[treatment_mean]]/Table1347456[[#This Row],[control_mean]]</f>
        <v>0.65064102564102577</v>
      </c>
      <c r="AY298" s="14">
        <f>LN(Table1347456[[#This Row],[rr]])</f>
        <v>-0.42979720876769484</v>
      </c>
      <c r="AZ298" s="13">
        <v>18</v>
      </c>
      <c r="BA298" s="13">
        <v>18</v>
      </c>
      <c r="BB298" s="14">
        <f>2.3/1000</f>
        <v>2.3E-3</v>
      </c>
      <c r="BC298" s="14">
        <f>2.2/1000</f>
        <v>2.2000000000000001E-3</v>
      </c>
      <c r="BD298" s="15">
        <f>Table1347456[[#This Row],[treatment_se]]*SQRT(Table1347456[[#This Row],[treatment_n]])</f>
        <v>9.7580735803743553E-3</v>
      </c>
      <c r="BE298" s="14">
        <f>Table1347456[[#This Row],[control_se]]*SQRT(Table1347456[[#This Row],[control_n]])</f>
        <v>9.3338095116624279E-3</v>
      </c>
      <c r="BF29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1.7809059482531669E-2</v>
      </c>
      <c r="BG298" s="17">
        <f>SQRT(Table1347456[[#This Row],[v_from_sd_and_n]])</f>
        <v>0.13345058816854899</v>
      </c>
      <c r="BH298" s="13" t="s">
        <v>50</v>
      </c>
      <c r="BI298" s="13">
        <v>2.5000000000000001E-2</v>
      </c>
      <c r="BJ298" s="18">
        <f>ABS(_xlfn.NORM.S.INV(Table1347456[[#This Row],[p_value]]/2))</f>
        <v>2.2414027276049446</v>
      </c>
      <c r="BK298" s="19">
        <f>(Table1347456[[#This Row],[lnrr]]/Table1347456[[#This Row],[z_from_p]])^2</f>
        <v>3.6769471635509261E-2</v>
      </c>
      <c r="BL298" s="16">
        <f>Table1347456[[#This Row],[v_from_sd_and_n]]</f>
        <v>1.7809059482531669E-2</v>
      </c>
      <c r="BM298" s="20">
        <f>SQRT(Table1347456[[#This Row],[v]])</f>
        <v>0.13345058816854899</v>
      </c>
      <c r="BN298" s="20">
        <f>Table1347456[[#This Row],[lnrr]]-(1.96*Table1347456[[#This Row],[se]])</f>
        <v>-0.69136036157805081</v>
      </c>
      <c r="BO298" s="20">
        <f>Table1347456[[#This Row],[lnrr]]+(1.96 * Table1347456[[#This Row],[se]])</f>
        <v>-0.16823405595733881</v>
      </c>
    </row>
    <row r="299" spans="1:67">
      <c r="A299" s="13" t="s">
        <v>154</v>
      </c>
      <c r="B299" s="13" t="s">
        <v>155</v>
      </c>
      <c r="C299" s="13" t="s">
        <v>43</v>
      </c>
      <c r="D299" s="13" t="s">
        <v>159</v>
      </c>
      <c r="E299" s="13" t="s">
        <v>157</v>
      </c>
      <c r="F299" s="13" t="s">
        <v>585</v>
      </c>
      <c r="G299" s="13" t="s">
        <v>46</v>
      </c>
      <c r="H299" s="13">
        <v>13.3</v>
      </c>
      <c r="I299" s="13">
        <v>685.7</v>
      </c>
      <c r="K299" s="13" t="s">
        <v>837</v>
      </c>
      <c r="L299" s="13" t="s">
        <v>838</v>
      </c>
      <c r="N299" s="13" t="s">
        <v>615</v>
      </c>
      <c r="O299" s="13" t="s">
        <v>54</v>
      </c>
      <c r="P299" s="13" t="s">
        <v>85</v>
      </c>
      <c r="Q299" s="13" t="s">
        <v>48</v>
      </c>
      <c r="R299" s="4">
        <v>36</v>
      </c>
      <c r="S299" s="13" t="s">
        <v>594</v>
      </c>
      <c r="T299" s="13">
        <v>540</v>
      </c>
      <c r="U299" s="4" t="s">
        <v>158</v>
      </c>
      <c r="V299" s="4">
        <v>500</v>
      </c>
      <c r="W299" s="4" t="s">
        <v>601</v>
      </c>
      <c r="X299" s="4">
        <v>510</v>
      </c>
      <c r="Y299" s="4">
        <v>6</v>
      </c>
      <c r="AA299" s="4" t="s">
        <v>49</v>
      </c>
      <c r="AB299" s="4">
        <v>0</v>
      </c>
      <c r="AC299" s="4" t="s">
        <v>49</v>
      </c>
      <c r="AD299" s="4">
        <v>0</v>
      </c>
      <c r="AE299" s="4" t="s">
        <v>49</v>
      </c>
      <c r="AF299" s="4">
        <v>0</v>
      </c>
      <c r="AG299" s="4" t="s">
        <v>714</v>
      </c>
      <c r="AH299" s="4" t="s">
        <v>681</v>
      </c>
      <c r="AI299" s="4" t="s">
        <v>64</v>
      </c>
      <c r="AJ299" s="13">
        <v>0</v>
      </c>
      <c r="AK299" s="13">
        <v>10</v>
      </c>
      <c r="AM299" s="13" t="s">
        <v>498</v>
      </c>
      <c r="AP299" s="13" t="s">
        <v>49</v>
      </c>
      <c r="AQ299" s="13" t="s">
        <v>49</v>
      </c>
      <c r="AR299" s="13" t="s">
        <v>49</v>
      </c>
      <c r="AS299" s="13" t="s">
        <v>49</v>
      </c>
      <c r="AT299" s="13" t="s">
        <v>990</v>
      </c>
      <c r="AU299" s="13" t="s">
        <v>998</v>
      </c>
      <c r="AV299" s="14">
        <f>21.2/1000</f>
        <v>2.12E-2</v>
      </c>
      <c r="AW299" s="14">
        <f>31.2/1000</f>
        <v>3.1199999999999999E-2</v>
      </c>
      <c r="AX299" s="14">
        <f>Table1347456[[#This Row],[treatment_mean]]/Table1347456[[#This Row],[control_mean]]</f>
        <v>0.67948717948717952</v>
      </c>
      <c r="AY299" s="14">
        <f>LN(Table1347456[[#This Row],[rr]])</f>
        <v>-0.38641691313746984</v>
      </c>
      <c r="AZ299" s="13">
        <v>18</v>
      </c>
      <c r="BA299" s="13">
        <v>18</v>
      </c>
      <c r="BB299" s="14">
        <f>2.3/1000</f>
        <v>2.3E-3</v>
      </c>
      <c r="BC299" s="14">
        <f>2.2/1000</f>
        <v>2.2000000000000001E-3</v>
      </c>
      <c r="BD299" s="15">
        <f>Table1347456[[#This Row],[treatment_se]]*SQRT(Table1347456[[#This Row],[treatment_n]])</f>
        <v>9.7580735803743553E-3</v>
      </c>
      <c r="BE299" s="14">
        <f>Table1347456[[#This Row],[control_se]]*SQRT(Table1347456[[#This Row],[control_n]])</f>
        <v>9.3338095116624279E-3</v>
      </c>
      <c r="BF29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1.6742260775861564E-2</v>
      </c>
      <c r="BG299" s="17">
        <f>SQRT(Table1347456[[#This Row],[v_from_sd_and_n]])</f>
        <v>0.12939188836964072</v>
      </c>
      <c r="BH299" s="13" t="s">
        <v>50</v>
      </c>
      <c r="BI299" s="13">
        <v>2.5000000000000001E-2</v>
      </c>
      <c r="BJ299" s="18">
        <f>ABS(_xlfn.NORM.S.INV(Table1347456[[#This Row],[p_value]]/2))</f>
        <v>2.2414027276049446</v>
      </c>
      <c r="BK299" s="19">
        <f>(Table1347456[[#This Row],[lnrr]]/Table1347456[[#This Row],[z_from_p]])^2</f>
        <v>2.9721618920371451E-2</v>
      </c>
      <c r="BL299" s="16">
        <f>Table1347456[[#This Row],[v_from_sd_and_n]]</f>
        <v>1.6742260775861564E-2</v>
      </c>
      <c r="BM299" s="20">
        <f>SQRT(Table1347456[[#This Row],[v]])</f>
        <v>0.12939188836964072</v>
      </c>
      <c r="BN299" s="20">
        <f>Table1347456[[#This Row],[lnrr]]-(1.96*Table1347456[[#This Row],[se]])</f>
        <v>-0.64002501434196568</v>
      </c>
      <c r="BO299" s="20">
        <f>Table1347456[[#This Row],[lnrr]]+(1.96 * Table1347456[[#This Row],[se]])</f>
        <v>-0.13280881193297406</v>
      </c>
    </row>
    <row r="300" spans="1:67">
      <c r="A300" s="13" t="s">
        <v>154</v>
      </c>
      <c r="B300" s="13" t="s">
        <v>155</v>
      </c>
      <c r="C300" s="13" t="s">
        <v>43</v>
      </c>
      <c r="D300" s="13" t="s">
        <v>156</v>
      </c>
      <c r="E300" s="13" t="s">
        <v>157</v>
      </c>
      <c r="F300" s="13" t="s">
        <v>585</v>
      </c>
      <c r="G300" s="13" t="s">
        <v>46</v>
      </c>
      <c r="H300" s="13">
        <v>13.3</v>
      </c>
      <c r="I300" s="13">
        <v>685.7</v>
      </c>
      <c r="K300" s="13" t="s">
        <v>837</v>
      </c>
      <c r="L300" s="13" t="s">
        <v>838</v>
      </c>
      <c r="N300" s="13" t="s">
        <v>615</v>
      </c>
      <c r="O300" s="13" t="s">
        <v>54</v>
      </c>
      <c r="P300" s="13" t="s">
        <v>85</v>
      </c>
      <c r="Q300" s="13" t="s">
        <v>48</v>
      </c>
      <c r="R300" s="4">
        <v>36</v>
      </c>
      <c r="S300" s="13" t="s">
        <v>594</v>
      </c>
      <c r="T300" s="13">
        <v>540</v>
      </c>
      <c r="U300" s="4" t="s">
        <v>158</v>
      </c>
      <c r="V300" s="4">
        <v>500</v>
      </c>
      <c r="W300" s="4" t="s">
        <v>601</v>
      </c>
      <c r="X300" s="4">
        <v>510</v>
      </c>
      <c r="Y300" s="4">
        <v>1</v>
      </c>
      <c r="AA300" s="4" t="s">
        <v>49</v>
      </c>
      <c r="AB300" s="4">
        <v>0</v>
      </c>
      <c r="AC300" s="4" t="s">
        <v>49</v>
      </c>
      <c r="AD300" s="4">
        <v>0</v>
      </c>
      <c r="AE300" s="4" t="s">
        <v>49</v>
      </c>
      <c r="AF300" s="4">
        <v>0</v>
      </c>
      <c r="AG300" s="4" t="s">
        <v>714</v>
      </c>
      <c r="AH300" s="4" t="s">
        <v>715</v>
      </c>
      <c r="AI300" s="4" t="s">
        <v>64</v>
      </c>
      <c r="AJ300" s="13">
        <v>0</v>
      </c>
      <c r="AK300" s="13">
        <v>10</v>
      </c>
      <c r="AM300" s="13" t="s">
        <v>498</v>
      </c>
      <c r="AP300" s="13" t="s">
        <v>49</v>
      </c>
      <c r="AQ300" s="13" t="s">
        <v>49</v>
      </c>
      <c r="AR300" s="13" t="s">
        <v>49</v>
      </c>
      <c r="AS300" s="13" t="s">
        <v>49</v>
      </c>
      <c r="AT300" s="13" t="s">
        <v>990</v>
      </c>
      <c r="AU300" s="13" t="s">
        <v>998</v>
      </c>
      <c r="AV300" s="14">
        <f>53.7/1000</f>
        <v>5.3700000000000005E-2</v>
      </c>
      <c r="AW300" s="14">
        <f>47.6/1000</f>
        <v>4.7600000000000003E-2</v>
      </c>
      <c r="AX300" s="14">
        <f>Table1347456[[#This Row],[treatment_mean]]/Table1347456[[#This Row],[control_mean]]</f>
        <v>1.1281512605042017</v>
      </c>
      <c r="AY300" s="14">
        <f>LN(Table1347456[[#This Row],[rr]])</f>
        <v>0.12058024027744467</v>
      </c>
      <c r="AZ300" s="13">
        <v>27</v>
      </c>
      <c r="BA300" s="13">
        <v>27</v>
      </c>
      <c r="BB300" s="14">
        <f t="shared" ref="BB300:BC302" si="16">0.01/1000</f>
        <v>1.0000000000000001E-5</v>
      </c>
      <c r="BC300" s="14">
        <f t="shared" si="16"/>
        <v>1.0000000000000001E-5</v>
      </c>
      <c r="BD300" s="15">
        <f>Table1347456[[#This Row],[treatment_se]]*SQRT(Table1347456[[#This Row],[treatment_n]])</f>
        <v>5.1961524227066324E-5</v>
      </c>
      <c r="BE300" s="14">
        <f>Table1347456[[#This Row],[control_se]]*SQRT(Table1347456[[#This Row],[control_n]])</f>
        <v>5.1961524227066324E-5</v>
      </c>
      <c r="BF30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7.8813092481411634E-8</v>
      </c>
      <c r="BG300" s="17">
        <f>SQRT(Table1347456[[#This Row],[v_from_sd_and_n]])</f>
        <v>2.8073669600073954E-4</v>
      </c>
      <c r="BH300" s="13" t="s">
        <v>50</v>
      </c>
      <c r="BI300" s="13">
        <v>2.5000000000000001E-2</v>
      </c>
      <c r="BJ300" s="18">
        <f>ABS(_xlfn.NORM.S.INV(Table1347456[[#This Row],[p_value]]/2))</f>
        <v>2.2414027276049446</v>
      </c>
      <c r="BK300" s="19">
        <f>(Table1347456[[#This Row],[lnrr]]/Table1347456[[#This Row],[z_from_p]])^2</f>
        <v>2.8940930990988992E-3</v>
      </c>
      <c r="BL300" s="16">
        <f>Table1347456[[#This Row],[v_from_sd_and_n]]</f>
        <v>7.8813092481411634E-8</v>
      </c>
      <c r="BM300" s="20">
        <f>SQRT(Table1347456[[#This Row],[v]])</f>
        <v>2.8073669600073954E-4</v>
      </c>
      <c r="BN300" s="20">
        <f>Table1347456[[#This Row],[lnrr]]-(1.96*Table1347456[[#This Row],[se]])</f>
        <v>0.12002999635328322</v>
      </c>
      <c r="BO300" s="20">
        <f>Table1347456[[#This Row],[lnrr]]+(1.96 * Table1347456[[#This Row],[se]])</f>
        <v>0.12113048420160612</v>
      </c>
    </row>
    <row r="301" spans="1:67">
      <c r="A301" s="13" t="s">
        <v>154</v>
      </c>
      <c r="B301" s="13" t="s">
        <v>155</v>
      </c>
      <c r="C301" s="13" t="s">
        <v>43</v>
      </c>
      <c r="D301" s="13" t="s">
        <v>156</v>
      </c>
      <c r="E301" s="13" t="s">
        <v>157</v>
      </c>
      <c r="F301" s="13" t="s">
        <v>585</v>
      </c>
      <c r="G301" s="13" t="s">
        <v>46</v>
      </c>
      <c r="H301" s="13">
        <v>13.3</v>
      </c>
      <c r="I301" s="13">
        <v>685.7</v>
      </c>
      <c r="K301" s="13" t="s">
        <v>837</v>
      </c>
      <c r="L301" s="13" t="s">
        <v>838</v>
      </c>
      <c r="N301" s="13" t="s">
        <v>615</v>
      </c>
      <c r="O301" s="13" t="s">
        <v>54</v>
      </c>
      <c r="P301" s="13" t="s">
        <v>85</v>
      </c>
      <c r="Q301" s="13" t="s">
        <v>48</v>
      </c>
      <c r="R301" s="4">
        <v>36</v>
      </c>
      <c r="S301" s="13" t="s">
        <v>594</v>
      </c>
      <c r="T301" s="13">
        <v>540</v>
      </c>
      <c r="U301" s="4" t="s">
        <v>158</v>
      </c>
      <c r="V301" s="4">
        <v>500</v>
      </c>
      <c r="W301" s="4" t="s">
        <v>601</v>
      </c>
      <c r="X301" s="4">
        <v>510</v>
      </c>
      <c r="Y301" s="4">
        <v>3</v>
      </c>
      <c r="AA301" s="4" t="s">
        <v>49</v>
      </c>
      <c r="AB301" s="4">
        <v>0</v>
      </c>
      <c r="AC301" s="4" t="s">
        <v>49</v>
      </c>
      <c r="AD301" s="4">
        <v>0</v>
      </c>
      <c r="AE301" s="4" t="s">
        <v>49</v>
      </c>
      <c r="AF301" s="4">
        <v>0</v>
      </c>
      <c r="AG301" s="4" t="s">
        <v>714</v>
      </c>
      <c r="AH301" s="4" t="s">
        <v>715</v>
      </c>
      <c r="AI301" s="4" t="s">
        <v>64</v>
      </c>
      <c r="AJ301" s="13">
        <v>0</v>
      </c>
      <c r="AK301" s="13">
        <v>10</v>
      </c>
      <c r="AM301" s="13" t="s">
        <v>498</v>
      </c>
      <c r="AP301" s="13" t="s">
        <v>49</v>
      </c>
      <c r="AQ301" s="13" t="s">
        <v>49</v>
      </c>
      <c r="AR301" s="13" t="s">
        <v>49</v>
      </c>
      <c r="AS301" s="13" t="s">
        <v>49</v>
      </c>
      <c r="AT301" s="13" t="s">
        <v>990</v>
      </c>
      <c r="AU301" s="13" t="s">
        <v>998</v>
      </c>
      <c r="AV301" s="14">
        <f>48.3/1000</f>
        <v>4.8299999999999996E-2</v>
      </c>
      <c r="AW301" s="14">
        <f>47.6/1000</f>
        <v>4.7600000000000003E-2</v>
      </c>
      <c r="AX301" s="14">
        <f>Table1347456[[#This Row],[treatment_mean]]/Table1347456[[#This Row],[control_mean]]</f>
        <v>1.0147058823529411</v>
      </c>
      <c r="AY301" s="14">
        <f>LN(Table1347456[[#This Row],[rr]])</f>
        <v>1.4598799421152631E-2</v>
      </c>
      <c r="AZ301" s="13">
        <v>27</v>
      </c>
      <c r="BA301" s="13">
        <v>27</v>
      </c>
      <c r="BB301" s="14">
        <f t="shared" si="16"/>
        <v>1.0000000000000001E-5</v>
      </c>
      <c r="BC301" s="14">
        <f t="shared" si="16"/>
        <v>1.0000000000000001E-5</v>
      </c>
      <c r="BD301" s="15">
        <f>Table1347456[[#This Row],[treatment_se]]*SQRT(Table1347456[[#This Row],[treatment_n]])</f>
        <v>5.1961524227066324E-5</v>
      </c>
      <c r="BE301" s="14">
        <f>Table1347456[[#This Row],[control_se]]*SQRT(Table1347456[[#This Row],[control_n]])</f>
        <v>5.1961524227066324E-5</v>
      </c>
      <c r="BF30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8.7000588441017842E-8</v>
      </c>
      <c r="BG301" s="17">
        <f>SQRT(Table1347456[[#This Row],[v_from_sd_and_n]])</f>
        <v>2.9495862157431139E-4</v>
      </c>
      <c r="BH301" s="13" t="s">
        <v>50</v>
      </c>
      <c r="BI301" s="13">
        <v>2.5000000000000001E-2</v>
      </c>
      <c r="BJ301" s="18">
        <f>ABS(_xlfn.NORM.S.INV(Table1347456[[#This Row],[p_value]]/2))</f>
        <v>2.2414027276049446</v>
      </c>
      <c r="BK301" s="19">
        <f>(Table1347456[[#This Row],[lnrr]]/Table1347456[[#This Row],[z_from_p]])^2</f>
        <v>4.2422327376201013E-5</v>
      </c>
      <c r="BL301" s="16">
        <f>Table1347456[[#This Row],[v_from_sd_and_n]]</f>
        <v>8.7000588441017842E-8</v>
      </c>
      <c r="BM301" s="20">
        <f>SQRT(Table1347456[[#This Row],[v]])</f>
        <v>2.9495862157431139E-4</v>
      </c>
      <c r="BN301" s="20">
        <f>Table1347456[[#This Row],[lnrr]]-(1.96*Table1347456[[#This Row],[se]])</f>
        <v>1.4020680522866981E-2</v>
      </c>
      <c r="BO301" s="20">
        <f>Table1347456[[#This Row],[lnrr]]+(1.96 * Table1347456[[#This Row],[se]])</f>
        <v>1.5176918319438281E-2</v>
      </c>
    </row>
    <row r="302" spans="1:67">
      <c r="A302" s="13" t="s">
        <v>154</v>
      </c>
      <c r="B302" s="13" t="s">
        <v>155</v>
      </c>
      <c r="C302" s="13" t="s">
        <v>43</v>
      </c>
      <c r="D302" s="13" t="s">
        <v>156</v>
      </c>
      <c r="E302" s="13" t="s">
        <v>157</v>
      </c>
      <c r="F302" s="13" t="s">
        <v>585</v>
      </c>
      <c r="G302" s="13" t="s">
        <v>46</v>
      </c>
      <c r="H302" s="13">
        <v>13.3</v>
      </c>
      <c r="I302" s="13">
        <v>685.7</v>
      </c>
      <c r="K302" s="13" t="s">
        <v>837</v>
      </c>
      <c r="L302" s="13" t="s">
        <v>838</v>
      </c>
      <c r="N302" s="13" t="s">
        <v>615</v>
      </c>
      <c r="O302" s="13" t="s">
        <v>54</v>
      </c>
      <c r="P302" s="13" t="s">
        <v>85</v>
      </c>
      <c r="Q302" s="13" t="s">
        <v>48</v>
      </c>
      <c r="R302" s="4">
        <v>36</v>
      </c>
      <c r="S302" s="13" t="s">
        <v>594</v>
      </c>
      <c r="T302" s="13">
        <v>540</v>
      </c>
      <c r="U302" s="4" t="s">
        <v>158</v>
      </c>
      <c r="V302" s="4">
        <v>500</v>
      </c>
      <c r="W302" s="4" t="s">
        <v>601</v>
      </c>
      <c r="X302" s="4">
        <v>510</v>
      </c>
      <c r="Y302" s="4">
        <v>6</v>
      </c>
      <c r="AA302" s="4" t="s">
        <v>49</v>
      </c>
      <c r="AB302" s="4">
        <v>0</v>
      </c>
      <c r="AC302" s="4" t="s">
        <v>49</v>
      </c>
      <c r="AD302" s="4">
        <v>0</v>
      </c>
      <c r="AE302" s="4" t="s">
        <v>49</v>
      </c>
      <c r="AF302" s="4">
        <v>0</v>
      </c>
      <c r="AG302" s="4" t="s">
        <v>714</v>
      </c>
      <c r="AH302" s="4" t="s">
        <v>715</v>
      </c>
      <c r="AI302" s="4" t="s">
        <v>64</v>
      </c>
      <c r="AJ302" s="13">
        <v>0</v>
      </c>
      <c r="AK302" s="13">
        <v>10</v>
      </c>
      <c r="AM302" s="13" t="s">
        <v>498</v>
      </c>
      <c r="AP302" s="13" t="s">
        <v>49</v>
      </c>
      <c r="AQ302" s="13" t="s">
        <v>49</v>
      </c>
      <c r="AR302" s="13" t="s">
        <v>49</v>
      </c>
      <c r="AS302" s="13" t="s">
        <v>49</v>
      </c>
      <c r="AT302" s="13" t="s">
        <v>990</v>
      </c>
      <c r="AU302" s="13" t="s">
        <v>998</v>
      </c>
      <c r="AV302" s="14">
        <f>58.4/1000</f>
        <v>5.8400000000000001E-2</v>
      </c>
      <c r="AW302" s="14">
        <f>47.6/1000</f>
        <v>4.7600000000000003E-2</v>
      </c>
      <c r="AX302" s="14">
        <f>Table1347456[[#This Row],[treatment_mean]]/Table1347456[[#This Row],[control_mean]]</f>
        <v>1.2268907563025209</v>
      </c>
      <c r="AY302" s="14">
        <f>LN(Table1347456[[#This Row],[rr]])</f>
        <v>0.20448312859680695</v>
      </c>
      <c r="AZ302" s="13">
        <v>27</v>
      </c>
      <c r="BA302" s="13">
        <v>27</v>
      </c>
      <c r="BB302" s="14">
        <f t="shared" si="16"/>
        <v>1.0000000000000001E-5</v>
      </c>
      <c r="BC302" s="14">
        <f t="shared" si="16"/>
        <v>1.0000000000000001E-5</v>
      </c>
      <c r="BD302" s="15">
        <f>Table1347456[[#This Row],[treatment_se]]*SQRT(Table1347456[[#This Row],[treatment_n]])</f>
        <v>5.1961524227066324E-5</v>
      </c>
      <c r="BE302" s="14">
        <f>Table1347456[[#This Row],[control_se]]*SQRT(Table1347456[[#This Row],[control_n]])</f>
        <v>5.1961524227066324E-5</v>
      </c>
      <c r="BF30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7.3455999246474838E-8</v>
      </c>
      <c r="BG302" s="17">
        <f>SQRT(Table1347456[[#This Row],[v_from_sd_and_n]])</f>
        <v>2.710276724736329E-4</v>
      </c>
      <c r="BH302" s="13" t="s">
        <v>50</v>
      </c>
      <c r="BI302" s="13">
        <v>2.5000000000000001E-2</v>
      </c>
      <c r="BJ302" s="18">
        <f>ABS(_xlfn.NORM.S.INV(Table1347456[[#This Row],[p_value]]/2))</f>
        <v>2.2414027276049446</v>
      </c>
      <c r="BK302" s="19">
        <f>(Table1347456[[#This Row],[lnrr]]/Table1347456[[#This Row],[z_from_p]])^2</f>
        <v>8.3229094612683203E-3</v>
      </c>
      <c r="BL302" s="16">
        <f>Table1347456[[#This Row],[v_from_sd_and_n]]</f>
        <v>7.3455999246474838E-8</v>
      </c>
      <c r="BM302" s="20">
        <f>SQRT(Table1347456[[#This Row],[v]])</f>
        <v>2.710276724736329E-4</v>
      </c>
      <c r="BN302" s="20">
        <f>Table1347456[[#This Row],[lnrr]]-(1.96*Table1347456[[#This Row],[se]])</f>
        <v>0.20395191435875862</v>
      </c>
      <c r="BO302" s="20">
        <f>Table1347456[[#This Row],[lnrr]]+(1.96 * Table1347456[[#This Row],[se]])</f>
        <v>0.20501434283485528</v>
      </c>
    </row>
    <row r="303" spans="1:67">
      <c r="A303" s="13" t="s">
        <v>154</v>
      </c>
      <c r="B303" s="13" t="s">
        <v>155</v>
      </c>
      <c r="C303" s="13" t="s">
        <v>43</v>
      </c>
      <c r="D303" s="13" t="s">
        <v>160</v>
      </c>
      <c r="E303" s="13" t="s">
        <v>157</v>
      </c>
      <c r="F303" s="13" t="s">
        <v>585</v>
      </c>
      <c r="G303" s="13" t="s">
        <v>46</v>
      </c>
      <c r="H303" s="13">
        <v>13.3</v>
      </c>
      <c r="I303" s="13">
        <v>685.7</v>
      </c>
      <c r="K303" s="13" t="s">
        <v>839</v>
      </c>
      <c r="L303" s="13" t="s">
        <v>840</v>
      </c>
      <c r="N303" s="13" t="s">
        <v>53</v>
      </c>
      <c r="O303" s="13" t="s">
        <v>54</v>
      </c>
      <c r="P303" s="13" t="s">
        <v>85</v>
      </c>
      <c r="Q303" s="13" t="s">
        <v>48</v>
      </c>
      <c r="R303" s="4">
        <v>36</v>
      </c>
      <c r="S303" s="13" t="s">
        <v>594</v>
      </c>
      <c r="T303" s="13">
        <v>540</v>
      </c>
      <c r="U303" s="4" t="s">
        <v>158</v>
      </c>
      <c r="V303" s="4">
        <v>500</v>
      </c>
      <c r="W303" s="4" t="s">
        <v>601</v>
      </c>
      <c r="X303" s="4">
        <v>510</v>
      </c>
      <c r="Y303" s="4">
        <v>1</v>
      </c>
      <c r="AA303" s="4" t="s">
        <v>49</v>
      </c>
      <c r="AB303" s="4">
        <v>0</v>
      </c>
      <c r="AC303" s="4" t="s">
        <v>49</v>
      </c>
      <c r="AD303" s="4">
        <v>0</v>
      </c>
      <c r="AE303" s="4" t="s">
        <v>49</v>
      </c>
      <c r="AF303" s="4">
        <v>0</v>
      </c>
      <c r="AG303" s="4" t="s">
        <v>714</v>
      </c>
      <c r="AH303" s="4" t="s">
        <v>716</v>
      </c>
      <c r="AI303" s="4" t="s">
        <v>64</v>
      </c>
      <c r="AJ303" s="13">
        <v>0</v>
      </c>
      <c r="AK303" s="13">
        <v>10</v>
      </c>
      <c r="AM303" s="13" t="s">
        <v>498</v>
      </c>
      <c r="AP303" s="13" t="s">
        <v>49</v>
      </c>
      <c r="AQ303" s="13" t="s">
        <v>49</v>
      </c>
      <c r="AR303" s="13" t="s">
        <v>49</v>
      </c>
      <c r="AS303" s="13" t="s">
        <v>49</v>
      </c>
      <c r="AT303" s="13" t="s">
        <v>990</v>
      </c>
      <c r="AU303" s="13" t="s">
        <v>998</v>
      </c>
      <c r="AV303" s="14">
        <f>5/1000</f>
        <v>5.0000000000000001E-3</v>
      </c>
      <c r="AW303" s="14">
        <f>4.1/1000</f>
        <v>4.0999999999999995E-3</v>
      </c>
      <c r="AX303" s="14">
        <f>Table1347456[[#This Row],[treatment_mean]]/Table1347456[[#This Row],[control_mean]]</f>
        <v>1.2195121951219514</v>
      </c>
      <c r="AY303" s="14">
        <f>LN(Table1347456[[#This Row],[rr]])</f>
        <v>0.19845093872383843</v>
      </c>
      <c r="AZ303" s="13">
        <v>18</v>
      </c>
      <c r="BA303" s="13">
        <v>18</v>
      </c>
      <c r="BB303" s="14">
        <f>0.8/1000</f>
        <v>8.0000000000000004E-4</v>
      </c>
      <c r="BC303" s="14">
        <f>0.5/1000</f>
        <v>5.0000000000000001E-4</v>
      </c>
      <c r="BD303" s="15">
        <f>Table1347456[[#This Row],[treatment_se]]*SQRT(Table1347456[[#This Row],[treatment_n]])</f>
        <v>3.394112549695428E-3</v>
      </c>
      <c r="BE303" s="14">
        <f>Table1347456[[#This Row],[control_se]]*SQRT(Table1347456[[#This Row],[control_n]])</f>
        <v>2.1213203435596424E-3</v>
      </c>
      <c r="BF30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4.0472099940511597E-2</v>
      </c>
      <c r="BG303" s="17">
        <f>SQRT(Table1347456[[#This Row],[v_from_sd_and_n]])</f>
        <v>0.20117678777759523</v>
      </c>
      <c r="BH303" s="13" t="s">
        <v>50</v>
      </c>
      <c r="BI303" s="13">
        <v>2.5000000000000001E-2</v>
      </c>
      <c r="BJ303" s="18">
        <f>ABS(_xlfn.NORM.S.INV(Table1347456[[#This Row],[p_value]]/2))</f>
        <v>2.2414027276049446</v>
      </c>
      <c r="BK303" s="19">
        <f>(Table1347456[[#This Row],[lnrr]]/Table1347456[[#This Row],[z_from_p]])^2</f>
        <v>7.8391057464264665E-3</v>
      </c>
      <c r="BL303" s="16">
        <f>Table1347456[[#This Row],[v_from_sd_and_n]]</f>
        <v>4.0472099940511597E-2</v>
      </c>
      <c r="BM303" s="20">
        <f>SQRT(Table1347456[[#This Row],[v]])</f>
        <v>0.20117678777759523</v>
      </c>
      <c r="BN303" s="20">
        <f>Table1347456[[#This Row],[lnrr]]-(1.96*Table1347456[[#This Row],[se]])</f>
        <v>-0.1958555653202482</v>
      </c>
      <c r="BO303" s="20">
        <f>Table1347456[[#This Row],[lnrr]]+(1.96 * Table1347456[[#This Row],[se]])</f>
        <v>0.59275744276792508</v>
      </c>
    </row>
    <row r="304" spans="1:67">
      <c r="A304" s="13" t="s">
        <v>154</v>
      </c>
      <c r="B304" s="13" t="s">
        <v>155</v>
      </c>
      <c r="C304" s="13" t="s">
        <v>43</v>
      </c>
      <c r="D304" s="13" t="s">
        <v>160</v>
      </c>
      <c r="E304" s="13" t="s">
        <v>157</v>
      </c>
      <c r="F304" s="13" t="s">
        <v>585</v>
      </c>
      <c r="G304" s="13" t="s">
        <v>46</v>
      </c>
      <c r="H304" s="13">
        <v>13.3</v>
      </c>
      <c r="I304" s="13">
        <v>685.7</v>
      </c>
      <c r="K304" s="13" t="s">
        <v>839</v>
      </c>
      <c r="L304" s="13" t="s">
        <v>840</v>
      </c>
      <c r="N304" s="13" t="s">
        <v>53</v>
      </c>
      <c r="O304" s="13" t="s">
        <v>54</v>
      </c>
      <c r="P304" s="13" t="s">
        <v>85</v>
      </c>
      <c r="Q304" s="13" t="s">
        <v>48</v>
      </c>
      <c r="R304" s="4">
        <v>36</v>
      </c>
      <c r="S304" s="13" t="s">
        <v>594</v>
      </c>
      <c r="T304" s="13">
        <v>540</v>
      </c>
      <c r="U304" s="4" t="s">
        <v>158</v>
      </c>
      <c r="V304" s="4">
        <v>500</v>
      </c>
      <c r="W304" s="4" t="s">
        <v>601</v>
      </c>
      <c r="X304" s="4">
        <v>510</v>
      </c>
      <c r="Y304" s="4">
        <v>3</v>
      </c>
      <c r="AA304" s="4" t="s">
        <v>49</v>
      </c>
      <c r="AB304" s="4">
        <v>0</v>
      </c>
      <c r="AC304" s="4" t="s">
        <v>49</v>
      </c>
      <c r="AD304" s="4">
        <v>0</v>
      </c>
      <c r="AE304" s="4" t="s">
        <v>49</v>
      </c>
      <c r="AF304" s="4">
        <v>0</v>
      </c>
      <c r="AG304" s="4" t="s">
        <v>714</v>
      </c>
      <c r="AH304" s="4" t="s">
        <v>716</v>
      </c>
      <c r="AI304" s="4" t="s">
        <v>64</v>
      </c>
      <c r="AJ304" s="13">
        <v>0</v>
      </c>
      <c r="AK304" s="13">
        <v>10</v>
      </c>
      <c r="AM304" s="13" t="s">
        <v>498</v>
      </c>
      <c r="AP304" s="13" t="s">
        <v>49</v>
      </c>
      <c r="AQ304" s="13" t="s">
        <v>49</v>
      </c>
      <c r="AR304" s="13" t="s">
        <v>49</v>
      </c>
      <c r="AS304" s="13" t="s">
        <v>49</v>
      </c>
      <c r="AT304" s="13" t="s">
        <v>990</v>
      </c>
      <c r="AU304" s="13" t="s">
        <v>998</v>
      </c>
      <c r="AV304" s="14">
        <f>4.5/1000</f>
        <v>4.4999999999999997E-3</v>
      </c>
      <c r="AW304" s="14">
        <f>4.1/1000</f>
        <v>4.0999999999999995E-3</v>
      </c>
      <c r="AX304" s="14">
        <f>Table1347456[[#This Row],[treatment_mean]]/Table1347456[[#This Row],[control_mean]]</f>
        <v>1.0975609756097562</v>
      </c>
      <c r="AY304" s="14">
        <f>LN(Table1347456[[#This Row],[rr]])</f>
        <v>9.3090423066012035E-2</v>
      </c>
      <c r="AZ304" s="13">
        <v>18</v>
      </c>
      <c r="BA304" s="13">
        <v>18</v>
      </c>
      <c r="BB304" s="14">
        <f>0.6/1000</f>
        <v>5.9999999999999995E-4</v>
      </c>
      <c r="BC304" s="14">
        <f>0.5/1000</f>
        <v>5.0000000000000001E-4</v>
      </c>
      <c r="BD304" s="15">
        <f>Table1347456[[#This Row],[treatment_se]]*SQRT(Table1347456[[#This Row],[treatment_n]])</f>
        <v>2.5455844122715707E-3</v>
      </c>
      <c r="BE304" s="14">
        <f>Table1347456[[#This Row],[control_se]]*SQRT(Table1347456[[#This Row],[control_n]])</f>
        <v>2.1213203435596424E-3</v>
      </c>
      <c r="BF30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3.2649877718289373E-2</v>
      </c>
      <c r="BG304" s="17">
        <f>SQRT(Table1347456[[#This Row],[v_from_sd_and_n]])</f>
        <v>0.18069277162711678</v>
      </c>
      <c r="BH304" s="13" t="s">
        <v>50</v>
      </c>
      <c r="BI304" s="13">
        <v>2.5000000000000001E-2</v>
      </c>
      <c r="BJ304" s="18">
        <f>ABS(_xlfn.NORM.S.INV(Table1347456[[#This Row],[p_value]]/2))</f>
        <v>2.2414027276049446</v>
      </c>
      <c r="BK304" s="19">
        <f>(Table1347456[[#This Row],[lnrr]]/Table1347456[[#This Row],[z_from_p]])^2</f>
        <v>1.7249249970053015E-3</v>
      </c>
      <c r="BL304" s="16">
        <f>Table1347456[[#This Row],[v_from_sd_and_n]]</f>
        <v>3.2649877718289373E-2</v>
      </c>
      <c r="BM304" s="20">
        <f>SQRT(Table1347456[[#This Row],[v]])</f>
        <v>0.18069277162711678</v>
      </c>
      <c r="BN304" s="20">
        <f>Table1347456[[#This Row],[lnrr]]-(1.96*Table1347456[[#This Row],[se]])</f>
        <v>-0.26106740932313688</v>
      </c>
      <c r="BO304" s="20">
        <f>Table1347456[[#This Row],[lnrr]]+(1.96 * Table1347456[[#This Row],[se]])</f>
        <v>0.44724825545516089</v>
      </c>
    </row>
    <row r="305" spans="1:67">
      <c r="A305" s="13" t="s">
        <v>154</v>
      </c>
      <c r="B305" s="13" t="s">
        <v>155</v>
      </c>
      <c r="C305" s="13" t="s">
        <v>43</v>
      </c>
      <c r="D305" s="13" t="s">
        <v>160</v>
      </c>
      <c r="E305" s="13" t="s">
        <v>157</v>
      </c>
      <c r="F305" s="13" t="s">
        <v>585</v>
      </c>
      <c r="G305" s="13" t="s">
        <v>46</v>
      </c>
      <c r="H305" s="13">
        <v>13.3</v>
      </c>
      <c r="I305" s="13">
        <v>685.7</v>
      </c>
      <c r="K305" s="13" t="s">
        <v>839</v>
      </c>
      <c r="L305" s="13" t="s">
        <v>840</v>
      </c>
      <c r="N305" s="13" t="s">
        <v>53</v>
      </c>
      <c r="O305" s="13" t="s">
        <v>54</v>
      </c>
      <c r="P305" s="13" t="s">
        <v>85</v>
      </c>
      <c r="Q305" s="13" t="s">
        <v>48</v>
      </c>
      <c r="R305" s="4">
        <v>36</v>
      </c>
      <c r="S305" s="13" t="s">
        <v>594</v>
      </c>
      <c r="T305" s="13">
        <v>540</v>
      </c>
      <c r="U305" s="4" t="s">
        <v>158</v>
      </c>
      <c r="V305" s="4">
        <v>500</v>
      </c>
      <c r="W305" s="4" t="s">
        <v>601</v>
      </c>
      <c r="X305" s="4">
        <v>510</v>
      </c>
      <c r="Y305" s="4">
        <v>6</v>
      </c>
      <c r="AA305" s="4" t="s">
        <v>49</v>
      </c>
      <c r="AB305" s="4">
        <v>0</v>
      </c>
      <c r="AC305" s="4" t="s">
        <v>49</v>
      </c>
      <c r="AD305" s="4">
        <v>0</v>
      </c>
      <c r="AE305" s="4" t="s">
        <v>49</v>
      </c>
      <c r="AF305" s="4">
        <v>0</v>
      </c>
      <c r="AG305" s="4" t="s">
        <v>714</v>
      </c>
      <c r="AH305" s="4" t="s">
        <v>716</v>
      </c>
      <c r="AI305" s="4" t="s">
        <v>64</v>
      </c>
      <c r="AJ305" s="13">
        <v>0</v>
      </c>
      <c r="AK305" s="13">
        <v>10</v>
      </c>
      <c r="AM305" s="13" t="s">
        <v>498</v>
      </c>
      <c r="AP305" s="13" t="s">
        <v>49</v>
      </c>
      <c r="AQ305" s="13" t="s">
        <v>49</v>
      </c>
      <c r="AR305" s="13" t="s">
        <v>49</v>
      </c>
      <c r="AS305" s="13" t="s">
        <v>49</v>
      </c>
      <c r="AT305" s="13" t="s">
        <v>990</v>
      </c>
      <c r="AU305" s="13" t="s">
        <v>998</v>
      </c>
      <c r="AV305" s="14">
        <f>4.6/1000</f>
        <v>4.5999999999999999E-3</v>
      </c>
      <c r="AW305" s="14">
        <f>4.1/1000</f>
        <v>4.0999999999999995E-3</v>
      </c>
      <c r="AX305" s="14">
        <f>Table1347456[[#This Row],[treatment_mean]]/Table1347456[[#This Row],[control_mean]]</f>
        <v>1.1219512195121952</v>
      </c>
      <c r="AY305" s="14">
        <f>LN(Table1347456[[#This Row],[rr]])</f>
        <v>0.11506932978478729</v>
      </c>
      <c r="AZ305" s="13">
        <v>18</v>
      </c>
      <c r="BA305" s="13">
        <v>18</v>
      </c>
      <c r="BB305" s="14">
        <f>0.6/1000</f>
        <v>5.9999999999999995E-4</v>
      </c>
      <c r="BC305" s="14">
        <f>0.5/1000</f>
        <v>5.0000000000000001E-4</v>
      </c>
      <c r="BD305" s="15">
        <f>Table1347456[[#This Row],[treatment_se]]*SQRT(Table1347456[[#This Row],[treatment_n]])</f>
        <v>2.5455844122715707E-3</v>
      </c>
      <c r="BE305" s="14">
        <f>Table1347456[[#This Row],[control_se]]*SQRT(Table1347456[[#This Row],[control_n]])</f>
        <v>2.1213203435596424E-3</v>
      </c>
      <c r="BF30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3.1885332454689289E-2</v>
      </c>
      <c r="BG305" s="17">
        <f>SQRT(Table1347456[[#This Row],[v_from_sd_and_n]])</f>
        <v>0.17856464502999828</v>
      </c>
      <c r="BH305" s="13" t="s">
        <v>50</v>
      </c>
      <c r="BI305" s="13">
        <v>2.5000000000000001E-2</v>
      </c>
      <c r="BJ305" s="18">
        <f>ABS(_xlfn.NORM.S.INV(Table1347456[[#This Row],[p_value]]/2))</f>
        <v>2.2414027276049446</v>
      </c>
      <c r="BK305" s="19">
        <f>(Table1347456[[#This Row],[lnrr]]/Table1347456[[#This Row],[z_from_p]])^2</f>
        <v>2.6355992479592813E-3</v>
      </c>
      <c r="BL305" s="16">
        <f>Table1347456[[#This Row],[v_from_sd_and_n]]</f>
        <v>3.1885332454689289E-2</v>
      </c>
      <c r="BM305" s="20">
        <f>SQRT(Table1347456[[#This Row],[v]])</f>
        <v>0.17856464502999828</v>
      </c>
      <c r="BN305" s="20">
        <f>Table1347456[[#This Row],[lnrr]]-(1.96*Table1347456[[#This Row],[se]])</f>
        <v>-0.23491737447400934</v>
      </c>
      <c r="BO305" s="20">
        <f>Table1347456[[#This Row],[lnrr]]+(1.96 * Table1347456[[#This Row],[se]])</f>
        <v>0.46505603404358392</v>
      </c>
    </row>
    <row r="306" spans="1:67">
      <c r="A306" s="13" t="s">
        <v>154</v>
      </c>
      <c r="B306" s="13" t="s">
        <v>155</v>
      </c>
      <c r="C306" s="13" t="s">
        <v>43</v>
      </c>
      <c r="D306" s="13" t="s">
        <v>159</v>
      </c>
      <c r="E306" s="13" t="s">
        <v>157</v>
      </c>
      <c r="F306" s="13" t="s">
        <v>585</v>
      </c>
      <c r="G306" s="13" t="s">
        <v>46</v>
      </c>
      <c r="H306" s="13">
        <v>13.3</v>
      </c>
      <c r="I306" s="13">
        <v>685.7</v>
      </c>
      <c r="K306" s="13" t="s">
        <v>837</v>
      </c>
      <c r="L306" s="13" t="s">
        <v>838</v>
      </c>
      <c r="N306" s="13" t="s">
        <v>53</v>
      </c>
      <c r="O306" s="13" t="s">
        <v>54</v>
      </c>
      <c r="P306" s="13" t="s">
        <v>85</v>
      </c>
      <c r="Q306" s="13" t="s">
        <v>48</v>
      </c>
      <c r="R306" s="4">
        <v>36</v>
      </c>
      <c r="S306" s="13" t="s">
        <v>594</v>
      </c>
      <c r="T306" s="13">
        <v>540</v>
      </c>
      <c r="U306" s="4" t="s">
        <v>158</v>
      </c>
      <c r="V306" s="4">
        <v>500</v>
      </c>
      <c r="W306" s="4" t="s">
        <v>601</v>
      </c>
      <c r="X306" s="4">
        <v>510</v>
      </c>
      <c r="Y306" s="4">
        <v>1</v>
      </c>
      <c r="AA306" s="4" t="s">
        <v>49</v>
      </c>
      <c r="AB306" s="4">
        <v>0</v>
      </c>
      <c r="AC306" s="4" t="s">
        <v>49</v>
      </c>
      <c r="AD306" s="4">
        <v>0</v>
      </c>
      <c r="AE306" s="4" t="s">
        <v>49</v>
      </c>
      <c r="AF306" s="4">
        <v>0</v>
      </c>
      <c r="AG306" s="4" t="s">
        <v>714</v>
      </c>
      <c r="AH306" s="4" t="s">
        <v>681</v>
      </c>
      <c r="AI306" s="4" t="s">
        <v>64</v>
      </c>
      <c r="AJ306" s="13">
        <v>0</v>
      </c>
      <c r="AK306" s="13">
        <v>10</v>
      </c>
      <c r="AM306" s="13" t="s">
        <v>498</v>
      </c>
      <c r="AP306" s="13" t="s">
        <v>49</v>
      </c>
      <c r="AQ306" s="13" t="s">
        <v>49</v>
      </c>
      <c r="AR306" s="13" t="s">
        <v>49</v>
      </c>
      <c r="AS306" s="13" t="s">
        <v>49</v>
      </c>
      <c r="AT306" s="13" t="s">
        <v>990</v>
      </c>
      <c r="AU306" s="13" t="s">
        <v>998</v>
      </c>
      <c r="AV306" s="14">
        <f>15/1000</f>
        <v>1.4999999999999999E-2</v>
      </c>
      <c r="AW306" s="14">
        <f>15.6/1000</f>
        <v>1.5599999999999999E-2</v>
      </c>
      <c r="AX306" s="14">
        <f>Table1347456[[#This Row],[treatment_mean]]/Table1347456[[#This Row],[control_mean]]</f>
        <v>0.96153846153846156</v>
      </c>
      <c r="AY306" s="14">
        <f>LN(Table1347456[[#This Row],[rr]])</f>
        <v>-3.9220713153281267E-2</v>
      </c>
      <c r="AZ306" s="13">
        <v>18</v>
      </c>
      <c r="BA306" s="13">
        <v>18</v>
      </c>
      <c r="BB306" s="14">
        <f>1.6/1000</f>
        <v>1.6000000000000001E-3</v>
      </c>
      <c r="BC306" s="14">
        <f>1.5/1000</f>
        <v>1.5E-3</v>
      </c>
      <c r="BD306" s="15">
        <f>Table1347456[[#This Row],[treatment_se]]*SQRT(Table1347456[[#This Row],[treatment_n]])</f>
        <v>6.788225099390856E-3</v>
      </c>
      <c r="BE306" s="14">
        <f>Table1347456[[#This Row],[control_se]]*SQRT(Table1347456[[#This Row],[control_n]])</f>
        <v>6.3639610306789269E-3</v>
      </c>
      <c r="BF30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2.0623339907955292E-2</v>
      </c>
      <c r="BG306" s="17">
        <f>SQRT(Table1347456[[#This Row],[v_from_sd_and_n]])</f>
        <v>0.14360828634850878</v>
      </c>
      <c r="BH306" s="13" t="s">
        <v>50</v>
      </c>
      <c r="BI306" s="13">
        <v>2.5000000000000001E-2</v>
      </c>
      <c r="BJ306" s="18">
        <f>ABS(_xlfn.NORM.S.INV(Table1347456[[#This Row],[p_value]]/2))</f>
        <v>2.2414027276049446</v>
      </c>
      <c r="BK306" s="19">
        <f>(Table1347456[[#This Row],[lnrr]]/Table1347456[[#This Row],[z_from_p]])^2</f>
        <v>3.0619012511390629E-4</v>
      </c>
      <c r="BL306" s="16">
        <f>Table1347456[[#This Row],[v_from_sd_and_n]]</f>
        <v>2.0623339907955292E-2</v>
      </c>
      <c r="BM306" s="20">
        <f>SQRT(Table1347456[[#This Row],[v]])</f>
        <v>0.14360828634850878</v>
      </c>
      <c r="BN306" s="20">
        <f>Table1347456[[#This Row],[lnrr]]-(1.96*Table1347456[[#This Row],[se]])</f>
        <v>-0.32069295439635848</v>
      </c>
      <c r="BO306" s="20">
        <f>Table1347456[[#This Row],[lnrr]]+(1.96 * Table1347456[[#This Row],[se]])</f>
        <v>0.24225152808979591</v>
      </c>
    </row>
    <row r="307" spans="1:67">
      <c r="A307" s="13" t="s">
        <v>154</v>
      </c>
      <c r="B307" s="13" t="s">
        <v>155</v>
      </c>
      <c r="C307" s="13" t="s">
        <v>43</v>
      </c>
      <c r="D307" s="13" t="s">
        <v>159</v>
      </c>
      <c r="E307" s="13" t="s">
        <v>157</v>
      </c>
      <c r="F307" s="13" t="s">
        <v>585</v>
      </c>
      <c r="G307" s="13" t="s">
        <v>46</v>
      </c>
      <c r="H307" s="13">
        <v>13.3</v>
      </c>
      <c r="I307" s="13">
        <v>685.7</v>
      </c>
      <c r="K307" s="13" t="s">
        <v>837</v>
      </c>
      <c r="L307" s="13" t="s">
        <v>838</v>
      </c>
      <c r="N307" s="13" t="s">
        <v>53</v>
      </c>
      <c r="O307" s="13" t="s">
        <v>54</v>
      </c>
      <c r="P307" s="13" t="s">
        <v>85</v>
      </c>
      <c r="Q307" s="13" t="s">
        <v>48</v>
      </c>
      <c r="R307" s="4">
        <v>36</v>
      </c>
      <c r="S307" s="13" t="s">
        <v>594</v>
      </c>
      <c r="T307" s="13">
        <v>540</v>
      </c>
      <c r="U307" s="4" t="s">
        <v>158</v>
      </c>
      <c r="V307" s="4">
        <v>500</v>
      </c>
      <c r="W307" s="4" t="s">
        <v>601</v>
      </c>
      <c r="X307" s="4">
        <v>510</v>
      </c>
      <c r="Y307" s="4">
        <v>3</v>
      </c>
      <c r="AA307" s="4" t="s">
        <v>49</v>
      </c>
      <c r="AB307" s="4">
        <v>0</v>
      </c>
      <c r="AC307" s="4" t="s">
        <v>49</v>
      </c>
      <c r="AD307" s="4">
        <v>0</v>
      </c>
      <c r="AE307" s="4" t="s">
        <v>49</v>
      </c>
      <c r="AF307" s="4">
        <v>0</v>
      </c>
      <c r="AG307" s="4" t="s">
        <v>714</v>
      </c>
      <c r="AH307" s="4" t="s">
        <v>681</v>
      </c>
      <c r="AI307" s="4" t="s">
        <v>64</v>
      </c>
      <c r="AJ307" s="13">
        <v>0</v>
      </c>
      <c r="AK307" s="13">
        <v>10</v>
      </c>
      <c r="AM307" s="13" t="s">
        <v>498</v>
      </c>
      <c r="AP307" s="13" t="s">
        <v>49</v>
      </c>
      <c r="AQ307" s="13" t="s">
        <v>49</v>
      </c>
      <c r="AR307" s="13" t="s">
        <v>49</v>
      </c>
      <c r="AS307" s="13" t="s">
        <v>49</v>
      </c>
      <c r="AT307" s="13" t="s">
        <v>990</v>
      </c>
      <c r="AU307" s="13" t="s">
        <v>998</v>
      </c>
      <c r="AV307" s="14">
        <f>17.7/1000</f>
        <v>1.77E-2</v>
      </c>
      <c r="AW307" s="14">
        <f>15.6/1000</f>
        <v>1.5599999999999999E-2</v>
      </c>
      <c r="AX307" s="14">
        <f>Table1347456[[#This Row],[treatment_mean]]/Table1347456[[#This Row],[control_mean]]</f>
        <v>1.1346153846153848</v>
      </c>
      <c r="AY307" s="14">
        <f>LN(Table1347456[[#This Row],[rr]])</f>
        <v>0.12629372532429226</v>
      </c>
      <c r="AZ307" s="13">
        <v>18</v>
      </c>
      <c r="BA307" s="13">
        <v>18</v>
      </c>
      <c r="BB307" s="14">
        <f>2.2/1000</f>
        <v>2.2000000000000001E-3</v>
      </c>
      <c r="BC307" s="14">
        <f>1.5/1000</f>
        <v>1.5E-3</v>
      </c>
      <c r="BD307" s="15">
        <f>Table1347456[[#This Row],[treatment_se]]*SQRT(Table1347456[[#This Row],[treatment_n]])</f>
        <v>9.3338095116624279E-3</v>
      </c>
      <c r="BE307" s="14">
        <f>Table1347456[[#This Row],[control_se]]*SQRT(Table1347456[[#This Row],[control_n]])</f>
        <v>6.3639610306789269E-3</v>
      </c>
      <c r="BF30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2.4694507197048465E-2</v>
      </c>
      <c r="BG307" s="17">
        <f>SQRT(Table1347456[[#This Row],[v_from_sd_and_n]])</f>
        <v>0.15714486054926666</v>
      </c>
      <c r="BH307" s="13" t="s">
        <v>50</v>
      </c>
      <c r="BI307" s="13">
        <v>2.5000000000000001E-2</v>
      </c>
      <c r="BJ307" s="18">
        <f>ABS(_xlfn.NORM.S.INV(Table1347456[[#This Row],[p_value]]/2))</f>
        <v>2.2414027276049446</v>
      </c>
      <c r="BK307" s="19">
        <f>(Table1347456[[#This Row],[lnrr]]/Table1347456[[#This Row],[z_from_p]])^2</f>
        <v>3.1748539798853652E-3</v>
      </c>
      <c r="BL307" s="16">
        <f>Table1347456[[#This Row],[v_from_sd_and_n]]</f>
        <v>2.4694507197048465E-2</v>
      </c>
      <c r="BM307" s="20">
        <f>SQRT(Table1347456[[#This Row],[v]])</f>
        <v>0.15714486054926666</v>
      </c>
      <c r="BN307" s="20">
        <f>Table1347456[[#This Row],[lnrr]]-(1.96*Table1347456[[#This Row],[se]])</f>
        <v>-0.18171020135227037</v>
      </c>
      <c r="BO307" s="20">
        <f>Table1347456[[#This Row],[lnrr]]+(1.96 * Table1347456[[#This Row],[se]])</f>
        <v>0.43429765200085491</v>
      </c>
    </row>
    <row r="308" spans="1:67">
      <c r="A308" s="13" t="s">
        <v>154</v>
      </c>
      <c r="B308" s="13" t="s">
        <v>155</v>
      </c>
      <c r="C308" s="13" t="s">
        <v>43</v>
      </c>
      <c r="D308" s="13" t="s">
        <v>159</v>
      </c>
      <c r="E308" s="13" t="s">
        <v>157</v>
      </c>
      <c r="F308" s="13" t="s">
        <v>585</v>
      </c>
      <c r="G308" s="13" t="s">
        <v>46</v>
      </c>
      <c r="H308" s="13">
        <v>13.3</v>
      </c>
      <c r="I308" s="13">
        <v>685.7</v>
      </c>
      <c r="K308" s="13" t="s">
        <v>837</v>
      </c>
      <c r="L308" s="13" t="s">
        <v>838</v>
      </c>
      <c r="N308" s="13" t="s">
        <v>53</v>
      </c>
      <c r="O308" s="13" t="s">
        <v>54</v>
      </c>
      <c r="P308" s="13" t="s">
        <v>85</v>
      </c>
      <c r="Q308" s="13" t="s">
        <v>48</v>
      </c>
      <c r="R308" s="4">
        <v>36</v>
      </c>
      <c r="S308" s="13" t="s">
        <v>594</v>
      </c>
      <c r="T308" s="13">
        <v>540</v>
      </c>
      <c r="U308" s="4" t="s">
        <v>158</v>
      </c>
      <c r="V308" s="4">
        <v>500</v>
      </c>
      <c r="W308" s="4" t="s">
        <v>601</v>
      </c>
      <c r="X308" s="4">
        <v>510</v>
      </c>
      <c r="Y308" s="4">
        <v>6</v>
      </c>
      <c r="AA308" s="4" t="s">
        <v>49</v>
      </c>
      <c r="AB308" s="4">
        <v>0</v>
      </c>
      <c r="AC308" s="4" t="s">
        <v>49</v>
      </c>
      <c r="AD308" s="4">
        <v>0</v>
      </c>
      <c r="AE308" s="4" t="s">
        <v>49</v>
      </c>
      <c r="AF308" s="4">
        <v>0</v>
      </c>
      <c r="AG308" s="4" t="s">
        <v>714</v>
      </c>
      <c r="AH308" s="4" t="s">
        <v>681</v>
      </c>
      <c r="AI308" s="4" t="s">
        <v>64</v>
      </c>
      <c r="AJ308" s="13">
        <v>0</v>
      </c>
      <c r="AK308" s="13">
        <v>10</v>
      </c>
      <c r="AM308" s="13" t="s">
        <v>498</v>
      </c>
      <c r="AP308" s="13" t="s">
        <v>49</v>
      </c>
      <c r="AQ308" s="13" t="s">
        <v>49</v>
      </c>
      <c r="AR308" s="13" t="s">
        <v>49</v>
      </c>
      <c r="AS308" s="13" t="s">
        <v>49</v>
      </c>
      <c r="AT308" s="13" t="s">
        <v>990</v>
      </c>
      <c r="AU308" s="13" t="s">
        <v>998</v>
      </c>
      <c r="AV308" s="14">
        <f>21.2/1000</f>
        <v>2.12E-2</v>
      </c>
      <c r="AW308" s="14">
        <f>15.6/1000</f>
        <v>1.5599999999999999E-2</v>
      </c>
      <c r="AX308" s="14">
        <f>Table1347456[[#This Row],[treatment_mean]]/Table1347456[[#This Row],[control_mean]]</f>
        <v>1.358974358974359</v>
      </c>
      <c r="AY308" s="14">
        <f>LN(Table1347456[[#This Row],[rr]])</f>
        <v>0.30673026742247544</v>
      </c>
      <c r="AZ308" s="13">
        <v>18</v>
      </c>
      <c r="BA308" s="13">
        <v>18</v>
      </c>
      <c r="BB308" s="14">
        <f>1.8/1000</f>
        <v>1.8E-3</v>
      </c>
      <c r="BC308" s="14">
        <f>1.5/1000</f>
        <v>1.5E-3</v>
      </c>
      <c r="BD308" s="15">
        <f>Table1347456[[#This Row],[treatment_se]]*SQRT(Table1347456[[#This Row],[treatment_n]])</f>
        <v>7.6367532368147124E-3</v>
      </c>
      <c r="BE308" s="14">
        <f>Table1347456[[#This Row],[control_se]]*SQRT(Table1347456[[#This Row],[control_n]])</f>
        <v>6.3639610306789269E-3</v>
      </c>
      <c r="BF30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1.6454533294292854E-2</v>
      </c>
      <c r="BG308" s="17">
        <f>SQRT(Table1347456[[#This Row],[v_from_sd_and_n]])</f>
        <v>0.12827522478753586</v>
      </c>
      <c r="BH308" s="13" t="s">
        <v>50</v>
      </c>
      <c r="BI308" s="13">
        <v>2.5000000000000001E-2</v>
      </c>
      <c r="BJ308" s="18">
        <f>ABS(_xlfn.NORM.S.INV(Table1347456[[#This Row],[p_value]]/2))</f>
        <v>2.2414027276049446</v>
      </c>
      <c r="BK308" s="19">
        <f>(Table1347456[[#This Row],[lnrr]]/Table1347456[[#This Row],[z_from_p]])^2</f>
        <v>1.872722698030467E-2</v>
      </c>
      <c r="BL308" s="16">
        <f>Table1347456[[#This Row],[v_from_sd_and_n]]</f>
        <v>1.6454533294292854E-2</v>
      </c>
      <c r="BM308" s="20">
        <f>SQRT(Table1347456[[#This Row],[v]])</f>
        <v>0.12827522478753586</v>
      </c>
      <c r="BN308" s="20">
        <f>Table1347456[[#This Row],[lnrr]]-(1.96*Table1347456[[#This Row],[se]])</f>
        <v>5.5310826838905147E-2</v>
      </c>
      <c r="BO308" s="20">
        <f>Table1347456[[#This Row],[lnrr]]+(1.96 * Table1347456[[#This Row],[se]])</f>
        <v>0.5581497080060458</v>
      </c>
    </row>
    <row r="309" spans="1:67">
      <c r="A309" s="13" t="s">
        <v>154</v>
      </c>
      <c r="B309" s="13" t="s">
        <v>155</v>
      </c>
      <c r="C309" s="13" t="s">
        <v>43</v>
      </c>
      <c r="D309" s="13" t="s">
        <v>156</v>
      </c>
      <c r="E309" s="13" t="s">
        <v>157</v>
      </c>
      <c r="F309" s="13" t="s">
        <v>585</v>
      </c>
      <c r="G309" s="13" t="s">
        <v>46</v>
      </c>
      <c r="H309" s="13">
        <v>13.3</v>
      </c>
      <c r="I309" s="13">
        <v>685.7</v>
      </c>
      <c r="K309" s="13" t="s">
        <v>837</v>
      </c>
      <c r="L309" s="13" t="s">
        <v>838</v>
      </c>
      <c r="N309" s="13" t="s">
        <v>53</v>
      </c>
      <c r="O309" s="13" t="s">
        <v>54</v>
      </c>
      <c r="P309" s="13" t="s">
        <v>85</v>
      </c>
      <c r="Q309" s="13" t="s">
        <v>48</v>
      </c>
      <c r="R309" s="4">
        <v>36</v>
      </c>
      <c r="S309" s="13" t="s">
        <v>594</v>
      </c>
      <c r="T309" s="13">
        <v>540</v>
      </c>
      <c r="U309" s="4" t="s">
        <v>158</v>
      </c>
      <c r="V309" s="4">
        <v>500</v>
      </c>
      <c r="W309" s="4" t="s">
        <v>601</v>
      </c>
      <c r="X309" s="4">
        <v>510</v>
      </c>
      <c r="Y309" s="4">
        <v>1</v>
      </c>
      <c r="AA309" s="4" t="s">
        <v>49</v>
      </c>
      <c r="AB309" s="4">
        <v>0</v>
      </c>
      <c r="AC309" s="4" t="s">
        <v>49</v>
      </c>
      <c r="AD309" s="4">
        <v>0</v>
      </c>
      <c r="AE309" s="4" t="s">
        <v>49</v>
      </c>
      <c r="AF309" s="4">
        <v>0</v>
      </c>
      <c r="AG309" s="4" t="s">
        <v>714</v>
      </c>
      <c r="AH309" s="4" t="s">
        <v>715</v>
      </c>
      <c r="AI309" s="4" t="s">
        <v>64</v>
      </c>
      <c r="AJ309" s="13">
        <v>0</v>
      </c>
      <c r="AK309" s="13">
        <v>10</v>
      </c>
      <c r="AM309" s="13" t="s">
        <v>498</v>
      </c>
      <c r="AP309" s="13" t="s">
        <v>49</v>
      </c>
      <c r="AQ309" s="13" t="s">
        <v>49</v>
      </c>
      <c r="AR309" s="13" t="s">
        <v>49</v>
      </c>
      <c r="AS309" s="13" t="s">
        <v>49</v>
      </c>
      <c r="AT309" s="13" t="s">
        <v>990</v>
      </c>
      <c r="AU309" s="13" t="s">
        <v>998</v>
      </c>
      <c r="AV309" s="14">
        <f>57.5/1000</f>
        <v>5.7500000000000002E-2</v>
      </c>
      <c r="AW309" s="14">
        <f>61/1000</f>
        <v>6.0999999999999999E-2</v>
      </c>
      <c r="AX309" s="14">
        <f>Table1347456[[#This Row],[treatment_mean]]/Table1347456[[#This Row],[control_mean]]</f>
        <v>0.94262295081967218</v>
      </c>
      <c r="AY309" s="14">
        <f>LN(Table1347456[[#This Row],[rr]])</f>
        <v>-5.908891637000644E-2</v>
      </c>
      <c r="AZ309" s="13">
        <v>27</v>
      </c>
      <c r="BA309" s="13">
        <v>27</v>
      </c>
      <c r="BB309" s="14">
        <f>10.5/1000</f>
        <v>1.0500000000000001E-2</v>
      </c>
      <c r="BC309" s="14">
        <f>11.2/1000</f>
        <v>1.12E-2</v>
      </c>
      <c r="BD309" s="15">
        <f>Table1347456[[#This Row],[treatment_se]]*SQRT(Table1347456[[#This Row],[treatment_n]])</f>
        <v>5.4559600438419641E-2</v>
      </c>
      <c r="BE309" s="14">
        <f>Table1347456[[#This Row],[control_se]]*SQRT(Table1347456[[#This Row],[control_n]])</f>
        <v>5.8196907134314281E-2</v>
      </c>
      <c r="BF30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6.7057303639639937E-2</v>
      </c>
      <c r="BG309" s="17">
        <f>SQRT(Table1347456[[#This Row],[v_from_sd_and_n]])</f>
        <v>0.25895425008993372</v>
      </c>
      <c r="BH309" s="13" t="s">
        <v>50</v>
      </c>
      <c r="BI309" s="13">
        <v>2.5000000000000001E-2</v>
      </c>
      <c r="BJ309" s="18">
        <f>ABS(_xlfn.NORM.S.INV(Table1347456[[#This Row],[p_value]]/2))</f>
        <v>2.2414027276049446</v>
      </c>
      <c r="BK309" s="19">
        <f>(Table1347456[[#This Row],[lnrr]]/Table1347456[[#This Row],[z_from_p]])^2</f>
        <v>6.9497992343009571E-4</v>
      </c>
      <c r="BL309" s="16">
        <f>Table1347456[[#This Row],[v_from_sd_and_n]]</f>
        <v>6.7057303639639937E-2</v>
      </c>
      <c r="BM309" s="20">
        <f>SQRT(Table1347456[[#This Row],[v]])</f>
        <v>0.25895425008993372</v>
      </c>
      <c r="BN309" s="20">
        <f>Table1347456[[#This Row],[lnrr]]-(1.96*Table1347456[[#This Row],[se]])</f>
        <v>-0.56663924654627651</v>
      </c>
      <c r="BO309" s="20">
        <f>Table1347456[[#This Row],[lnrr]]+(1.96 * Table1347456[[#This Row],[se]])</f>
        <v>0.44846141380626359</v>
      </c>
    </row>
    <row r="310" spans="1:67">
      <c r="A310" s="13" t="s">
        <v>154</v>
      </c>
      <c r="B310" s="13" t="s">
        <v>155</v>
      </c>
      <c r="C310" s="13" t="s">
        <v>43</v>
      </c>
      <c r="D310" s="13" t="s">
        <v>156</v>
      </c>
      <c r="E310" s="13" t="s">
        <v>157</v>
      </c>
      <c r="F310" s="13" t="s">
        <v>585</v>
      </c>
      <c r="G310" s="13" t="s">
        <v>46</v>
      </c>
      <c r="H310" s="13">
        <v>13.3</v>
      </c>
      <c r="I310" s="13">
        <v>685.7</v>
      </c>
      <c r="K310" s="13" t="s">
        <v>837</v>
      </c>
      <c r="L310" s="13" t="s">
        <v>838</v>
      </c>
      <c r="N310" s="13" t="s">
        <v>53</v>
      </c>
      <c r="O310" s="13" t="s">
        <v>54</v>
      </c>
      <c r="P310" s="13" t="s">
        <v>85</v>
      </c>
      <c r="Q310" s="13" t="s">
        <v>48</v>
      </c>
      <c r="R310" s="4">
        <v>36</v>
      </c>
      <c r="S310" s="13" t="s">
        <v>594</v>
      </c>
      <c r="T310" s="13">
        <v>540</v>
      </c>
      <c r="U310" s="4" t="s">
        <v>158</v>
      </c>
      <c r="V310" s="4">
        <v>500</v>
      </c>
      <c r="W310" s="4" t="s">
        <v>601</v>
      </c>
      <c r="X310" s="4">
        <v>510</v>
      </c>
      <c r="Y310" s="4">
        <v>3</v>
      </c>
      <c r="AA310" s="4" t="s">
        <v>49</v>
      </c>
      <c r="AB310" s="4">
        <v>0</v>
      </c>
      <c r="AC310" s="4" t="s">
        <v>49</v>
      </c>
      <c r="AD310" s="4">
        <v>0</v>
      </c>
      <c r="AE310" s="4" t="s">
        <v>49</v>
      </c>
      <c r="AF310" s="4">
        <v>0</v>
      </c>
      <c r="AG310" s="4" t="s">
        <v>714</v>
      </c>
      <c r="AH310" s="4" t="s">
        <v>715</v>
      </c>
      <c r="AI310" s="4" t="s">
        <v>64</v>
      </c>
      <c r="AJ310" s="13">
        <v>0</v>
      </c>
      <c r="AK310" s="13">
        <v>10</v>
      </c>
      <c r="AM310" s="13" t="s">
        <v>498</v>
      </c>
      <c r="AP310" s="13" t="s">
        <v>49</v>
      </c>
      <c r="AQ310" s="13" t="s">
        <v>49</v>
      </c>
      <c r="AR310" s="13" t="s">
        <v>49</v>
      </c>
      <c r="AS310" s="13" t="s">
        <v>49</v>
      </c>
      <c r="AT310" s="13" t="s">
        <v>990</v>
      </c>
      <c r="AU310" s="13" t="s">
        <v>998</v>
      </c>
      <c r="AV310" s="14">
        <f>65.4/1000</f>
        <v>6.54E-2</v>
      </c>
      <c r="AW310" s="14">
        <f>61/1000</f>
        <v>6.0999999999999999E-2</v>
      </c>
      <c r="AX310" s="14">
        <f>Table1347456[[#This Row],[treatment_mean]]/Table1347456[[#This Row],[control_mean]]</f>
        <v>1.0721311475409836</v>
      </c>
      <c r="AY310" s="14">
        <f>LN(Table1347456[[#This Row],[rr]])</f>
        <v>6.9648394289841764E-2</v>
      </c>
      <c r="AZ310" s="13">
        <v>27</v>
      </c>
      <c r="BA310" s="13">
        <v>27</v>
      </c>
      <c r="BB310" s="14">
        <f>12/1000</f>
        <v>1.2E-2</v>
      </c>
      <c r="BC310" s="14">
        <f>11.2/1000</f>
        <v>1.12E-2</v>
      </c>
      <c r="BD310" s="15">
        <f>Table1347456[[#This Row],[treatment_se]]*SQRT(Table1347456[[#This Row],[treatment_n]])</f>
        <v>6.2353829072479584E-2</v>
      </c>
      <c r="BE310" s="14">
        <f>Table1347456[[#This Row],[control_se]]*SQRT(Table1347456[[#This Row],[control_n]])</f>
        <v>5.8196907134314281E-2</v>
      </c>
      <c r="BF31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6.7378567642514056E-2</v>
      </c>
      <c r="BG310" s="17">
        <f>SQRT(Table1347456[[#This Row],[v_from_sd_and_n]])</f>
        <v>0.25957381925478168</v>
      </c>
      <c r="BH310" s="13" t="s">
        <v>50</v>
      </c>
      <c r="BI310" s="13">
        <v>2.5000000000000001E-2</v>
      </c>
      <c r="BJ310" s="18">
        <f>ABS(_xlfn.NORM.S.INV(Table1347456[[#This Row],[p_value]]/2))</f>
        <v>2.2414027276049446</v>
      </c>
      <c r="BK310" s="19">
        <f>(Table1347456[[#This Row],[lnrr]]/Table1347456[[#This Row],[z_from_p]])^2</f>
        <v>9.6556702247785613E-4</v>
      </c>
      <c r="BL310" s="16">
        <f>Table1347456[[#This Row],[v_from_sd_and_n]]</f>
        <v>6.7378567642514056E-2</v>
      </c>
      <c r="BM310" s="20">
        <f>SQRT(Table1347456[[#This Row],[v]])</f>
        <v>0.25957381925478168</v>
      </c>
      <c r="BN310" s="20">
        <f>Table1347456[[#This Row],[lnrr]]-(1.96*Table1347456[[#This Row],[se]])</f>
        <v>-0.43911629144953029</v>
      </c>
      <c r="BO310" s="20">
        <f>Table1347456[[#This Row],[lnrr]]+(1.96 * Table1347456[[#This Row],[se]])</f>
        <v>0.57841308002921377</v>
      </c>
    </row>
    <row r="311" spans="1:67">
      <c r="A311" s="13" t="s">
        <v>154</v>
      </c>
      <c r="B311" s="13" t="s">
        <v>155</v>
      </c>
      <c r="C311" s="13" t="s">
        <v>43</v>
      </c>
      <c r="D311" s="13" t="s">
        <v>156</v>
      </c>
      <c r="E311" s="13" t="s">
        <v>157</v>
      </c>
      <c r="F311" s="13" t="s">
        <v>585</v>
      </c>
      <c r="G311" s="13" t="s">
        <v>46</v>
      </c>
      <c r="H311" s="13">
        <v>13.3</v>
      </c>
      <c r="I311" s="13">
        <v>685.7</v>
      </c>
      <c r="K311" s="13" t="s">
        <v>837</v>
      </c>
      <c r="L311" s="13" t="s">
        <v>838</v>
      </c>
      <c r="N311" s="13" t="s">
        <v>53</v>
      </c>
      <c r="O311" s="13" t="s">
        <v>54</v>
      </c>
      <c r="P311" s="13" t="s">
        <v>85</v>
      </c>
      <c r="Q311" s="13" t="s">
        <v>48</v>
      </c>
      <c r="R311" s="4">
        <v>36</v>
      </c>
      <c r="S311" s="13" t="s">
        <v>594</v>
      </c>
      <c r="T311" s="13">
        <v>540</v>
      </c>
      <c r="U311" s="4" t="s">
        <v>158</v>
      </c>
      <c r="V311" s="4">
        <v>500</v>
      </c>
      <c r="W311" s="4" t="s">
        <v>601</v>
      </c>
      <c r="X311" s="4">
        <v>510</v>
      </c>
      <c r="Y311" s="4">
        <v>6</v>
      </c>
      <c r="AA311" s="4" t="s">
        <v>49</v>
      </c>
      <c r="AB311" s="4">
        <v>0</v>
      </c>
      <c r="AC311" s="4" t="s">
        <v>49</v>
      </c>
      <c r="AD311" s="4">
        <v>0</v>
      </c>
      <c r="AE311" s="4" t="s">
        <v>49</v>
      </c>
      <c r="AF311" s="4">
        <v>0</v>
      </c>
      <c r="AG311" s="4" t="s">
        <v>714</v>
      </c>
      <c r="AH311" s="4" t="s">
        <v>715</v>
      </c>
      <c r="AI311" s="4" t="s">
        <v>64</v>
      </c>
      <c r="AJ311" s="13">
        <v>0</v>
      </c>
      <c r="AK311" s="13">
        <v>10</v>
      </c>
      <c r="AM311" s="13" t="s">
        <v>498</v>
      </c>
      <c r="AP311" s="13" t="s">
        <v>49</v>
      </c>
      <c r="AQ311" s="13" t="s">
        <v>49</v>
      </c>
      <c r="AR311" s="13" t="s">
        <v>49</v>
      </c>
      <c r="AS311" s="13" t="s">
        <v>49</v>
      </c>
      <c r="AT311" s="13" t="s">
        <v>990</v>
      </c>
      <c r="AU311" s="13" t="s">
        <v>998</v>
      </c>
      <c r="AV311" s="14">
        <f>63.6/1000</f>
        <v>6.3600000000000004E-2</v>
      </c>
      <c r="AW311" s="14">
        <f>61/1000</f>
        <v>6.0999999999999999E-2</v>
      </c>
      <c r="AX311" s="14">
        <f>Table1347456[[#This Row],[treatment_mean]]/Table1347456[[#This Row],[control_mean]]</f>
        <v>1.0426229508196723</v>
      </c>
      <c r="AY311" s="14">
        <f>LN(Table1347456[[#This Row],[rr]])</f>
        <v>4.1739606172765342E-2</v>
      </c>
      <c r="AZ311" s="13">
        <v>27</v>
      </c>
      <c r="BA311" s="13">
        <v>27</v>
      </c>
      <c r="BB311" s="14">
        <f>11.7/1000</f>
        <v>1.1699999999999999E-2</v>
      </c>
      <c r="BC311" s="14">
        <f>11.2/1000</f>
        <v>1.12E-2</v>
      </c>
      <c r="BD311" s="15">
        <f>Table1347456[[#This Row],[treatment_se]]*SQRT(Table1347456[[#This Row],[treatment_n]])</f>
        <v>6.0794983345667589E-2</v>
      </c>
      <c r="BE311" s="14">
        <f>Table1347456[[#This Row],[control_se]]*SQRT(Table1347456[[#This Row],[control_n]])</f>
        <v>5.8196907134314281E-2</v>
      </c>
      <c r="BF31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6.755348254339312E-2</v>
      </c>
      <c r="BG311" s="17">
        <f>SQRT(Table1347456[[#This Row],[v_from_sd_and_n]])</f>
        <v>0.25991052795797465</v>
      </c>
      <c r="BH311" s="13" t="s">
        <v>50</v>
      </c>
      <c r="BI311" s="13">
        <v>2.5000000000000001E-2</v>
      </c>
      <c r="BJ311" s="18">
        <f>ABS(_xlfn.NORM.S.INV(Table1347456[[#This Row],[p_value]]/2))</f>
        <v>2.2414027276049446</v>
      </c>
      <c r="BK311" s="19">
        <f>(Table1347456[[#This Row],[lnrr]]/Table1347456[[#This Row],[z_from_p]])^2</f>
        <v>3.4678228337587015E-4</v>
      </c>
      <c r="BL311" s="16">
        <f>Table1347456[[#This Row],[v_from_sd_and_n]]</f>
        <v>6.755348254339312E-2</v>
      </c>
      <c r="BM311" s="20">
        <f>SQRT(Table1347456[[#This Row],[v]])</f>
        <v>0.25991052795797465</v>
      </c>
      <c r="BN311" s="20">
        <f>Table1347456[[#This Row],[lnrr]]-(1.96*Table1347456[[#This Row],[se]])</f>
        <v>-0.467685028624865</v>
      </c>
      <c r="BO311" s="20">
        <f>Table1347456[[#This Row],[lnrr]]+(1.96 * Table1347456[[#This Row],[se]])</f>
        <v>0.55116424097039562</v>
      </c>
    </row>
    <row r="312" spans="1:67">
      <c r="A312" s="13" t="s">
        <v>161</v>
      </c>
      <c r="B312" s="13" t="s">
        <v>162</v>
      </c>
      <c r="C312" s="13" t="s">
        <v>43</v>
      </c>
      <c r="D312" s="13" t="s">
        <v>163</v>
      </c>
      <c r="E312" s="13" t="s">
        <v>164</v>
      </c>
      <c r="F312" s="13" t="s">
        <v>588</v>
      </c>
      <c r="G312" s="13" t="s">
        <v>46</v>
      </c>
      <c r="H312" s="13">
        <v>19</v>
      </c>
      <c r="I312" s="13">
        <v>1973</v>
      </c>
      <c r="K312" s="13" t="s">
        <v>976</v>
      </c>
      <c r="L312" s="13" t="s">
        <v>975</v>
      </c>
      <c r="N312" s="13" t="s">
        <v>61</v>
      </c>
      <c r="O312" s="13" t="s">
        <v>642</v>
      </c>
      <c r="P312" s="13" t="s">
        <v>71</v>
      </c>
      <c r="Q312" s="13" t="s">
        <v>48</v>
      </c>
      <c r="R312" s="4">
        <v>3</v>
      </c>
      <c r="S312" s="13" t="s">
        <v>594</v>
      </c>
      <c r="T312" s="13">
        <v>1095</v>
      </c>
      <c r="U312" s="4" t="s">
        <v>165</v>
      </c>
      <c r="V312" s="4">
        <v>450</v>
      </c>
      <c r="W312" s="4" t="s">
        <v>601</v>
      </c>
      <c r="X312" s="4">
        <v>851</v>
      </c>
      <c r="Y312" s="4">
        <v>6</v>
      </c>
      <c r="AA312" s="4" t="s">
        <v>49</v>
      </c>
      <c r="AB312" s="4">
        <v>0</v>
      </c>
      <c r="AC312" s="4" t="s">
        <v>49</v>
      </c>
      <c r="AD312" s="4">
        <v>0</v>
      </c>
      <c r="AE312" s="4" t="s">
        <v>49</v>
      </c>
      <c r="AF312" s="4">
        <v>0</v>
      </c>
      <c r="AG312" s="4" t="s">
        <v>46</v>
      </c>
      <c r="AH312" s="4" t="s">
        <v>788</v>
      </c>
      <c r="AI312" s="4" t="s">
        <v>78</v>
      </c>
      <c r="AJ312" s="13">
        <v>0</v>
      </c>
      <c r="AK312" s="13">
        <v>10</v>
      </c>
      <c r="AP312" s="13" t="s">
        <v>50</v>
      </c>
      <c r="AQ312" s="13" t="s">
        <v>49</v>
      </c>
      <c r="AR312" s="13" t="s">
        <v>49</v>
      </c>
      <c r="AS312" s="13" t="s">
        <v>49</v>
      </c>
      <c r="AT312" s="13" t="s">
        <v>990</v>
      </c>
      <c r="AU312" s="13" t="s">
        <v>998</v>
      </c>
      <c r="AV312" s="14">
        <f>(427.52*1)/1.4/1000</f>
        <v>0.30537142857142857</v>
      </c>
      <c r="AW312" s="14">
        <f>(377.94*1)/1.4/1000</f>
        <v>0.26995714285714284</v>
      </c>
      <c r="AX312" s="14">
        <f>Table1347456[[#This Row],[treatment_mean]]/Table1347456[[#This Row],[control_mean]]</f>
        <v>1.1311848441551571</v>
      </c>
      <c r="AY312" s="14">
        <f>LN(Table1347456[[#This Row],[rr]])</f>
        <v>0.12326561804633372</v>
      </c>
      <c r="AZ312" s="13">
        <v>3</v>
      </c>
      <c r="BA312" s="13">
        <v>3</v>
      </c>
      <c r="BB312" s="14" t="s">
        <v>46</v>
      </c>
      <c r="BC312" s="14" t="s">
        <v>46</v>
      </c>
      <c r="BD312" s="15" t="s">
        <v>46</v>
      </c>
      <c r="BE312" s="14" t="s">
        <v>46</v>
      </c>
      <c r="BF31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12" s="17" t="s">
        <v>46</v>
      </c>
      <c r="BH312" s="13" t="s">
        <v>50</v>
      </c>
      <c r="BI312" s="13">
        <v>2.5000000000000001E-2</v>
      </c>
      <c r="BJ312" s="18">
        <f>ABS(_xlfn.NORM.S.INV(Table1347456[[#This Row],[p_value]]/2))</f>
        <v>2.2414027276049446</v>
      </c>
      <c r="BK312" s="19">
        <f>(Table1347456[[#This Row],[lnrr]]/Table1347456[[#This Row],[z_from_p]])^2</f>
        <v>3.024434078683933E-3</v>
      </c>
      <c r="BL312" s="16">
        <f>Table1347456[[#This Row],[v_from_z_from_p]]</f>
        <v>3.024434078683933E-3</v>
      </c>
      <c r="BM312" s="20">
        <f>SQRT(Table1347456[[#This Row],[v]])</f>
        <v>5.4994855020119228E-2</v>
      </c>
      <c r="BN312" s="20">
        <f>Table1347456[[#This Row],[lnrr]]-(1.96*Table1347456[[#This Row],[se]])</f>
        <v>1.5475702206900033E-2</v>
      </c>
      <c r="BO312" s="20">
        <f>Table1347456[[#This Row],[lnrr]]+(1.96 * Table1347456[[#This Row],[se]])</f>
        <v>0.23105553388576741</v>
      </c>
    </row>
    <row r="313" spans="1:67">
      <c r="A313" s="13" t="s">
        <v>161</v>
      </c>
      <c r="B313" s="13" t="s">
        <v>162</v>
      </c>
      <c r="C313" s="13" t="s">
        <v>43</v>
      </c>
      <c r="D313" s="13" t="s">
        <v>163</v>
      </c>
      <c r="E313" s="13" t="s">
        <v>164</v>
      </c>
      <c r="F313" s="13" t="s">
        <v>588</v>
      </c>
      <c r="G313" s="13" t="s">
        <v>46</v>
      </c>
      <c r="H313" s="13">
        <v>19</v>
      </c>
      <c r="I313" s="13">
        <v>1973</v>
      </c>
      <c r="K313" s="13" t="s">
        <v>976</v>
      </c>
      <c r="L313" s="13" t="s">
        <v>975</v>
      </c>
      <c r="N313" s="13" t="s">
        <v>79</v>
      </c>
      <c r="O313" s="13" t="s">
        <v>642</v>
      </c>
      <c r="P313" s="13" t="s">
        <v>71</v>
      </c>
      <c r="Q313" s="13" t="s">
        <v>48</v>
      </c>
      <c r="R313" s="4">
        <v>3</v>
      </c>
      <c r="S313" s="13" t="s">
        <v>594</v>
      </c>
      <c r="T313" s="13">
        <v>1095</v>
      </c>
      <c r="U313" s="4" t="s">
        <v>165</v>
      </c>
      <c r="V313" s="4">
        <v>450</v>
      </c>
      <c r="W313" s="4" t="s">
        <v>601</v>
      </c>
      <c r="X313" s="4">
        <v>851</v>
      </c>
      <c r="Y313" s="4">
        <v>6</v>
      </c>
      <c r="AA313" s="4" t="s">
        <v>49</v>
      </c>
      <c r="AB313" s="4">
        <v>0</v>
      </c>
      <c r="AC313" s="4" t="s">
        <v>49</v>
      </c>
      <c r="AD313" s="4">
        <v>0</v>
      </c>
      <c r="AE313" s="4" t="s">
        <v>49</v>
      </c>
      <c r="AF313" s="4">
        <v>0</v>
      </c>
      <c r="AG313" s="4" t="s">
        <v>46</v>
      </c>
      <c r="AH313" s="4" t="s">
        <v>788</v>
      </c>
      <c r="AI313" s="4" t="s">
        <v>78</v>
      </c>
      <c r="AJ313" s="13">
        <v>0</v>
      </c>
      <c r="AK313" s="13">
        <v>10</v>
      </c>
      <c r="AP313" s="13" t="s">
        <v>50</v>
      </c>
      <c r="AQ313" s="13" t="s">
        <v>49</v>
      </c>
      <c r="AR313" s="13" t="s">
        <v>49</v>
      </c>
      <c r="AS313" s="13" t="s">
        <v>49</v>
      </c>
      <c r="AT313" s="13" t="s">
        <v>990</v>
      </c>
      <c r="AU313" s="13" t="s">
        <v>998</v>
      </c>
      <c r="AV313" s="14">
        <f>(320.89*1)/1.4/1000</f>
        <v>0.22920714285714286</v>
      </c>
      <c r="AW313" s="14">
        <f>(347.95*1)/1.4/1000</f>
        <v>0.2485357142857143</v>
      </c>
      <c r="AX313" s="14">
        <f>Table1347456[[#This Row],[treatment_mean]]/Table1347456[[#This Row],[control_mean]]</f>
        <v>0.92223020548929435</v>
      </c>
      <c r="AY313" s="14">
        <f>LN(Table1347456[[#This Row],[rr]])</f>
        <v>-8.0960406016478373E-2</v>
      </c>
      <c r="AZ313" s="13">
        <v>3</v>
      </c>
      <c r="BA313" s="13">
        <v>3</v>
      </c>
      <c r="BB313" s="14" t="s">
        <v>46</v>
      </c>
      <c r="BC313" s="14" t="s">
        <v>46</v>
      </c>
      <c r="BD313" s="15" t="s">
        <v>46</v>
      </c>
      <c r="BE313" s="14" t="s">
        <v>46</v>
      </c>
      <c r="BF31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13" s="17" t="s">
        <v>46</v>
      </c>
      <c r="BH313" s="13" t="s">
        <v>50</v>
      </c>
      <c r="BI313" s="13">
        <v>2.5000000000000001E-2</v>
      </c>
      <c r="BJ313" s="18">
        <f>ABS(_xlfn.NORM.S.INV(Table1347456[[#This Row],[p_value]]/2))</f>
        <v>2.2414027276049446</v>
      </c>
      <c r="BK313" s="19">
        <f>(Table1347456[[#This Row],[lnrr]]/Table1347456[[#This Row],[z_from_p]])^2</f>
        <v>1.304684679940223E-3</v>
      </c>
      <c r="BL313" s="16">
        <f>Table1347456[[#This Row],[v_from_z_from_p]]</f>
        <v>1.304684679940223E-3</v>
      </c>
      <c r="BM313" s="20">
        <f>SQRT(Table1347456[[#This Row],[v]])</f>
        <v>3.6120419155101495E-2</v>
      </c>
      <c r="BN313" s="20">
        <f>Table1347456[[#This Row],[lnrr]]-(1.96*Table1347456[[#This Row],[se]])</f>
        <v>-0.1517564275604773</v>
      </c>
      <c r="BO313" s="20">
        <f>Table1347456[[#This Row],[lnrr]]+(1.96 * Table1347456[[#This Row],[se]])</f>
        <v>-1.0164384472479443E-2</v>
      </c>
    </row>
    <row r="314" spans="1:67">
      <c r="A314" s="13" t="s">
        <v>161</v>
      </c>
      <c r="B314" s="13" t="s">
        <v>162</v>
      </c>
      <c r="C314" s="13" t="s">
        <v>43</v>
      </c>
      <c r="D314" s="13" t="s">
        <v>163</v>
      </c>
      <c r="E314" s="13" t="s">
        <v>164</v>
      </c>
      <c r="F314" s="13" t="s">
        <v>588</v>
      </c>
      <c r="G314" s="13" t="s">
        <v>46</v>
      </c>
      <c r="H314" s="13">
        <v>19</v>
      </c>
      <c r="I314" s="13">
        <v>1973</v>
      </c>
      <c r="K314" s="13" t="s">
        <v>976</v>
      </c>
      <c r="L314" s="13" t="s">
        <v>975</v>
      </c>
      <c r="N314" s="13" t="s">
        <v>80</v>
      </c>
      <c r="O314" s="13" t="s">
        <v>642</v>
      </c>
      <c r="P314" s="13" t="s">
        <v>71</v>
      </c>
      <c r="Q314" s="13" t="s">
        <v>48</v>
      </c>
      <c r="R314" s="4">
        <v>3</v>
      </c>
      <c r="S314" s="13" t="s">
        <v>594</v>
      </c>
      <c r="T314" s="13">
        <v>1095</v>
      </c>
      <c r="U314" s="4" t="s">
        <v>165</v>
      </c>
      <c r="V314" s="4">
        <v>450</v>
      </c>
      <c r="W314" s="4" t="s">
        <v>601</v>
      </c>
      <c r="X314" s="4">
        <v>851</v>
      </c>
      <c r="Y314" s="4">
        <v>6</v>
      </c>
      <c r="AA314" s="4" t="s">
        <v>49</v>
      </c>
      <c r="AB314" s="4">
        <v>0</v>
      </c>
      <c r="AC314" s="4" t="s">
        <v>49</v>
      </c>
      <c r="AD314" s="4">
        <v>0</v>
      </c>
      <c r="AE314" s="4" t="s">
        <v>49</v>
      </c>
      <c r="AF314" s="4">
        <v>0</v>
      </c>
      <c r="AG314" s="4" t="s">
        <v>46</v>
      </c>
      <c r="AH314" s="4" t="s">
        <v>788</v>
      </c>
      <c r="AI314" s="4" t="s">
        <v>78</v>
      </c>
      <c r="AJ314" s="13">
        <v>0</v>
      </c>
      <c r="AK314" s="13">
        <v>10</v>
      </c>
      <c r="AP314" s="13" t="s">
        <v>50</v>
      </c>
      <c r="AQ314" s="13" t="s">
        <v>49</v>
      </c>
      <c r="AR314" s="13" t="s">
        <v>49</v>
      </c>
      <c r="AS314" s="13" t="s">
        <v>49</v>
      </c>
      <c r="AT314" s="13" t="s">
        <v>990</v>
      </c>
      <c r="AU314" s="13" t="s">
        <v>998</v>
      </c>
      <c r="AV314" s="14">
        <f>(320.89*1)/1.4/1000</f>
        <v>0.22920714285714286</v>
      </c>
      <c r="AW314" s="14">
        <f>(347.95*1)/1.4/1000</f>
        <v>0.2485357142857143</v>
      </c>
      <c r="AX314" s="14">
        <f>Table1347456[[#This Row],[treatment_mean]]/Table1347456[[#This Row],[control_mean]]</f>
        <v>0.92223020548929435</v>
      </c>
      <c r="AY314" s="14">
        <f>LN(Table1347456[[#This Row],[rr]])</f>
        <v>-8.0960406016478373E-2</v>
      </c>
      <c r="AZ314" s="13">
        <v>3</v>
      </c>
      <c r="BA314" s="13">
        <v>3</v>
      </c>
      <c r="BB314" s="14" t="s">
        <v>46</v>
      </c>
      <c r="BC314" s="14" t="s">
        <v>46</v>
      </c>
      <c r="BD314" s="15" t="s">
        <v>46</v>
      </c>
      <c r="BE314" s="14" t="s">
        <v>46</v>
      </c>
      <c r="BF31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14" s="17" t="s">
        <v>46</v>
      </c>
      <c r="BH314" s="13" t="s">
        <v>50</v>
      </c>
      <c r="BI314" s="13">
        <v>2.5000000000000001E-2</v>
      </c>
      <c r="BJ314" s="18">
        <f>ABS(_xlfn.NORM.S.INV(Table1347456[[#This Row],[p_value]]/2))</f>
        <v>2.2414027276049446</v>
      </c>
      <c r="BK314" s="19">
        <f>(Table1347456[[#This Row],[lnrr]]/Table1347456[[#This Row],[z_from_p]])^2</f>
        <v>1.304684679940223E-3</v>
      </c>
      <c r="BL314" s="16">
        <f>Table1347456[[#This Row],[v_from_z_from_p]]</f>
        <v>1.304684679940223E-3</v>
      </c>
      <c r="BM314" s="20">
        <f>SQRT(Table1347456[[#This Row],[v]])</f>
        <v>3.6120419155101495E-2</v>
      </c>
      <c r="BN314" s="20">
        <f>Table1347456[[#This Row],[lnrr]]-(1.96*Table1347456[[#This Row],[se]])</f>
        <v>-0.1517564275604773</v>
      </c>
      <c r="BO314" s="20">
        <f>Table1347456[[#This Row],[lnrr]]+(1.96 * Table1347456[[#This Row],[se]])</f>
        <v>-1.0164384472479443E-2</v>
      </c>
    </row>
    <row r="315" spans="1:67">
      <c r="A315" s="13" t="s">
        <v>161</v>
      </c>
      <c r="B315" s="13" t="s">
        <v>162</v>
      </c>
      <c r="C315" s="13" t="s">
        <v>43</v>
      </c>
      <c r="D315" s="13" t="s">
        <v>163</v>
      </c>
      <c r="E315" s="13" t="s">
        <v>164</v>
      </c>
      <c r="F315" s="13" t="s">
        <v>588</v>
      </c>
      <c r="G315" s="13" t="s">
        <v>46</v>
      </c>
      <c r="H315" s="13">
        <v>19</v>
      </c>
      <c r="I315" s="13">
        <v>1973</v>
      </c>
      <c r="K315" s="13" t="s">
        <v>976</v>
      </c>
      <c r="L315" s="13" t="s">
        <v>975</v>
      </c>
      <c r="N315" s="13" t="s">
        <v>668</v>
      </c>
      <c r="O315" s="13" t="s">
        <v>668</v>
      </c>
      <c r="P315" s="13" t="s">
        <v>521</v>
      </c>
      <c r="Q315" s="13" t="s">
        <v>87</v>
      </c>
      <c r="R315" s="4">
        <v>3</v>
      </c>
      <c r="S315" s="13" t="s">
        <v>594</v>
      </c>
      <c r="T315" s="13">
        <v>1095</v>
      </c>
      <c r="U315" s="4" t="s">
        <v>165</v>
      </c>
      <c r="V315" s="4">
        <v>449</v>
      </c>
      <c r="W315" s="4" t="s">
        <v>601</v>
      </c>
      <c r="X315" s="4">
        <v>851</v>
      </c>
      <c r="Y315" s="4">
        <v>6</v>
      </c>
      <c r="AA315" s="4" t="s">
        <v>49</v>
      </c>
      <c r="AB315" s="4" t="s">
        <v>677</v>
      </c>
      <c r="AC315" s="4" t="s">
        <v>49</v>
      </c>
      <c r="AD315" s="4">
        <v>0</v>
      </c>
      <c r="AE315" s="4" t="s">
        <v>49</v>
      </c>
      <c r="AF315" s="4">
        <v>0</v>
      </c>
      <c r="AG315" s="4" t="s">
        <v>46</v>
      </c>
      <c r="AH315" s="4" t="s">
        <v>788</v>
      </c>
      <c r="AI315" s="4" t="s">
        <v>78</v>
      </c>
      <c r="AJ315" s="13">
        <v>0</v>
      </c>
      <c r="AK315" s="13">
        <v>10</v>
      </c>
      <c r="AP315" s="13" t="s">
        <v>50</v>
      </c>
      <c r="AQ315" s="13" t="s">
        <v>49</v>
      </c>
      <c r="AR315" s="13" t="s">
        <v>49</v>
      </c>
      <c r="AS315" s="13" t="s">
        <v>49</v>
      </c>
      <c r="AT315" s="13" t="s">
        <v>990</v>
      </c>
      <c r="AU315" s="13" t="s">
        <v>998</v>
      </c>
      <c r="AV315" s="14">
        <f>149.18/10</f>
        <v>14.918000000000001</v>
      </c>
      <c r="AW315" s="14">
        <f>122.2/10</f>
        <v>12.22</v>
      </c>
      <c r="AX315" s="14">
        <f>Table1347456[[#This Row],[treatment_mean]]/Table1347456[[#This Row],[control_mean]]</f>
        <v>1.2207855973813422</v>
      </c>
      <c r="AY315" s="14">
        <f>LN(Table1347456[[#This Row],[rr]])</f>
        <v>0.19949458378952234</v>
      </c>
      <c r="AZ315" s="13">
        <v>3</v>
      </c>
      <c r="BA315" s="13">
        <v>3</v>
      </c>
      <c r="BB315" s="14" t="s">
        <v>46</v>
      </c>
      <c r="BC315" s="14" t="s">
        <v>46</v>
      </c>
      <c r="BD315" s="15" t="s">
        <v>46</v>
      </c>
      <c r="BE315" s="14" t="s">
        <v>46</v>
      </c>
      <c r="BF31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15" s="17" t="s">
        <v>46</v>
      </c>
      <c r="BH315" s="13" t="s">
        <v>50</v>
      </c>
      <c r="BI315" s="13">
        <v>2.5000000000000001E-2</v>
      </c>
      <c r="BJ315" s="18">
        <f>ABS(_xlfn.NORM.S.INV(Table1347456[[#This Row],[p_value]]/2))</f>
        <v>2.2414027276049446</v>
      </c>
      <c r="BK315" s="19">
        <f>(Table1347456[[#This Row],[lnrr]]/Table1347456[[#This Row],[z_from_p]])^2</f>
        <v>7.9217735986621962E-3</v>
      </c>
      <c r="BL315" s="16">
        <f>Table1347456[[#This Row],[v_from_z_from_p]]</f>
        <v>7.9217735986621962E-3</v>
      </c>
      <c r="BM315" s="20">
        <f>SQRT(Table1347456[[#This Row],[v]])</f>
        <v>8.9004345953791475E-2</v>
      </c>
      <c r="BN315" s="20">
        <f>Table1347456[[#This Row],[lnrr]]-(1.96*Table1347456[[#This Row],[se]])</f>
        <v>2.5046065720091049E-2</v>
      </c>
      <c r="BO315" s="20">
        <f>Table1347456[[#This Row],[lnrr]]+(1.96 * Table1347456[[#This Row],[se]])</f>
        <v>0.37394310185895363</v>
      </c>
    </row>
    <row r="316" spans="1:67">
      <c r="A316" s="13" t="s">
        <v>161</v>
      </c>
      <c r="B316" s="13" t="s">
        <v>162</v>
      </c>
      <c r="C316" s="13" t="s">
        <v>43</v>
      </c>
      <c r="D316" s="13" t="s">
        <v>163</v>
      </c>
      <c r="E316" s="13" t="s">
        <v>164</v>
      </c>
      <c r="F316" s="13" t="s">
        <v>588</v>
      </c>
      <c r="G316" s="13" t="s">
        <v>46</v>
      </c>
      <c r="H316" s="13">
        <v>19</v>
      </c>
      <c r="I316" s="13">
        <v>1973</v>
      </c>
      <c r="K316" s="13" t="s">
        <v>976</v>
      </c>
      <c r="L316" s="13" t="s">
        <v>975</v>
      </c>
      <c r="N316" s="13" t="s">
        <v>614</v>
      </c>
      <c r="O316" s="13" t="s">
        <v>614</v>
      </c>
      <c r="P316" s="13" t="s">
        <v>521</v>
      </c>
      <c r="Q316" s="13" t="s">
        <v>87</v>
      </c>
      <c r="R316" s="4">
        <v>3</v>
      </c>
      <c r="S316" s="13" t="s">
        <v>594</v>
      </c>
      <c r="T316" s="13">
        <v>1095</v>
      </c>
      <c r="U316" s="4" t="s">
        <v>165</v>
      </c>
      <c r="V316" s="4">
        <v>450</v>
      </c>
      <c r="W316" s="4" t="s">
        <v>601</v>
      </c>
      <c r="X316" s="4">
        <v>851</v>
      </c>
      <c r="Y316" s="4">
        <v>6</v>
      </c>
      <c r="AA316" s="4" t="s">
        <v>49</v>
      </c>
      <c r="AB316" s="4">
        <v>0</v>
      </c>
      <c r="AC316" s="4" t="s">
        <v>49</v>
      </c>
      <c r="AD316" s="4">
        <v>0</v>
      </c>
      <c r="AE316" s="4" t="s">
        <v>49</v>
      </c>
      <c r="AF316" s="4">
        <v>0</v>
      </c>
      <c r="AG316" s="4" t="s">
        <v>46</v>
      </c>
      <c r="AH316" s="4" t="s">
        <v>788</v>
      </c>
      <c r="AI316" s="4" t="s">
        <v>78</v>
      </c>
      <c r="AJ316" s="13">
        <v>0</v>
      </c>
      <c r="AK316" s="13">
        <v>10</v>
      </c>
      <c r="AP316" s="13" t="s">
        <v>50</v>
      </c>
      <c r="AQ316" s="13" t="s">
        <v>49</v>
      </c>
      <c r="AR316" s="13" t="s">
        <v>49</v>
      </c>
      <c r="AS316" s="13" t="s">
        <v>49</v>
      </c>
      <c r="AT316" s="13" t="s">
        <v>990</v>
      </c>
      <c r="AU316" s="13" t="s">
        <v>998</v>
      </c>
      <c r="AV316" s="14">
        <f>244.48/10</f>
        <v>24.448</v>
      </c>
      <c r="AW316" s="14">
        <f>234.73/10</f>
        <v>23.472999999999999</v>
      </c>
      <c r="AX316" s="14">
        <f>Table1347456[[#This Row],[treatment_mean]]/Table1347456[[#This Row],[control_mean]]</f>
        <v>1.0415370851616752</v>
      </c>
      <c r="AY316" s="14">
        <f>LN(Table1347456[[#This Row],[rr]])</f>
        <v>4.0697588537359927E-2</v>
      </c>
      <c r="AZ316" s="13">
        <v>3</v>
      </c>
      <c r="BA316" s="13">
        <v>3</v>
      </c>
      <c r="BB316" s="14" t="s">
        <v>46</v>
      </c>
      <c r="BC316" s="14" t="s">
        <v>46</v>
      </c>
      <c r="BD316" s="15" t="s">
        <v>46</v>
      </c>
      <c r="BE316" s="14" t="s">
        <v>46</v>
      </c>
      <c r="BF31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16" s="17" t="s">
        <v>46</v>
      </c>
      <c r="BH316" s="13" t="s">
        <v>50</v>
      </c>
      <c r="BI316" s="13">
        <v>2.5000000000000001E-2</v>
      </c>
      <c r="BJ316" s="18">
        <f>ABS(_xlfn.NORM.S.INV(Table1347456[[#This Row],[p_value]]/2))</f>
        <v>2.2414027276049446</v>
      </c>
      <c r="BK316" s="19">
        <f>(Table1347456[[#This Row],[lnrr]]/Table1347456[[#This Row],[z_from_p]])^2</f>
        <v>3.2968376491854587E-4</v>
      </c>
      <c r="BL316" s="16">
        <f>Table1347456[[#This Row],[v_from_z_from_p]]</f>
        <v>3.2968376491854587E-4</v>
      </c>
      <c r="BM316" s="20">
        <f>SQRT(Table1347456[[#This Row],[v]])</f>
        <v>1.8157195954181523E-2</v>
      </c>
      <c r="BN316" s="20">
        <f>Table1347456[[#This Row],[lnrr]]-(1.96*Table1347456[[#This Row],[se]])</f>
        <v>5.1094844671641451E-3</v>
      </c>
      <c r="BO316" s="20">
        <f>Table1347456[[#This Row],[lnrr]]+(1.96 * Table1347456[[#This Row],[se]])</f>
        <v>7.6285692607555716E-2</v>
      </c>
    </row>
    <row r="317" spans="1:67">
      <c r="A317" s="13" t="s">
        <v>161</v>
      </c>
      <c r="B317" s="13" t="s">
        <v>162</v>
      </c>
      <c r="C317" s="13" t="s">
        <v>43</v>
      </c>
      <c r="D317" s="13" t="s">
        <v>163</v>
      </c>
      <c r="E317" s="13" t="s">
        <v>164</v>
      </c>
      <c r="F317" s="13" t="s">
        <v>588</v>
      </c>
      <c r="G317" s="13" t="s">
        <v>46</v>
      </c>
      <c r="H317" s="13">
        <v>19</v>
      </c>
      <c r="I317" s="13">
        <v>1973</v>
      </c>
      <c r="K317" s="13" t="s">
        <v>976</v>
      </c>
      <c r="L317" s="13" t="s">
        <v>975</v>
      </c>
      <c r="N317" s="13" t="s">
        <v>81</v>
      </c>
      <c r="O317" s="13" t="s">
        <v>82</v>
      </c>
      <c r="P317" s="13" t="s">
        <v>83</v>
      </c>
      <c r="Q317" s="13" t="s">
        <v>83</v>
      </c>
      <c r="R317" s="4">
        <v>3</v>
      </c>
      <c r="S317" s="13" t="s">
        <v>594</v>
      </c>
      <c r="T317" s="13">
        <v>1095</v>
      </c>
      <c r="U317" s="4" t="s">
        <v>165</v>
      </c>
      <c r="V317" s="4">
        <v>450</v>
      </c>
      <c r="W317" s="4" t="s">
        <v>601</v>
      </c>
      <c r="X317" s="4">
        <v>851</v>
      </c>
      <c r="Y317" s="4">
        <v>6</v>
      </c>
      <c r="AA317" s="4" t="s">
        <v>49</v>
      </c>
      <c r="AB317" s="4">
        <v>0</v>
      </c>
      <c r="AC317" s="4" t="s">
        <v>49</v>
      </c>
      <c r="AD317" s="4">
        <v>0</v>
      </c>
      <c r="AE317" s="4" t="s">
        <v>49</v>
      </c>
      <c r="AF317" s="4">
        <v>0</v>
      </c>
      <c r="AG317" s="4" t="s">
        <v>46</v>
      </c>
      <c r="AH317" s="4" t="s">
        <v>788</v>
      </c>
      <c r="AI317" s="4" t="s">
        <v>78</v>
      </c>
      <c r="AJ317" s="13">
        <v>0</v>
      </c>
      <c r="AK317" s="13">
        <v>10</v>
      </c>
      <c r="AP317" s="13" t="s">
        <v>50</v>
      </c>
      <c r="AQ317" s="13" t="s">
        <v>49</v>
      </c>
      <c r="AR317" s="13" t="s">
        <v>49</v>
      </c>
      <c r="AS317" s="13" t="s">
        <v>49</v>
      </c>
      <c r="AT317" s="13" t="s">
        <v>990</v>
      </c>
      <c r="AU317" s="13" t="s">
        <v>998</v>
      </c>
      <c r="AV317" s="14">
        <v>6.59</v>
      </c>
      <c r="AW317" s="14">
        <v>8.48</v>
      </c>
      <c r="AX317" s="14">
        <f>Table1347456[[#This Row],[treatment_mean]]/Table1347456[[#This Row],[control_mean]]</f>
        <v>0.77712264150943389</v>
      </c>
      <c r="AY317" s="14">
        <f>LN(Table1347456[[#This Row],[rr]])</f>
        <v>-0.25215710128939595</v>
      </c>
      <c r="AZ317" s="13">
        <v>3</v>
      </c>
      <c r="BA317" s="13">
        <v>3</v>
      </c>
      <c r="BB317" s="14">
        <v>0.15</v>
      </c>
      <c r="BC317" s="14">
        <v>0.15</v>
      </c>
      <c r="BD317" s="15">
        <f>Table1347456[[#This Row],[treatment_se]]*SQRT(Table1347456[[#This Row],[treatment_n]])</f>
        <v>0.25980762113533157</v>
      </c>
      <c r="BE317" s="14">
        <f>Table1347456[[#This Row],[control_se]]*SQRT(Table1347456[[#This Row],[control_n]])</f>
        <v>0.25980762113533157</v>
      </c>
      <c r="BF31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8.309871027928576E-4</v>
      </c>
      <c r="BG317" s="17">
        <f>SQRT(Table1347456[[#This Row],[v_from_sd_and_n]])</f>
        <v>2.8826846910351773E-2</v>
      </c>
      <c r="BH317" s="13" t="s">
        <v>50</v>
      </c>
      <c r="BI317" s="13">
        <v>2.5000000000000001E-2</v>
      </c>
      <c r="BJ317" s="18">
        <f>ABS(_xlfn.NORM.S.INV(Table1347456[[#This Row],[p_value]]/2))</f>
        <v>2.2414027276049446</v>
      </c>
      <c r="BK317" s="19">
        <f>(Table1347456[[#This Row],[lnrr]]/Table1347456[[#This Row],[z_from_p]])^2</f>
        <v>1.2656179172851442E-2</v>
      </c>
      <c r="BL317" s="16">
        <f>Table1347456[[#This Row],[v_from_sd_and_n]]</f>
        <v>8.309871027928576E-4</v>
      </c>
      <c r="BM317" s="20">
        <f>SQRT(Table1347456[[#This Row],[v]])</f>
        <v>2.8826846910351773E-2</v>
      </c>
      <c r="BN317" s="20">
        <f>Table1347456[[#This Row],[lnrr]]-(1.96*Table1347456[[#This Row],[se]])</f>
        <v>-0.3086577212336854</v>
      </c>
      <c r="BO317" s="20">
        <f>Table1347456[[#This Row],[lnrr]]+(1.96 * Table1347456[[#This Row],[se]])</f>
        <v>-0.19565648134510646</v>
      </c>
    </row>
    <row r="318" spans="1:67">
      <c r="A318" s="13" t="s">
        <v>166</v>
      </c>
      <c r="B318" s="13" t="s">
        <v>167</v>
      </c>
      <c r="C318" s="13" t="s">
        <v>43</v>
      </c>
      <c r="D318" s="13" t="s">
        <v>168</v>
      </c>
      <c r="E318" s="13" t="s">
        <v>44</v>
      </c>
      <c r="F318" s="13" t="s">
        <v>584</v>
      </c>
      <c r="G318" s="13" t="s">
        <v>46</v>
      </c>
      <c r="H318" s="13">
        <v>17.399999999999999</v>
      </c>
      <c r="I318" s="13">
        <v>1200</v>
      </c>
      <c r="J318" s="13" t="s">
        <v>653</v>
      </c>
      <c r="K318" s="13" t="s">
        <v>841</v>
      </c>
      <c r="L318" s="13" t="s">
        <v>842</v>
      </c>
      <c r="M318" s="13" t="s">
        <v>802</v>
      </c>
      <c r="N318" s="13" t="s">
        <v>84</v>
      </c>
      <c r="O318" s="13" t="s">
        <v>644</v>
      </c>
      <c r="P318" s="13" t="s">
        <v>85</v>
      </c>
      <c r="Q318" s="13" t="s">
        <v>48</v>
      </c>
      <c r="R318" s="4">
        <v>4</v>
      </c>
      <c r="S318" s="13" t="s">
        <v>595</v>
      </c>
      <c r="T318" s="13">
        <v>150</v>
      </c>
      <c r="U318" s="4" t="s">
        <v>147</v>
      </c>
      <c r="V318" s="4">
        <v>500</v>
      </c>
      <c r="W318" s="4" t="s">
        <v>601</v>
      </c>
      <c r="X318" s="4">
        <v>725</v>
      </c>
      <c r="Y318" s="4">
        <v>30</v>
      </c>
      <c r="AA318" s="4" t="s">
        <v>49</v>
      </c>
      <c r="AB318" s="4">
        <v>0</v>
      </c>
      <c r="AC318" s="4" t="s">
        <v>49</v>
      </c>
      <c r="AD318" s="4">
        <v>0</v>
      </c>
      <c r="AE318" s="4" t="s">
        <v>49</v>
      </c>
      <c r="AF318" s="4">
        <v>0</v>
      </c>
      <c r="AG318" s="4" t="s">
        <v>46</v>
      </c>
      <c r="AH318" s="4" t="s">
        <v>733</v>
      </c>
      <c r="AI318" s="4" t="s">
        <v>64</v>
      </c>
      <c r="AJ318" s="13">
        <v>0</v>
      </c>
      <c r="AK318" s="13">
        <v>10</v>
      </c>
      <c r="AM318" s="13" t="s">
        <v>499</v>
      </c>
      <c r="AO318" s="13" t="s">
        <v>500</v>
      </c>
      <c r="AP318" s="13" t="s">
        <v>49</v>
      </c>
      <c r="AQ318" s="13" t="s">
        <v>49</v>
      </c>
      <c r="AR318" s="13" t="s">
        <v>49</v>
      </c>
      <c r="AS318" s="13" t="s">
        <v>49</v>
      </c>
      <c r="AT318" s="13" t="s">
        <v>990</v>
      </c>
      <c r="AU318" s="13" t="s">
        <v>998</v>
      </c>
      <c r="AV318" s="23">
        <f>4.09/1000</f>
        <v>4.0899999999999999E-3</v>
      </c>
      <c r="AW318" s="23">
        <f>3.84/1000</f>
        <v>3.8399999999999997E-3</v>
      </c>
      <c r="AX318" s="14">
        <f>Table1347456[[#This Row],[treatment_mean]]/Table1347456[[#This Row],[control_mean]]</f>
        <v>1.0651041666666667</v>
      </c>
      <c r="AY318" s="14">
        <f>LN(Table1347456[[#This Row],[rr]])</f>
        <v>6.3072603455074955E-2</v>
      </c>
      <c r="AZ318" s="13">
        <v>4</v>
      </c>
      <c r="BA318" s="13">
        <v>4</v>
      </c>
      <c r="BB318" s="14">
        <f>0.48/1000</f>
        <v>4.7999999999999996E-4</v>
      </c>
      <c r="BC318" s="14">
        <f>0.56/1000</f>
        <v>5.6000000000000006E-4</v>
      </c>
      <c r="BD318" s="15">
        <f>Table1347456[[#This Row],[treatment_se]]*SQRT(Table1347456[[#This Row],[treatment_n]])</f>
        <v>9.5999999999999992E-4</v>
      </c>
      <c r="BE318" s="14">
        <f>Table1347456[[#This Row],[control_se]]*SQRT(Table1347456[[#This Row],[control_n]])</f>
        <v>1.1200000000000001E-3</v>
      </c>
      <c r="BF31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3.504059297844811E-2</v>
      </c>
      <c r="BG318" s="17">
        <f>SQRT(Table1347456[[#This Row],[v_from_sd_and_n]])</f>
        <v>0.18719132719879975</v>
      </c>
      <c r="BH318" s="13" t="s">
        <v>50</v>
      </c>
      <c r="BI318" s="13">
        <v>2.5000000000000001E-2</v>
      </c>
      <c r="BJ318" s="18">
        <f>ABS(_xlfn.NORM.S.INV(Table1347456[[#This Row],[p_value]]/2))</f>
        <v>2.2414027276049446</v>
      </c>
      <c r="BK318" s="19">
        <f>(Table1347456[[#This Row],[lnrr]]/Table1347456[[#This Row],[z_from_p]])^2</f>
        <v>7.9184781626737751E-4</v>
      </c>
      <c r="BL318" s="16">
        <f>Table1347456[[#This Row],[v_from_sd_and_n]]</f>
        <v>3.504059297844811E-2</v>
      </c>
      <c r="BM318" s="20">
        <f>SQRT(Table1347456[[#This Row],[v]])</f>
        <v>0.18719132719879975</v>
      </c>
      <c r="BN318" s="20">
        <f>Table1347456[[#This Row],[lnrr]]-(1.96*Table1347456[[#This Row],[se]])</f>
        <v>-0.30382239785457255</v>
      </c>
      <c r="BO318" s="20">
        <f>Table1347456[[#This Row],[lnrr]]+(1.96 * Table1347456[[#This Row],[se]])</f>
        <v>0.4299676047647224</v>
      </c>
    </row>
    <row r="319" spans="1:67">
      <c r="A319" s="13" t="s">
        <v>166</v>
      </c>
      <c r="B319" s="13" t="s">
        <v>167</v>
      </c>
      <c r="C319" s="13" t="s">
        <v>43</v>
      </c>
      <c r="D319" s="13" t="s">
        <v>168</v>
      </c>
      <c r="E319" s="13" t="s">
        <v>44</v>
      </c>
      <c r="F319" s="13" t="s">
        <v>584</v>
      </c>
      <c r="G319" s="13" t="s">
        <v>46</v>
      </c>
      <c r="H319" s="13">
        <v>17.399999999999999</v>
      </c>
      <c r="I319" s="13">
        <v>1200</v>
      </c>
      <c r="J319" s="13" t="s">
        <v>653</v>
      </c>
      <c r="K319" s="13" t="s">
        <v>841</v>
      </c>
      <c r="L319" s="13" t="s">
        <v>842</v>
      </c>
      <c r="M319" s="13" t="s">
        <v>802</v>
      </c>
      <c r="N319" s="13" t="s">
        <v>84</v>
      </c>
      <c r="O319" s="13" t="s">
        <v>644</v>
      </c>
      <c r="P319" s="13" t="s">
        <v>85</v>
      </c>
      <c r="Q319" s="13" t="s">
        <v>48</v>
      </c>
      <c r="R319" s="4">
        <v>4</v>
      </c>
      <c r="S319" s="13" t="s">
        <v>595</v>
      </c>
      <c r="T319" s="13">
        <v>150</v>
      </c>
      <c r="U319" s="4" t="s">
        <v>169</v>
      </c>
      <c r="V319" s="4">
        <v>500</v>
      </c>
      <c r="W319" s="4" t="s">
        <v>601</v>
      </c>
      <c r="X319" s="4">
        <v>888</v>
      </c>
      <c r="Y319" s="4">
        <v>30</v>
      </c>
      <c r="AA319" s="4" t="s">
        <v>49</v>
      </c>
      <c r="AB319" s="4">
        <v>0</v>
      </c>
      <c r="AC319" s="4" t="s">
        <v>49</v>
      </c>
      <c r="AD319" s="4">
        <v>0</v>
      </c>
      <c r="AE319" s="4" t="s">
        <v>49</v>
      </c>
      <c r="AF319" s="4">
        <v>0</v>
      </c>
      <c r="AG319" s="4" t="s">
        <v>46</v>
      </c>
      <c r="AH319" s="4" t="s">
        <v>733</v>
      </c>
      <c r="AI319" s="4" t="s">
        <v>64</v>
      </c>
      <c r="AJ319" s="13">
        <v>0</v>
      </c>
      <c r="AK319" s="13">
        <v>10</v>
      </c>
      <c r="AM319" s="13" t="s">
        <v>499</v>
      </c>
      <c r="AO319" s="13" t="s">
        <v>500</v>
      </c>
      <c r="AP319" s="13" t="s">
        <v>49</v>
      </c>
      <c r="AQ319" s="13" t="s">
        <v>49</v>
      </c>
      <c r="AR319" s="13" t="s">
        <v>49</v>
      </c>
      <c r="AS319" s="13" t="s">
        <v>49</v>
      </c>
      <c r="AT319" s="13" t="s">
        <v>990</v>
      </c>
      <c r="AU319" s="13" t="s">
        <v>998</v>
      </c>
      <c r="AV319" s="23">
        <f>5.08/1000</f>
        <v>5.0800000000000003E-3</v>
      </c>
      <c r="AW319" s="23">
        <f>3.84/1000</f>
        <v>3.8399999999999997E-3</v>
      </c>
      <c r="AX319" s="14">
        <f>Table1347456[[#This Row],[treatment_mean]]/Table1347456[[#This Row],[control_mean]]</f>
        <v>1.322916666666667</v>
      </c>
      <c r="AY319" s="14">
        <f>LN(Table1347456[[#This Row],[rr]])</f>
        <v>0.27983889499075526</v>
      </c>
      <c r="AZ319" s="13">
        <v>4</v>
      </c>
      <c r="BA319" s="13">
        <v>4</v>
      </c>
      <c r="BB319" s="14">
        <f>0.79/1000</f>
        <v>7.9000000000000001E-4</v>
      </c>
      <c r="BC319" s="14">
        <f>0.56/1000</f>
        <v>5.6000000000000006E-4</v>
      </c>
      <c r="BD319" s="15">
        <f>Table1347456[[#This Row],[treatment_se]]*SQRT(Table1347456[[#This Row],[treatment_n]])</f>
        <v>1.58E-3</v>
      </c>
      <c r="BE319" s="14">
        <f>Table1347456[[#This Row],[control_se]]*SQRT(Table1347456[[#This Row],[control_n]])</f>
        <v>1.1200000000000001E-3</v>
      </c>
      <c r="BF31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4.5451284478957854E-2</v>
      </c>
      <c r="BG319" s="17">
        <f>SQRT(Table1347456[[#This Row],[v_from_sd_and_n]])</f>
        <v>0.2131930685527976</v>
      </c>
      <c r="BH319" s="13" t="s">
        <v>50</v>
      </c>
      <c r="BI319" s="13">
        <v>2.5000000000000001E-2</v>
      </c>
      <c r="BJ319" s="18">
        <f>ABS(_xlfn.NORM.S.INV(Table1347456[[#This Row],[p_value]]/2))</f>
        <v>2.2414027276049446</v>
      </c>
      <c r="BK319" s="19">
        <f>(Table1347456[[#This Row],[lnrr]]/Table1347456[[#This Row],[z_from_p]])^2</f>
        <v>1.5587496258847608E-2</v>
      </c>
      <c r="BL319" s="16">
        <f>Table1347456[[#This Row],[v_from_sd_and_n]]</f>
        <v>4.5451284478957854E-2</v>
      </c>
      <c r="BM319" s="20">
        <f>SQRT(Table1347456[[#This Row],[v]])</f>
        <v>0.2131930685527976</v>
      </c>
      <c r="BN319" s="20">
        <f>Table1347456[[#This Row],[lnrr]]-(1.96*Table1347456[[#This Row],[se]])</f>
        <v>-0.13801951937272805</v>
      </c>
      <c r="BO319" s="20">
        <f>Table1347456[[#This Row],[lnrr]]+(1.96 * Table1347456[[#This Row],[se]])</f>
        <v>0.69769730935423857</v>
      </c>
    </row>
    <row r="320" spans="1:67">
      <c r="A320" s="13" t="s">
        <v>166</v>
      </c>
      <c r="B320" s="13" t="s">
        <v>167</v>
      </c>
      <c r="C320" s="13" t="s">
        <v>43</v>
      </c>
      <c r="D320" s="13" t="s">
        <v>168</v>
      </c>
      <c r="E320" s="13" t="s">
        <v>44</v>
      </c>
      <c r="F320" s="13" t="s">
        <v>584</v>
      </c>
      <c r="G320" s="13" t="s">
        <v>46</v>
      </c>
      <c r="H320" s="13">
        <v>17.399999999999999</v>
      </c>
      <c r="I320" s="13">
        <v>1200</v>
      </c>
      <c r="J320" s="13" t="s">
        <v>653</v>
      </c>
      <c r="K320" s="13" t="s">
        <v>841</v>
      </c>
      <c r="L320" s="13" t="s">
        <v>842</v>
      </c>
      <c r="M320" s="13" t="s">
        <v>802</v>
      </c>
      <c r="N320" s="13" t="s">
        <v>84</v>
      </c>
      <c r="O320" s="13" t="s">
        <v>644</v>
      </c>
      <c r="P320" s="13" t="s">
        <v>85</v>
      </c>
      <c r="Q320" s="13" t="s">
        <v>48</v>
      </c>
      <c r="R320" s="4">
        <v>4</v>
      </c>
      <c r="S320" s="13" t="s">
        <v>595</v>
      </c>
      <c r="T320" s="13">
        <v>150</v>
      </c>
      <c r="U320" s="4" t="s">
        <v>170</v>
      </c>
      <c r="V320" s="4">
        <v>500</v>
      </c>
      <c r="W320" s="4" t="s">
        <v>601</v>
      </c>
      <c r="X320" s="4">
        <v>480</v>
      </c>
      <c r="Y320" s="4">
        <v>30</v>
      </c>
      <c r="AA320" s="4" t="s">
        <v>49</v>
      </c>
      <c r="AB320" s="4">
        <v>0</v>
      </c>
      <c r="AC320" s="4" t="s">
        <v>49</v>
      </c>
      <c r="AD320" s="4">
        <v>0</v>
      </c>
      <c r="AE320" s="4" t="s">
        <v>49</v>
      </c>
      <c r="AF320" s="4">
        <v>0</v>
      </c>
      <c r="AG320" s="4" t="s">
        <v>46</v>
      </c>
      <c r="AH320" s="4" t="s">
        <v>733</v>
      </c>
      <c r="AI320" s="4" t="s">
        <v>64</v>
      </c>
      <c r="AJ320" s="13">
        <v>0</v>
      </c>
      <c r="AK320" s="13">
        <v>10</v>
      </c>
      <c r="AM320" s="13" t="s">
        <v>499</v>
      </c>
      <c r="AO320" s="13" t="s">
        <v>500</v>
      </c>
      <c r="AP320" s="13" t="s">
        <v>49</v>
      </c>
      <c r="AQ320" s="13" t="s">
        <v>49</v>
      </c>
      <c r="AR320" s="13" t="s">
        <v>49</v>
      </c>
      <c r="AS320" s="13" t="s">
        <v>49</v>
      </c>
      <c r="AT320" s="13" t="s">
        <v>990</v>
      </c>
      <c r="AU320" s="13" t="s">
        <v>998</v>
      </c>
      <c r="AV320" s="23">
        <f>68.58/1000</f>
        <v>6.8580000000000002E-2</v>
      </c>
      <c r="AW320" s="23">
        <f>3.84/1000</f>
        <v>3.8399999999999997E-3</v>
      </c>
      <c r="AX320" s="14">
        <f>Table1347456[[#This Row],[treatment_mean]]/Table1347456[[#This Row],[control_mean]]</f>
        <v>17.859375000000004</v>
      </c>
      <c r="AY320" s="14">
        <f>LN(Table1347456[[#This Row],[rr]])</f>
        <v>2.8825285804351388</v>
      </c>
      <c r="AZ320" s="13">
        <v>4</v>
      </c>
      <c r="BA320" s="13">
        <v>4</v>
      </c>
      <c r="BB320" s="14">
        <f>12.11/1000</f>
        <v>1.2109999999999999E-2</v>
      </c>
      <c r="BC320" s="14">
        <f>0.56/1000</f>
        <v>5.6000000000000006E-4</v>
      </c>
      <c r="BD320" s="15">
        <f>Table1347456[[#This Row],[treatment_se]]*SQRT(Table1347456[[#This Row],[treatment_n]])</f>
        <v>2.4219999999999998E-2</v>
      </c>
      <c r="BE320" s="14">
        <f>Table1347456[[#This Row],[control_se]]*SQRT(Table1347456[[#This Row],[control_n]])</f>
        <v>1.1200000000000001E-3</v>
      </c>
      <c r="BF32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5.2448596998960109E-2</v>
      </c>
      <c r="BG320" s="17">
        <f>SQRT(Table1347456[[#This Row],[v_from_sd_and_n]])</f>
        <v>0.22901658673327596</v>
      </c>
      <c r="BH320" s="13" t="s">
        <v>50</v>
      </c>
      <c r="BI320" s="13">
        <v>2.5000000000000001E-2</v>
      </c>
      <c r="BJ320" s="18">
        <f>ABS(_xlfn.NORM.S.INV(Table1347456[[#This Row],[p_value]]/2))</f>
        <v>2.2414027276049446</v>
      </c>
      <c r="BK320" s="19">
        <f>(Table1347456[[#This Row],[lnrr]]/Table1347456[[#This Row],[z_from_p]])^2</f>
        <v>1.6538931630269096</v>
      </c>
      <c r="BL320" s="16">
        <f>Table1347456[[#This Row],[v_from_sd_and_n]]</f>
        <v>5.2448596998960109E-2</v>
      </c>
      <c r="BM320" s="20">
        <f>SQRT(Table1347456[[#This Row],[v]])</f>
        <v>0.22901658673327596</v>
      </c>
      <c r="BN320" s="20">
        <f>Table1347456[[#This Row],[lnrr]]-(1.96*Table1347456[[#This Row],[se]])</f>
        <v>2.4336560704379178</v>
      </c>
      <c r="BO320" s="20">
        <f>Table1347456[[#This Row],[lnrr]]+(1.96 * Table1347456[[#This Row],[se]])</f>
        <v>3.3314010904323599</v>
      </c>
    </row>
    <row r="321" spans="1:67">
      <c r="A321" s="13" t="s">
        <v>166</v>
      </c>
      <c r="B321" s="13" t="s">
        <v>167</v>
      </c>
      <c r="C321" s="13" t="s">
        <v>43</v>
      </c>
      <c r="D321" s="13" t="s">
        <v>168</v>
      </c>
      <c r="E321" s="13" t="s">
        <v>44</v>
      </c>
      <c r="F321" s="13" t="s">
        <v>584</v>
      </c>
      <c r="G321" s="13" t="s">
        <v>46</v>
      </c>
      <c r="H321" s="13">
        <v>17.399999999999999</v>
      </c>
      <c r="I321" s="13">
        <v>1200</v>
      </c>
      <c r="K321" s="13" t="s">
        <v>841</v>
      </c>
      <c r="L321" s="13" t="s">
        <v>842</v>
      </c>
      <c r="N321" s="13" t="s">
        <v>86</v>
      </c>
      <c r="O321" s="13" t="s">
        <v>644</v>
      </c>
      <c r="P321" s="13" t="s">
        <v>85</v>
      </c>
      <c r="Q321" s="13" t="s">
        <v>48</v>
      </c>
      <c r="R321" s="4">
        <v>4</v>
      </c>
      <c r="S321" s="13" t="s">
        <v>595</v>
      </c>
      <c r="T321" s="13">
        <v>150</v>
      </c>
      <c r="U321" s="4" t="s">
        <v>147</v>
      </c>
      <c r="V321" s="4">
        <v>500</v>
      </c>
      <c r="W321" s="4" t="s">
        <v>601</v>
      </c>
      <c r="X321" s="4">
        <v>725</v>
      </c>
      <c r="Y321" s="4">
        <v>30</v>
      </c>
      <c r="AA321" s="4" t="s">
        <v>49</v>
      </c>
      <c r="AB321" s="4">
        <v>0</v>
      </c>
      <c r="AC321" s="4" t="s">
        <v>49</v>
      </c>
      <c r="AD321" s="4">
        <v>0</v>
      </c>
      <c r="AE321" s="4" t="s">
        <v>49</v>
      </c>
      <c r="AF321" s="4">
        <v>0</v>
      </c>
      <c r="AG321" s="4" t="s">
        <v>46</v>
      </c>
      <c r="AH321" s="4" t="s">
        <v>733</v>
      </c>
      <c r="AI321" s="4" t="s">
        <v>64</v>
      </c>
      <c r="AJ321" s="13">
        <v>0</v>
      </c>
      <c r="AK321" s="13">
        <v>10</v>
      </c>
      <c r="AM321" s="13" t="s">
        <v>499</v>
      </c>
      <c r="AO321" s="13" t="s">
        <v>500</v>
      </c>
      <c r="AP321" s="13" t="s">
        <v>49</v>
      </c>
      <c r="AQ321" s="13" t="s">
        <v>49</v>
      </c>
      <c r="AR321" s="13" t="s">
        <v>49</v>
      </c>
      <c r="AS321" s="13" t="s">
        <v>49</v>
      </c>
      <c r="AT321" s="13" t="s">
        <v>990</v>
      </c>
      <c r="AU321" s="13" t="s">
        <v>998</v>
      </c>
      <c r="AV321" s="14">
        <f>59.35/1000</f>
        <v>5.935E-2</v>
      </c>
      <c r="AW321" s="14">
        <f>18.75/1000</f>
        <v>1.8749999999999999E-2</v>
      </c>
      <c r="AX321" s="14">
        <f>Table1347456[[#This Row],[treatment_mean]]/Table1347456[[#This Row],[control_mean]]</f>
        <v>3.1653333333333333</v>
      </c>
      <c r="AY321" s="14">
        <f>LN(Table1347456[[#This Row],[rr]])</f>
        <v>1.1522583686392571</v>
      </c>
      <c r="AZ321" s="13">
        <v>4</v>
      </c>
      <c r="BA321" s="13">
        <v>4</v>
      </c>
      <c r="BB321" s="14">
        <f>5.73/1000</f>
        <v>5.7300000000000007E-3</v>
      </c>
      <c r="BC321" s="14">
        <f>5.09/1000</f>
        <v>5.0899999999999999E-3</v>
      </c>
      <c r="BD321" s="15">
        <f>Table1347456[[#This Row],[treatment_se]]*SQRT(Table1347456[[#This Row],[treatment_n]])</f>
        <v>1.1460000000000001E-2</v>
      </c>
      <c r="BE321" s="14">
        <f>Table1347456[[#This Row],[control_se]]*SQRT(Table1347456[[#This Row],[control_n]])</f>
        <v>1.018E-2</v>
      </c>
      <c r="BF32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8.301526463454563E-2</v>
      </c>
      <c r="BG321" s="17">
        <f>SQRT(Table1347456[[#This Row],[v_from_sd_and_n]])</f>
        <v>0.28812369675982158</v>
      </c>
      <c r="BH321" s="13" t="s">
        <v>50</v>
      </c>
      <c r="BI321" s="13">
        <v>2.5000000000000001E-2</v>
      </c>
      <c r="BJ321" s="18">
        <f>ABS(_xlfn.NORM.S.INV(Table1347456[[#This Row],[p_value]]/2))</f>
        <v>2.2414027276049446</v>
      </c>
      <c r="BK321" s="19">
        <f>(Table1347456[[#This Row],[lnrr]]/Table1347456[[#This Row],[z_from_p]])^2</f>
        <v>0.26427735394396284</v>
      </c>
      <c r="BL321" s="16">
        <f>Table1347456[[#This Row],[v_from_sd_and_n]]</f>
        <v>8.301526463454563E-2</v>
      </c>
      <c r="BM321" s="20">
        <f>SQRT(Table1347456[[#This Row],[v]])</f>
        <v>0.28812369675982158</v>
      </c>
      <c r="BN321" s="20">
        <f>Table1347456[[#This Row],[lnrr]]-(1.96*Table1347456[[#This Row],[se]])</f>
        <v>0.58753592299000679</v>
      </c>
      <c r="BO321" s="20">
        <f>Table1347456[[#This Row],[lnrr]]+(1.96 * Table1347456[[#This Row],[se]])</f>
        <v>1.7169808142885075</v>
      </c>
    </row>
    <row r="322" spans="1:67">
      <c r="A322" s="13" t="s">
        <v>166</v>
      </c>
      <c r="B322" s="13" t="s">
        <v>167</v>
      </c>
      <c r="C322" s="13" t="s">
        <v>43</v>
      </c>
      <c r="D322" s="13" t="s">
        <v>168</v>
      </c>
      <c r="E322" s="13" t="s">
        <v>44</v>
      </c>
      <c r="F322" s="13" t="s">
        <v>584</v>
      </c>
      <c r="G322" s="13" t="s">
        <v>46</v>
      </c>
      <c r="H322" s="13">
        <v>17.399999999999999</v>
      </c>
      <c r="I322" s="13">
        <v>1200</v>
      </c>
      <c r="K322" s="13" t="s">
        <v>841</v>
      </c>
      <c r="L322" s="13" t="s">
        <v>842</v>
      </c>
      <c r="N322" s="13" t="s">
        <v>86</v>
      </c>
      <c r="O322" s="13" t="s">
        <v>644</v>
      </c>
      <c r="P322" s="13" t="s">
        <v>85</v>
      </c>
      <c r="Q322" s="13" t="s">
        <v>48</v>
      </c>
      <c r="R322" s="4">
        <v>4</v>
      </c>
      <c r="S322" s="13" t="s">
        <v>595</v>
      </c>
      <c r="T322" s="13">
        <v>150</v>
      </c>
      <c r="U322" s="4" t="s">
        <v>169</v>
      </c>
      <c r="V322" s="4">
        <v>500</v>
      </c>
      <c r="W322" s="4" t="s">
        <v>601</v>
      </c>
      <c r="X322" s="4">
        <v>888</v>
      </c>
      <c r="Y322" s="4">
        <v>30</v>
      </c>
      <c r="AA322" s="4" t="s">
        <v>49</v>
      </c>
      <c r="AB322" s="4">
        <v>0</v>
      </c>
      <c r="AC322" s="4" t="s">
        <v>49</v>
      </c>
      <c r="AD322" s="4">
        <v>0</v>
      </c>
      <c r="AE322" s="4" t="s">
        <v>49</v>
      </c>
      <c r="AF322" s="4">
        <v>0</v>
      </c>
      <c r="AG322" s="4" t="s">
        <v>46</v>
      </c>
      <c r="AH322" s="4" t="s">
        <v>733</v>
      </c>
      <c r="AI322" s="4" t="s">
        <v>64</v>
      </c>
      <c r="AJ322" s="13">
        <v>0</v>
      </c>
      <c r="AK322" s="13">
        <v>10</v>
      </c>
      <c r="AM322" s="13" t="s">
        <v>499</v>
      </c>
      <c r="AO322" s="13" t="s">
        <v>500</v>
      </c>
      <c r="AP322" s="13" t="s">
        <v>49</v>
      </c>
      <c r="AQ322" s="13" t="s">
        <v>49</v>
      </c>
      <c r="AR322" s="13" t="s">
        <v>49</v>
      </c>
      <c r="AS322" s="13" t="s">
        <v>49</v>
      </c>
      <c r="AT322" s="13" t="s">
        <v>990</v>
      </c>
      <c r="AU322" s="13" t="s">
        <v>998</v>
      </c>
      <c r="AV322" s="14">
        <f>28.79/1000</f>
        <v>2.879E-2</v>
      </c>
      <c r="AW322" s="14">
        <f>18.75/1000</f>
        <v>1.8749999999999999E-2</v>
      </c>
      <c r="AX322" s="14">
        <f>Table1347456[[#This Row],[treatment_mean]]/Table1347456[[#This Row],[control_mean]]</f>
        <v>1.5354666666666668</v>
      </c>
      <c r="AY322" s="14">
        <f>LN(Table1347456[[#This Row],[rr]])</f>
        <v>0.42883435220766475</v>
      </c>
      <c r="AZ322" s="13">
        <v>4</v>
      </c>
      <c r="BA322" s="13">
        <v>4</v>
      </c>
      <c r="BB322" s="14">
        <f>2.3/1000</f>
        <v>2.3E-3</v>
      </c>
      <c r="BC322" s="14">
        <f>5.09/1000</f>
        <v>5.0899999999999999E-3</v>
      </c>
      <c r="BD322" s="15">
        <f>Table1347456[[#This Row],[treatment_se]]*SQRT(Table1347456[[#This Row],[treatment_n]])</f>
        <v>4.5999999999999999E-3</v>
      </c>
      <c r="BE322" s="14">
        <f>Table1347456[[#This Row],[control_se]]*SQRT(Table1347456[[#This Row],[control_n]])</f>
        <v>1.018E-2</v>
      </c>
      <c r="BF32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8.0076379512606613E-2</v>
      </c>
      <c r="BG322" s="17">
        <f>SQRT(Table1347456[[#This Row],[v_from_sd_and_n]])</f>
        <v>0.28297770144060225</v>
      </c>
      <c r="BH322" s="13" t="s">
        <v>50</v>
      </c>
      <c r="BI322" s="13">
        <v>2.5000000000000001E-2</v>
      </c>
      <c r="BJ322" s="18">
        <f>ABS(_xlfn.NORM.S.INV(Table1347456[[#This Row],[p_value]]/2))</f>
        <v>2.2414027276049446</v>
      </c>
      <c r="BK322" s="19">
        <f>(Table1347456[[#This Row],[lnrr]]/Table1347456[[#This Row],[z_from_p]])^2</f>
        <v>3.6604909979391038E-2</v>
      </c>
      <c r="BL322" s="16">
        <f>Table1347456[[#This Row],[v_from_sd_and_n]]</f>
        <v>8.0076379512606613E-2</v>
      </c>
      <c r="BM322" s="20">
        <f>SQRT(Table1347456[[#This Row],[v]])</f>
        <v>0.28297770144060225</v>
      </c>
      <c r="BN322" s="20">
        <f>Table1347456[[#This Row],[lnrr]]-(1.96*Table1347456[[#This Row],[se]])</f>
        <v>-0.1258019426159156</v>
      </c>
      <c r="BO322" s="20">
        <f>Table1347456[[#This Row],[lnrr]]+(1.96 * Table1347456[[#This Row],[se]])</f>
        <v>0.98347064703124509</v>
      </c>
    </row>
    <row r="323" spans="1:67">
      <c r="A323" s="13" t="s">
        <v>166</v>
      </c>
      <c r="B323" s="13" t="s">
        <v>167</v>
      </c>
      <c r="C323" s="13" t="s">
        <v>43</v>
      </c>
      <c r="D323" s="13" t="s">
        <v>168</v>
      </c>
      <c r="E323" s="13" t="s">
        <v>44</v>
      </c>
      <c r="F323" s="13" t="s">
        <v>584</v>
      </c>
      <c r="G323" s="13" t="s">
        <v>46</v>
      </c>
      <c r="H323" s="13">
        <v>17.399999999999999</v>
      </c>
      <c r="I323" s="13">
        <v>1200</v>
      </c>
      <c r="K323" s="13" t="s">
        <v>841</v>
      </c>
      <c r="L323" s="13" t="s">
        <v>842</v>
      </c>
      <c r="N323" s="13" t="s">
        <v>86</v>
      </c>
      <c r="O323" s="13" t="s">
        <v>644</v>
      </c>
      <c r="P323" s="13" t="s">
        <v>85</v>
      </c>
      <c r="Q323" s="13" t="s">
        <v>48</v>
      </c>
      <c r="R323" s="4">
        <v>4</v>
      </c>
      <c r="S323" s="13" t="s">
        <v>595</v>
      </c>
      <c r="T323" s="13">
        <v>150</v>
      </c>
      <c r="U323" s="4" t="s">
        <v>170</v>
      </c>
      <c r="V323" s="4">
        <v>500</v>
      </c>
      <c r="W323" s="4" t="s">
        <v>601</v>
      </c>
      <c r="X323" s="4">
        <v>480</v>
      </c>
      <c r="Y323" s="4">
        <v>30</v>
      </c>
      <c r="AA323" s="4" t="s">
        <v>49</v>
      </c>
      <c r="AB323" s="4">
        <v>0</v>
      </c>
      <c r="AC323" s="4" t="s">
        <v>49</v>
      </c>
      <c r="AD323" s="4">
        <v>0</v>
      </c>
      <c r="AE323" s="4" t="s">
        <v>49</v>
      </c>
      <c r="AF323" s="4">
        <v>0</v>
      </c>
      <c r="AG323" s="4" t="s">
        <v>46</v>
      </c>
      <c r="AH323" s="4" t="s">
        <v>733</v>
      </c>
      <c r="AI323" s="4" t="s">
        <v>64</v>
      </c>
      <c r="AJ323" s="13">
        <v>0</v>
      </c>
      <c r="AK323" s="13">
        <v>10</v>
      </c>
      <c r="AM323" s="13" t="s">
        <v>499</v>
      </c>
      <c r="AO323" s="13" t="s">
        <v>500</v>
      </c>
      <c r="AP323" s="13" t="s">
        <v>49</v>
      </c>
      <c r="AQ323" s="13" t="s">
        <v>49</v>
      </c>
      <c r="AR323" s="13" t="s">
        <v>49</v>
      </c>
      <c r="AS323" s="13" t="s">
        <v>49</v>
      </c>
      <c r="AT323" s="13" t="s">
        <v>990</v>
      </c>
      <c r="AU323" s="13" t="s">
        <v>998</v>
      </c>
      <c r="AV323" s="14">
        <f>162.56/1000</f>
        <v>0.16256000000000001</v>
      </c>
      <c r="AW323" s="14">
        <f>18.75/1000</f>
        <v>1.8749999999999999E-2</v>
      </c>
      <c r="AX323" s="14">
        <f>Table1347456[[#This Row],[treatment_mean]]/Table1347456[[#This Row],[control_mean]]</f>
        <v>8.6698666666666675</v>
      </c>
      <c r="AY323" s="14">
        <f>LN(Table1347456[[#This Row],[rr]])</f>
        <v>2.1598534119736974</v>
      </c>
      <c r="AZ323" s="13">
        <v>4</v>
      </c>
      <c r="BA323" s="13">
        <v>4</v>
      </c>
      <c r="BB323" s="14">
        <f>17.17/1000</f>
        <v>1.7170000000000001E-2</v>
      </c>
      <c r="BC323" s="14">
        <f>5.09/1000</f>
        <v>5.0899999999999999E-3</v>
      </c>
      <c r="BD323" s="15">
        <f>Table1347456[[#This Row],[treatment_se]]*SQRT(Table1347456[[#This Row],[treatment_n]])</f>
        <v>3.4340000000000002E-2</v>
      </c>
      <c r="BE323" s="14">
        <f>Table1347456[[#This Row],[control_se]]*SQRT(Table1347456[[#This Row],[control_n]])</f>
        <v>1.018E-2</v>
      </c>
      <c r="BF32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8.4850271934094959E-2</v>
      </c>
      <c r="BG323" s="17">
        <f>SQRT(Table1347456[[#This Row],[v_from_sd_and_n]])</f>
        <v>0.29129070004738389</v>
      </c>
      <c r="BH323" s="13" t="s">
        <v>50</v>
      </c>
      <c r="BI323" s="13">
        <v>2.5000000000000001E-2</v>
      </c>
      <c r="BJ323" s="18">
        <f>ABS(_xlfn.NORM.S.INV(Table1347456[[#This Row],[p_value]]/2))</f>
        <v>2.2414027276049446</v>
      </c>
      <c r="BK323" s="19">
        <f>(Table1347456[[#This Row],[lnrr]]/Table1347456[[#This Row],[z_from_p]])^2</f>
        <v>0.92855741298305672</v>
      </c>
      <c r="BL323" s="16">
        <f>Table1347456[[#This Row],[v_from_sd_and_n]]</f>
        <v>8.4850271934094959E-2</v>
      </c>
      <c r="BM323" s="20">
        <f>SQRT(Table1347456[[#This Row],[v]])</f>
        <v>0.29129070004738389</v>
      </c>
      <c r="BN323" s="20">
        <f>Table1347456[[#This Row],[lnrr]]-(1.96*Table1347456[[#This Row],[se]])</f>
        <v>1.5889236398808251</v>
      </c>
      <c r="BO323" s="20">
        <f>Table1347456[[#This Row],[lnrr]]+(1.96 * Table1347456[[#This Row],[se]])</f>
        <v>2.7307831840665697</v>
      </c>
    </row>
    <row r="324" spans="1:67">
      <c r="A324" s="13" t="s">
        <v>171</v>
      </c>
      <c r="B324" s="13" t="s">
        <v>172</v>
      </c>
      <c r="C324" s="13" t="s">
        <v>43</v>
      </c>
      <c r="D324" s="13" t="s">
        <v>96</v>
      </c>
      <c r="E324" s="13" t="s">
        <v>97</v>
      </c>
      <c r="F324" s="13" t="s">
        <v>588</v>
      </c>
      <c r="G324" s="13" t="s">
        <v>46</v>
      </c>
      <c r="H324" s="13">
        <v>25.3</v>
      </c>
      <c r="I324" s="13">
        <v>1450</v>
      </c>
      <c r="K324" s="13" t="s">
        <v>843</v>
      </c>
      <c r="L324" s="13" t="s">
        <v>844</v>
      </c>
      <c r="N324" s="13" t="s">
        <v>47</v>
      </c>
      <c r="O324" s="13" t="s">
        <v>645</v>
      </c>
      <c r="P324" s="13" t="s">
        <v>48</v>
      </c>
      <c r="Q324" s="13" t="s">
        <v>48</v>
      </c>
      <c r="R324" s="4">
        <v>3</v>
      </c>
      <c r="S324" s="13" t="s">
        <v>594</v>
      </c>
      <c r="T324" s="13">
        <v>120</v>
      </c>
      <c r="U324" s="4" t="s">
        <v>173</v>
      </c>
      <c r="V324" s="4">
        <v>350</v>
      </c>
      <c r="W324" s="4" t="s">
        <v>42</v>
      </c>
      <c r="X324" s="4">
        <v>511.3</v>
      </c>
      <c r="Y324" s="4">
        <v>3</v>
      </c>
      <c r="AA324" s="4" t="s">
        <v>49</v>
      </c>
      <c r="AB324" s="4">
        <v>0</v>
      </c>
      <c r="AC324" s="4" t="s">
        <v>49</v>
      </c>
      <c r="AD324" s="4">
        <v>0</v>
      </c>
      <c r="AE324" s="4" t="s">
        <v>49</v>
      </c>
      <c r="AF324" s="4">
        <v>0</v>
      </c>
      <c r="AG324" s="4" t="s">
        <v>774</v>
      </c>
      <c r="AH324" s="4" t="s">
        <v>772</v>
      </c>
      <c r="AI324" s="4" t="s">
        <v>52</v>
      </c>
      <c r="AJ324" s="13">
        <v>0</v>
      </c>
      <c r="AK324" s="13">
        <v>10</v>
      </c>
      <c r="AP324" s="13" t="s">
        <v>49</v>
      </c>
      <c r="AQ324" s="13" t="s">
        <v>49</v>
      </c>
      <c r="AR324" s="13" t="s">
        <v>49</v>
      </c>
      <c r="AS324" s="13" t="s">
        <v>50</v>
      </c>
      <c r="AT324" s="13" t="s">
        <v>990</v>
      </c>
      <c r="AU324" s="13" t="s">
        <v>998</v>
      </c>
      <c r="AV324" s="14">
        <v>1.5</v>
      </c>
      <c r="AW324" s="14">
        <v>1.69</v>
      </c>
      <c r="AX324" s="14">
        <f>Table1347456[[#This Row],[treatment_mean]]/Table1347456[[#This Row],[control_mean]]</f>
        <v>0.8875739644970414</v>
      </c>
      <c r="AY324" s="14">
        <f>LN(Table1347456[[#This Row],[rr]])</f>
        <v>-0.11926342082681775</v>
      </c>
      <c r="AZ324" s="13">
        <v>18</v>
      </c>
      <c r="BA324" s="13">
        <v>18</v>
      </c>
      <c r="BB324" s="14" t="s">
        <v>46</v>
      </c>
      <c r="BC324" s="14" t="s">
        <v>46</v>
      </c>
      <c r="BD324" s="15" t="s">
        <v>46</v>
      </c>
      <c r="BE324" s="14" t="s">
        <v>46</v>
      </c>
      <c r="BF32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24" s="17" t="s">
        <v>46</v>
      </c>
      <c r="BH324" s="13" t="s">
        <v>50</v>
      </c>
      <c r="BI324" s="13">
        <v>2.5000000000000001E-2</v>
      </c>
      <c r="BJ324" s="18">
        <f>ABS(_xlfn.NORM.S.INV(Table1347456[[#This Row],[p_value]]/2))</f>
        <v>2.2414027276049446</v>
      </c>
      <c r="BK324" s="19">
        <f>(Table1347456[[#This Row],[lnrr]]/Table1347456[[#This Row],[z_from_p]])^2</f>
        <v>2.8312272645087118E-3</v>
      </c>
      <c r="BL324" s="16">
        <f>Table1347456[[#This Row],[v_from_z_from_p]]</f>
        <v>2.8312272645087118E-3</v>
      </c>
      <c r="BM324" s="20">
        <f>SQRT(Table1347456[[#This Row],[v]])</f>
        <v>5.320927799274025E-2</v>
      </c>
      <c r="BN324" s="20">
        <f>Table1347456[[#This Row],[lnrr]]-(1.96*Table1347456[[#This Row],[se]])</f>
        <v>-0.22355360569258864</v>
      </c>
      <c r="BO324" s="20">
        <f>Table1347456[[#This Row],[lnrr]]+(1.96 * Table1347456[[#This Row],[se]])</f>
        <v>-1.4973235961046855E-2</v>
      </c>
    </row>
    <row r="325" spans="1:67">
      <c r="A325" s="13" t="s">
        <v>171</v>
      </c>
      <c r="B325" s="13" t="s">
        <v>172</v>
      </c>
      <c r="C325" s="13" t="s">
        <v>43</v>
      </c>
      <c r="D325" s="13" t="s">
        <v>96</v>
      </c>
      <c r="E325" s="13" t="s">
        <v>97</v>
      </c>
      <c r="F325" s="13" t="s">
        <v>588</v>
      </c>
      <c r="G325" s="13" t="s">
        <v>46</v>
      </c>
      <c r="H325" s="13">
        <v>25.3</v>
      </c>
      <c r="I325" s="13">
        <v>1450</v>
      </c>
      <c r="K325" s="13" t="s">
        <v>843</v>
      </c>
      <c r="L325" s="13" t="s">
        <v>844</v>
      </c>
      <c r="N325" s="13" t="s">
        <v>47</v>
      </c>
      <c r="O325" s="13" t="s">
        <v>645</v>
      </c>
      <c r="P325" s="13" t="s">
        <v>48</v>
      </c>
      <c r="Q325" s="13" t="s">
        <v>48</v>
      </c>
      <c r="R325" s="4">
        <v>3</v>
      </c>
      <c r="S325" s="13" t="s">
        <v>594</v>
      </c>
      <c r="T325" s="13">
        <v>120</v>
      </c>
      <c r="U325" s="4" t="s">
        <v>173</v>
      </c>
      <c r="V325" s="4">
        <v>350</v>
      </c>
      <c r="W325" s="4" t="s">
        <v>42</v>
      </c>
      <c r="X325" s="4">
        <v>511.3</v>
      </c>
      <c r="Y325" s="4">
        <v>6</v>
      </c>
      <c r="AA325" s="4" t="s">
        <v>49</v>
      </c>
      <c r="AB325" s="4">
        <v>0</v>
      </c>
      <c r="AC325" s="4" t="s">
        <v>49</v>
      </c>
      <c r="AD325" s="4">
        <v>0</v>
      </c>
      <c r="AE325" s="4" t="s">
        <v>49</v>
      </c>
      <c r="AF325" s="4">
        <v>0</v>
      </c>
      <c r="AG325" s="4" t="s">
        <v>774</v>
      </c>
      <c r="AH325" s="4" t="s">
        <v>772</v>
      </c>
      <c r="AI325" s="4" t="s">
        <v>52</v>
      </c>
      <c r="AJ325" s="13">
        <v>0</v>
      </c>
      <c r="AK325" s="13">
        <v>10</v>
      </c>
      <c r="AP325" s="13" t="s">
        <v>49</v>
      </c>
      <c r="AQ325" s="13" t="s">
        <v>49</v>
      </c>
      <c r="AR325" s="13" t="s">
        <v>49</v>
      </c>
      <c r="AS325" s="13" t="s">
        <v>50</v>
      </c>
      <c r="AT325" s="13" t="s">
        <v>990</v>
      </c>
      <c r="AU325" s="13" t="s">
        <v>998</v>
      </c>
      <c r="AV325" s="14">
        <v>2.0499999999999998</v>
      </c>
      <c r="AW325" s="14">
        <v>1.69</v>
      </c>
      <c r="AX325" s="14">
        <f>Table1347456[[#This Row],[treatment_mean]]/Table1347456[[#This Row],[control_mean]]</f>
        <v>1.2130177514792899</v>
      </c>
      <c r="AY325" s="14">
        <f>LN(Table1347456[[#This Row],[rr]])</f>
        <v>0.1931112642153347</v>
      </c>
      <c r="AZ325" s="13">
        <v>18</v>
      </c>
      <c r="BA325" s="13">
        <v>18</v>
      </c>
      <c r="BB325" s="14" t="s">
        <v>46</v>
      </c>
      <c r="BC325" s="14" t="s">
        <v>46</v>
      </c>
      <c r="BD325" s="15" t="s">
        <v>46</v>
      </c>
      <c r="BE325" s="14" t="s">
        <v>46</v>
      </c>
      <c r="BF32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25" s="17" t="s">
        <v>46</v>
      </c>
      <c r="BH325" s="13" t="s">
        <v>50</v>
      </c>
      <c r="BI325" s="13">
        <v>2.5000000000000001E-2</v>
      </c>
      <c r="BJ325" s="18">
        <f>ABS(_xlfn.NORM.S.INV(Table1347456[[#This Row],[p_value]]/2))</f>
        <v>2.2414027276049446</v>
      </c>
      <c r="BK325" s="19">
        <f>(Table1347456[[#This Row],[lnrr]]/Table1347456[[#This Row],[z_from_p]])^2</f>
        <v>7.4229309694565796E-3</v>
      </c>
      <c r="BL325" s="16">
        <f>Table1347456[[#This Row],[v_from_z_from_p]]</f>
        <v>7.4229309694565796E-3</v>
      </c>
      <c r="BM325" s="20">
        <f>SQRT(Table1347456[[#This Row],[v]])</f>
        <v>8.6156433128679252E-2</v>
      </c>
      <c r="BN325" s="20">
        <f>Table1347456[[#This Row],[lnrr]]-(1.96*Table1347456[[#This Row],[se]])</f>
        <v>2.4244655283123362E-2</v>
      </c>
      <c r="BO325" s="20">
        <f>Table1347456[[#This Row],[lnrr]]+(1.96 * Table1347456[[#This Row],[se]])</f>
        <v>0.36197787314754604</v>
      </c>
    </row>
    <row r="326" spans="1:67">
      <c r="A326" s="13" t="s">
        <v>171</v>
      </c>
      <c r="B326" s="13" t="s">
        <v>172</v>
      </c>
      <c r="C326" s="13" t="s">
        <v>43</v>
      </c>
      <c r="D326" s="13" t="s">
        <v>96</v>
      </c>
      <c r="E326" s="13" t="s">
        <v>97</v>
      </c>
      <c r="F326" s="13" t="s">
        <v>588</v>
      </c>
      <c r="G326" s="13" t="s">
        <v>46</v>
      </c>
      <c r="H326" s="13">
        <v>25.3</v>
      </c>
      <c r="I326" s="13">
        <v>1450</v>
      </c>
      <c r="K326" s="13" t="s">
        <v>843</v>
      </c>
      <c r="L326" s="13" t="s">
        <v>844</v>
      </c>
      <c r="N326" s="13" t="s">
        <v>47</v>
      </c>
      <c r="O326" s="13" t="s">
        <v>645</v>
      </c>
      <c r="P326" s="13" t="s">
        <v>48</v>
      </c>
      <c r="Q326" s="13" t="s">
        <v>48</v>
      </c>
      <c r="R326" s="4">
        <v>3</v>
      </c>
      <c r="S326" s="13" t="s">
        <v>594</v>
      </c>
      <c r="T326" s="13">
        <v>120</v>
      </c>
      <c r="U326" s="4" t="s">
        <v>173</v>
      </c>
      <c r="V326" s="4">
        <v>350</v>
      </c>
      <c r="W326" s="4" t="s">
        <v>42</v>
      </c>
      <c r="X326" s="4">
        <v>511.3</v>
      </c>
      <c r="Y326" s="4">
        <v>12</v>
      </c>
      <c r="AA326" s="4" t="s">
        <v>49</v>
      </c>
      <c r="AB326" s="4">
        <v>0</v>
      </c>
      <c r="AC326" s="4" t="s">
        <v>49</v>
      </c>
      <c r="AD326" s="4">
        <v>0</v>
      </c>
      <c r="AE326" s="4" t="s">
        <v>49</v>
      </c>
      <c r="AF326" s="4">
        <v>0</v>
      </c>
      <c r="AG326" s="4" t="s">
        <v>774</v>
      </c>
      <c r="AH326" s="4" t="s">
        <v>772</v>
      </c>
      <c r="AI326" s="4" t="s">
        <v>52</v>
      </c>
      <c r="AJ326" s="13">
        <v>0</v>
      </c>
      <c r="AK326" s="13">
        <v>10</v>
      </c>
      <c r="AP326" s="13" t="s">
        <v>49</v>
      </c>
      <c r="AQ326" s="13" t="s">
        <v>49</v>
      </c>
      <c r="AR326" s="13" t="s">
        <v>49</v>
      </c>
      <c r="AS326" s="13" t="s">
        <v>50</v>
      </c>
      <c r="AT326" s="13" t="s">
        <v>990</v>
      </c>
      <c r="AU326" s="13" t="s">
        <v>998</v>
      </c>
      <c r="AV326" s="14">
        <v>2.46</v>
      </c>
      <c r="AW326" s="14">
        <v>1.69</v>
      </c>
      <c r="AX326" s="14">
        <f>Table1347456[[#This Row],[treatment_mean]]/Table1347456[[#This Row],[control_mean]]</f>
        <v>1.455621301775148</v>
      </c>
      <c r="AY326" s="14">
        <f>LN(Table1347456[[#This Row],[rr]])</f>
        <v>0.37543282100928943</v>
      </c>
      <c r="AZ326" s="13">
        <v>18</v>
      </c>
      <c r="BA326" s="13">
        <v>18</v>
      </c>
      <c r="BB326" s="14" t="s">
        <v>46</v>
      </c>
      <c r="BC326" s="14" t="s">
        <v>46</v>
      </c>
      <c r="BD326" s="15" t="s">
        <v>46</v>
      </c>
      <c r="BE326" s="14" t="s">
        <v>46</v>
      </c>
      <c r="BF32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26" s="17" t="s">
        <v>46</v>
      </c>
      <c r="BH326" s="13" t="s">
        <v>50</v>
      </c>
      <c r="BI326" s="13">
        <v>2.5000000000000001E-2</v>
      </c>
      <c r="BJ326" s="18">
        <f>ABS(_xlfn.NORM.S.INV(Table1347456[[#This Row],[p_value]]/2))</f>
        <v>2.2414027276049446</v>
      </c>
      <c r="BK326" s="19">
        <f>(Table1347456[[#This Row],[lnrr]]/Table1347456[[#This Row],[z_from_p]])^2</f>
        <v>2.8055930774643315E-2</v>
      </c>
      <c r="BL326" s="16">
        <f>Table1347456[[#This Row],[v_from_z_from_p]]</f>
        <v>2.8055930774643315E-2</v>
      </c>
      <c r="BM326" s="20">
        <f>SQRT(Table1347456[[#This Row],[v]])</f>
        <v>0.16749904708577693</v>
      </c>
      <c r="BN326" s="20">
        <f>Table1347456[[#This Row],[lnrr]]-(1.96*Table1347456[[#This Row],[se]])</f>
        <v>4.7134688721166662E-2</v>
      </c>
      <c r="BO326" s="20">
        <f>Table1347456[[#This Row],[lnrr]]+(1.96 * Table1347456[[#This Row],[se]])</f>
        <v>0.7037309532974122</v>
      </c>
    </row>
    <row r="327" spans="1:67">
      <c r="A327" s="13" t="s">
        <v>171</v>
      </c>
      <c r="B327" s="13" t="s">
        <v>172</v>
      </c>
      <c r="C327" s="13" t="s">
        <v>43</v>
      </c>
      <c r="D327" s="13" t="s">
        <v>96</v>
      </c>
      <c r="E327" s="13" t="s">
        <v>97</v>
      </c>
      <c r="F327" s="13" t="s">
        <v>588</v>
      </c>
      <c r="G327" s="13" t="s">
        <v>46</v>
      </c>
      <c r="H327" s="13">
        <v>25.3</v>
      </c>
      <c r="I327" s="13">
        <v>1450</v>
      </c>
      <c r="K327" s="13" t="s">
        <v>843</v>
      </c>
      <c r="L327" s="13" t="s">
        <v>844</v>
      </c>
      <c r="N327" s="13" t="s">
        <v>47</v>
      </c>
      <c r="O327" s="13" t="s">
        <v>645</v>
      </c>
      <c r="P327" s="13" t="s">
        <v>48</v>
      </c>
      <c r="Q327" s="13" t="s">
        <v>48</v>
      </c>
      <c r="R327" s="4">
        <v>3</v>
      </c>
      <c r="S327" s="13" t="s">
        <v>594</v>
      </c>
      <c r="T327" s="13">
        <v>120</v>
      </c>
      <c r="U327" s="4" t="s">
        <v>173</v>
      </c>
      <c r="V327" s="4">
        <v>350</v>
      </c>
      <c r="W327" s="4" t="s">
        <v>42</v>
      </c>
      <c r="X327" s="4">
        <v>511.3</v>
      </c>
      <c r="Y327" s="4">
        <v>3</v>
      </c>
      <c r="AA327" s="4" t="s">
        <v>50</v>
      </c>
      <c r="AB327" s="4">
        <v>30</v>
      </c>
      <c r="AC327" s="4" t="s">
        <v>49</v>
      </c>
      <c r="AD327" s="4">
        <v>0</v>
      </c>
      <c r="AE327" s="4" t="s">
        <v>49</v>
      </c>
      <c r="AF327" s="4">
        <v>0</v>
      </c>
      <c r="AG327" s="4" t="s">
        <v>774</v>
      </c>
      <c r="AH327" s="4" t="s">
        <v>772</v>
      </c>
      <c r="AI327" s="4" t="s">
        <v>52</v>
      </c>
      <c r="AJ327" s="13">
        <v>0</v>
      </c>
      <c r="AK327" s="13">
        <v>10</v>
      </c>
      <c r="AP327" s="13" t="s">
        <v>49</v>
      </c>
      <c r="AQ327" s="13" t="s">
        <v>49</v>
      </c>
      <c r="AR327" s="13" t="s">
        <v>49</v>
      </c>
      <c r="AS327" s="13" t="s">
        <v>50</v>
      </c>
      <c r="AT327" s="13" t="s">
        <v>992</v>
      </c>
      <c r="AU327" s="4" t="s">
        <v>1000</v>
      </c>
      <c r="AV327" s="14">
        <v>2.11</v>
      </c>
      <c r="AW327" s="14">
        <v>1.97</v>
      </c>
      <c r="AX327" s="14">
        <f>Table1347456[[#This Row],[treatment_mean]]/Table1347456[[#This Row],[control_mean]]</f>
        <v>1.0710659898477157</v>
      </c>
      <c r="AY327" s="14">
        <f>LN(Table1347456[[#This Row],[rr]])</f>
        <v>6.8654404738077976E-2</v>
      </c>
      <c r="AZ327" s="13">
        <v>18</v>
      </c>
      <c r="BA327" s="13">
        <v>18</v>
      </c>
      <c r="BB327" s="14" t="s">
        <v>46</v>
      </c>
      <c r="BC327" s="14" t="s">
        <v>46</v>
      </c>
      <c r="BD327" s="15" t="s">
        <v>46</v>
      </c>
      <c r="BE327" s="14" t="s">
        <v>46</v>
      </c>
      <c r="BF32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27" s="17" t="s">
        <v>46</v>
      </c>
      <c r="BH327" s="13" t="s">
        <v>50</v>
      </c>
      <c r="BI327" s="13">
        <v>2.5000000000000001E-2</v>
      </c>
      <c r="BJ327" s="18">
        <f>ABS(_xlfn.NORM.S.INV(Table1347456[[#This Row],[p_value]]/2))</f>
        <v>2.2414027276049446</v>
      </c>
      <c r="BK327" s="19">
        <f>(Table1347456[[#This Row],[lnrr]]/Table1347456[[#This Row],[z_from_p]])^2</f>
        <v>9.3820343737902371E-4</v>
      </c>
      <c r="BL327" s="16">
        <f>Table1347456[[#This Row],[v_from_z_from_p]]</f>
        <v>9.3820343737902371E-4</v>
      </c>
      <c r="BM327" s="20">
        <f>SQRT(Table1347456[[#This Row],[v]])</f>
        <v>3.0630106715109951E-2</v>
      </c>
      <c r="BN327" s="20">
        <f>Table1347456[[#This Row],[lnrr]]-(1.96*Table1347456[[#This Row],[se]])</f>
        <v>8.61939557646247E-3</v>
      </c>
      <c r="BO327" s="20">
        <f>Table1347456[[#This Row],[lnrr]]+(1.96 * Table1347456[[#This Row],[se]])</f>
        <v>0.12868941389969349</v>
      </c>
    </row>
    <row r="328" spans="1:67">
      <c r="A328" s="13" t="s">
        <v>171</v>
      </c>
      <c r="B328" s="13" t="s">
        <v>172</v>
      </c>
      <c r="C328" s="13" t="s">
        <v>43</v>
      </c>
      <c r="D328" s="13" t="s">
        <v>96</v>
      </c>
      <c r="E328" s="13" t="s">
        <v>97</v>
      </c>
      <c r="F328" s="13" t="s">
        <v>588</v>
      </c>
      <c r="G328" s="13" t="s">
        <v>46</v>
      </c>
      <c r="H328" s="13">
        <v>25.3</v>
      </c>
      <c r="I328" s="13">
        <v>1450</v>
      </c>
      <c r="K328" s="13" t="s">
        <v>843</v>
      </c>
      <c r="L328" s="13" t="s">
        <v>844</v>
      </c>
      <c r="N328" s="13" t="s">
        <v>47</v>
      </c>
      <c r="O328" s="13" t="s">
        <v>645</v>
      </c>
      <c r="P328" s="13" t="s">
        <v>48</v>
      </c>
      <c r="Q328" s="13" t="s">
        <v>48</v>
      </c>
      <c r="R328" s="4">
        <v>3</v>
      </c>
      <c r="S328" s="13" t="s">
        <v>594</v>
      </c>
      <c r="T328" s="13">
        <v>120</v>
      </c>
      <c r="U328" s="4" t="s">
        <v>173</v>
      </c>
      <c r="V328" s="4">
        <v>350</v>
      </c>
      <c r="W328" s="4" t="s">
        <v>42</v>
      </c>
      <c r="X328" s="4">
        <v>511.3</v>
      </c>
      <c r="Y328" s="4">
        <v>6</v>
      </c>
      <c r="AA328" s="4" t="s">
        <v>50</v>
      </c>
      <c r="AB328" s="4">
        <v>60</v>
      </c>
      <c r="AC328" s="4" t="s">
        <v>49</v>
      </c>
      <c r="AD328" s="4">
        <v>0</v>
      </c>
      <c r="AE328" s="4" t="s">
        <v>49</v>
      </c>
      <c r="AF328" s="4">
        <v>0</v>
      </c>
      <c r="AG328" s="4" t="s">
        <v>774</v>
      </c>
      <c r="AH328" s="4" t="s">
        <v>772</v>
      </c>
      <c r="AI328" s="4" t="s">
        <v>52</v>
      </c>
      <c r="AJ328" s="13">
        <v>0</v>
      </c>
      <c r="AK328" s="13">
        <v>10</v>
      </c>
      <c r="AP328" s="13" t="s">
        <v>49</v>
      </c>
      <c r="AQ328" s="13" t="s">
        <v>49</v>
      </c>
      <c r="AR328" s="13" t="s">
        <v>49</v>
      </c>
      <c r="AS328" s="13" t="s">
        <v>50</v>
      </c>
      <c r="AT328" s="13" t="s">
        <v>992</v>
      </c>
      <c r="AU328" s="4" t="s">
        <v>1000</v>
      </c>
      <c r="AV328" s="14">
        <v>2</v>
      </c>
      <c r="AW328" s="14">
        <v>1.97</v>
      </c>
      <c r="AX328" s="14">
        <f>Table1347456[[#This Row],[treatment_mean]]/Table1347456[[#This Row],[control_mean]]</f>
        <v>1.015228426395939</v>
      </c>
      <c r="AY328" s="14">
        <f>LN(Table1347456[[#This Row],[rr]])</f>
        <v>1.5113637810048106E-2</v>
      </c>
      <c r="AZ328" s="13">
        <v>18</v>
      </c>
      <c r="BA328" s="13">
        <v>18</v>
      </c>
      <c r="BB328" s="14" t="s">
        <v>46</v>
      </c>
      <c r="BC328" s="14" t="s">
        <v>46</v>
      </c>
      <c r="BD328" s="15" t="s">
        <v>46</v>
      </c>
      <c r="BE328" s="14" t="s">
        <v>46</v>
      </c>
      <c r="BF32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28" s="17" t="s">
        <v>46</v>
      </c>
      <c r="BH328" s="13" t="s">
        <v>50</v>
      </c>
      <c r="BI328" s="13">
        <v>2.5000000000000001E-2</v>
      </c>
      <c r="BJ328" s="18">
        <f>ABS(_xlfn.NORM.S.INV(Table1347456[[#This Row],[p_value]]/2))</f>
        <v>2.2414027276049446</v>
      </c>
      <c r="BK328" s="19">
        <f>(Table1347456[[#This Row],[lnrr]]/Table1347456[[#This Row],[z_from_p]])^2</f>
        <v>4.5467201950170044E-5</v>
      </c>
      <c r="BL328" s="16">
        <f>Table1347456[[#This Row],[v_from_z_from_p]]</f>
        <v>4.5467201950170044E-5</v>
      </c>
      <c r="BM328" s="20">
        <f>SQRT(Table1347456[[#This Row],[v]])</f>
        <v>6.742937190139772E-3</v>
      </c>
      <c r="BN328" s="20">
        <f>Table1347456[[#This Row],[lnrr]]-(1.96*Table1347456[[#This Row],[se]])</f>
        <v>1.8974809173741523E-3</v>
      </c>
      <c r="BO328" s="20">
        <f>Table1347456[[#This Row],[lnrr]]+(1.96 * Table1347456[[#This Row],[se]])</f>
        <v>2.832979470272206E-2</v>
      </c>
    </row>
    <row r="329" spans="1:67">
      <c r="A329" s="13" t="s">
        <v>171</v>
      </c>
      <c r="B329" s="13" t="s">
        <v>172</v>
      </c>
      <c r="C329" s="13" t="s">
        <v>43</v>
      </c>
      <c r="D329" s="13" t="s">
        <v>96</v>
      </c>
      <c r="E329" s="13" t="s">
        <v>97</v>
      </c>
      <c r="F329" s="13" t="s">
        <v>588</v>
      </c>
      <c r="G329" s="13" t="s">
        <v>46</v>
      </c>
      <c r="H329" s="13">
        <v>25.3</v>
      </c>
      <c r="I329" s="13">
        <v>1450</v>
      </c>
      <c r="K329" s="13" t="s">
        <v>843</v>
      </c>
      <c r="L329" s="13" t="s">
        <v>844</v>
      </c>
      <c r="N329" s="13" t="s">
        <v>47</v>
      </c>
      <c r="O329" s="13" t="s">
        <v>645</v>
      </c>
      <c r="P329" s="13" t="s">
        <v>48</v>
      </c>
      <c r="Q329" s="13" t="s">
        <v>48</v>
      </c>
      <c r="R329" s="4">
        <v>3</v>
      </c>
      <c r="S329" s="13" t="s">
        <v>594</v>
      </c>
      <c r="T329" s="13">
        <v>120</v>
      </c>
      <c r="U329" s="4" t="s">
        <v>173</v>
      </c>
      <c r="V329" s="4">
        <v>350</v>
      </c>
      <c r="W329" s="4" t="s">
        <v>42</v>
      </c>
      <c r="X329" s="4">
        <v>511.3</v>
      </c>
      <c r="Y329" s="4">
        <v>12</v>
      </c>
      <c r="AA329" s="4" t="s">
        <v>50</v>
      </c>
      <c r="AB329" s="4">
        <v>90</v>
      </c>
      <c r="AC329" s="4" t="s">
        <v>49</v>
      </c>
      <c r="AD329" s="4">
        <v>0</v>
      </c>
      <c r="AE329" s="4" t="s">
        <v>49</v>
      </c>
      <c r="AF329" s="4">
        <v>0</v>
      </c>
      <c r="AG329" s="4" t="s">
        <v>774</v>
      </c>
      <c r="AH329" s="4" t="s">
        <v>772</v>
      </c>
      <c r="AI329" s="4" t="s">
        <v>52</v>
      </c>
      <c r="AJ329" s="13">
        <v>0</v>
      </c>
      <c r="AK329" s="13">
        <v>10</v>
      </c>
      <c r="AP329" s="13" t="s">
        <v>49</v>
      </c>
      <c r="AQ329" s="13" t="s">
        <v>49</v>
      </c>
      <c r="AR329" s="13" t="s">
        <v>49</v>
      </c>
      <c r="AS329" s="13" t="s">
        <v>50</v>
      </c>
      <c r="AT329" s="13" t="s">
        <v>992</v>
      </c>
      <c r="AU329" s="4" t="s">
        <v>1000</v>
      </c>
      <c r="AV329" s="14">
        <v>1.62</v>
      </c>
      <c r="AW329" s="14">
        <v>1.97</v>
      </c>
      <c r="AX329" s="14">
        <f>Table1347456[[#This Row],[treatment_mean]]/Table1347456[[#This Row],[control_mean]]</f>
        <v>0.82233502538071068</v>
      </c>
      <c r="AY329" s="14">
        <f>LN(Table1347456[[#This Row],[rr]])</f>
        <v>-0.19560739350560441</v>
      </c>
      <c r="AZ329" s="13">
        <v>18</v>
      </c>
      <c r="BA329" s="13">
        <v>18</v>
      </c>
      <c r="BB329" s="14" t="s">
        <v>46</v>
      </c>
      <c r="BC329" s="14" t="s">
        <v>46</v>
      </c>
      <c r="BD329" s="15" t="s">
        <v>46</v>
      </c>
      <c r="BE329" s="14" t="s">
        <v>46</v>
      </c>
      <c r="BF32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29" s="17" t="s">
        <v>46</v>
      </c>
      <c r="BH329" s="13" t="s">
        <v>50</v>
      </c>
      <c r="BI329" s="13">
        <v>2.5000000000000001E-2</v>
      </c>
      <c r="BJ329" s="18">
        <f>ABS(_xlfn.NORM.S.INV(Table1347456[[#This Row],[p_value]]/2))</f>
        <v>2.2414027276049446</v>
      </c>
      <c r="BK329" s="19">
        <f>(Table1347456[[#This Row],[lnrr]]/Table1347456[[#This Row],[z_from_p]])^2</f>
        <v>7.616066719558068E-3</v>
      </c>
      <c r="BL329" s="16">
        <f>Table1347456[[#This Row],[v_from_z_from_p]]</f>
        <v>7.616066719558068E-3</v>
      </c>
      <c r="BM329" s="20">
        <f>SQRT(Table1347456[[#This Row],[v]])</f>
        <v>8.7270079176989798E-2</v>
      </c>
      <c r="BN329" s="20">
        <f>Table1347456[[#This Row],[lnrr]]-(1.96*Table1347456[[#This Row],[se]])</f>
        <v>-0.36665674869250442</v>
      </c>
      <c r="BO329" s="20">
        <f>Table1347456[[#This Row],[lnrr]]+(1.96 * Table1347456[[#This Row],[se]])</f>
        <v>-2.45580383187044E-2</v>
      </c>
    </row>
    <row r="330" spans="1:67">
      <c r="A330" s="13" t="s">
        <v>171</v>
      </c>
      <c r="B330" s="13" t="s">
        <v>172</v>
      </c>
      <c r="C330" s="13" t="s">
        <v>43</v>
      </c>
      <c r="D330" s="13" t="s">
        <v>96</v>
      </c>
      <c r="E330" s="13" t="s">
        <v>97</v>
      </c>
      <c r="F330" s="13" t="s">
        <v>588</v>
      </c>
      <c r="G330" s="13" t="s">
        <v>46</v>
      </c>
      <c r="H330" s="13">
        <v>25.3</v>
      </c>
      <c r="I330" s="13">
        <v>1450</v>
      </c>
      <c r="K330" s="13" t="s">
        <v>843</v>
      </c>
      <c r="L330" s="13" t="s">
        <v>844</v>
      </c>
      <c r="N330" s="13" t="s">
        <v>47</v>
      </c>
      <c r="O330" s="13" t="s">
        <v>645</v>
      </c>
      <c r="P330" s="13" t="s">
        <v>48</v>
      </c>
      <c r="Q330" s="13" t="s">
        <v>48</v>
      </c>
      <c r="R330" s="4">
        <v>3</v>
      </c>
      <c r="S330" s="13" t="s">
        <v>594</v>
      </c>
      <c r="T330" s="13">
        <v>120</v>
      </c>
      <c r="U330" s="4" t="s">
        <v>173</v>
      </c>
      <c r="V330" s="4">
        <v>350</v>
      </c>
      <c r="W330" s="4" t="s">
        <v>42</v>
      </c>
      <c r="X330" s="4">
        <v>511.3</v>
      </c>
      <c r="Y330" s="4">
        <v>3</v>
      </c>
      <c r="AA330" s="4" t="s">
        <v>49</v>
      </c>
      <c r="AB330" s="4">
        <v>0</v>
      </c>
      <c r="AC330" s="4" t="s">
        <v>49</v>
      </c>
      <c r="AD330" s="4">
        <v>0</v>
      </c>
      <c r="AE330" s="4" t="s">
        <v>49</v>
      </c>
      <c r="AF330" s="4">
        <v>0</v>
      </c>
      <c r="AG330" s="4" t="s">
        <v>774</v>
      </c>
      <c r="AH330" s="4" t="s">
        <v>772</v>
      </c>
      <c r="AI330" s="4" t="s">
        <v>52</v>
      </c>
      <c r="AJ330" s="13">
        <v>10</v>
      </c>
      <c r="AK330" s="13">
        <v>20</v>
      </c>
      <c r="AP330" s="13" t="s">
        <v>49</v>
      </c>
      <c r="AQ330" s="13" t="s">
        <v>49</v>
      </c>
      <c r="AR330" s="13" t="s">
        <v>49</v>
      </c>
      <c r="AS330" s="13" t="s">
        <v>50</v>
      </c>
      <c r="AT330" s="13" t="s">
        <v>990</v>
      </c>
      <c r="AU330" s="13" t="s">
        <v>998</v>
      </c>
      <c r="AV330" s="14">
        <v>1.47</v>
      </c>
      <c r="AW330" s="14">
        <v>1.1200000000000001</v>
      </c>
      <c r="AX330" s="14">
        <f>Table1347456[[#This Row],[treatment_mean]]/Table1347456[[#This Row],[control_mean]]</f>
        <v>1.3124999999999998</v>
      </c>
      <c r="AY330" s="14">
        <f>LN(Table1347456[[#This Row],[rr]])</f>
        <v>0.27193371548364159</v>
      </c>
      <c r="AZ330" s="13">
        <v>18</v>
      </c>
      <c r="BA330" s="13">
        <v>18</v>
      </c>
      <c r="BB330" s="14" t="s">
        <v>46</v>
      </c>
      <c r="BC330" s="14" t="s">
        <v>46</v>
      </c>
      <c r="BD330" s="15" t="s">
        <v>46</v>
      </c>
      <c r="BE330" s="14" t="s">
        <v>46</v>
      </c>
      <c r="BF33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30" s="17" t="s">
        <v>46</v>
      </c>
      <c r="BH330" s="13" t="s">
        <v>50</v>
      </c>
      <c r="BI330" s="13">
        <v>2.5000000000000001E-2</v>
      </c>
      <c r="BJ330" s="18">
        <f>ABS(_xlfn.NORM.S.INV(Table1347456[[#This Row],[p_value]]/2))</f>
        <v>2.2414027276049446</v>
      </c>
      <c r="BK330" s="19">
        <f>(Table1347456[[#This Row],[lnrr]]/Table1347456[[#This Row],[z_from_p]])^2</f>
        <v>1.4719271667310812E-2</v>
      </c>
      <c r="BL330" s="16">
        <f>Table1347456[[#This Row],[v_from_z_from_p]]</f>
        <v>1.4719271667310812E-2</v>
      </c>
      <c r="BM330" s="20">
        <f>SQRT(Table1347456[[#This Row],[v]])</f>
        <v>0.12132300551548668</v>
      </c>
      <c r="BN330" s="20">
        <f>Table1347456[[#This Row],[lnrr]]-(1.96*Table1347456[[#This Row],[se]])</f>
        <v>3.4140624673287712E-2</v>
      </c>
      <c r="BO330" s="20">
        <f>Table1347456[[#This Row],[lnrr]]+(1.96 * Table1347456[[#This Row],[se]])</f>
        <v>0.50972680629399547</v>
      </c>
    </row>
    <row r="331" spans="1:67">
      <c r="A331" s="13" t="s">
        <v>171</v>
      </c>
      <c r="B331" s="13" t="s">
        <v>172</v>
      </c>
      <c r="C331" s="13" t="s">
        <v>43</v>
      </c>
      <c r="D331" s="13" t="s">
        <v>96</v>
      </c>
      <c r="E331" s="13" t="s">
        <v>97</v>
      </c>
      <c r="F331" s="13" t="s">
        <v>588</v>
      </c>
      <c r="G331" s="13" t="s">
        <v>46</v>
      </c>
      <c r="H331" s="13">
        <v>25.3</v>
      </c>
      <c r="I331" s="13">
        <v>1450</v>
      </c>
      <c r="K331" s="13" t="s">
        <v>843</v>
      </c>
      <c r="L331" s="13" t="s">
        <v>844</v>
      </c>
      <c r="N331" s="13" t="s">
        <v>47</v>
      </c>
      <c r="O331" s="13" t="s">
        <v>645</v>
      </c>
      <c r="P331" s="13" t="s">
        <v>48</v>
      </c>
      <c r="Q331" s="13" t="s">
        <v>48</v>
      </c>
      <c r="R331" s="4">
        <v>3</v>
      </c>
      <c r="S331" s="13" t="s">
        <v>594</v>
      </c>
      <c r="T331" s="13">
        <v>120</v>
      </c>
      <c r="U331" s="4" t="s">
        <v>173</v>
      </c>
      <c r="V331" s="4">
        <v>350</v>
      </c>
      <c r="W331" s="4" t="s">
        <v>42</v>
      </c>
      <c r="X331" s="4">
        <v>511.3</v>
      </c>
      <c r="Y331" s="4">
        <v>6</v>
      </c>
      <c r="AA331" s="4" t="s">
        <v>49</v>
      </c>
      <c r="AB331" s="4">
        <v>0</v>
      </c>
      <c r="AC331" s="4" t="s">
        <v>49</v>
      </c>
      <c r="AD331" s="4">
        <v>0</v>
      </c>
      <c r="AE331" s="4" t="s">
        <v>49</v>
      </c>
      <c r="AF331" s="4">
        <v>0</v>
      </c>
      <c r="AG331" s="4" t="s">
        <v>774</v>
      </c>
      <c r="AH331" s="4" t="s">
        <v>772</v>
      </c>
      <c r="AI331" s="4" t="s">
        <v>52</v>
      </c>
      <c r="AJ331" s="13">
        <v>10</v>
      </c>
      <c r="AK331" s="13">
        <v>20</v>
      </c>
      <c r="AP331" s="13" t="s">
        <v>49</v>
      </c>
      <c r="AQ331" s="13" t="s">
        <v>49</v>
      </c>
      <c r="AR331" s="13" t="s">
        <v>49</v>
      </c>
      <c r="AS331" s="13" t="s">
        <v>50</v>
      </c>
      <c r="AT331" s="13" t="s">
        <v>990</v>
      </c>
      <c r="AU331" s="13" t="s">
        <v>998</v>
      </c>
      <c r="AV331" s="14">
        <v>0.53</v>
      </c>
      <c r="AW331" s="14">
        <v>1.1200000000000001</v>
      </c>
      <c r="AX331" s="14">
        <f>Table1347456[[#This Row],[treatment_mean]]/Table1347456[[#This Row],[control_mean]]</f>
        <v>0.4732142857142857</v>
      </c>
      <c r="AY331" s="14">
        <f>LN(Table1347456[[#This Row],[rr]])</f>
        <v>-0.74820695774297274</v>
      </c>
      <c r="AZ331" s="13">
        <v>18</v>
      </c>
      <c r="BA331" s="13">
        <v>18</v>
      </c>
      <c r="BB331" s="14" t="s">
        <v>46</v>
      </c>
      <c r="BC331" s="14" t="s">
        <v>46</v>
      </c>
      <c r="BD331" s="15" t="s">
        <v>46</v>
      </c>
      <c r="BE331" s="14" t="s">
        <v>46</v>
      </c>
      <c r="BF33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31" s="17" t="s">
        <v>46</v>
      </c>
      <c r="BH331" s="13" t="s">
        <v>50</v>
      </c>
      <c r="BI331" s="13">
        <v>2.5000000000000001E-2</v>
      </c>
      <c r="BJ331" s="18">
        <f>ABS(_xlfn.NORM.S.INV(Table1347456[[#This Row],[p_value]]/2))</f>
        <v>2.2414027276049446</v>
      </c>
      <c r="BK331" s="19">
        <f>(Table1347456[[#This Row],[lnrr]]/Table1347456[[#This Row],[z_from_p]])^2</f>
        <v>0.11143040083760297</v>
      </c>
      <c r="BL331" s="16">
        <f>Table1347456[[#This Row],[v_from_z_from_p]]</f>
        <v>0.11143040083760297</v>
      </c>
      <c r="BM331" s="20">
        <f>SQRT(Table1347456[[#This Row],[v]])</f>
        <v>0.33381192434903068</v>
      </c>
      <c r="BN331" s="20">
        <f>Table1347456[[#This Row],[lnrr]]-(1.96*Table1347456[[#This Row],[se]])</f>
        <v>-1.4024783294670728</v>
      </c>
      <c r="BO331" s="20">
        <f>Table1347456[[#This Row],[lnrr]]+(1.96 * Table1347456[[#This Row],[se]])</f>
        <v>-9.3935586018872641E-2</v>
      </c>
    </row>
    <row r="332" spans="1:67">
      <c r="A332" s="13" t="s">
        <v>171</v>
      </c>
      <c r="B332" s="13" t="s">
        <v>172</v>
      </c>
      <c r="C332" s="13" t="s">
        <v>43</v>
      </c>
      <c r="D332" s="13" t="s">
        <v>96</v>
      </c>
      <c r="E332" s="13" t="s">
        <v>97</v>
      </c>
      <c r="F332" s="13" t="s">
        <v>588</v>
      </c>
      <c r="G332" s="13" t="s">
        <v>46</v>
      </c>
      <c r="H332" s="13">
        <v>25.3</v>
      </c>
      <c r="I332" s="13">
        <v>1450</v>
      </c>
      <c r="K332" s="13" t="s">
        <v>843</v>
      </c>
      <c r="L332" s="13" t="s">
        <v>844</v>
      </c>
      <c r="N332" s="13" t="s">
        <v>47</v>
      </c>
      <c r="O332" s="13" t="s">
        <v>645</v>
      </c>
      <c r="P332" s="13" t="s">
        <v>48</v>
      </c>
      <c r="Q332" s="13" t="s">
        <v>48</v>
      </c>
      <c r="R332" s="4">
        <v>3</v>
      </c>
      <c r="S332" s="13" t="s">
        <v>594</v>
      </c>
      <c r="T332" s="13">
        <v>120</v>
      </c>
      <c r="U332" s="4" t="s">
        <v>173</v>
      </c>
      <c r="V332" s="4">
        <v>350</v>
      </c>
      <c r="W332" s="4" t="s">
        <v>42</v>
      </c>
      <c r="X332" s="4">
        <v>511.3</v>
      </c>
      <c r="Y332" s="4">
        <v>12</v>
      </c>
      <c r="AA332" s="4" t="s">
        <v>49</v>
      </c>
      <c r="AB332" s="4">
        <v>0</v>
      </c>
      <c r="AC332" s="4" t="s">
        <v>49</v>
      </c>
      <c r="AD332" s="4">
        <v>0</v>
      </c>
      <c r="AE332" s="4" t="s">
        <v>49</v>
      </c>
      <c r="AF332" s="4">
        <v>0</v>
      </c>
      <c r="AG332" s="4" t="s">
        <v>774</v>
      </c>
      <c r="AH332" s="4" t="s">
        <v>772</v>
      </c>
      <c r="AI332" s="4" t="s">
        <v>52</v>
      </c>
      <c r="AJ332" s="13">
        <v>10</v>
      </c>
      <c r="AK332" s="13">
        <v>20</v>
      </c>
      <c r="AP332" s="13" t="s">
        <v>49</v>
      </c>
      <c r="AQ332" s="13" t="s">
        <v>49</v>
      </c>
      <c r="AR332" s="13" t="s">
        <v>49</v>
      </c>
      <c r="AS332" s="13" t="s">
        <v>50</v>
      </c>
      <c r="AT332" s="13" t="s">
        <v>990</v>
      </c>
      <c r="AU332" s="13" t="s">
        <v>998</v>
      </c>
      <c r="AV332" s="14">
        <v>0.62</v>
      </c>
      <c r="AW332" s="14">
        <v>1.1200000000000001</v>
      </c>
      <c r="AX332" s="14">
        <f>Table1347456[[#This Row],[treatment_mean]]/Table1347456[[#This Row],[control_mean]]</f>
        <v>0.55357142857142849</v>
      </c>
      <c r="AY332" s="14">
        <f>LN(Table1347456[[#This Row],[rr]])</f>
        <v>-0.59136448625000315</v>
      </c>
      <c r="AZ332" s="13">
        <v>18</v>
      </c>
      <c r="BA332" s="13">
        <v>18</v>
      </c>
      <c r="BB332" s="14" t="s">
        <v>46</v>
      </c>
      <c r="BC332" s="14" t="s">
        <v>46</v>
      </c>
      <c r="BD332" s="15" t="s">
        <v>46</v>
      </c>
      <c r="BE332" s="14" t="s">
        <v>46</v>
      </c>
      <c r="BF33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32" s="17" t="s">
        <v>46</v>
      </c>
      <c r="BH332" s="13" t="s">
        <v>50</v>
      </c>
      <c r="BI332" s="13">
        <v>2.5000000000000001E-2</v>
      </c>
      <c r="BJ332" s="18">
        <f>ABS(_xlfn.NORM.S.INV(Table1347456[[#This Row],[p_value]]/2))</f>
        <v>2.2414027276049446</v>
      </c>
      <c r="BK332" s="19">
        <f>(Table1347456[[#This Row],[lnrr]]/Table1347456[[#This Row],[z_from_p]])^2</f>
        <v>6.9609848344243774E-2</v>
      </c>
      <c r="BL332" s="16">
        <f>Table1347456[[#This Row],[v_from_z_from_p]]</f>
        <v>6.9609848344243774E-2</v>
      </c>
      <c r="BM332" s="20">
        <f>SQRT(Table1347456[[#This Row],[v]])</f>
        <v>0.26383678353149276</v>
      </c>
      <c r="BN332" s="20">
        <f>Table1347456[[#This Row],[lnrr]]-(1.96*Table1347456[[#This Row],[se]])</f>
        <v>-1.1084845819717288</v>
      </c>
      <c r="BO332" s="20">
        <f>Table1347456[[#This Row],[lnrr]]+(1.96 * Table1347456[[#This Row],[se]])</f>
        <v>-7.424439052827736E-2</v>
      </c>
    </row>
    <row r="333" spans="1:67">
      <c r="A333" s="13" t="s">
        <v>171</v>
      </c>
      <c r="B333" s="13" t="s">
        <v>172</v>
      </c>
      <c r="C333" s="13" t="s">
        <v>43</v>
      </c>
      <c r="D333" s="13" t="s">
        <v>96</v>
      </c>
      <c r="E333" s="13" t="s">
        <v>97</v>
      </c>
      <c r="F333" s="13" t="s">
        <v>588</v>
      </c>
      <c r="G333" s="13" t="s">
        <v>46</v>
      </c>
      <c r="H333" s="13">
        <v>25.3</v>
      </c>
      <c r="I333" s="13">
        <v>1450</v>
      </c>
      <c r="K333" s="13" t="s">
        <v>843</v>
      </c>
      <c r="L333" s="13" t="s">
        <v>844</v>
      </c>
      <c r="N333" s="13" t="s">
        <v>47</v>
      </c>
      <c r="O333" s="13" t="s">
        <v>645</v>
      </c>
      <c r="P333" s="13" t="s">
        <v>48</v>
      </c>
      <c r="Q333" s="13" t="s">
        <v>48</v>
      </c>
      <c r="R333" s="4">
        <v>3</v>
      </c>
      <c r="S333" s="13" t="s">
        <v>594</v>
      </c>
      <c r="T333" s="13">
        <v>120</v>
      </c>
      <c r="U333" s="4" t="s">
        <v>173</v>
      </c>
      <c r="V333" s="4">
        <v>350</v>
      </c>
      <c r="W333" s="4" t="s">
        <v>42</v>
      </c>
      <c r="X333" s="4">
        <v>511.3</v>
      </c>
      <c r="Y333" s="4">
        <v>3</v>
      </c>
      <c r="AA333" s="4" t="s">
        <v>50</v>
      </c>
      <c r="AB333" s="4">
        <v>30</v>
      </c>
      <c r="AC333" s="4" t="s">
        <v>49</v>
      </c>
      <c r="AD333" s="4">
        <v>0</v>
      </c>
      <c r="AE333" s="4" t="s">
        <v>49</v>
      </c>
      <c r="AF333" s="4">
        <v>0</v>
      </c>
      <c r="AG333" s="4" t="s">
        <v>774</v>
      </c>
      <c r="AH333" s="4" t="s">
        <v>772</v>
      </c>
      <c r="AI333" s="4" t="s">
        <v>52</v>
      </c>
      <c r="AJ333" s="13">
        <v>10</v>
      </c>
      <c r="AK333" s="13">
        <v>20</v>
      </c>
      <c r="AP333" s="13" t="s">
        <v>49</v>
      </c>
      <c r="AQ333" s="13" t="s">
        <v>49</v>
      </c>
      <c r="AR333" s="13" t="s">
        <v>49</v>
      </c>
      <c r="AS333" s="13" t="s">
        <v>50</v>
      </c>
      <c r="AT333" s="13" t="s">
        <v>992</v>
      </c>
      <c r="AU333" s="4" t="s">
        <v>1000</v>
      </c>
      <c r="AV333" s="14">
        <v>0.95</v>
      </c>
      <c r="AW333" s="14">
        <v>0.71</v>
      </c>
      <c r="AX333" s="14">
        <f>Table1347456[[#This Row],[treatment_mean]]/Table1347456[[#This Row],[control_mean]]</f>
        <v>1.3380281690140845</v>
      </c>
      <c r="AY333" s="14">
        <f>LN(Table1347456[[#This Row],[rr]])</f>
        <v>0.29119701455922542</v>
      </c>
      <c r="AZ333" s="13">
        <v>18</v>
      </c>
      <c r="BA333" s="13">
        <v>18</v>
      </c>
      <c r="BB333" s="14" t="s">
        <v>46</v>
      </c>
      <c r="BC333" s="14" t="s">
        <v>46</v>
      </c>
      <c r="BD333" s="15" t="s">
        <v>46</v>
      </c>
      <c r="BE333" s="14" t="s">
        <v>46</v>
      </c>
      <c r="BF33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33" s="17" t="s">
        <v>46</v>
      </c>
      <c r="BH333" s="13" t="s">
        <v>50</v>
      </c>
      <c r="BI333" s="13">
        <v>2.5000000000000001E-2</v>
      </c>
      <c r="BJ333" s="18">
        <f>ABS(_xlfn.NORM.S.INV(Table1347456[[#This Row],[p_value]]/2))</f>
        <v>2.2414027276049446</v>
      </c>
      <c r="BK333" s="19">
        <f>(Table1347456[[#This Row],[lnrr]]/Table1347456[[#This Row],[z_from_p]])^2</f>
        <v>1.6878507618725828E-2</v>
      </c>
      <c r="BL333" s="16">
        <f>Table1347456[[#This Row],[v_from_z_from_p]]</f>
        <v>1.6878507618725828E-2</v>
      </c>
      <c r="BM333" s="20">
        <f>SQRT(Table1347456[[#This Row],[v]])</f>
        <v>0.12991731069694226</v>
      </c>
      <c r="BN333" s="20">
        <f>Table1347456[[#This Row],[lnrr]]-(1.96*Table1347456[[#This Row],[se]])</f>
        <v>3.6559085593218577E-2</v>
      </c>
      <c r="BO333" s="20">
        <f>Table1347456[[#This Row],[lnrr]]+(1.96 * Table1347456[[#This Row],[se]])</f>
        <v>0.54583494352523232</v>
      </c>
    </row>
    <row r="334" spans="1:67">
      <c r="A334" s="13" t="s">
        <v>171</v>
      </c>
      <c r="B334" s="13" t="s">
        <v>172</v>
      </c>
      <c r="C334" s="13" t="s">
        <v>43</v>
      </c>
      <c r="D334" s="13" t="s">
        <v>96</v>
      </c>
      <c r="E334" s="13" t="s">
        <v>97</v>
      </c>
      <c r="F334" s="13" t="s">
        <v>588</v>
      </c>
      <c r="G334" s="13" t="s">
        <v>46</v>
      </c>
      <c r="H334" s="13">
        <v>25.3</v>
      </c>
      <c r="I334" s="13">
        <v>1450</v>
      </c>
      <c r="K334" s="13" t="s">
        <v>843</v>
      </c>
      <c r="L334" s="13" t="s">
        <v>844</v>
      </c>
      <c r="N334" s="13" t="s">
        <v>47</v>
      </c>
      <c r="O334" s="13" t="s">
        <v>645</v>
      </c>
      <c r="P334" s="13" t="s">
        <v>48</v>
      </c>
      <c r="Q334" s="13" t="s">
        <v>48</v>
      </c>
      <c r="R334" s="4">
        <v>3</v>
      </c>
      <c r="S334" s="13" t="s">
        <v>594</v>
      </c>
      <c r="T334" s="13">
        <v>120</v>
      </c>
      <c r="U334" s="4" t="s">
        <v>173</v>
      </c>
      <c r="V334" s="4">
        <v>350</v>
      </c>
      <c r="W334" s="4" t="s">
        <v>42</v>
      </c>
      <c r="X334" s="4">
        <v>511.3</v>
      </c>
      <c r="Y334" s="4">
        <v>6</v>
      </c>
      <c r="AA334" s="4" t="s">
        <v>50</v>
      </c>
      <c r="AB334" s="4">
        <v>60</v>
      </c>
      <c r="AC334" s="4" t="s">
        <v>49</v>
      </c>
      <c r="AD334" s="4">
        <v>0</v>
      </c>
      <c r="AE334" s="4" t="s">
        <v>49</v>
      </c>
      <c r="AF334" s="4">
        <v>0</v>
      </c>
      <c r="AG334" s="4" t="s">
        <v>774</v>
      </c>
      <c r="AH334" s="4" t="s">
        <v>772</v>
      </c>
      <c r="AI334" s="4" t="s">
        <v>52</v>
      </c>
      <c r="AJ334" s="13">
        <v>10</v>
      </c>
      <c r="AK334" s="13">
        <v>20</v>
      </c>
      <c r="AP334" s="13" t="s">
        <v>49</v>
      </c>
      <c r="AQ334" s="13" t="s">
        <v>49</v>
      </c>
      <c r="AR334" s="13" t="s">
        <v>49</v>
      </c>
      <c r="AS334" s="13" t="s">
        <v>50</v>
      </c>
      <c r="AT334" s="13" t="s">
        <v>992</v>
      </c>
      <c r="AU334" s="4" t="s">
        <v>1000</v>
      </c>
      <c r="AV334" s="14">
        <v>0.93</v>
      </c>
      <c r="AW334" s="14">
        <v>0.71</v>
      </c>
      <c r="AX334" s="14">
        <f>Table1347456[[#This Row],[treatment_mean]]/Table1347456[[#This Row],[control_mean]]</f>
        <v>1.3098591549295775</v>
      </c>
      <c r="AY334" s="14">
        <f>LN(Table1347456[[#This Row],[rr]])</f>
        <v>0.26991961611194054</v>
      </c>
      <c r="AZ334" s="13">
        <v>18</v>
      </c>
      <c r="BA334" s="13">
        <v>18</v>
      </c>
      <c r="BB334" s="14" t="s">
        <v>46</v>
      </c>
      <c r="BC334" s="14" t="s">
        <v>46</v>
      </c>
      <c r="BD334" s="15" t="s">
        <v>46</v>
      </c>
      <c r="BE334" s="14" t="s">
        <v>46</v>
      </c>
      <c r="BF33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34" s="17" t="s">
        <v>46</v>
      </c>
      <c r="BH334" s="13" t="s">
        <v>50</v>
      </c>
      <c r="BI334" s="13">
        <v>2.5000000000000001E-2</v>
      </c>
      <c r="BJ334" s="18">
        <f>ABS(_xlfn.NORM.S.INV(Table1347456[[#This Row],[p_value]]/2))</f>
        <v>2.2414027276049446</v>
      </c>
      <c r="BK334" s="19">
        <f>(Table1347456[[#This Row],[lnrr]]/Table1347456[[#This Row],[z_from_p]])^2</f>
        <v>1.4502040142943005E-2</v>
      </c>
      <c r="BL334" s="16">
        <f>Table1347456[[#This Row],[v_from_z_from_p]]</f>
        <v>1.4502040142943005E-2</v>
      </c>
      <c r="BM334" s="20">
        <f>SQRT(Table1347456[[#This Row],[v]])</f>
        <v>0.12042441672245295</v>
      </c>
      <c r="BN334" s="20">
        <f>Table1347456[[#This Row],[lnrr]]-(1.96*Table1347456[[#This Row],[se]])</f>
        <v>3.3887759335932771E-2</v>
      </c>
      <c r="BO334" s="20">
        <f>Table1347456[[#This Row],[lnrr]]+(1.96 * Table1347456[[#This Row],[se]])</f>
        <v>0.50595147288794828</v>
      </c>
    </row>
    <row r="335" spans="1:67">
      <c r="A335" s="13" t="s">
        <v>171</v>
      </c>
      <c r="B335" s="13" t="s">
        <v>172</v>
      </c>
      <c r="C335" s="13" t="s">
        <v>43</v>
      </c>
      <c r="D335" s="13" t="s">
        <v>96</v>
      </c>
      <c r="E335" s="13" t="s">
        <v>97</v>
      </c>
      <c r="F335" s="13" t="s">
        <v>588</v>
      </c>
      <c r="G335" s="13" t="s">
        <v>46</v>
      </c>
      <c r="H335" s="13">
        <v>25.3</v>
      </c>
      <c r="I335" s="13">
        <v>1450</v>
      </c>
      <c r="K335" s="13" t="s">
        <v>843</v>
      </c>
      <c r="L335" s="13" t="s">
        <v>844</v>
      </c>
      <c r="N335" s="13" t="s">
        <v>47</v>
      </c>
      <c r="O335" s="13" t="s">
        <v>645</v>
      </c>
      <c r="P335" s="13" t="s">
        <v>48</v>
      </c>
      <c r="Q335" s="13" t="s">
        <v>48</v>
      </c>
      <c r="R335" s="4">
        <v>3</v>
      </c>
      <c r="S335" s="13" t="s">
        <v>594</v>
      </c>
      <c r="T335" s="13">
        <v>120</v>
      </c>
      <c r="U335" s="4" t="s">
        <v>173</v>
      </c>
      <c r="V335" s="4">
        <v>350</v>
      </c>
      <c r="W335" s="4" t="s">
        <v>42</v>
      </c>
      <c r="X335" s="4">
        <v>511.3</v>
      </c>
      <c r="Y335" s="4">
        <v>12</v>
      </c>
      <c r="AA335" s="4" t="s">
        <v>50</v>
      </c>
      <c r="AB335" s="4">
        <v>90</v>
      </c>
      <c r="AC335" s="4" t="s">
        <v>49</v>
      </c>
      <c r="AD335" s="4">
        <v>0</v>
      </c>
      <c r="AE335" s="4" t="s">
        <v>49</v>
      </c>
      <c r="AF335" s="4">
        <v>0</v>
      </c>
      <c r="AG335" s="4" t="s">
        <v>774</v>
      </c>
      <c r="AH335" s="4" t="s">
        <v>772</v>
      </c>
      <c r="AI335" s="4" t="s">
        <v>52</v>
      </c>
      <c r="AJ335" s="13">
        <v>10</v>
      </c>
      <c r="AK335" s="13">
        <v>20</v>
      </c>
      <c r="AP335" s="13" t="s">
        <v>49</v>
      </c>
      <c r="AQ335" s="13" t="s">
        <v>49</v>
      </c>
      <c r="AR335" s="13" t="s">
        <v>49</v>
      </c>
      <c r="AS335" s="13" t="s">
        <v>50</v>
      </c>
      <c r="AT335" s="13" t="s">
        <v>992</v>
      </c>
      <c r="AU335" s="4" t="s">
        <v>1000</v>
      </c>
      <c r="AV335" s="14">
        <v>1.1399999999999999</v>
      </c>
      <c r="AW335" s="14">
        <v>0.71</v>
      </c>
      <c r="AX335" s="14">
        <f>Table1347456[[#This Row],[treatment_mean]]/Table1347456[[#This Row],[control_mean]]</f>
        <v>1.6056338028169013</v>
      </c>
      <c r="AY335" s="14">
        <f>LN(Table1347456[[#This Row],[rr]])</f>
        <v>0.47351857135317993</v>
      </c>
      <c r="AZ335" s="13">
        <v>18</v>
      </c>
      <c r="BA335" s="13">
        <v>18</v>
      </c>
      <c r="BB335" s="14" t="s">
        <v>46</v>
      </c>
      <c r="BC335" s="14" t="s">
        <v>46</v>
      </c>
      <c r="BD335" s="15" t="s">
        <v>46</v>
      </c>
      <c r="BE335" s="14" t="s">
        <v>46</v>
      </c>
      <c r="BF33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35" s="17" t="s">
        <v>46</v>
      </c>
      <c r="BH335" s="13" t="s">
        <v>50</v>
      </c>
      <c r="BI335" s="13">
        <v>2.5000000000000001E-2</v>
      </c>
      <c r="BJ335" s="18">
        <f>ABS(_xlfn.NORM.S.INV(Table1347456[[#This Row],[p_value]]/2))</f>
        <v>2.2414027276049446</v>
      </c>
      <c r="BK335" s="19">
        <f>(Table1347456[[#This Row],[lnrr]]/Table1347456[[#This Row],[z_from_p]])^2</f>
        <v>4.4630755764830575E-2</v>
      </c>
      <c r="BL335" s="16">
        <f>Table1347456[[#This Row],[v_from_z_from_p]]</f>
        <v>4.4630755764830575E-2</v>
      </c>
      <c r="BM335" s="20">
        <f>SQRT(Table1347456[[#This Row],[v]])</f>
        <v>0.21125992465403981</v>
      </c>
      <c r="BN335" s="20">
        <f>Table1347456[[#This Row],[lnrr]]-(1.96*Table1347456[[#This Row],[se]])</f>
        <v>5.9449119031261932E-2</v>
      </c>
      <c r="BO335" s="20">
        <f>Table1347456[[#This Row],[lnrr]]+(1.96 * Table1347456[[#This Row],[se]])</f>
        <v>0.88758802367509793</v>
      </c>
    </row>
    <row r="336" spans="1:67">
      <c r="A336" s="13" t="s">
        <v>171</v>
      </c>
      <c r="B336" s="13" t="s">
        <v>172</v>
      </c>
      <c r="C336" s="13" t="s">
        <v>43</v>
      </c>
      <c r="D336" s="13" t="s">
        <v>96</v>
      </c>
      <c r="E336" s="13" t="s">
        <v>97</v>
      </c>
      <c r="F336" s="13" t="s">
        <v>588</v>
      </c>
      <c r="G336" s="13" t="s">
        <v>46</v>
      </c>
      <c r="H336" s="13">
        <v>25.3</v>
      </c>
      <c r="I336" s="13">
        <v>1450</v>
      </c>
      <c r="J336" s="13" t="s">
        <v>650</v>
      </c>
      <c r="K336" s="13" t="s">
        <v>843</v>
      </c>
      <c r="L336" s="13" t="s">
        <v>844</v>
      </c>
      <c r="M336" s="13" t="s">
        <v>800</v>
      </c>
      <c r="N336" s="13" t="s">
        <v>84</v>
      </c>
      <c r="O336" s="13" t="s">
        <v>644</v>
      </c>
      <c r="P336" s="13" t="s">
        <v>85</v>
      </c>
      <c r="Q336" s="13" t="s">
        <v>48</v>
      </c>
      <c r="R336" s="4">
        <v>3</v>
      </c>
      <c r="S336" s="13" t="s">
        <v>594</v>
      </c>
      <c r="T336" s="13">
        <v>120</v>
      </c>
      <c r="U336" s="4" t="s">
        <v>173</v>
      </c>
      <c r="V336" s="4">
        <v>350</v>
      </c>
      <c r="W336" s="4" t="s">
        <v>42</v>
      </c>
      <c r="X336" s="4">
        <v>511.3</v>
      </c>
      <c r="Y336" s="4">
        <v>3</v>
      </c>
      <c r="AA336" s="4" t="s">
        <v>49</v>
      </c>
      <c r="AB336" s="4">
        <v>0</v>
      </c>
      <c r="AC336" s="4" t="s">
        <v>49</v>
      </c>
      <c r="AD336" s="4">
        <v>0</v>
      </c>
      <c r="AE336" s="4" t="s">
        <v>49</v>
      </c>
      <c r="AF336" s="4">
        <v>0</v>
      </c>
      <c r="AG336" s="4" t="s">
        <v>774</v>
      </c>
      <c r="AH336" s="4" t="s">
        <v>772</v>
      </c>
      <c r="AI336" s="4" t="s">
        <v>52</v>
      </c>
      <c r="AJ336" s="13">
        <v>0</v>
      </c>
      <c r="AK336" s="13">
        <v>10</v>
      </c>
      <c r="AP336" s="13" t="s">
        <v>49</v>
      </c>
      <c r="AQ336" s="13" t="s">
        <v>49</v>
      </c>
      <c r="AR336" s="13" t="s">
        <v>49</v>
      </c>
      <c r="AS336" s="13" t="s">
        <v>50</v>
      </c>
      <c r="AT336" s="13" t="s">
        <v>990</v>
      </c>
      <c r="AU336" s="13" t="s">
        <v>998</v>
      </c>
      <c r="AV336" s="23">
        <f>82.21/1000</f>
        <v>8.2209999999999991E-2</v>
      </c>
      <c r="AW336" s="23">
        <f>53.38/1000</f>
        <v>5.3380000000000004E-2</v>
      </c>
      <c r="AX336" s="14">
        <f>Table1347456[[#This Row],[treatment_mean]]/Table1347456[[#This Row],[control_mean]]</f>
        <v>1.5400899213188457</v>
      </c>
      <c r="AY336" s="14">
        <f>LN(Table1347456[[#This Row],[rr]])</f>
        <v>0.43184080518766377</v>
      </c>
      <c r="AZ336" s="13">
        <v>18</v>
      </c>
      <c r="BA336" s="13">
        <v>18</v>
      </c>
      <c r="BB336" s="14" t="s">
        <v>46</v>
      </c>
      <c r="BC336" s="14" t="s">
        <v>46</v>
      </c>
      <c r="BD336" s="15" t="s">
        <v>46</v>
      </c>
      <c r="BE336" s="14" t="s">
        <v>46</v>
      </c>
      <c r="BF33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36" s="17" t="s">
        <v>46</v>
      </c>
      <c r="BH336" s="13" t="s">
        <v>50</v>
      </c>
      <c r="BI336" s="13">
        <v>2.5000000000000001E-2</v>
      </c>
      <c r="BJ336" s="18">
        <f>ABS(_xlfn.NORM.S.INV(Table1347456[[#This Row],[p_value]]/2))</f>
        <v>2.2414027276049446</v>
      </c>
      <c r="BK336" s="19">
        <f>(Table1347456[[#This Row],[lnrr]]/Table1347456[[#This Row],[z_from_p]])^2</f>
        <v>3.7119965316093496E-2</v>
      </c>
      <c r="BL336" s="16">
        <f>Table1347456[[#This Row],[v_from_z_from_p]]</f>
        <v>3.7119965316093496E-2</v>
      </c>
      <c r="BM336" s="20">
        <f>SQRT(Table1347456[[#This Row],[v]])</f>
        <v>0.19266542324997887</v>
      </c>
      <c r="BN336" s="20">
        <f>Table1347456[[#This Row],[lnrr]]-(1.96*Table1347456[[#This Row],[se]])</f>
        <v>5.4216575617705209E-2</v>
      </c>
      <c r="BO336" s="20">
        <f>Table1347456[[#This Row],[lnrr]]+(1.96 * Table1347456[[#This Row],[se]])</f>
        <v>0.80946503475762233</v>
      </c>
    </row>
    <row r="337" spans="1:67">
      <c r="A337" s="13" t="s">
        <v>171</v>
      </c>
      <c r="B337" s="13" t="s">
        <v>172</v>
      </c>
      <c r="C337" s="13" t="s">
        <v>43</v>
      </c>
      <c r="D337" s="13" t="s">
        <v>96</v>
      </c>
      <c r="E337" s="13" t="s">
        <v>97</v>
      </c>
      <c r="F337" s="13" t="s">
        <v>588</v>
      </c>
      <c r="G337" s="13" t="s">
        <v>46</v>
      </c>
      <c r="H337" s="13">
        <v>25.3</v>
      </c>
      <c r="I337" s="13">
        <v>1450</v>
      </c>
      <c r="J337" s="13" t="s">
        <v>650</v>
      </c>
      <c r="K337" s="13" t="s">
        <v>843</v>
      </c>
      <c r="L337" s="13" t="s">
        <v>844</v>
      </c>
      <c r="M337" s="13" t="s">
        <v>800</v>
      </c>
      <c r="N337" s="13" t="s">
        <v>84</v>
      </c>
      <c r="O337" s="13" t="s">
        <v>644</v>
      </c>
      <c r="P337" s="13" t="s">
        <v>85</v>
      </c>
      <c r="Q337" s="13" t="s">
        <v>48</v>
      </c>
      <c r="R337" s="4">
        <v>3</v>
      </c>
      <c r="S337" s="13" t="s">
        <v>594</v>
      </c>
      <c r="T337" s="13">
        <v>120</v>
      </c>
      <c r="U337" s="4" t="s">
        <v>173</v>
      </c>
      <c r="V337" s="4">
        <v>350</v>
      </c>
      <c r="W337" s="4" t="s">
        <v>42</v>
      </c>
      <c r="X337" s="4">
        <v>511.3</v>
      </c>
      <c r="Y337" s="4">
        <v>6</v>
      </c>
      <c r="AA337" s="4" t="s">
        <v>49</v>
      </c>
      <c r="AB337" s="4">
        <v>0</v>
      </c>
      <c r="AC337" s="4" t="s">
        <v>49</v>
      </c>
      <c r="AD337" s="4">
        <v>0</v>
      </c>
      <c r="AE337" s="4" t="s">
        <v>49</v>
      </c>
      <c r="AF337" s="4">
        <v>0</v>
      </c>
      <c r="AG337" s="4" t="s">
        <v>774</v>
      </c>
      <c r="AH337" s="4" t="s">
        <v>772</v>
      </c>
      <c r="AI337" s="4" t="s">
        <v>52</v>
      </c>
      <c r="AJ337" s="13">
        <v>0</v>
      </c>
      <c r="AK337" s="13">
        <v>10</v>
      </c>
      <c r="AP337" s="13" t="s">
        <v>49</v>
      </c>
      <c r="AQ337" s="13" t="s">
        <v>49</v>
      </c>
      <c r="AR337" s="13" t="s">
        <v>49</v>
      </c>
      <c r="AS337" s="13" t="s">
        <v>50</v>
      </c>
      <c r="AT337" s="13" t="s">
        <v>990</v>
      </c>
      <c r="AU337" s="13" t="s">
        <v>998</v>
      </c>
      <c r="AV337" s="23">
        <f>87.5/1000</f>
        <v>8.7499999999999994E-2</v>
      </c>
      <c r="AW337" s="23">
        <f>53.38/1000</f>
        <v>5.3380000000000004E-2</v>
      </c>
      <c r="AX337" s="14">
        <f>Table1347456[[#This Row],[treatment_mean]]/Table1347456[[#This Row],[control_mean]]</f>
        <v>1.6391907081303856</v>
      </c>
      <c r="AY337" s="14">
        <f>LN(Table1347456[[#This Row],[rr]])</f>
        <v>0.49420264938719044</v>
      </c>
      <c r="AZ337" s="13">
        <v>18</v>
      </c>
      <c r="BA337" s="13">
        <v>18</v>
      </c>
      <c r="BB337" s="14" t="s">
        <v>46</v>
      </c>
      <c r="BC337" s="14" t="s">
        <v>46</v>
      </c>
      <c r="BD337" s="15" t="s">
        <v>46</v>
      </c>
      <c r="BE337" s="14" t="s">
        <v>46</v>
      </c>
      <c r="BF33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37" s="17" t="s">
        <v>46</v>
      </c>
      <c r="BH337" s="13" t="s">
        <v>50</v>
      </c>
      <c r="BI337" s="13">
        <v>2.5000000000000001E-2</v>
      </c>
      <c r="BJ337" s="18">
        <f>ABS(_xlfn.NORM.S.INV(Table1347456[[#This Row],[p_value]]/2))</f>
        <v>2.2414027276049446</v>
      </c>
      <c r="BK337" s="19">
        <f>(Table1347456[[#This Row],[lnrr]]/Table1347456[[#This Row],[z_from_p]])^2</f>
        <v>4.8615006302890625E-2</v>
      </c>
      <c r="BL337" s="16">
        <f>Table1347456[[#This Row],[v_from_z_from_p]]</f>
        <v>4.8615006302890625E-2</v>
      </c>
      <c r="BM337" s="20">
        <f>SQRT(Table1347456[[#This Row],[v]])</f>
        <v>0.22048810920974996</v>
      </c>
      <c r="BN337" s="20">
        <f>Table1347456[[#This Row],[lnrr]]-(1.96*Table1347456[[#This Row],[se]])</f>
        <v>6.2045955336080538E-2</v>
      </c>
      <c r="BO337" s="20">
        <f>Table1347456[[#This Row],[lnrr]]+(1.96 * Table1347456[[#This Row],[se]])</f>
        <v>0.9263593434383004</v>
      </c>
    </row>
    <row r="338" spans="1:67">
      <c r="A338" s="13" t="s">
        <v>171</v>
      </c>
      <c r="B338" s="13" t="s">
        <v>172</v>
      </c>
      <c r="C338" s="13" t="s">
        <v>43</v>
      </c>
      <c r="D338" s="13" t="s">
        <v>96</v>
      </c>
      <c r="E338" s="13" t="s">
        <v>97</v>
      </c>
      <c r="F338" s="13" t="s">
        <v>588</v>
      </c>
      <c r="G338" s="13" t="s">
        <v>46</v>
      </c>
      <c r="H338" s="13">
        <v>25.3</v>
      </c>
      <c r="I338" s="13">
        <v>1450</v>
      </c>
      <c r="J338" s="13" t="s">
        <v>650</v>
      </c>
      <c r="K338" s="13" t="s">
        <v>843</v>
      </c>
      <c r="L338" s="13" t="s">
        <v>844</v>
      </c>
      <c r="M338" s="13" t="s">
        <v>800</v>
      </c>
      <c r="N338" s="13" t="s">
        <v>84</v>
      </c>
      <c r="O338" s="13" t="s">
        <v>644</v>
      </c>
      <c r="P338" s="13" t="s">
        <v>85</v>
      </c>
      <c r="Q338" s="13" t="s">
        <v>48</v>
      </c>
      <c r="R338" s="4">
        <v>3</v>
      </c>
      <c r="S338" s="13" t="s">
        <v>594</v>
      </c>
      <c r="T338" s="13">
        <v>120</v>
      </c>
      <c r="U338" s="4" t="s">
        <v>173</v>
      </c>
      <c r="V338" s="4">
        <v>350</v>
      </c>
      <c r="W338" s="4" t="s">
        <v>42</v>
      </c>
      <c r="X338" s="4">
        <v>511.3</v>
      </c>
      <c r="Y338" s="4">
        <v>12</v>
      </c>
      <c r="AA338" s="4" t="s">
        <v>49</v>
      </c>
      <c r="AB338" s="4">
        <v>0</v>
      </c>
      <c r="AC338" s="4" t="s">
        <v>49</v>
      </c>
      <c r="AD338" s="4">
        <v>0</v>
      </c>
      <c r="AE338" s="4" t="s">
        <v>49</v>
      </c>
      <c r="AF338" s="4">
        <v>0</v>
      </c>
      <c r="AG338" s="4" t="s">
        <v>774</v>
      </c>
      <c r="AH338" s="4" t="s">
        <v>772</v>
      </c>
      <c r="AI338" s="4" t="s">
        <v>52</v>
      </c>
      <c r="AJ338" s="13">
        <v>0</v>
      </c>
      <c r="AK338" s="13">
        <v>10</v>
      </c>
      <c r="AP338" s="13" t="s">
        <v>49</v>
      </c>
      <c r="AQ338" s="13" t="s">
        <v>49</v>
      </c>
      <c r="AR338" s="13" t="s">
        <v>49</v>
      </c>
      <c r="AS338" s="13" t="s">
        <v>50</v>
      </c>
      <c r="AT338" s="13" t="s">
        <v>990</v>
      </c>
      <c r="AU338" s="13" t="s">
        <v>998</v>
      </c>
      <c r="AV338" s="23">
        <f>97.96/1000</f>
        <v>9.7959999999999992E-2</v>
      </c>
      <c r="AW338" s="23">
        <f>53.38/1000</f>
        <v>5.3380000000000004E-2</v>
      </c>
      <c r="AX338" s="14">
        <f>Table1347456[[#This Row],[treatment_mean]]/Table1347456[[#This Row],[control_mean]]</f>
        <v>1.8351442487823151</v>
      </c>
      <c r="AY338" s="14">
        <f>LN(Table1347456[[#This Row],[rr]])</f>
        <v>0.60712308810758875</v>
      </c>
      <c r="AZ338" s="13">
        <v>18</v>
      </c>
      <c r="BA338" s="13">
        <v>18</v>
      </c>
      <c r="BB338" s="14" t="s">
        <v>46</v>
      </c>
      <c r="BC338" s="14" t="s">
        <v>46</v>
      </c>
      <c r="BD338" s="15" t="s">
        <v>46</v>
      </c>
      <c r="BE338" s="14" t="s">
        <v>46</v>
      </c>
      <c r="BF33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38" s="17" t="s">
        <v>46</v>
      </c>
      <c r="BH338" s="13" t="s">
        <v>50</v>
      </c>
      <c r="BI338" s="13">
        <v>2.5000000000000001E-2</v>
      </c>
      <c r="BJ338" s="18">
        <f>ABS(_xlfn.NORM.S.INV(Table1347456[[#This Row],[p_value]]/2))</f>
        <v>2.2414027276049446</v>
      </c>
      <c r="BK338" s="19">
        <f>(Table1347456[[#This Row],[lnrr]]/Table1347456[[#This Row],[z_from_p]])^2</f>
        <v>7.3369186794874364E-2</v>
      </c>
      <c r="BL338" s="16">
        <f>Table1347456[[#This Row],[v_from_z_from_p]]</f>
        <v>7.3369186794874364E-2</v>
      </c>
      <c r="BM338" s="20">
        <f>SQRT(Table1347456[[#This Row],[v]])</f>
        <v>0.27086747090574453</v>
      </c>
      <c r="BN338" s="20">
        <f>Table1347456[[#This Row],[lnrr]]-(1.96*Table1347456[[#This Row],[se]])</f>
        <v>7.6222845132329464E-2</v>
      </c>
      <c r="BO338" s="20">
        <f>Table1347456[[#This Row],[lnrr]]+(1.96 * Table1347456[[#This Row],[se]])</f>
        <v>1.138023331082848</v>
      </c>
    </row>
    <row r="339" spans="1:67">
      <c r="A339" s="13" t="s">
        <v>171</v>
      </c>
      <c r="B339" s="13" t="s">
        <v>172</v>
      </c>
      <c r="C339" s="13" t="s">
        <v>43</v>
      </c>
      <c r="D339" s="13" t="s">
        <v>96</v>
      </c>
      <c r="E339" s="13" t="s">
        <v>97</v>
      </c>
      <c r="F339" s="13" t="s">
        <v>588</v>
      </c>
      <c r="G339" s="13" t="s">
        <v>46</v>
      </c>
      <c r="H339" s="13">
        <v>25.3</v>
      </c>
      <c r="I339" s="13">
        <v>1450</v>
      </c>
      <c r="J339" s="13" t="s">
        <v>650</v>
      </c>
      <c r="K339" s="13" t="s">
        <v>843</v>
      </c>
      <c r="L339" s="13" t="s">
        <v>844</v>
      </c>
      <c r="M339" s="13" t="s">
        <v>800</v>
      </c>
      <c r="N339" s="13" t="s">
        <v>84</v>
      </c>
      <c r="O339" s="13" t="s">
        <v>644</v>
      </c>
      <c r="P339" s="13" t="s">
        <v>85</v>
      </c>
      <c r="Q339" s="13" t="s">
        <v>48</v>
      </c>
      <c r="R339" s="4">
        <v>3</v>
      </c>
      <c r="S339" s="13" t="s">
        <v>594</v>
      </c>
      <c r="T339" s="13">
        <v>120</v>
      </c>
      <c r="U339" s="4" t="s">
        <v>173</v>
      </c>
      <c r="V339" s="4">
        <v>350</v>
      </c>
      <c r="W339" s="4" t="s">
        <v>42</v>
      </c>
      <c r="X339" s="4">
        <v>511.3</v>
      </c>
      <c r="Y339" s="4">
        <v>3</v>
      </c>
      <c r="AA339" s="4" t="s">
        <v>50</v>
      </c>
      <c r="AB339" s="4">
        <v>30</v>
      </c>
      <c r="AC339" s="4" t="s">
        <v>49</v>
      </c>
      <c r="AD339" s="4">
        <v>0</v>
      </c>
      <c r="AE339" s="4" t="s">
        <v>49</v>
      </c>
      <c r="AF339" s="4">
        <v>0</v>
      </c>
      <c r="AG339" s="4" t="s">
        <v>774</v>
      </c>
      <c r="AH339" s="4" t="s">
        <v>772</v>
      </c>
      <c r="AI339" s="4" t="s">
        <v>52</v>
      </c>
      <c r="AJ339" s="13">
        <v>0</v>
      </c>
      <c r="AK339" s="13">
        <v>10</v>
      </c>
      <c r="AP339" s="13" t="s">
        <v>49</v>
      </c>
      <c r="AQ339" s="13" t="s">
        <v>49</v>
      </c>
      <c r="AR339" s="13" t="s">
        <v>49</v>
      </c>
      <c r="AS339" s="13" t="s">
        <v>50</v>
      </c>
      <c r="AT339" s="13" t="s">
        <v>992</v>
      </c>
      <c r="AU339" s="4" t="s">
        <v>1000</v>
      </c>
      <c r="AV339" s="23">
        <f>73.66/1000</f>
        <v>7.3660000000000003E-2</v>
      </c>
      <c r="AW339" s="23">
        <f>71.03/1000</f>
        <v>7.1029999999999996E-2</v>
      </c>
      <c r="AX339" s="14">
        <f>Table1347456[[#This Row],[treatment_mean]]/Table1347456[[#This Row],[control_mean]]</f>
        <v>1.0370266084752922</v>
      </c>
      <c r="AY339" s="14">
        <f>LN(Table1347456[[#This Row],[rr]])</f>
        <v>3.6357588007200667E-2</v>
      </c>
      <c r="AZ339" s="13">
        <v>18</v>
      </c>
      <c r="BA339" s="13">
        <v>18</v>
      </c>
      <c r="BB339" s="14" t="s">
        <v>46</v>
      </c>
      <c r="BC339" s="14" t="s">
        <v>46</v>
      </c>
      <c r="BD339" s="15" t="s">
        <v>46</v>
      </c>
      <c r="BE339" s="14" t="s">
        <v>46</v>
      </c>
      <c r="BF33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39" s="17" t="s">
        <v>46</v>
      </c>
      <c r="BH339" s="13" t="s">
        <v>50</v>
      </c>
      <c r="BI339" s="13">
        <v>2.5000000000000001E-2</v>
      </c>
      <c r="BJ339" s="18">
        <f>ABS(_xlfn.NORM.S.INV(Table1347456[[#This Row],[p_value]]/2))</f>
        <v>2.2414027276049446</v>
      </c>
      <c r="BK339" s="19">
        <f>(Table1347456[[#This Row],[lnrr]]/Table1347456[[#This Row],[z_from_p]])^2</f>
        <v>2.631178646202261E-4</v>
      </c>
      <c r="BL339" s="16">
        <f>Table1347456[[#This Row],[v_from_z_from_p]]</f>
        <v>2.631178646202261E-4</v>
      </c>
      <c r="BM339" s="20">
        <f>SQRT(Table1347456[[#This Row],[v]])</f>
        <v>1.6220908255095524E-2</v>
      </c>
      <c r="BN339" s="20">
        <f>Table1347456[[#This Row],[lnrr]]-(1.96*Table1347456[[#This Row],[se]])</f>
        <v>4.5646078272134419E-3</v>
      </c>
      <c r="BO339" s="20">
        <f>Table1347456[[#This Row],[lnrr]]+(1.96 * Table1347456[[#This Row],[se]])</f>
        <v>6.8150568187187899E-2</v>
      </c>
    </row>
    <row r="340" spans="1:67">
      <c r="A340" s="13" t="s">
        <v>171</v>
      </c>
      <c r="B340" s="13" t="s">
        <v>172</v>
      </c>
      <c r="C340" s="13" t="s">
        <v>43</v>
      </c>
      <c r="D340" s="13" t="s">
        <v>96</v>
      </c>
      <c r="E340" s="13" t="s">
        <v>97</v>
      </c>
      <c r="F340" s="13" t="s">
        <v>588</v>
      </c>
      <c r="G340" s="13" t="s">
        <v>46</v>
      </c>
      <c r="H340" s="13">
        <v>25.3</v>
      </c>
      <c r="I340" s="13">
        <v>1450</v>
      </c>
      <c r="J340" s="13" t="s">
        <v>650</v>
      </c>
      <c r="K340" s="13" t="s">
        <v>843</v>
      </c>
      <c r="L340" s="13" t="s">
        <v>844</v>
      </c>
      <c r="M340" s="13" t="s">
        <v>800</v>
      </c>
      <c r="N340" s="13" t="s">
        <v>84</v>
      </c>
      <c r="O340" s="13" t="s">
        <v>644</v>
      </c>
      <c r="P340" s="13" t="s">
        <v>85</v>
      </c>
      <c r="Q340" s="13" t="s">
        <v>48</v>
      </c>
      <c r="R340" s="4">
        <v>3</v>
      </c>
      <c r="S340" s="13" t="s">
        <v>594</v>
      </c>
      <c r="T340" s="13">
        <v>120</v>
      </c>
      <c r="U340" s="4" t="s">
        <v>173</v>
      </c>
      <c r="V340" s="4">
        <v>350</v>
      </c>
      <c r="W340" s="4" t="s">
        <v>42</v>
      </c>
      <c r="X340" s="4">
        <v>511.3</v>
      </c>
      <c r="Y340" s="4">
        <v>6</v>
      </c>
      <c r="AA340" s="4" t="s">
        <v>50</v>
      </c>
      <c r="AB340" s="4">
        <v>60</v>
      </c>
      <c r="AC340" s="4" t="s">
        <v>49</v>
      </c>
      <c r="AD340" s="4">
        <v>0</v>
      </c>
      <c r="AE340" s="4" t="s">
        <v>49</v>
      </c>
      <c r="AF340" s="4">
        <v>0</v>
      </c>
      <c r="AG340" s="4" t="s">
        <v>774</v>
      </c>
      <c r="AH340" s="4" t="s">
        <v>772</v>
      </c>
      <c r="AI340" s="4" t="s">
        <v>52</v>
      </c>
      <c r="AJ340" s="13">
        <v>0</v>
      </c>
      <c r="AK340" s="13">
        <v>10</v>
      </c>
      <c r="AP340" s="13" t="s">
        <v>49</v>
      </c>
      <c r="AQ340" s="13" t="s">
        <v>49</v>
      </c>
      <c r="AR340" s="13" t="s">
        <v>49</v>
      </c>
      <c r="AS340" s="13" t="s">
        <v>50</v>
      </c>
      <c r="AT340" s="13" t="s">
        <v>992</v>
      </c>
      <c r="AU340" s="4" t="s">
        <v>1000</v>
      </c>
      <c r="AV340" s="23">
        <f>79.54/1000</f>
        <v>7.954E-2</v>
      </c>
      <c r="AW340" s="23">
        <f>71.03/1000</f>
        <v>7.1029999999999996E-2</v>
      </c>
      <c r="AX340" s="14">
        <f>Table1347456[[#This Row],[treatment_mean]]/Table1347456[[#This Row],[control_mean]]</f>
        <v>1.1198085316063635</v>
      </c>
      <c r="AY340" s="14">
        <f>LN(Table1347456[[#This Row],[rr]])</f>
        <v>0.11315771676982597</v>
      </c>
      <c r="AZ340" s="13">
        <v>18</v>
      </c>
      <c r="BA340" s="13">
        <v>18</v>
      </c>
      <c r="BB340" s="14" t="s">
        <v>46</v>
      </c>
      <c r="BC340" s="14" t="s">
        <v>46</v>
      </c>
      <c r="BD340" s="15" t="s">
        <v>46</v>
      </c>
      <c r="BE340" s="14" t="s">
        <v>46</v>
      </c>
      <c r="BF34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40" s="17" t="s">
        <v>46</v>
      </c>
      <c r="BH340" s="13" t="s">
        <v>50</v>
      </c>
      <c r="BI340" s="13">
        <v>2.5000000000000001E-2</v>
      </c>
      <c r="BJ340" s="18">
        <f>ABS(_xlfn.NORM.S.INV(Table1347456[[#This Row],[p_value]]/2))</f>
        <v>2.2414027276049446</v>
      </c>
      <c r="BK340" s="19">
        <f>(Table1347456[[#This Row],[lnrr]]/Table1347456[[#This Row],[z_from_p]])^2</f>
        <v>2.5487577518956222E-3</v>
      </c>
      <c r="BL340" s="16">
        <f>Table1347456[[#This Row],[v_from_z_from_p]]</f>
        <v>2.5487577518956222E-3</v>
      </c>
      <c r="BM340" s="20">
        <f>SQRT(Table1347456[[#This Row],[v]])</f>
        <v>5.0485223104346305E-2</v>
      </c>
      <c r="BN340" s="20">
        <f>Table1347456[[#This Row],[lnrr]]-(1.96*Table1347456[[#This Row],[se]])</f>
        <v>1.4206679485307211E-2</v>
      </c>
      <c r="BO340" s="20">
        <f>Table1347456[[#This Row],[lnrr]]+(1.96 * Table1347456[[#This Row],[se]])</f>
        <v>0.21210875405434473</v>
      </c>
    </row>
    <row r="341" spans="1:67">
      <c r="A341" s="13" t="s">
        <v>171</v>
      </c>
      <c r="B341" s="13" t="s">
        <v>172</v>
      </c>
      <c r="C341" s="13" t="s">
        <v>43</v>
      </c>
      <c r="D341" s="13" t="s">
        <v>96</v>
      </c>
      <c r="E341" s="13" t="s">
        <v>97</v>
      </c>
      <c r="F341" s="13" t="s">
        <v>588</v>
      </c>
      <c r="G341" s="13" t="s">
        <v>46</v>
      </c>
      <c r="H341" s="13">
        <v>25.3</v>
      </c>
      <c r="I341" s="13">
        <v>1450</v>
      </c>
      <c r="J341" s="13" t="s">
        <v>650</v>
      </c>
      <c r="K341" s="13" t="s">
        <v>843</v>
      </c>
      <c r="L341" s="13" t="s">
        <v>844</v>
      </c>
      <c r="M341" s="13" t="s">
        <v>800</v>
      </c>
      <c r="N341" s="13" t="s">
        <v>84</v>
      </c>
      <c r="O341" s="13" t="s">
        <v>644</v>
      </c>
      <c r="P341" s="13" t="s">
        <v>85</v>
      </c>
      <c r="Q341" s="13" t="s">
        <v>48</v>
      </c>
      <c r="R341" s="4">
        <v>3</v>
      </c>
      <c r="S341" s="13" t="s">
        <v>594</v>
      </c>
      <c r="T341" s="13">
        <v>120</v>
      </c>
      <c r="U341" s="4" t="s">
        <v>173</v>
      </c>
      <c r="V341" s="4">
        <v>350</v>
      </c>
      <c r="W341" s="4" t="s">
        <v>42</v>
      </c>
      <c r="X341" s="4">
        <v>511.3</v>
      </c>
      <c r="Y341" s="4">
        <v>12</v>
      </c>
      <c r="AA341" s="4" t="s">
        <v>50</v>
      </c>
      <c r="AB341" s="4">
        <v>90</v>
      </c>
      <c r="AC341" s="4" t="s">
        <v>49</v>
      </c>
      <c r="AD341" s="4">
        <v>0</v>
      </c>
      <c r="AE341" s="4" t="s">
        <v>49</v>
      </c>
      <c r="AF341" s="4">
        <v>0</v>
      </c>
      <c r="AG341" s="4" t="s">
        <v>774</v>
      </c>
      <c r="AH341" s="4" t="s">
        <v>772</v>
      </c>
      <c r="AI341" s="4" t="s">
        <v>52</v>
      </c>
      <c r="AJ341" s="13">
        <v>0</v>
      </c>
      <c r="AK341" s="13">
        <v>10</v>
      </c>
      <c r="AP341" s="13" t="s">
        <v>49</v>
      </c>
      <c r="AQ341" s="13" t="s">
        <v>49</v>
      </c>
      <c r="AR341" s="13" t="s">
        <v>49</v>
      </c>
      <c r="AS341" s="13" t="s">
        <v>50</v>
      </c>
      <c r="AT341" s="13" t="s">
        <v>992</v>
      </c>
      <c r="AU341" s="4" t="s">
        <v>1000</v>
      </c>
      <c r="AV341" s="23">
        <f>96.82/1000</f>
        <v>9.6819999999999989E-2</v>
      </c>
      <c r="AW341" s="23">
        <f>71.03/1000</f>
        <v>7.1029999999999996E-2</v>
      </c>
      <c r="AX341" s="14">
        <f>Table1347456[[#This Row],[treatment_mean]]/Table1347456[[#This Row],[control_mean]]</f>
        <v>1.3630860199915529</v>
      </c>
      <c r="AY341" s="14">
        <f>LN(Table1347456[[#This Row],[rr]])</f>
        <v>0.30975126150182969</v>
      </c>
      <c r="AZ341" s="13">
        <v>18</v>
      </c>
      <c r="BA341" s="13">
        <v>18</v>
      </c>
      <c r="BB341" s="14" t="s">
        <v>46</v>
      </c>
      <c r="BC341" s="14" t="s">
        <v>46</v>
      </c>
      <c r="BD341" s="15" t="s">
        <v>46</v>
      </c>
      <c r="BE341" s="14" t="s">
        <v>46</v>
      </c>
      <c r="BF34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41" s="17" t="s">
        <v>46</v>
      </c>
      <c r="BH341" s="13" t="s">
        <v>50</v>
      </c>
      <c r="BI341" s="13">
        <v>2.5000000000000001E-2</v>
      </c>
      <c r="BJ341" s="18">
        <f>ABS(_xlfn.NORM.S.INV(Table1347456[[#This Row],[p_value]]/2))</f>
        <v>2.2414027276049446</v>
      </c>
      <c r="BK341" s="19">
        <f>(Table1347456[[#This Row],[lnrr]]/Table1347456[[#This Row],[z_from_p]])^2</f>
        <v>1.9097933437312802E-2</v>
      </c>
      <c r="BL341" s="16">
        <f>Table1347456[[#This Row],[v_from_z_from_p]]</f>
        <v>1.9097933437312802E-2</v>
      </c>
      <c r="BM341" s="20">
        <f>SQRT(Table1347456[[#This Row],[v]])</f>
        <v>0.1381952728472027</v>
      </c>
      <c r="BN341" s="20">
        <f>Table1347456[[#This Row],[lnrr]]-(1.96*Table1347456[[#This Row],[se]])</f>
        <v>3.8888526721312378E-2</v>
      </c>
      <c r="BO341" s="20">
        <f>Table1347456[[#This Row],[lnrr]]+(1.96 * Table1347456[[#This Row],[se]])</f>
        <v>0.580613996282347</v>
      </c>
    </row>
    <row r="342" spans="1:67">
      <c r="A342" s="13" t="s">
        <v>171</v>
      </c>
      <c r="B342" s="13" t="s">
        <v>172</v>
      </c>
      <c r="C342" s="13" t="s">
        <v>43</v>
      </c>
      <c r="D342" s="13" t="s">
        <v>96</v>
      </c>
      <c r="E342" s="13" t="s">
        <v>97</v>
      </c>
      <c r="F342" s="13" t="s">
        <v>588</v>
      </c>
      <c r="G342" s="13" t="s">
        <v>46</v>
      </c>
      <c r="H342" s="13">
        <v>25.3</v>
      </c>
      <c r="I342" s="13">
        <v>1450</v>
      </c>
      <c r="K342" s="13" t="s">
        <v>843</v>
      </c>
      <c r="L342" s="13" t="s">
        <v>844</v>
      </c>
      <c r="N342" s="13" t="s">
        <v>86</v>
      </c>
      <c r="O342" s="13" t="s">
        <v>644</v>
      </c>
      <c r="P342" s="13" t="s">
        <v>85</v>
      </c>
      <c r="Q342" s="13" t="s">
        <v>48</v>
      </c>
      <c r="R342" s="4">
        <v>3</v>
      </c>
      <c r="S342" s="13" t="s">
        <v>594</v>
      </c>
      <c r="T342" s="13">
        <v>120</v>
      </c>
      <c r="U342" s="4" t="s">
        <v>173</v>
      </c>
      <c r="V342" s="4">
        <v>350</v>
      </c>
      <c r="W342" s="4" t="s">
        <v>42</v>
      </c>
      <c r="X342" s="4">
        <v>511.3</v>
      </c>
      <c r="Y342" s="4">
        <v>3</v>
      </c>
      <c r="AA342" s="4" t="s">
        <v>49</v>
      </c>
      <c r="AB342" s="4">
        <v>0</v>
      </c>
      <c r="AC342" s="4" t="s">
        <v>49</v>
      </c>
      <c r="AD342" s="4">
        <v>0</v>
      </c>
      <c r="AE342" s="4" t="s">
        <v>49</v>
      </c>
      <c r="AF342" s="4">
        <v>0</v>
      </c>
      <c r="AG342" s="4" t="s">
        <v>774</v>
      </c>
      <c r="AH342" s="4" t="s">
        <v>772</v>
      </c>
      <c r="AI342" s="4" t="s">
        <v>52</v>
      </c>
      <c r="AJ342" s="13">
        <v>0</v>
      </c>
      <c r="AK342" s="13">
        <v>10</v>
      </c>
      <c r="AP342" s="13" t="s">
        <v>49</v>
      </c>
      <c r="AQ342" s="13" t="s">
        <v>49</v>
      </c>
      <c r="AR342" s="13" t="s">
        <v>49</v>
      </c>
      <c r="AS342" s="13" t="s">
        <v>50</v>
      </c>
      <c r="AT342" s="13" t="s">
        <v>990</v>
      </c>
      <c r="AU342" s="13" t="s">
        <v>998</v>
      </c>
      <c r="AV342" s="14">
        <f>1.56/1000</f>
        <v>1.56E-3</v>
      </c>
      <c r="AW342" s="14">
        <f>1.61/1000</f>
        <v>1.6100000000000001E-3</v>
      </c>
      <c r="AX342" s="14">
        <f>Table1347456[[#This Row],[treatment_mean]]/Table1347456[[#This Row],[control_mean]]</f>
        <v>0.96894409937888193</v>
      </c>
      <c r="AY342" s="14">
        <f>LN(Table1347456[[#This Row],[rr]])</f>
        <v>-3.1548357734926008E-2</v>
      </c>
      <c r="AZ342" s="13">
        <v>18</v>
      </c>
      <c r="BA342" s="13">
        <v>18</v>
      </c>
      <c r="BB342" s="14" t="s">
        <v>46</v>
      </c>
      <c r="BC342" s="14" t="s">
        <v>46</v>
      </c>
      <c r="BD342" s="15" t="s">
        <v>46</v>
      </c>
      <c r="BE342" s="14" t="s">
        <v>46</v>
      </c>
      <c r="BF34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42" s="17" t="s">
        <v>46</v>
      </c>
      <c r="BH342" s="13" t="s">
        <v>50</v>
      </c>
      <c r="BI342" s="13">
        <v>2.5000000000000001E-2</v>
      </c>
      <c r="BJ342" s="18">
        <f>ABS(_xlfn.NORM.S.INV(Table1347456[[#This Row],[p_value]]/2))</f>
        <v>2.2414027276049446</v>
      </c>
      <c r="BK342" s="19">
        <f>(Table1347456[[#This Row],[lnrr]]/Table1347456[[#This Row],[z_from_p]])^2</f>
        <v>1.9811334068115557E-4</v>
      </c>
      <c r="BL342" s="16">
        <f>Table1347456[[#This Row],[v_from_z_from_p]]</f>
        <v>1.9811334068115557E-4</v>
      </c>
      <c r="BM342" s="20">
        <f>SQRT(Table1347456[[#This Row],[v]])</f>
        <v>1.4075274089024184E-2</v>
      </c>
      <c r="BN342" s="20">
        <f>Table1347456[[#This Row],[lnrr]]-(1.96*Table1347456[[#This Row],[se]])</f>
        <v>-5.913589494941341E-2</v>
      </c>
      <c r="BO342" s="20">
        <f>Table1347456[[#This Row],[lnrr]]+(1.96 * Table1347456[[#This Row],[se]])</f>
        <v>-3.9608205204386057E-3</v>
      </c>
    </row>
    <row r="343" spans="1:67">
      <c r="A343" s="13" t="s">
        <v>171</v>
      </c>
      <c r="B343" s="13" t="s">
        <v>172</v>
      </c>
      <c r="C343" s="13" t="s">
        <v>43</v>
      </c>
      <c r="D343" s="13" t="s">
        <v>96</v>
      </c>
      <c r="E343" s="13" t="s">
        <v>97</v>
      </c>
      <c r="F343" s="13" t="s">
        <v>588</v>
      </c>
      <c r="G343" s="13" t="s">
        <v>46</v>
      </c>
      <c r="H343" s="13">
        <v>25.3</v>
      </c>
      <c r="I343" s="13">
        <v>1450</v>
      </c>
      <c r="K343" s="13" t="s">
        <v>843</v>
      </c>
      <c r="L343" s="13" t="s">
        <v>844</v>
      </c>
      <c r="N343" s="13" t="s">
        <v>86</v>
      </c>
      <c r="O343" s="13" t="s">
        <v>644</v>
      </c>
      <c r="P343" s="13" t="s">
        <v>85</v>
      </c>
      <c r="Q343" s="13" t="s">
        <v>48</v>
      </c>
      <c r="R343" s="4">
        <v>3</v>
      </c>
      <c r="S343" s="13" t="s">
        <v>594</v>
      </c>
      <c r="T343" s="13">
        <v>120</v>
      </c>
      <c r="U343" s="4" t="s">
        <v>173</v>
      </c>
      <c r="V343" s="4">
        <v>350</v>
      </c>
      <c r="W343" s="4" t="s">
        <v>42</v>
      </c>
      <c r="X343" s="4">
        <v>511.3</v>
      </c>
      <c r="Y343" s="4">
        <v>6</v>
      </c>
      <c r="AA343" s="4" t="s">
        <v>49</v>
      </c>
      <c r="AB343" s="4">
        <v>0</v>
      </c>
      <c r="AC343" s="4" t="s">
        <v>49</v>
      </c>
      <c r="AD343" s="4">
        <v>0</v>
      </c>
      <c r="AE343" s="4" t="s">
        <v>49</v>
      </c>
      <c r="AF343" s="4">
        <v>0</v>
      </c>
      <c r="AG343" s="4" t="s">
        <v>774</v>
      </c>
      <c r="AH343" s="4" t="s">
        <v>772</v>
      </c>
      <c r="AI343" s="4" t="s">
        <v>52</v>
      </c>
      <c r="AJ343" s="13">
        <v>0</v>
      </c>
      <c r="AK343" s="13">
        <v>10</v>
      </c>
      <c r="AP343" s="13" t="s">
        <v>49</v>
      </c>
      <c r="AQ343" s="13" t="s">
        <v>49</v>
      </c>
      <c r="AR343" s="13" t="s">
        <v>49</v>
      </c>
      <c r="AS343" s="13" t="s">
        <v>50</v>
      </c>
      <c r="AT343" s="13" t="s">
        <v>990</v>
      </c>
      <c r="AU343" s="13" t="s">
        <v>998</v>
      </c>
      <c r="AV343" s="14">
        <f>1.47/1000</f>
        <v>1.47E-3</v>
      </c>
      <c r="AW343" s="14">
        <f>1.61/1000</f>
        <v>1.6100000000000001E-3</v>
      </c>
      <c r="AX343" s="14">
        <f>Table1347456[[#This Row],[treatment_mean]]/Table1347456[[#This Row],[control_mean]]</f>
        <v>0.91304347826086951</v>
      </c>
      <c r="AY343" s="14">
        <f>LN(Table1347456[[#This Row],[rr]])</f>
        <v>-9.0971778205726758E-2</v>
      </c>
      <c r="AZ343" s="13">
        <v>18</v>
      </c>
      <c r="BA343" s="13">
        <v>18</v>
      </c>
      <c r="BB343" s="14" t="s">
        <v>46</v>
      </c>
      <c r="BC343" s="14" t="s">
        <v>46</v>
      </c>
      <c r="BD343" s="15" t="s">
        <v>46</v>
      </c>
      <c r="BE343" s="14" t="s">
        <v>46</v>
      </c>
      <c r="BF34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43" s="17" t="s">
        <v>46</v>
      </c>
      <c r="BH343" s="13" t="s">
        <v>50</v>
      </c>
      <c r="BI343" s="13">
        <v>2.5000000000000001E-2</v>
      </c>
      <c r="BJ343" s="18">
        <f>ABS(_xlfn.NORM.S.INV(Table1347456[[#This Row],[p_value]]/2))</f>
        <v>2.2414027276049446</v>
      </c>
      <c r="BK343" s="19">
        <f>(Table1347456[[#This Row],[lnrr]]/Table1347456[[#This Row],[z_from_p]])^2</f>
        <v>1.6473033268166329E-3</v>
      </c>
      <c r="BL343" s="16">
        <f>Table1347456[[#This Row],[v_from_z_from_p]]</f>
        <v>1.6473033268166329E-3</v>
      </c>
      <c r="BM343" s="20">
        <f>SQRT(Table1347456[[#This Row],[v]])</f>
        <v>4.058698469727251E-2</v>
      </c>
      <c r="BN343" s="20">
        <f>Table1347456[[#This Row],[lnrr]]-(1.96*Table1347456[[#This Row],[se]])</f>
        <v>-0.17052226821238087</v>
      </c>
      <c r="BO343" s="20">
        <f>Table1347456[[#This Row],[lnrr]]+(1.96 * Table1347456[[#This Row],[se]])</f>
        <v>-1.1421288199072635E-2</v>
      </c>
    </row>
    <row r="344" spans="1:67">
      <c r="A344" s="13" t="s">
        <v>171</v>
      </c>
      <c r="B344" s="13" t="s">
        <v>172</v>
      </c>
      <c r="C344" s="13" t="s">
        <v>43</v>
      </c>
      <c r="D344" s="13" t="s">
        <v>96</v>
      </c>
      <c r="E344" s="13" t="s">
        <v>97</v>
      </c>
      <c r="F344" s="13" t="s">
        <v>588</v>
      </c>
      <c r="G344" s="13" t="s">
        <v>46</v>
      </c>
      <c r="H344" s="13">
        <v>25.3</v>
      </c>
      <c r="I344" s="13">
        <v>1450</v>
      </c>
      <c r="K344" s="13" t="s">
        <v>843</v>
      </c>
      <c r="L344" s="13" t="s">
        <v>844</v>
      </c>
      <c r="N344" s="13" t="s">
        <v>86</v>
      </c>
      <c r="O344" s="13" t="s">
        <v>644</v>
      </c>
      <c r="P344" s="13" t="s">
        <v>85</v>
      </c>
      <c r="Q344" s="13" t="s">
        <v>48</v>
      </c>
      <c r="R344" s="4">
        <v>3</v>
      </c>
      <c r="S344" s="13" t="s">
        <v>594</v>
      </c>
      <c r="T344" s="13">
        <v>120</v>
      </c>
      <c r="U344" s="4" t="s">
        <v>173</v>
      </c>
      <c r="V344" s="4">
        <v>350</v>
      </c>
      <c r="W344" s="4" t="s">
        <v>42</v>
      </c>
      <c r="X344" s="4">
        <v>511.3</v>
      </c>
      <c r="Y344" s="4">
        <v>12</v>
      </c>
      <c r="AA344" s="4" t="s">
        <v>49</v>
      </c>
      <c r="AB344" s="4">
        <v>0</v>
      </c>
      <c r="AC344" s="4" t="s">
        <v>49</v>
      </c>
      <c r="AD344" s="4">
        <v>0</v>
      </c>
      <c r="AE344" s="4" t="s">
        <v>49</v>
      </c>
      <c r="AF344" s="4">
        <v>0</v>
      </c>
      <c r="AG344" s="4" t="s">
        <v>774</v>
      </c>
      <c r="AH344" s="4" t="s">
        <v>772</v>
      </c>
      <c r="AI344" s="4" t="s">
        <v>52</v>
      </c>
      <c r="AJ344" s="13">
        <v>0</v>
      </c>
      <c r="AK344" s="13">
        <v>10</v>
      </c>
      <c r="AP344" s="13" t="s">
        <v>49</v>
      </c>
      <c r="AQ344" s="13" t="s">
        <v>49</v>
      </c>
      <c r="AR344" s="13" t="s">
        <v>49</v>
      </c>
      <c r="AS344" s="13" t="s">
        <v>50</v>
      </c>
      <c r="AT344" s="13" t="s">
        <v>990</v>
      </c>
      <c r="AU344" s="13" t="s">
        <v>998</v>
      </c>
      <c r="AV344" s="14">
        <f>1.9/1000</f>
        <v>1.9E-3</v>
      </c>
      <c r="AW344" s="14">
        <f>1.61/1000</f>
        <v>1.6100000000000001E-3</v>
      </c>
      <c r="AX344" s="14">
        <f>Table1347456[[#This Row],[treatment_mean]]/Table1347456[[#This Row],[control_mean]]</f>
        <v>1.1801242236024845</v>
      </c>
      <c r="AY344" s="14">
        <f>LN(Table1347456[[#This Row],[rr]])</f>
        <v>0.16561970717602315</v>
      </c>
      <c r="AZ344" s="13">
        <v>18</v>
      </c>
      <c r="BA344" s="13">
        <v>18</v>
      </c>
      <c r="BB344" s="14" t="s">
        <v>46</v>
      </c>
      <c r="BC344" s="14" t="s">
        <v>46</v>
      </c>
      <c r="BD344" s="15" t="s">
        <v>46</v>
      </c>
      <c r="BE344" s="14" t="s">
        <v>46</v>
      </c>
      <c r="BF34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44" s="17" t="s">
        <v>46</v>
      </c>
      <c r="BH344" s="13" t="s">
        <v>50</v>
      </c>
      <c r="BI344" s="13">
        <v>2.5000000000000001E-2</v>
      </c>
      <c r="BJ344" s="18">
        <f>ABS(_xlfn.NORM.S.INV(Table1347456[[#This Row],[p_value]]/2))</f>
        <v>2.2414027276049446</v>
      </c>
      <c r="BK344" s="19">
        <f>(Table1347456[[#This Row],[lnrr]]/Table1347456[[#This Row],[z_from_p]])^2</f>
        <v>5.459894269565866E-3</v>
      </c>
      <c r="BL344" s="16">
        <f>Table1347456[[#This Row],[v_from_z_from_p]]</f>
        <v>5.459894269565866E-3</v>
      </c>
      <c r="BM344" s="20">
        <f>SQRT(Table1347456[[#This Row],[v]])</f>
        <v>7.3891097363389224E-2</v>
      </c>
      <c r="BN344" s="20">
        <f>Table1347456[[#This Row],[lnrr]]-(1.96*Table1347456[[#This Row],[se]])</f>
        <v>2.0793156343780261E-2</v>
      </c>
      <c r="BO344" s="20">
        <f>Table1347456[[#This Row],[lnrr]]+(1.96 * Table1347456[[#This Row],[se]])</f>
        <v>0.31044625800826603</v>
      </c>
    </row>
    <row r="345" spans="1:67">
      <c r="A345" s="13" t="s">
        <v>171</v>
      </c>
      <c r="B345" s="13" t="s">
        <v>172</v>
      </c>
      <c r="C345" s="13" t="s">
        <v>43</v>
      </c>
      <c r="D345" s="13" t="s">
        <v>96</v>
      </c>
      <c r="E345" s="13" t="s">
        <v>97</v>
      </c>
      <c r="F345" s="13" t="s">
        <v>588</v>
      </c>
      <c r="G345" s="13" t="s">
        <v>46</v>
      </c>
      <c r="H345" s="13">
        <v>25.3</v>
      </c>
      <c r="I345" s="13">
        <v>1450</v>
      </c>
      <c r="K345" s="13" t="s">
        <v>843</v>
      </c>
      <c r="L345" s="13" t="s">
        <v>844</v>
      </c>
      <c r="N345" s="13" t="s">
        <v>86</v>
      </c>
      <c r="O345" s="13" t="s">
        <v>644</v>
      </c>
      <c r="P345" s="13" t="s">
        <v>85</v>
      </c>
      <c r="Q345" s="13" t="s">
        <v>48</v>
      </c>
      <c r="R345" s="4">
        <v>3</v>
      </c>
      <c r="S345" s="13" t="s">
        <v>594</v>
      </c>
      <c r="T345" s="13">
        <v>120</v>
      </c>
      <c r="U345" s="4" t="s">
        <v>173</v>
      </c>
      <c r="V345" s="4">
        <v>350</v>
      </c>
      <c r="W345" s="4" t="s">
        <v>42</v>
      </c>
      <c r="X345" s="4">
        <v>511.3</v>
      </c>
      <c r="Y345" s="4">
        <v>3</v>
      </c>
      <c r="AA345" s="4" t="s">
        <v>50</v>
      </c>
      <c r="AB345" s="4">
        <v>30</v>
      </c>
      <c r="AC345" s="4" t="s">
        <v>49</v>
      </c>
      <c r="AD345" s="4">
        <v>0</v>
      </c>
      <c r="AE345" s="4" t="s">
        <v>49</v>
      </c>
      <c r="AF345" s="4">
        <v>0</v>
      </c>
      <c r="AG345" s="4" t="s">
        <v>774</v>
      </c>
      <c r="AH345" s="4" t="s">
        <v>772</v>
      </c>
      <c r="AI345" s="4" t="s">
        <v>52</v>
      </c>
      <c r="AJ345" s="13">
        <v>0</v>
      </c>
      <c r="AK345" s="13">
        <v>10</v>
      </c>
      <c r="AP345" s="13" t="s">
        <v>49</v>
      </c>
      <c r="AQ345" s="13" t="s">
        <v>49</v>
      </c>
      <c r="AR345" s="13" t="s">
        <v>49</v>
      </c>
      <c r="AS345" s="13" t="s">
        <v>50</v>
      </c>
      <c r="AT345" s="13" t="s">
        <v>992</v>
      </c>
      <c r="AU345" s="4" t="s">
        <v>1000</v>
      </c>
      <c r="AV345" s="14">
        <f>1.55/1000</f>
        <v>1.5499999999999999E-3</v>
      </c>
      <c r="AW345" s="14">
        <f>1.45/1000</f>
        <v>1.4499999999999999E-3</v>
      </c>
      <c r="AX345" s="14">
        <f>Table1347456[[#This Row],[treatment_mean]]/Table1347456[[#This Row],[control_mean]]</f>
        <v>1.0689655172413794</v>
      </c>
      <c r="AY345" s="14">
        <f>LN(Table1347456[[#This Row],[rr]])</f>
        <v>6.6691374498672351E-2</v>
      </c>
      <c r="AZ345" s="13">
        <v>18</v>
      </c>
      <c r="BA345" s="13">
        <v>18</v>
      </c>
      <c r="BB345" s="14" t="s">
        <v>46</v>
      </c>
      <c r="BC345" s="14" t="s">
        <v>46</v>
      </c>
      <c r="BD345" s="15" t="s">
        <v>46</v>
      </c>
      <c r="BE345" s="14" t="s">
        <v>46</v>
      </c>
      <c r="BF34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45" s="17" t="s">
        <v>46</v>
      </c>
      <c r="BH345" s="13" t="s">
        <v>50</v>
      </c>
      <c r="BI345" s="13">
        <v>2.5000000000000001E-2</v>
      </c>
      <c r="BJ345" s="18">
        <f>ABS(_xlfn.NORM.S.INV(Table1347456[[#This Row],[p_value]]/2))</f>
        <v>2.2414027276049446</v>
      </c>
      <c r="BK345" s="19">
        <f>(Table1347456[[#This Row],[lnrr]]/Table1347456[[#This Row],[z_from_p]])^2</f>
        <v>8.8531850975297384E-4</v>
      </c>
      <c r="BL345" s="16">
        <f>Table1347456[[#This Row],[v_from_z_from_p]]</f>
        <v>8.8531850975297384E-4</v>
      </c>
      <c r="BM345" s="20">
        <f>SQRT(Table1347456[[#This Row],[v]])</f>
        <v>2.9754302373824426E-2</v>
      </c>
      <c r="BN345" s="20">
        <f>Table1347456[[#This Row],[lnrr]]-(1.96*Table1347456[[#This Row],[se]])</f>
        <v>8.3729418459764782E-3</v>
      </c>
      <c r="BO345" s="20">
        <f>Table1347456[[#This Row],[lnrr]]+(1.96 * Table1347456[[#This Row],[se]])</f>
        <v>0.12500980715136822</v>
      </c>
    </row>
    <row r="346" spans="1:67">
      <c r="A346" s="13" t="s">
        <v>171</v>
      </c>
      <c r="B346" s="13" t="s">
        <v>172</v>
      </c>
      <c r="C346" s="13" t="s">
        <v>43</v>
      </c>
      <c r="D346" s="13" t="s">
        <v>96</v>
      </c>
      <c r="E346" s="13" t="s">
        <v>97</v>
      </c>
      <c r="F346" s="13" t="s">
        <v>588</v>
      </c>
      <c r="G346" s="13" t="s">
        <v>46</v>
      </c>
      <c r="H346" s="13">
        <v>25.3</v>
      </c>
      <c r="I346" s="13">
        <v>1450</v>
      </c>
      <c r="K346" s="13" t="s">
        <v>843</v>
      </c>
      <c r="L346" s="13" t="s">
        <v>844</v>
      </c>
      <c r="N346" s="13" t="s">
        <v>86</v>
      </c>
      <c r="O346" s="13" t="s">
        <v>644</v>
      </c>
      <c r="P346" s="13" t="s">
        <v>85</v>
      </c>
      <c r="Q346" s="13" t="s">
        <v>48</v>
      </c>
      <c r="R346" s="4">
        <v>3</v>
      </c>
      <c r="S346" s="13" t="s">
        <v>594</v>
      </c>
      <c r="T346" s="13">
        <v>120</v>
      </c>
      <c r="U346" s="4" t="s">
        <v>173</v>
      </c>
      <c r="V346" s="4">
        <v>350</v>
      </c>
      <c r="W346" s="4" t="s">
        <v>42</v>
      </c>
      <c r="X346" s="4">
        <v>511.3</v>
      </c>
      <c r="Y346" s="4">
        <v>6</v>
      </c>
      <c r="AA346" s="4" t="s">
        <v>50</v>
      </c>
      <c r="AB346" s="4">
        <v>60</v>
      </c>
      <c r="AC346" s="4" t="s">
        <v>49</v>
      </c>
      <c r="AD346" s="4">
        <v>0</v>
      </c>
      <c r="AE346" s="4" t="s">
        <v>49</v>
      </c>
      <c r="AF346" s="4">
        <v>0</v>
      </c>
      <c r="AG346" s="4" t="s">
        <v>774</v>
      </c>
      <c r="AH346" s="4" t="s">
        <v>772</v>
      </c>
      <c r="AI346" s="4" t="s">
        <v>52</v>
      </c>
      <c r="AJ346" s="13">
        <v>0</v>
      </c>
      <c r="AK346" s="13">
        <v>10</v>
      </c>
      <c r="AP346" s="13" t="s">
        <v>49</v>
      </c>
      <c r="AQ346" s="13" t="s">
        <v>49</v>
      </c>
      <c r="AR346" s="13" t="s">
        <v>49</v>
      </c>
      <c r="AS346" s="13" t="s">
        <v>50</v>
      </c>
      <c r="AT346" s="13" t="s">
        <v>992</v>
      </c>
      <c r="AU346" s="4" t="s">
        <v>1000</v>
      </c>
      <c r="AV346" s="14">
        <f>1.68/1000</f>
        <v>1.6799999999999999E-3</v>
      </c>
      <c r="AW346" s="14">
        <f>1.45/1000</f>
        <v>1.4499999999999999E-3</v>
      </c>
      <c r="AX346" s="14">
        <f>Table1347456[[#This Row],[treatment_mean]]/Table1347456[[#This Row],[control_mean]]</f>
        <v>1.1586206896551723</v>
      </c>
      <c r="AY346" s="14">
        <f>LN(Table1347456[[#This Row],[rr]])</f>
        <v>0.14723023698268442</v>
      </c>
      <c r="AZ346" s="13">
        <v>18</v>
      </c>
      <c r="BA346" s="13">
        <v>18</v>
      </c>
      <c r="BB346" s="14" t="s">
        <v>46</v>
      </c>
      <c r="BC346" s="14" t="s">
        <v>46</v>
      </c>
      <c r="BD346" s="15" t="s">
        <v>46</v>
      </c>
      <c r="BE346" s="14" t="s">
        <v>46</v>
      </c>
      <c r="BF34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46" s="17" t="s">
        <v>46</v>
      </c>
      <c r="BH346" s="13" t="s">
        <v>50</v>
      </c>
      <c r="BI346" s="13">
        <v>2.5000000000000001E-2</v>
      </c>
      <c r="BJ346" s="18">
        <f>ABS(_xlfn.NORM.S.INV(Table1347456[[#This Row],[p_value]]/2))</f>
        <v>2.2414027276049446</v>
      </c>
      <c r="BK346" s="19">
        <f>(Table1347456[[#This Row],[lnrr]]/Table1347456[[#This Row],[z_from_p]])^2</f>
        <v>4.3147360178481626E-3</v>
      </c>
      <c r="BL346" s="16">
        <f>Table1347456[[#This Row],[v_from_z_from_p]]</f>
        <v>4.3147360178481626E-3</v>
      </c>
      <c r="BM346" s="20">
        <f>SQRT(Table1347456[[#This Row],[v]])</f>
        <v>6.5686650225507487E-2</v>
      </c>
      <c r="BN346" s="20">
        <f>Table1347456[[#This Row],[lnrr]]-(1.96*Table1347456[[#This Row],[se]])</f>
        <v>1.8484402540689754E-2</v>
      </c>
      <c r="BO346" s="20">
        <f>Table1347456[[#This Row],[lnrr]]+(1.96 * Table1347456[[#This Row],[se]])</f>
        <v>0.27597607142467906</v>
      </c>
    </row>
    <row r="347" spans="1:67">
      <c r="A347" s="13" t="s">
        <v>171</v>
      </c>
      <c r="B347" s="13" t="s">
        <v>172</v>
      </c>
      <c r="C347" s="13" t="s">
        <v>43</v>
      </c>
      <c r="D347" s="13" t="s">
        <v>96</v>
      </c>
      <c r="E347" s="13" t="s">
        <v>97</v>
      </c>
      <c r="F347" s="13" t="s">
        <v>588</v>
      </c>
      <c r="G347" s="13" t="s">
        <v>46</v>
      </c>
      <c r="H347" s="13">
        <v>25.3</v>
      </c>
      <c r="I347" s="13">
        <v>1450</v>
      </c>
      <c r="K347" s="13" t="s">
        <v>843</v>
      </c>
      <c r="L347" s="13" t="s">
        <v>844</v>
      </c>
      <c r="N347" s="13" t="s">
        <v>86</v>
      </c>
      <c r="O347" s="13" t="s">
        <v>644</v>
      </c>
      <c r="P347" s="13" t="s">
        <v>85</v>
      </c>
      <c r="Q347" s="13" t="s">
        <v>48</v>
      </c>
      <c r="R347" s="4">
        <v>3</v>
      </c>
      <c r="S347" s="13" t="s">
        <v>594</v>
      </c>
      <c r="T347" s="13">
        <v>120</v>
      </c>
      <c r="U347" s="4" t="s">
        <v>173</v>
      </c>
      <c r="V347" s="4">
        <v>350</v>
      </c>
      <c r="W347" s="4" t="s">
        <v>42</v>
      </c>
      <c r="X347" s="4">
        <v>511.3</v>
      </c>
      <c r="Y347" s="4">
        <v>12</v>
      </c>
      <c r="AA347" s="4" t="s">
        <v>50</v>
      </c>
      <c r="AB347" s="4">
        <v>90</v>
      </c>
      <c r="AC347" s="4" t="s">
        <v>49</v>
      </c>
      <c r="AD347" s="4">
        <v>0</v>
      </c>
      <c r="AE347" s="4" t="s">
        <v>49</v>
      </c>
      <c r="AF347" s="4">
        <v>0</v>
      </c>
      <c r="AG347" s="4" t="s">
        <v>774</v>
      </c>
      <c r="AH347" s="4" t="s">
        <v>772</v>
      </c>
      <c r="AI347" s="4" t="s">
        <v>52</v>
      </c>
      <c r="AJ347" s="13">
        <v>0</v>
      </c>
      <c r="AK347" s="13">
        <v>10</v>
      </c>
      <c r="AP347" s="13" t="s">
        <v>49</v>
      </c>
      <c r="AQ347" s="13" t="s">
        <v>49</v>
      </c>
      <c r="AR347" s="13" t="s">
        <v>49</v>
      </c>
      <c r="AS347" s="13" t="s">
        <v>50</v>
      </c>
      <c r="AT347" s="13" t="s">
        <v>992</v>
      </c>
      <c r="AU347" s="4" t="s">
        <v>1000</v>
      </c>
      <c r="AV347" s="14">
        <f>1.86/1000</f>
        <v>1.8600000000000001E-3</v>
      </c>
      <c r="AW347" s="14">
        <f>1.45/1000</f>
        <v>1.4499999999999999E-3</v>
      </c>
      <c r="AX347" s="14">
        <f>Table1347456[[#This Row],[treatment_mean]]/Table1347456[[#This Row],[control_mean]]</f>
        <v>1.2827586206896553</v>
      </c>
      <c r="AY347" s="14">
        <f>LN(Table1347456[[#This Row],[rr]])</f>
        <v>0.24901293129262694</v>
      </c>
      <c r="AZ347" s="13">
        <v>18</v>
      </c>
      <c r="BA347" s="13">
        <v>18</v>
      </c>
      <c r="BB347" s="14" t="s">
        <v>46</v>
      </c>
      <c r="BC347" s="14" t="s">
        <v>46</v>
      </c>
      <c r="BD347" s="15" t="s">
        <v>46</v>
      </c>
      <c r="BE347" s="14" t="s">
        <v>46</v>
      </c>
      <c r="BF34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47" s="17" t="s">
        <v>46</v>
      </c>
      <c r="BH347" s="13" t="s">
        <v>50</v>
      </c>
      <c r="BI347" s="13">
        <v>2.5000000000000001E-2</v>
      </c>
      <c r="BJ347" s="18">
        <f>ABS(_xlfn.NORM.S.INV(Table1347456[[#This Row],[p_value]]/2))</f>
        <v>2.2414027276049446</v>
      </c>
      <c r="BK347" s="19">
        <f>(Table1347456[[#This Row],[lnrr]]/Table1347456[[#This Row],[z_from_p]])^2</f>
        <v>1.234252481823989E-2</v>
      </c>
      <c r="BL347" s="16">
        <f>Table1347456[[#This Row],[v_from_z_from_p]]</f>
        <v>1.234252481823989E-2</v>
      </c>
      <c r="BM347" s="20">
        <f>SQRT(Table1347456[[#This Row],[v]])</f>
        <v>0.11109691633092203</v>
      </c>
      <c r="BN347" s="20">
        <f>Table1347456[[#This Row],[lnrr]]-(1.96*Table1347456[[#This Row],[se]])</f>
        <v>3.1262975284019778E-2</v>
      </c>
      <c r="BO347" s="20">
        <f>Table1347456[[#This Row],[lnrr]]+(1.96 * Table1347456[[#This Row],[se]])</f>
        <v>0.46676288730123411</v>
      </c>
    </row>
    <row r="348" spans="1:67">
      <c r="A348" s="13" t="s">
        <v>171</v>
      </c>
      <c r="B348" s="13" t="s">
        <v>172</v>
      </c>
      <c r="C348" s="13" t="s">
        <v>43</v>
      </c>
      <c r="D348" s="13" t="s">
        <v>96</v>
      </c>
      <c r="E348" s="13" t="s">
        <v>97</v>
      </c>
      <c r="F348" s="13" t="s">
        <v>588</v>
      </c>
      <c r="G348" s="13" t="s">
        <v>46</v>
      </c>
      <c r="H348" s="13">
        <v>25.3</v>
      </c>
      <c r="I348" s="13">
        <v>1450</v>
      </c>
      <c r="J348" s="13" t="s">
        <v>650</v>
      </c>
      <c r="K348" s="13" t="s">
        <v>843</v>
      </c>
      <c r="L348" s="13" t="s">
        <v>844</v>
      </c>
      <c r="M348" s="13" t="s">
        <v>800</v>
      </c>
      <c r="N348" s="13" t="s">
        <v>84</v>
      </c>
      <c r="O348" s="13" t="s">
        <v>644</v>
      </c>
      <c r="P348" s="13" t="s">
        <v>85</v>
      </c>
      <c r="Q348" s="13" t="s">
        <v>48</v>
      </c>
      <c r="R348" s="4">
        <v>3</v>
      </c>
      <c r="S348" s="13" t="s">
        <v>594</v>
      </c>
      <c r="T348" s="13">
        <v>120</v>
      </c>
      <c r="U348" s="4" t="s">
        <v>173</v>
      </c>
      <c r="V348" s="4">
        <v>350</v>
      </c>
      <c r="W348" s="4" t="s">
        <v>42</v>
      </c>
      <c r="X348" s="4">
        <v>511.3</v>
      </c>
      <c r="Y348" s="4">
        <v>3</v>
      </c>
      <c r="AA348" s="4" t="s">
        <v>49</v>
      </c>
      <c r="AB348" s="4">
        <v>0</v>
      </c>
      <c r="AC348" s="4" t="s">
        <v>49</v>
      </c>
      <c r="AD348" s="4">
        <v>0</v>
      </c>
      <c r="AE348" s="4" t="s">
        <v>49</v>
      </c>
      <c r="AF348" s="4">
        <v>0</v>
      </c>
      <c r="AG348" s="4" t="s">
        <v>774</v>
      </c>
      <c r="AH348" s="4" t="s">
        <v>772</v>
      </c>
      <c r="AI348" s="4" t="s">
        <v>52</v>
      </c>
      <c r="AJ348" s="13">
        <v>10</v>
      </c>
      <c r="AK348" s="13">
        <v>20</v>
      </c>
      <c r="AP348" s="13" t="s">
        <v>49</v>
      </c>
      <c r="AQ348" s="13" t="s">
        <v>49</v>
      </c>
      <c r="AR348" s="13" t="s">
        <v>49</v>
      </c>
      <c r="AS348" s="13" t="s">
        <v>50</v>
      </c>
      <c r="AT348" s="13" t="s">
        <v>990</v>
      </c>
      <c r="AU348" s="13" t="s">
        <v>998</v>
      </c>
      <c r="AV348" s="23">
        <f>19.55/1000</f>
        <v>1.9550000000000001E-2</v>
      </c>
      <c r="AW348" s="23">
        <f>30.92/1000</f>
        <v>3.0920000000000003E-2</v>
      </c>
      <c r="AX348" s="14">
        <f>Table1347456[[#This Row],[treatment_mean]]/Table1347456[[#This Row],[control_mean]]</f>
        <v>0.63227684346701163</v>
      </c>
      <c r="AY348" s="14">
        <f>LN(Table1347456[[#This Row],[rr]])</f>
        <v>-0.45842793728784648</v>
      </c>
      <c r="AZ348" s="13">
        <v>18</v>
      </c>
      <c r="BA348" s="13">
        <v>18</v>
      </c>
      <c r="BB348" s="14" t="s">
        <v>46</v>
      </c>
      <c r="BC348" s="14" t="s">
        <v>46</v>
      </c>
      <c r="BD348" s="15" t="s">
        <v>46</v>
      </c>
      <c r="BE348" s="14" t="s">
        <v>46</v>
      </c>
      <c r="BF34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48" s="17" t="s">
        <v>46</v>
      </c>
      <c r="BH348" s="13" t="s">
        <v>50</v>
      </c>
      <c r="BI348" s="13">
        <v>2.5000000000000001E-2</v>
      </c>
      <c r="BJ348" s="18">
        <f>ABS(_xlfn.NORM.S.INV(Table1347456[[#This Row],[p_value]]/2))</f>
        <v>2.2414027276049446</v>
      </c>
      <c r="BK348" s="19">
        <f>(Table1347456[[#This Row],[lnrr]]/Table1347456[[#This Row],[z_from_p]])^2</f>
        <v>4.1831396224027872E-2</v>
      </c>
      <c r="BL348" s="16">
        <f>Table1347456[[#This Row],[v_from_z_from_p]]</f>
        <v>4.1831396224027872E-2</v>
      </c>
      <c r="BM348" s="20">
        <f>SQRT(Table1347456[[#This Row],[v]])</f>
        <v>0.20452725056585461</v>
      </c>
      <c r="BN348" s="20">
        <f>Table1347456[[#This Row],[lnrr]]-(1.96*Table1347456[[#This Row],[se]])</f>
        <v>-0.85930134839692152</v>
      </c>
      <c r="BO348" s="20">
        <f>Table1347456[[#This Row],[lnrr]]+(1.96 * Table1347456[[#This Row],[se]])</f>
        <v>-5.7554526178771437E-2</v>
      </c>
    </row>
    <row r="349" spans="1:67">
      <c r="A349" s="13" t="s">
        <v>171</v>
      </c>
      <c r="B349" s="13" t="s">
        <v>172</v>
      </c>
      <c r="C349" s="13" t="s">
        <v>43</v>
      </c>
      <c r="D349" s="13" t="s">
        <v>96</v>
      </c>
      <c r="E349" s="13" t="s">
        <v>97</v>
      </c>
      <c r="F349" s="13" t="s">
        <v>588</v>
      </c>
      <c r="G349" s="13" t="s">
        <v>46</v>
      </c>
      <c r="H349" s="13">
        <v>25.3</v>
      </c>
      <c r="I349" s="13">
        <v>1450</v>
      </c>
      <c r="J349" s="13" t="s">
        <v>650</v>
      </c>
      <c r="K349" s="13" t="s">
        <v>843</v>
      </c>
      <c r="L349" s="13" t="s">
        <v>844</v>
      </c>
      <c r="M349" s="13" t="s">
        <v>800</v>
      </c>
      <c r="N349" s="13" t="s">
        <v>84</v>
      </c>
      <c r="O349" s="13" t="s">
        <v>644</v>
      </c>
      <c r="P349" s="13" t="s">
        <v>85</v>
      </c>
      <c r="Q349" s="13" t="s">
        <v>48</v>
      </c>
      <c r="R349" s="4">
        <v>3</v>
      </c>
      <c r="S349" s="13" t="s">
        <v>594</v>
      </c>
      <c r="T349" s="13">
        <v>120</v>
      </c>
      <c r="U349" s="4" t="s">
        <v>173</v>
      </c>
      <c r="V349" s="4">
        <v>350</v>
      </c>
      <c r="W349" s="4" t="s">
        <v>42</v>
      </c>
      <c r="X349" s="4">
        <v>511.3</v>
      </c>
      <c r="Y349" s="4">
        <v>6</v>
      </c>
      <c r="AA349" s="4" t="s">
        <v>49</v>
      </c>
      <c r="AB349" s="4">
        <v>0</v>
      </c>
      <c r="AC349" s="4" t="s">
        <v>49</v>
      </c>
      <c r="AD349" s="4">
        <v>0</v>
      </c>
      <c r="AE349" s="4" t="s">
        <v>49</v>
      </c>
      <c r="AF349" s="4">
        <v>0</v>
      </c>
      <c r="AG349" s="4" t="s">
        <v>774</v>
      </c>
      <c r="AH349" s="4" t="s">
        <v>772</v>
      </c>
      <c r="AI349" s="4" t="s">
        <v>52</v>
      </c>
      <c r="AJ349" s="13">
        <v>10</v>
      </c>
      <c r="AK349" s="13">
        <v>20</v>
      </c>
      <c r="AP349" s="13" t="s">
        <v>49</v>
      </c>
      <c r="AQ349" s="13" t="s">
        <v>49</v>
      </c>
      <c r="AR349" s="13" t="s">
        <v>49</v>
      </c>
      <c r="AS349" s="13" t="s">
        <v>50</v>
      </c>
      <c r="AT349" s="13" t="s">
        <v>990</v>
      </c>
      <c r="AU349" s="13" t="s">
        <v>998</v>
      </c>
      <c r="AV349" s="23">
        <f>22.92/1000</f>
        <v>2.2920000000000003E-2</v>
      </c>
      <c r="AW349" s="23">
        <f>30.92/1000</f>
        <v>3.0920000000000003E-2</v>
      </c>
      <c r="AX349" s="14">
        <f>Table1347456[[#This Row],[treatment_mean]]/Table1347456[[#This Row],[control_mean]]</f>
        <v>0.74126778783958602</v>
      </c>
      <c r="AY349" s="14">
        <f>LN(Table1347456[[#This Row],[rr]])</f>
        <v>-0.29939333187268241</v>
      </c>
      <c r="AZ349" s="13">
        <v>18</v>
      </c>
      <c r="BA349" s="13">
        <v>18</v>
      </c>
      <c r="BB349" s="14" t="s">
        <v>46</v>
      </c>
      <c r="BC349" s="14" t="s">
        <v>46</v>
      </c>
      <c r="BD349" s="15" t="s">
        <v>46</v>
      </c>
      <c r="BE349" s="14" t="s">
        <v>46</v>
      </c>
      <c r="BF34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49" s="17" t="s">
        <v>46</v>
      </c>
      <c r="BH349" s="13" t="s">
        <v>50</v>
      </c>
      <c r="BI349" s="13">
        <v>2.5000000000000001E-2</v>
      </c>
      <c r="BJ349" s="18">
        <f>ABS(_xlfn.NORM.S.INV(Table1347456[[#This Row],[p_value]]/2))</f>
        <v>2.2414027276049446</v>
      </c>
      <c r="BK349" s="19">
        <f>(Table1347456[[#This Row],[lnrr]]/Table1347456[[#This Row],[z_from_p]])^2</f>
        <v>1.7842037782654082E-2</v>
      </c>
      <c r="BL349" s="16">
        <f>Table1347456[[#This Row],[v_from_z_from_p]]</f>
        <v>1.7842037782654082E-2</v>
      </c>
      <c r="BM349" s="20">
        <f>SQRT(Table1347456[[#This Row],[v]])</f>
        <v>0.13357409098569259</v>
      </c>
      <c r="BN349" s="20">
        <f>Table1347456[[#This Row],[lnrr]]-(1.96*Table1347456[[#This Row],[se]])</f>
        <v>-0.56119855020463993</v>
      </c>
      <c r="BO349" s="20">
        <f>Table1347456[[#This Row],[lnrr]]+(1.96 * Table1347456[[#This Row],[se]])</f>
        <v>-3.7588113540724943E-2</v>
      </c>
    </row>
    <row r="350" spans="1:67">
      <c r="A350" s="13" t="s">
        <v>171</v>
      </c>
      <c r="B350" s="13" t="s">
        <v>172</v>
      </c>
      <c r="C350" s="13" t="s">
        <v>43</v>
      </c>
      <c r="D350" s="13" t="s">
        <v>96</v>
      </c>
      <c r="E350" s="13" t="s">
        <v>97</v>
      </c>
      <c r="F350" s="13" t="s">
        <v>588</v>
      </c>
      <c r="G350" s="13" t="s">
        <v>46</v>
      </c>
      <c r="H350" s="13">
        <v>25.3</v>
      </c>
      <c r="I350" s="13">
        <v>1450</v>
      </c>
      <c r="J350" s="13" t="s">
        <v>650</v>
      </c>
      <c r="K350" s="13" t="s">
        <v>843</v>
      </c>
      <c r="L350" s="13" t="s">
        <v>844</v>
      </c>
      <c r="M350" s="13" t="s">
        <v>800</v>
      </c>
      <c r="N350" s="13" t="s">
        <v>84</v>
      </c>
      <c r="O350" s="13" t="s">
        <v>644</v>
      </c>
      <c r="P350" s="13" t="s">
        <v>85</v>
      </c>
      <c r="Q350" s="13" t="s">
        <v>48</v>
      </c>
      <c r="R350" s="4">
        <v>3</v>
      </c>
      <c r="S350" s="13" t="s">
        <v>594</v>
      </c>
      <c r="T350" s="13">
        <v>120</v>
      </c>
      <c r="U350" s="4" t="s">
        <v>173</v>
      </c>
      <c r="V350" s="4">
        <v>350</v>
      </c>
      <c r="W350" s="4" t="s">
        <v>42</v>
      </c>
      <c r="X350" s="4">
        <v>511.3</v>
      </c>
      <c r="Y350" s="4">
        <v>12</v>
      </c>
      <c r="AA350" s="4" t="s">
        <v>49</v>
      </c>
      <c r="AB350" s="4">
        <v>0</v>
      </c>
      <c r="AC350" s="4" t="s">
        <v>49</v>
      </c>
      <c r="AD350" s="4">
        <v>0</v>
      </c>
      <c r="AE350" s="4" t="s">
        <v>49</v>
      </c>
      <c r="AF350" s="4">
        <v>0</v>
      </c>
      <c r="AG350" s="4" t="s">
        <v>774</v>
      </c>
      <c r="AH350" s="4" t="s">
        <v>772</v>
      </c>
      <c r="AI350" s="4" t="s">
        <v>52</v>
      </c>
      <c r="AJ350" s="13">
        <v>10</v>
      </c>
      <c r="AK350" s="13">
        <v>20</v>
      </c>
      <c r="AP350" s="13" t="s">
        <v>49</v>
      </c>
      <c r="AQ350" s="13" t="s">
        <v>49</v>
      </c>
      <c r="AR350" s="13" t="s">
        <v>49</v>
      </c>
      <c r="AS350" s="13" t="s">
        <v>50</v>
      </c>
      <c r="AT350" s="13" t="s">
        <v>990</v>
      </c>
      <c r="AU350" s="13" t="s">
        <v>998</v>
      </c>
      <c r="AV350" s="23">
        <f>24.73/1000</f>
        <v>2.4730000000000002E-2</v>
      </c>
      <c r="AW350" s="23">
        <f>30.92/1000</f>
        <v>3.0920000000000003E-2</v>
      </c>
      <c r="AX350" s="14">
        <f>Table1347456[[#This Row],[treatment_mean]]/Table1347456[[#This Row],[control_mean]]</f>
        <v>0.79980595084087969</v>
      </c>
      <c r="AY350" s="14">
        <f>LN(Table1347456[[#This Row],[rr]])</f>
        <v>-0.22338614218589639</v>
      </c>
      <c r="AZ350" s="13">
        <v>18</v>
      </c>
      <c r="BA350" s="13">
        <v>18</v>
      </c>
      <c r="BB350" s="14" t="s">
        <v>46</v>
      </c>
      <c r="BC350" s="14" t="s">
        <v>46</v>
      </c>
      <c r="BD350" s="15" t="s">
        <v>46</v>
      </c>
      <c r="BE350" s="14" t="s">
        <v>46</v>
      </c>
      <c r="BF35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50" s="17" t="s">
        <v>46</v>
      </c>
      <c r="BH350" s="13" t="s">
        <v>50</v>
      </c>
      <c r="BI350" s="13">
        <v>2.5000000000000001E-2</v>
      </c>
      <c r="BJ350" s="18">
        <f>ABS(_xlfn.NORM.S.INV(Table1347456[[#This Row],[p_value]]/2))</f>
        <v>2.2414027276049446</v>
      </c>
      <c r="BK350" s="19">
        <f>(Table1347456[[#This Row],[lnrr]]/Table1347456[[#This Row],[z_from_p]])^2</f>
        <v>9.9328222535567182E-3</v>
      </c>
      <c r="BL350" s="16">
        <f>Table1347456[[#This Row],[v_from_z_from_p]]</f>
        <v>9.9328222535567182E-3</v>
      </c>
      <c r="BM350" s="20">
        <f>SQRT(Table1347456[[#This Row],[v]])</f>
        <v>9.9663545258819278E-2</v>
      </c>
      <c r="BN350" s="20">
        <f>Table1347456[[#This Row],[lnrr]]-(1.96*Table1347456[[#This Row],[se]])</f>
        <v>-0.41872669089318215</v>
      </c>
      <c r="BO350" s="20">
        <f>Table1347456[[#This Row],[lnrr]]+(1.96 * Table1347456[[#This Row],[se]])</f>
        <v>-2.8045593478610603E-2</v>
      </c>
    </row>
    <row r="351" spans="1:67">
      <c r="A351" s="13" t="s">
        <v>171</v>
      </c>
      <c r="B351" s="13" t="s">
        <v>172</v>
      </c>
      <c r="C351" s="13" t="s">
        <v>43</v>
      </c>
      <c r="D351" s="13" t="s">
        <v>96</v>
      </c>
      <c r="E351" s="13" t="s">
        <v>97</v>
      </c>
      <c r="F351" s="13" t="s">
        <v>588</v>
      </c>
      <c r="G351" s="13" t="s">
        <v>46</v>
      </c>
      <c r="H351" s="13">
        <v>25.3</v>
      </c>
      <c r="I351" s="13">
        <v>1450</v>
      </c>
      <c r="J351" s="13" t="s">
        <v>650</v>
      </c>
      <c r="K351" s="13" t="s">
        <v>843</v>
      </c>
      <c r="L351" s="13" t="s">
        <v>844</v>
      </c>
      <c r="M351" s="13" t="s">
        <v>800</v>
      </c>
      <c r="N351" s="13" t="s">
        <v>84</v>
      </c>
      <c r="O351" s="13" t="s">
        <v>644</v>
      </c>
      <c r="P351" s="13" t="s">
        <v>85</v>
      </c>
      <c r="Q351" s="13" t="s">
        <v>48</v>
      </c>
      <c r="R351" s="4">
        <v>3</v>
      </c>
      <c r="S351" s="13" t="s">
        <v>594</v>
      </c>
      <c r="T351" s="13">
        <v>120</v>
      </c>
      <c r="U351" s="4" t="s">
        <v>173</v>
      </c>
      <c r="V351" s="4">
        <v>350</v>
      </c>
      <c r="W351" s="4" t="s">
        <v>42</v>
      </c>
      <c r="X351" s="4">
        <v>511.3</v>
      </c>
      <c r="Y351" s="4">
        <v>3</v>
      </c>
      <c r="AA351" s="4" t="s">
        <v>50</v>
      </c>
      <c r="AB351" s="4">
        <v>30</v>
      </c>
      <c r="AC351" s="4" t="s">
        <v>49</v>
      </c>
      <c r="AD351" s="4">
        <v>0</v>
      </c>
      <c r="AE351" s="4" t="s">
        <v>49</v>
      </c>
      <c r="AF351" s="4">
        <v>0</v>
      </c>
      <c r="AG351" s="4" t="s">
        <v>774</v>
      </c>
      <c r="AH351" s="4" t="s">
        <v>772</v>
      </c>
      <c r="AI351" s="4" t="s">
        <v>52</v>
      </c>
      <c r="AJ351" s="13">
        <v>10</v>
      </c>
      <c r="AK351" s="13">
        <v>20</v>
      </c>
      <c r="AP351" s="13" t="s">
        <v>49</v>
      </c>
      <c r="AQ351" s="13" t="s">
        <v>49</v>
      </c>
      <c r="AR351" s="13" t="s">
        <v>49</v>
      </c>
      <c r="AS351" s="13" t="s">
        <v>50</v>
      </c>
      <c r="AT351" s="13" t="s">
        <v>992</v>
      </c>
      <c r="AU351" s="4" t="s">
        <v>1000</v>
      </c>
      <c r="AV351" s="23">
        <f>18.83/1000</f>
        <v>1.883E-2</v>
      </c>
      <c r="AW351" s="23">
        <f>25.08/1000</f>
        <v>2.5079999999999998E-2</v>
      </c>
      <c r="AX351" s="14">
        <f>Table1347456[[#This Row],[treatment_mean]]/Table1347456[[#This Row],[control_mean]]</f>
        <v>0.75079744816586924</v>
      </c>
      <c r="AY351" s="14">
        <f>LN(Table1347456[[#This Row],[rr]])</f>
        <v>-0.28661937309565888</v>
      </c>
      <c r="AZ351" s="13">
        <v>18</v>
      </c>
      <c r="BA351" s="13">
        <v>18</v>
      </c>
      <c r="BB351" s="14" t="s">
        <v>46</v>
      </c>
      <c r="BC351" s="14" t="s">
        <v>46</v>
      </c>
      <c r="BD351" s="15" t="s">
        <v>46</v>
      </c>
      <c r="BE351" s="14" t="s">
        <v>46</v>
      </c>
      <c r="BF35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51" s="17" t="s">
        <v>46</v>
      </c>
      <c r="BH351" s="13" t="s">
        <v>50</v>
      </c>
      <c r="BI351" s="13">
        <v>2.5000000000000001E-2</v>
      </c>
      <c r="BJ351" s="18">
        <f>ABS(_xlfn.NORM.S.INV(Table1347456[[#This Row],[p_value]]/2))</f>
        <v>2.2414027276049446</v>
      </c>
      <c r="BK351" s="19">
        <f>(Table1347456[[#This Row],[lnrr]]/Table1347456[[#This Row],[z_from_p]])^2</f>
        <v>1.6352015545490602E-2</v>
      </c>
      <c r="BL351" s="16">
        <f>Table1347456[[#This Row],[v_from_z_from_p]]</f>
        <v>1.6352015545490602E-2</v>
      </c>
      <c r="BM351" s="20">
        <f>SQRT(Table1347456[[#This Row],[v]])</f>
        <v>0.12787499968911281</v>
      </c>
      <c r="BN351" s="20">
        <f>Table1347456[[#This Row],[lnrr]]-(1.96*Table1347456[[#This Row],[se]])</f>
        <v>-0.53725437248631991</v>
      </c>
      <c r="BO351" s="20">
        <f>Table1347456[[#This Row],[lnrr]]+(1.96 * Table1347456[[#This Row],[se]])</f>
        <v>-3.5984373704997796E-2</v>
      </c>
    </row>
    <row r="352" spans="1:67">
      <c r="A352" s="13" t="s">
        <v>171</v>
      </c>
      <c r="B352" s="13" t="s">
        <v>172</v>
      </c>
      <c r="C352" s="13" t="s">
        <v>43</v>
      </c>
      <c r="D352" s="13" t="s">
        <v>96</v>
      </c>
      <c r="E352" s="13" t="s">
        <v>97</v>
      </c>
      <c r="F352" s="13" t="s">
        <v>588</v>
      </c>
      <c r="G352" s="13" t="s">
        <v>46</v>
      </c>
      <c r="H352" s="13">
        <v>25.3</v>
      </c>
      <c r="I352" s="13">
        <v>1450</v>
      </c>
      <c r="J352" s="13" t="s">
        <v>650</v>
      </c>
      <c r="K352" s="13" t="s">
        <v>843</v>
      </c>
      <c r="L352" s="13" t="s">
        <v>844</v>
      </c>
      <c r="M352" s="13" t="s">
        <v>800</v>
      </c>
      <c r="N352" s="13" t="s">
        <v>84</v>
      </c>
      <c r="O352" s="13" t="s">
        <v>644</v>
      </c>
      <c r="P352" s="13" t="s">
        <v>85</v>
      </c>
      <c r="Q352" s="13" t="s">
        <v>48</v>
      </c>
      <c r="R352" s="4">
        <v>3</v>
      </c>
      <c r="S352" s="13" t="s">
        <v>594</v>
      </c>
      <c r="T352" s="13">
        <v>120</v>
      </c>
      <c r="U352" s="4" t="s">
        <v>173</v>
      </c>
      <c r="V352" s="4">
        <v>350</v>
      </c>
      <c r="W352" s="4" t="s">
        <v>42</v>
      </c>
      <c r="X352" s="4">
        <v>511.3</v>
      </c>
      <c r="Y352" s="4">
        <v>6</v>
      </c>
      <c r="AA352" s="4" t="s">
        <v>50</v>
      </c>
      <c r="AB352" s="4">
        <v>60</v>
      </c>
      <c r="AC352" s="4" t="s">
        <v>49</v>
      </c>
      <c r="AD352" s="4">
        <v>0</v>
      </c>
      <c r="AE352" s="4" t="s">
        <v>49</v>
      </c>
      <c r="AF352" s="4">
        <v>0</v>
      </c>
      <c r="AG352" s="4" t="s">
        <v>774</v>
      </c>
      <c r="AH352" s="4" t="s">
        <v>772</v>
      </c>
      <c r="AI352" s="4" t="s">
        <v>52</v>
      </c>
      <c r="AJ352" s="13">
        <v>10</v>
      </c>
      <c r="AK352" s="13">
        <v>20</v>
      </c>
      <c r="AP352" s="13" t="s">
        <v>49</v>
      </c>
      <c r="AQ352" s="13" t="s">
        <v>49</v>
      </c>
      <c r="AR352" s="13" t="s">
        <v>49</v>
      </c>
      <c r="AS352" s="13" t="s">
        <v>50</v>
      </c>
      <c r="AT352" s="13" t="s">
        <v>992</v>
      </c>
      <c r="AU352" s="4" t="s">
        <v>1000</v>
      </c>
      <c r="AV352" s="23">
        <f>23.89/1000</f>
        <v>2.3890000000000002E-2</v>
      </c>
      <c r="AW352" s="23">
        <f>25.08/1000</f>
        <v>2.5079999999999998E-2</v>
      </c>
      <c r="AX352" s="14">
        <f>Table1347456[[#This Row],[treatment_mean]]/Table1347456[[#This Row],[control_mean]]</f>
        <v>0.95255183413078159</v>
      </c>
      <c r="AY352" s="14">
        <f>LN(Table1347456[[#This Row],[rr]])</f>
        <v>-4.8610754427001683E-2</v>
      </c>
      <c r="AZ352" s="13">
        <v>18</v>
      </c>
      <c r="BA352" s="13">
        <v>18</v>
      </c>
      <c r="BB352" s="14" t="s">
        <v>46</v>
      </c>
      <c r="BC352" s="14" t="s">
        <v>46</v>
      </c>
      <c r="BD352" s="15" t="s">
        <v>46</v>
      </c>
      <c r="BE352" s="14" t="s">
        <v>46</v>
      </c>
      <c r="BF35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52" s="17" t="s">
        <v>46</v>
      </c>
      <c r="BH352" s="13" t="s">
        <v>50</v>
      </c>
      <c r="BI352" s="13">
        <v>2.5000000000000001E-2</v>
      </c>
      <c r="BJ352" s="18">
        <f>ABS(_xlfn.NORM.S.INV(Table1347456[[#This Row],[p_value]]/2))</f>
        <v>2.2414027276049446</v>
      </c>
      <c r="BK352" s="19">
        <f>(Table1347456[[#This Row],[lnrr]]/Table1347456[[#This Row],[z_from_p]])^2</f>
        <v>4.7035409598425204E-4</v>
      </c>
      <c r="BL352" s="16">
        <f>Table1347456[[#This Row],[v_from_z_from_p]]</f>
        <v>4.7035409598425204E-4</v>
      </c>
      <c r="BM352" s="20">
        <f>SQRT(Table1347456[[#This Row],[v]])</f>
        <v>2.1687648465987548E-2</v>
      </c>
      <c r="BN352" s="20">
        <f>Table1347456[[#This Row],[lnrr]]-(1.96*Table1347456[[#This Row],[se]])</f>
        <v>-9.1118545420337274E-2</v>
      </c>
      <c r="BO352" s="20">
        <f>Table1347456[[#This Row],[lnrr]]+(1.96 * Table1347456[[#This Row],[se]])</f>
        <v>-6.1029634336660921E-3</v>
      </c>
    </row>
    <row r="353" spans="1:67">
      <c r="A353" s="13" t="s">
        <v>171</v>
      </c>
      <c r="B353" s="13" t="s">
        <v>172</v>
      </c>
      <c r="C353" s="13" t="s">
        <v>43</v>
      </c>
      <c r="D353" s="13" t="s">
        <v>96</v>
      </c>
      <c r="E353" s="13" t="s">
        <v>97</v>
      </c>
      <c r="F353" s="13" t="s">
        <v>588</v>
      </c>
      <c r="G353" s="13" t="s">
        <v>46</v>
      </c>
      <c r="H353" s="13">
        <v>25.3</v>
      </c>
      <c r="I353" s="13">
        <v>1450</v>
      </c>
      <c r="J353" s="13" t="s">
        <v>650</v>
      </c>
      <c r="K353" s="13" t="s">
        <v>843</v>
      </c>
      <c r="L353" s="13" t="s">
        <v>844</v>
      </c>
      <c r="M353" s="13" t="s">
        <v>800</v>
      </c>
      <c r="N353" s="13" t="s">
        <v>84</v>
      </c>
      <c r="O353" s="13" t="s">
        <v>644</v>
      </c>
      <c r="P353" s="13" t="s">
        <v>85</v>
      </c>
      <c r="Q353" s="13" t="s">
        <v>48</v>
      </c>
      <c r="R353" s="4">
        <v>3</v>
      </c>
      <c r="S353" s="13" t="s">
        <v>594</v>
      </c>
      <c r="T353" s="13">
        <v>120</v>
      </c>
      <c r="U353" s="4" t="s">
        <v>173</v>
      </c>
      <c r="V353" s="4">
        <v>350</v>
      </c>
      <c r="W353" s="4" t="s">
        <v>42</v>
      </c>
      <c r="X353" s="4">
        <v>511.3</v>
      </c>
      <c r="Y353" s="4">
        <v>12</v>
      </c>
      <c r="AA353" s="4" t="s">
        <v>50</v>
      </c>
      <c r="AB353" s="4">
        <v>90</v>
      </c>
      <c r="AC353" s="4" t="s">
        <v>49</v>
      </c>
      <c r="AD353" s="4">
        <v>0</v>
      </c>
      <c r="AE353" s="4" t="s">
        <v>49</v>
      </c>
      <c r="AF353" s="4">
        <v>0</v>
      </c>
      <c r="AG353" s="4" t="s">
        <v>774</v>
      </c>
      <c r="AH353" s="4" t="s">
        <v>772</v>
      </c>
      <c r="AI353" s="4" t="s">
        <v>52</v>
      </c>
      <c r="AJ353" s="13">
        <v>10</v>
      </c>
      <c r="AK353" s="13">
        <v>20</v>
      </c>
      <c r="AP353" s="13" t="s">
        <v>49</v>
      </c>
      <c r="AQ353" s="13" t="s">
        <v>49</v>
      </c>
      <c r="AR353" s="13" t="s">
        <v>49</v>
      </c>
      <c r="AS353" s="13" t="s">
        <v>50</v>
      </c>
      <c r="AT353" s="13" t="s">
        <v>992</v>
      </c>
      <c r="AU353" s="4" t="s">
        <v>1000</v>
      </c>
      <c r="AV353" s="23">
        <f>30.32/1000</f>
        <v>3.032E-2</v>
      </c>
      <c r="AW353" s="23">
        <f>25.08/1000</f>
        <v>2.5079999999999998E-2</v>
      </c>
      <c r="AX353" s="14">
        <f>Table1347456[[#This Row],[treatment_mean]]/Table1347456[[#This Row],[control_mean]]</f>
        <v>1.2089314194577354</v>
      </c>
      <c r="AY353" s="14">
        <f>LN(Table1347456[[#This Row],[rr]])</f>
        <v>0.18973684500945109</v>
      </c>
      <c r="AZ353" s="13">
        <v>18</v>
      </c>
      <c r="BA353" s="13">
        <v>18</v>
      </c>
      <c r="BB353" s="14" t="s">
        <v>46</v>
      </c>
      <c r="BC353" s="14" t="s">
        <v>46</v>
      </c>
      <c r="BD353" s="15" t="s">
        <v>46</v>
      </c>
      <c r="BE353" s="14" t="s">
        <v>46</v>
      </c>
      <c r="BF35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53" s="17" t="s">
        <v>46</v>
      </c>
      <c r="BH353" s="13" t="s">
        <v>50</v>
      </c>
      <c r="BI353" s="13">
        <v>2.5000000000000001E-2</v>
      </c>
      <c r="BJ353" s="18">
        <f>ABS(_xlfn.NORM.S.INV(Table1347456[[#This Row],[p_value]]/2))</f>
        <v>2.2414027276049446</v>
      </c>
      <c r="BK353" s="19">
        <f>(Table1347456[[#This Row],[lnrr]]/Table1347456[[#This Row],[z_from_p]])^2</f>
        <v>7.1657814313228728E-3</v>
      </c>
      <c r="BL353" s="16">
        <f>Table1347456[[#This Row],[v_from_z_from_p]]</f>
        <v>7.1657814313228728E-3</v>
      </c>
      <c r="BM353" s="20">
        <f>SQRT(Table1347456[[#This Row],[v]])</f>
        <v>8.4650938750393506E-2</v>
      </c>
      <c r="BN353" s="20">
        <f>Table1347456[[#This Row],[lnrr]]-(1.96*Table1347456[[#This Row],[se]])</f>
        <v>2.3821005058679817E-2</v>
      </c>
      <c r="BO353" s="20">
        <f>Table1347456[[#This Row],[lnrr]]+(1.96 * Table1347456[[#This Row],[se]])</f>
        <v>0.3556526849602224</v>
      </c>
    </row>
    <row r="354" spans="1:67">
      <c r="A354" s="13" t="s">
        <v>171</v>
      </c>
      <c r="B354" s="13" t="s">
        <v>172</v>
      </c>
      <c r="C354" s="13" t="s">
        <v>43</v>
      </c>
      <c r="D354" s="13" t="s">
        <v>96</v>
      </c>
      <c r="E354" s="13" t="s">
        <v>97</v>
      </c>
      <c r="F354" s="13" t="s">
        <v>588</v>
      </c>
      <c r="G354" s="13" t="s">
        <v>46</v>
      </c>
      <c r="H354" s="13">
        <v>25.3</v>
      </c>
      <c r="I354" s="13">
        <v>1450</v>
      </c>
      <c r="K354" s="13" t="s">
        <v>843</v>
      </c>
      <c r="L354" s="13" t="s">
        <v>844</v>
      </c>
      <c r="N354" s="13" t="s">
        <v>86</v>
      </c>
      <c r="O354" s="13" t="s">
        <v>644</v>
      </c>
      <c r="P354" s="13" t="s">
        <v>85</v>
      </c>
      <c r="Q354" s="13" t="s">
        <v>48</v>
      </c>
      <c r="R354" s="4">
        <v>3</v>
      </c>
      <c r="S354" s="13" t="s">
        <v>594</v>
      </c>
      <c r="T354" s="13">
        <v>120</v>
      </c>
      <c r="U354" s="4" t="s">
        <v>173</v>
      </c>
      <c r="V354" s="4">
        <v>350</v>
      </c>
      <c r="W354" s="4" t="s">
        <v>42</v>
      </c>
      <c r="X354" s="4">
        <v>511.3</v>
      </c>
      <c r="Y354" s="4">
        <v>3</v>
      </c>
      <c r="AA354" s="4" t="s">
        <v>49</v>
      </c>
      <c r="AB354" s="4">
        <v>0</v>
      </c>
      <c r="AC354" s="4" t="s">
        <v>49</v>
      </c>
      <c r="AD354" s="4">
        <v>0</v>
      </c>
      <c r="AE354" s="4" t="s">
        <v>49</v>
      </c>
      <c r="AF354" s="4">
        <v>0</v>
      </c>
      <c r="AG354" s="4" t="s">
        <v>774</v>
      </c>
      <c r="AH354" s="4" t="s">
        <v>772</v>
      </c>
      <c r="AI354" s="4" t="s">
        <v>52</v>
      </c>
      <c r="AJ354" s="13">
        <v>10</v>
      </c>
      <c r="AK354" s="13">
        <v>20</v>
      </c>
      <c r="AP354" s="13" t="s">
        <v>49</v>
      </c>
      <c r="AQ354" s="13" t="s">
        <v>49</v>
      </c>
      <c r="AR354" s="13" t="s">
        <v>49</v>
      </c>
      <c r="AS354" s="13" t="s">
        <v>50</v>
      </c>
      <c r="AT354" s="13" t="s">
        <v>990</v>
      </c>
      <c r="AU354" s="13" t="s">
        <v>998</v>
      </c>
      <c r="AV354" s="14">
        <f>1.64/1000</f>
        <v>1.64E-3</v>
      </c>
      <c r="AW354" s="14">
        <f>1.48/1000</f>
        <v>1.48E-3</v>
      </c>
      <c r="AX354" s="14">
        <f>Table1347456[[#This Row],[treatment_mean]]/Table1347456[[#This Row],[control_mean]]</f>
        <v>1.1081081081081081</v>
      </c>
      <c r="AY354" s="14">
        <f>LN(Table1347456[[#This Row],[rr]])</f>
        <v>0.10265415406008337</v>
      </c>
      <c r="AZ354" s="13">
        <v>18</v>
      </c>
      <c r="BA354" s="13">
        <v>18</v>
      </c>
      <c r="BB354" s="14" t="s">
        <v>46</v>
      </c>
      <c r="BC354" s="14" t="s">
        <v>46</v>
      </c>
      <c r="BD354" s="15" t="s">
        <v>46</v>
      </c>
      <c r="BE354" s="14" t="s">
        <v>46</v>
      </c>
      <c r="BF35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54" s="17" t="s">
        <v>46</v>
      </c>
      <c r="BH354" s="13" t="s">
        <v>50</v>
      </c>
      <c r="BI354" s="13">
        <v>2.5000000000000001E-2</v>
      </c>
      <c r="BJ354" s="18">
        <f>ABS(_xlfn.NORM.S.INV(Table1347456[[#This Row],[p_value]]/2))</f>
        <v>2.2414027276049446</v>
      </c>
      <c r="BK354" s="19">
        <f>(Table1347456[[#This Row],[lnrr]]/Table1347456[[#This Row],[z_from_p]])^2</f>
        <v>2.097554552967193E-3</v>
      </c>
      <c r="BL354" s="16">
        <f>Table1347456[[#This Row],[v_from_z_from_p]]</f>
        <v>2.097554552967193E-3</v>
      </c>
      <c r="BM354" s="20">
        <f>SQRT(Table1347456[[#This Row],[v]])</f>
        <v>4.5799067162631088E-2</v>
      </c>
      <c r="BN354" s="20">
        <f>Table1347456[[#This Row],[lnrr]]-(1.96*Table1347456[[#This Row],[se]])</f>
        <v>1.2887982421326438E-2</v>
      </c>
      <c r="BO354" s="20">
        <f>Table1347456[[#This Row],[lnrr]]+(1.96 * Table1347456[[#This Row],[se]])</f>
        <v>0.19242032569884029</v>
      </c>
    </row>
    <row r="355" spans="1:67">
      <c r="A355" s="13" t="s">
        <v>171</v>
      </c>
      <c r="B355" s="13" t="s">
        <v>172</v>
      </c>
      <c r="C355" s="13" t="s">
        <v>43</v>
      </c>
      <c r="D355" s="13" t="s">
        <v>96</v>
      </c>
      <c r="E355" s="13" t="s">
        <v>97</v>
      </c>
      <c r="F355" s="13" t="s">
        <v>588</v>
      </c>
      <c r="G355" s="13" t="s">
        <v>46</v>
      </c>
      <c r="H355" s="13">
        <v>25.3</v>
      </c>
      <c r="I355" s="13">
        <v>1450</v>
      </c>
      <c r="K355" s="13" t="s">
        <v>843</v>
      </c>
      <c r="L355" s="13" t="s">
        <v>844</v>
      </c>
      <c r="N355" s="13" t="s">
        <v>86</v>
      </c>
      <c r="O355" s="13" t="s">
        <v>644</v>
      </c>
      <c r="P355" s="13" t="s">
        <v>85</v>
      </c>
      <c r="Q355" s="13" t="s">
        <v>48</v>
      </c>
      <c r="R355" s="4">
        <v>3</v>
      </c>
      <c r="S355" s="13" t="s">
        <v>594</v>
      </c>
      <c r="T355" s="13">
        <v>120</v>
      </c>
      <c r="U355" s="4" t="s">
        <v>173</v>
      </c>
      <c r="V355" s="4">
        <v>350</v>
      </c>
      <c r="W355" s="4" t="s">
        <v>42</v>
      </c>
      <c r="X355" s="4">
        <v>511.3</v>
      </c>
      <c r="Y355" s="4">
        <v>6</v>
      </c>
      <c r="AA355" s="4" t="s">
        <v>49</v>
      </c>
      <c r="AB355" s="4">
        <v>0</v>
      </c>
      <c r="AC355" s="4" t="s">
        <v>49</v>
      </c>
      <c r="AD355" s="4">
        <v>0</v>
      </c>
      <c r="AE355" s="4" t="s">
        <v>49</v>
      </c>
      <c r="AF355" s="4">
        <v>0</v>
      </c>
      <c r="AG355" s="4" t="s">
        <v>774</v>
      </c>
      <c r="AH355" s="4" t="s">
        <v>772</v>
      </c>
      <c r="AI355" s="4" t="s">
        <v>52</v>
      </c>
      <c r="AJ355" s="13">
        <v>10</v>
      </c>
      <c r="AK355" s="13">
        <v>20</v>
      </c>
      <c r="AP355" s="13" t="s">
        <v>49</v>
      </c>
      <c r="AQ355" s="13" t="s">
        <v>49</v>
      </c>
      <c r="AR355" s="13" t="s">
        <v>49</v>
      </c>
      <c r="AS355" s="13" t="s">
        <v>50</v>
      </c>
      <c r="AT355" s="13" t="s">
        <v>990</v>
      </c>
      <c r="AU355" s="13" t="s">
        <v>998</v>
      </c>
      <c r="AV355" s="14">
        <f>1.17/1000</f>
        <v>1.17E-3</v>
      </c>
      <c r="AW355" s="14">
        <f>1.48/1000</f>
        <v>1.48E-3</v>
      </c>
      <c r="AX355" s="14">
        <f>Table1347456[[#This Row],[treatment_mean]]/Table1347456[[#This Row],[control_mean]]</f>
        <v>0.79054054054054057</v>
      </c>
      <c r="AY355" s="14">
        <f>LN(Table1347456[[#This Row],[rr]])</f>
        <v>-0.2350383389663589</v>
      </c>
      <c r="AZ355" s="13">
        <v>18</v>
      </c>
      <c r="BA355" s="13">
        <v>18</v>
      </c>
      <c r="BB355" s="14" t="s">
        <v>46</v>
      </c>
      <c r="BC355" s="14" t="s">
        <v>46</v>
      </c>
      <c r="BD355" s="15" t="s">
        <v>46</v>
      </c>
      <c r="BE355" s="14" t="s">
        <v>46</v>
      </c>
      <c r="BF35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55" s="17" t="s">
        <v>46</v>
      </c>
      <c r="BH355" s="13" t="s">
        <v>50</v>
      </c>
      <c r="BI355" s="13">
        <v>2.5000000000000001E-2</v>
      </c>
      <c r="BJ355" s="18">
        <f>ABS(_xlfn.NORM.S.INV(Table1347456[[#This Row],[p_value]]/2))</f>
        <v>2.2414027276049446</v>
      </c>
      <c r="BK355" s="19">
        <f>(Table1347456[[#This Row],[lnrr]]/Table1347456[[#This Row],[z_from_p]])^2</f>
        <v>1.0996073303481967E-2</v>
      </c>
      <c r="BL355" s="16">
        <f>Table1347456[[#This Row],[v_from_z_from_p]]</f>
        <v>1.0996073303481967E-2</v>
      </c>
      <c r="BM355" s="20">
        <f>SQRT(Table1347456[[#This Row],[v]])</f>
        <v>0.10486216335495833</v>
      </c>
      <c r="BN355" s="20">
        <f>Table1347456[[#This Row],[lnrr]]-(1.96*Table1347456[[#This Row],[se]])</f>
        <v>-0.44056817914207724</v>
      </c>
      <c r="BO355" s="20">
        <f>Table1347456[[#This Row],[lnrr]]+(1.96 * Table1347456[[#This Row],[se]])</f>
        <v>-2.9508498790640575E-2</v>
      </c>
    </row>
    <row r="356" spans="1:67">
      <c r="A356" s="13" t="s">
        <v>171</v>
      </c>
      <c r="B356" s="13" t="s">
        <v>172</v>
      </c>
      <c r="C356" s="13" t="s">
        <v>43</v>
      </c>
      <c r="D356" s="13" t="s">
        <v>96</v>
      </c>
      <c r="E356" s="13" t="s">
        <v>97</v>
      </c>
      <c r="F356" s="13" t="s">
        <v>588</v>
      </c>
      <c r="G356" s="13" t="s">
        <v>46</v>
      </c>
      <c r="H356" s="13">
        <v>25.3</v>
      </c>
      <c r="I356" s="13">
        <v>1450</v>
      </c>
      <c r="K356" s="13" t="s">
        <v>843</v>
      </c>
      <c r="L356" s="13" t="s">
        <v>844</v>
      </c>
      <c r="N356" s="13" t="s">
        <v>86</v>
      </c>
      <c r="O356" s="13" t="s">
        <v>644</v>
      </c>
      <c r="P356" s="13" t="s">
        <v>85</v>
      </c>
      <c r="Q356" s="13" t="s">
        <v>48</v>
      </c>
      <c r="R356" s="4">
        <v>3</v>
      </c>
      <c r="S356" s="13" t="s">
        <v>594</v>
      </c>
      <c r="T356" s="13">
        <v>120</v>
      </c>
      <c r="U356" s="4" t="s">
        <v>173</v>
      </c>
      <c r="V356" s="4">
        <v>350</v>
      </c>
      <c r="W356" s="4" t="s">
        <v>42</v>
      </c>
      <c r="X356" s="4">
        <v>511.3</v>
      </c>
      <c r="Y356" s="4">
        <v>12</v>
      </c>
      <c r="AA356" s="4" t="s">
        <v>49</v>
      </c>
      <c r="AB356" s="4">
        <v>0</v>
      </c>
      <c r="AC356" s="4" t="s">
        <v>49</v>
      </c>
      <c r="AD356" s="4">
        <v>0</v>
      </c>
      <c r="AE356" s="4" t="s">
        <v>49</v>
      </c>
      <c r="AF356" s="4">
        <v>0</v>
      </c>
      <c r="AG356" s="4" t="s">
        <v>774</v>
      </c>
      <c r="AH356" s="4" t="s">
        <v>772</v>
      </c>
      <c r="AI356" s="4" t="s">
        <v>52</v>
      </c>
      <c r="AJ356" s="13">
        <v>10</v>
      </c>
      <c r="AK356" s="13">
        <v>20</v>
      </c>
      <c r="AP356" s="13" t="s">
        <v>49</v>
      </c>
      <c r="AQ356" s="13" t="s">
        <v>49</v>
      </c>
      <c r="AR356" s="13" t="s">
        <v>49</v>
      </c>
      <c r="AS356" s="13" t="s">
        <v>50</v>
      </c>
      <c r="AT356" s="13" t="s">
        <v>990</v>
      </c>
      <c r="AU356" s="13" t="s">
        <v>998</v>
      </c>
      <c r="AV356" s="14">
        <f>1.15/1000</f>
        <v>1.15E-3</v>
      </c>
      <c r="AW356" s="14">
        <f>1.48/1000</f>
        <v>1.48E-3</v>
      </c>
      <c r="AX356" s="14">
        <f>Table1347456[[#This Row],[treatment_mean]]/Table1347456[[#This Row],[control_mean]]</f>
        <v>0.77702702702702697</v>
      </c>
      <c r="AY356" s="14">
        <f>LN(Table1347456[[#This Row],[rr]])</f>
        <v>-0.25228014540086507</v>
      </c>
      <c r="AZ356" s="13">
        <v>18</v>
      </c>
      <c r="BA356" s="13">
        <v>18</v>
      </c>
      <c r="BB356" s="14" t="s">
        <v>46</v>
      </c>
      <c r="BC356" s="14" t="s">
        <v>46</v>
      </c>
      <c r="BD356" s="15" t="s">
        <v>46</v>
      </c>
      <c r="BE356" s="14" t="s">
        <v>46</v>
      </c>
      <c r="BF35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56" s="17" t="s">
        <v>46</v>
      </c>
      <c r="BH356" s="13" t="s">
        <v>50</v>
      </c>
      <c r="BI356" s="13">
        <v>2.5000000000000001E-2</v>
      </c>
      <c r="BJ356" s="18">
        <f>ABS(_xlfn.NORM.S.INV(Table1347456[[#This Row],[p_value]]/2))</f>
        <v>2.2414027276049446</v>
      </c>
      <c r="BK356" s="19">
        <f>(Table1347456[[#This Row],[lnrr]]/Table1347456[[#This Row],[z_from_p]])^2</f>
        <v>1.2668533758623639E-2</v>
      </c>
      <c r="BL356" s="16">
        <f>Table1347456[[#This Row],[v_from_z_from_p]]</f>
        <v>1.2668533758623639E-2</v>
      </c>
      <c r="BM356" s="20">
        <f>SQRT(Table1347456[[#This Row],[v]])</f>
        <v>0.11255458124227391</v>
      </c>
      <c r="BN356" s="20">
        <f>Table1347456[[#This Row],[lnrr]]-(1.96*Table1347456[[#This Row],[se]])</f>
        <v>-0.47288712463572191</v>
      </c>
      <c r="BO356" s="20">
        <f>Table1347456[[#This Row],[lnrr]]+(1.96 * Table1347456[[#This Row],[se]])</f>
        <v>-3.167316616600821E-2</v>
      </c>
    </row>
    <row r="357" spans="1:67">
      <c r="A357" s="13" t="s">
        <v>171</v>
      </c>
      <c r="B357" s="13" t="s">
        <v>172</v>
      </c>
      <c r="C357" s="13" t="s">
        <v>43</v>
      </c>
      <c r="D357" s="13" t="s">
        <v>96</v>
      </c>
      <c r="E357" s="13" t="s">
        <v>97</v>
      </c>
      <c r="F357" s="13" t="s">
        <v>588</v>
      </c>
      <c r="G357" s="13" t="s">
        <v>46</v>
      </c>
      <c r="H357" s="13">
        <v>25.3</v>
      </c>
      <c r="I357" s="13">
        <v>1450</v>
      </c>
      <c r="K357" s="13" t="s">
        <v>843</v>
      </c>
      <c r="L357" s="13" t="s">
        <v>844</v>
      </c>
      <c r="N357" s="13" t="s">
        <v>86</v>
      </c>
      <c r="O357" s="13" t="s">
        <v>644</v>
      </c>
      <c r="P357" s="13" t="s">
        <v>85</v>
      </c>
      <c r="Q357" s="13" t="s">
        <v>48</v>
      </c>
      <c r="R357" s="4">
        <v>3</v>
      </c>
      <c r="S357" s="13" t="s">
        <v>594</v>
      </c>
      <c r="T357" s="13">
        <v>120</v>
      </c>
      <c r="U357" s="4" t="s">
        <v>173</v>
      </c>
      <c r="V357" s="4">
        <v>350</v>
      </c>
      <c r="W357" s="4" t="s">
        <v>42</v>
      </c>
      <c r="X357" s="4">
        <v>511.3</v>
      </c>
      <c r="Y357" s="4">
        <v>3</v>
      </c>
      <c r="AA357" s="4" t="s">
        <v>50</v>
      </c>
      <c r="AB357" s="4">
        <v>30</v>
      </c>
      <c r="AC357" s="4" t="s">
        <v>49</v>
      </c>
      <c r="AD357" s="4">
        <v>0</v>
      </c>
      <c r="AE357" s="4" t="s">
        <v>49</v>
      </c>
      <c r="AF357" s="4">
        <v>0</v>
      </c>
      <c r="AG357" s="4" t="s">
        <v>774</v>
      </c>
      <c r="AH357" s="4" t="s">
        <v>772</v>
      </c>
      <c r="AI357" s="4" t="s">
        <v>52</v>
      </c>
      <c r="AJ357" s="13">
        <v>10</v>
      </c>
      <c r="AK357" s="13">
        <v>20</v>
      </c>
      <c r="AP357" s="13" t="s">
        <v>49</v>
      </c>
      <c r="AQ357" s="13" t="s">
        <v>49</v>
      </c>
      <c r="AR357" s="13" t="s">
        <v>49</v>
      </c>
      <c r="AS357" s="13" t="s">
        <v>50</v>
      </c>
      <c r="AT357" s="13" t="s">
        <v>992</v>
      </c>
      <c r="AU357" s="4" t="s">
        <v>1000</v>
      </c>
      <c r="AV357" s="14">
        <f>1.06/1000</f>
        <v>1.06E-3</v>
      </c>
      <c r="AW357" s="14">
        <f>1.35/1000</f>
        <v>1.3500000000000001E-3</v>
      </c>
      <c r="AX357" s="14">
        <f>Table1347456[[#This Row],[treatment_mean]]/Table1347456[[#This Row],[control_mean]]</f>
        <v>0.7851851851851851</v>
      </c>
      <c r="AY357" s="14">
        <f>LN(Table1347456[[#This Row],[rr]])</f>
        <v>-0.2418356843263624</v>
      </c>
      <c r="AZ357" s="13">
        <v>18</v>
      </c>
      <c r="BA357" s="13">
        <v>18</v>
      </c>
      <c r="BB357" s="14" t="s">
        <v>46</v>
      </c>
      <c r="BC357" s="14" t="s">
        <v>46</v>
      </c>
      <c r="BD357" s="15" t="s">
        <v>46</v>
      </c>
      <c r="BE357" s="14" t="s">
        <v>46</v>
      </c>
      <c r="BF35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57" s="17" t="s">
        <v>46</v>
      </c>
      <c r="BH357" s="13" t="s">
        <v>50</v>
      </c>
      <c r="BI357" s="13">
        <v>2.5000000000000001E-2</v>
      </c>
      <c r="BJ357" s="18">
        <f>ABS(_xlfn.NORM.S.INV(Table1347456[[#This Row],[p_value]]/2))</f>
        <v>2.2414027276049446</v>
      </c>
      <c r="BK357" s="19">
        <f>(Table1347456[[#This Row],[lnrr]]/Table1347456[[#This Row],[z_from_p]])^2</f>
        <v>1.1641286452959674E-2</v>
      </c>
      <c r="BL357" s="16">
        <f>Table1347456[[#This Row],[v_from_z_from_p]]</f>
        <v>1.1641286452959674E-2</v>
      </c>
      <c r="BM357" s="20">
        <f>SQRT(Table1347456[[#This Row],[v]])</f>
        <v>0.10789479344694847</v>
      </c>
      <c r="BN357" s="20">
        <f>Table1347456[[#This Row],[lnrr]]-(1.96*Table1347456[[#This Row],[se]])</f>
        <v>-0.45330947948238143</v>
      </c>
      <c r="BO357" s="20">
        <f>Table1347456[[#This Row],[lnrr]]+(1.96 * Table1347456[[#This Row],[se]])</f>
        <v>-3.0361889170343409E-2</v>
      </c>
    </row>
    <row r="358" spans="1:67">
      <c r="A358" s="13" t="s">
        <v>171</v>
      </c>
      <c r="B358" s="13" t="s">
        <v>172</v>
      </c>
      <c r="C358" s="13" t="s">
        <v>43</v>
      </c>
      <c r="D358" s="13" t="s">
        <v>96</v>
      </c>
      <c r="E358" s="13" t="s">
        <v>97</v>
      </c>
      <c r="F358" s="13" t="s">
        <v>588</v>
      </c>
      <c r="G358" s="13" t="s">
        <v>46</v>
      </c>
      <c r="H358" s="13">
        <v>25.3</v>
      </c>
      <c r="I358" s="13">
        <v>1450</v>
      </c>
      <c r="K358" s="13" t="s">
        <v>843</v>
      </c>
      <c r="L358" s="13" t="s">
        <v>844</v>
      </c>
      <c r="N358" s="13" t="s">
        <v>86</v>
      </c>
      <c r="O358" s="13" t="s">
        <v>644</v>
      </c>
      <c r="P358" s="13" t="s">
        <v>85</v>
      </c>
      <c r="Q358" s="13" t="s">
        <v>48</v>
      </c>
      <c r="R358" s="4">
        <v>3</v>
      </c>
      <c r="S358" s="13" t="s">
        <v>594</v>
      </c>
      <c r="T358" s="13">
        <v>120</v>
      </c>
      <c r="U358" s="4" t="s">
        <v>173</v>
      </c>
      <c r="V358" s="4">
        <v>350</v>
      </c>
      <c r="W358" s="4" t="s">
        <v>42</v>
      </c>
      <c r="X358" s="4">
        <v>511.3</v>
      </c>
      <c r="Y358" s="4">
        <v>6</v>
      </c>
      <c r="AA358" s="4" t="s">
        <v>50</v>
      </c>
      <c r="AB358" s="4">
        <v>60</v>
      </c>
      <c r="AC358" s="4" t="s">
        <v>49</v>
      </c>
      <c r="AD358" s="4">
        <v>0</v>
      </c>
      <c r="AE358" s="4" t="s">
        <v>49</v>
      </c>
      <c r="AF358" s="4">
        <v>0</v>
      </c>
      <c r="AG358" s="4" t="s">
        <v>774</v>
      </c>
      <c r="AH358" s="4" t="s">
        <v>772</v>
      </c>
      <c r="AI358" s="4" t="s">
        <v>52</v>
      </c>
      <c r="AJ358" s="13">
        <v>10</v>
      </c>
      <c r="AK358" s="13">
        <v>20</v>
      </c>
      <c r="AP358" s="13" t="s">
        <v>49</v>
      </c>
      <c r="AQ358" s="13" t="s">
        <v>49</v>
      </c>
      <c r="AR358" s="13" t="s">
        <v>49</v>
      </c>
      <c r="AS358" s="13" t="s">
        <v>50</v>
      </c>
      <c r="AT358" s="13" t="s">
        <v>992</v>
      </c>
      <c r="AU358" s="4" t="s">
        <v>1000</v>
      </c>
      <c r="AV358" s="14">
        <f>1.63/1000</f>
        <v>1.6299999999999999E-3</v>
      </c>
      <c r="AW358" s="14">
        <f>1.35/1000</f>
        <v>1.3500000000000001E-3</v>
      </c>
      <c r="AX358" s="14">
        <f>Table1347456[[#This Row],[treatment_mean]]/Table1347456[[#This Row],[control_mean]]</f>
        <v>1.2074074074074073</v>
      </c>
      <c r="AY358" s="14">
        <f>LN(Table1347456[[#This Row],[rr]])</f>
        <v>0.18847542236833276</v>
      </c>
      <c r="AZ358" s="13">
        <v>18</v>
      </c>
      <c r="BA358" s="13">
        <v>18</v>
      </c>
      <c r="BB358" s="14" t="s">
        <v>46</v>
      </c>
      <c r="BC358" s="14" t="s">
        <v>46</v>
      </c>
      <c r="BD358" s="15" t="s">
        <v>46</v>
      </c>
      <c r="BE358" s="14" t="s">
        <v>46</v>
      </c>
      <c r="BF35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58" s="17" t="s">
        <v>46</v>
      </c>
      <c r="BH358" s="13" t="s">
        <v>50</v>
      </c>
      <c r="BI358" s="13">
        <v>2.5000000000000001E-2</v>
      </c>
      <c r="BJ358" s="18">
        <f>ABS(_xlfn.NORM.S.INV(Table1347456[[#This Row],[p_value]]/2))</f>
        <v>2.2414027276049446</v>
      </c>
      <c r="BK358" s="19">
        <f>(Table1347456[[#This Row],[lnrr]]/Table1347456[[#This Row],[z_from_p]])^2</f>
        <v>7.0708179907848145E-3</v>
      </c>
      <c r="BL358" s="16">
        <f>Table1347456[[#This Row],[v_from_z_from_p]]</f>
        <v>7.0708179907848145E-3</v>
      </c>
      <c r="BM358" s="20">
        <f>SQRT(Table1347456[[#This Row],[v]])</f>
        <v>8.408815606721802E-2</v>
      </c>
      <c r="BN358" s="20">
        <f>Table1347456[[#This Row],[lnrr]]-(1.96*Table1347456[[#This Row],[se]])</f>
        <v>2.3662636476585452E-2</v>
      </c>
      <c r="BO358" s="20">
        <f>Table1347456[[#This Row],[lnrr]]+(1.96 * Table1347456[[#This Row],[se]])</f>
        <v>0.35328820826008006</v>
      </c>
    </row>
    <row r="359" spans="1:67">
      <c r="A359" s="13" t="s">
        <v>171</v>
      </c>
      <c r="B359" s="13" t="s">
        <v>172</v>
      </c>
      <c r="C359" s="13" t="s">
        <v>43</v>
      </c>
      <c r="D359" s="13" t="s">
        <v>96</v>
      </c>
      <c r="E359" s="13" t="s">
        <v>97</v>
      </c>
      <c r="F359" s="13" t="s">
        <v>588</v>
      </c>
      <c r="G359" s="13" t="s">
        <v>46</v>
      </c>
      <c r="H359" s="13">
        <v>25.3</v>
      </c>
      <c r="I359" s="13">
        <v>1450</v>
      </c>
      <c r="K359" s="13" t="s">
        <v>843</v>
      </c>
      <c r="L359" s="13" t="s">
        <v>844</v>
      </c>
      <c r="N359" s="13" t="s">
        <v>86</v>
      </c>
      <c r="O359" s="13" t="s">
        <v>644</v>
      </c>
      <c r="P359" s="13" t="s">
        <v>85</v>
      </c>
      <c r="Q359" s="13" t="s">
        <v>48</v>
      </c>
      <c r="R359" s="4">
        <v>3</v>
      </c>
      <c r="S359" s="13" t="s">
        <v>594</v>
      </c>
      <c r="T359" s="13">
        <v>120</v>
      </c>
      <c r="U359" s="4" t="s">
        <v>173</v>
      </c>
      <c r="V359" s="4">
        <v>350</v>
      </c>
      <c r="W359" s="4" t="s">
        <v>42</v>
      </c>
      <c r="X359" s="4">
        <v>511.3</v>
      </c>
      <c r="Y359" s="4">
        <v>12</v>
      </c>
      <c r="AA359" s="4" t="s">
        <v>50</v>
      </c>
      <c r="AB359" s="4">
        <v>90</v>
      </c>
      <c r="AC359" s="4" t="s">
        <v>49</v>
      </c>
      <c r="AD359" s="4">
        <v>0</v>
      </c>
      <c r="AE359" s="4" t="s">
        <v>49</v>
      </c>
      <c r="AF359" s="4">
        <v>0</v>
      </c>
      <c r="AG359" s="4" t="s">
        <v>774</v>
      </c>
      <c r="AH359" s="4" t="s">
        <v>772</v>
      </c>
      <c r="AI359" s="4" t="s">
        <v>52</v>
      </c>
      <c r="AJ359" s="13">
        <v>10</v>
      </c>
      <c r="AK359" s="13">
        <v>20</v>
      </c>
      <c r="AP359" s="13" t="s">
        <v>49</v>
      </c>
      <c r="AQ359" s="13" t="s">
        <v>49</v>
      </c>
      <c r="AR359" s="13" t="s">
        <v>49</v>
      </c>
      <c r="AS359" s="13" t="s">
        <v>50</v>
      </c>
      <c r="AT359" s="13" t="s">
        <v>992</v>
      </c>
      <c r="AU359" s="4" t="s">
        <v>1000</v>
      </c>
      <c r="AV359" s="14">
        <f>1.4/1000</f>
        <v>1.4E-3</v>
      </c>
      <c r="AW359" s="14">
        <f>1.35/1000</f>
        <v>1.3500000000000001E-3</v>
      </c>
      <c r="AX359" s="14">
        <f>Table1347456[[#This Row],[treatment_mean]]/Table1347456[[#This Row],[control_mean]]</f>
        <v>1.037037037037037</v>
      </c>
      <c r="AY359" s="14">
        <f>LN(Table1347456[[#This Row],[rr]])</f>
        <v>3.6367644170874791E-2</v>
      </c>
      <c r="AZ359" s="13">
        <v>18</v>
      </c>
      <c r="BA359" s="13">
        <v>18</v>
      </c>
      <c r="BB359" s="14" t="s">
        <v>46</v>
      </c>
      <c r="BC359" s="14" t="s">
        <v>46</v>
      </c>
      <c r="BD359" s="15" t="s">
        <v>46</v>
      </c>
      <c r="BE359" s="14" t="s">
        <v>46</v>
      </c>
      <c r="BF35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59" s="17" t="s">
        <v>46</v>
      </c>
      <c r="BH359" s="13" t="s">
        <v>50</v>
      </c>
      <c r="BI359" s="13">
        <v>2.5000000000000001E-2</v>
      </c>
      <c r="BJ359" s="18">
        <f>ABS(_xlfn.NORM.S.INV(Table1347456[[#This Row],[p_value]]/2))</f>
        <v>2.2414027276049446</v>
      </c>
      <c r="BK359" s="19">
        <f>(Table1347456[[#This Row],[lnrr]]/Table1347456[[#This Row],[z_from_p]])^2</f>
        <v>2.632634365561246E-4</v>
      </c>
      <c r="BL359" s="16">
        <f>Table1347456[[#This Row],[v_from_z_from_p]]</f>
        <v>2.632634365561246E-4</v>
      </c>
      <c r="BM359" s="20">
        <f>SQRT(Table1347456[[#This Row],[v]])</f>
        <v>1.6225394804322162E-2</v>
      </c>
      <c r="BN359" s="20">
        <f>Table1347456[[#This Row],[lnrr]]-(1.96*Table1347456[[#This Row],[se]])</f>
        <v>4.5658703544033535E-3</v>
      </c>
      <c r="BO359" s="20">
        <f>Table1347456[[#This Row],[lnrr]]+(1.96 * Table1347456[[#This Row],[se]])</f>
        <v>6.8169417987346229E-2</v>
      </c>
    </row>
    <row r="360" spans="1:67">
      <c r="A360" s="13" t="s">
        <v>171</v>
      </c>
      <c r="B360" s="13" t="s">
        <v>172</v>
      </c>
      <c r="C360" s="13" t="s">
        <v>43</v>
      </c>
      <c r="D360" s="13" t="s">
        <v>174</v>
      </c>
      <c r="E360" s="13" t="s">
        <v>97</v>
      </c>
      <c r="F360" s="13" t="s">
        <v>588</v>
      </c>
      <c r="G360" s="13" t="s">
        <v>46</v>
      </c>
      <c r="H360" s="13">
        <v>24.7</v>
      </c>
      <c r="I360" s="13">
        <v>1318</v>
      </c>
      <c r="K360" s="13" t="s">
        <v>845</v>
      </c>
      <c r="L360" s="13" t="s">
        <v>846</v>
      </c>
      <c r="N360" s="13" t="s">
        <v>47</v>
      </c>
      <c r="O360" s="13" t="s">
        <v>645</v>
      </c>
      <c r="P360" s="13" t="s">
        <v>48</v>
      </c>
      <c r="Q360" s="13" t="s">
        <v>48</v>
      </c>
      <c r="R360" s="4">
        <v>3</v>
      </c>
      <c r="S360" s="13" t="s">
        <v>594</v>
      </c>
      <c r="T360" s="13">
        <v>120</v>
      </c>
      <c r="U360" s="4" t="s">
        <v>173</v>
      </c>
      <c r="V360" s="4">
        <v>350</v>
      </c>
      <c r="W360" s="4" t="s">
        <v>42</v>
      </c>
      <c r="X360" s="4">
        <v>511.3</v>
      </c>
      <c r="Y360" s="4">
        <v>3</v>
      </c>
      <c r="AA360" s="4" t="s">
        <v>49</v>
      </c>
      <c r="AB360" s="4">
        <v>0</v>
      </c>
      <c r="AC360" s="4" t="s">
        <v>49</v>
      </c>
      <c r="AD360" s="4">
        <v>0</v>
      </c>
      <c r="AE360" s="4" t="s">
        <v>49</v>
      </c>
      <c r="AF360" s="4">
        <v>0</v>
      </c>
      <c r="AG360" s="4" t="s">
        <v>774</v>
      </c>
      <c r="AH360" s="4" t="s">
        <v>773</v>
      </c>
      <c r="AI360" s="4" t="s">
        <v>64</v>
      </c>
      <c r="AJ360" s="13">
        <v>0</v>
      </c>
      <c r="AK360" s="13">
        <v>10</v>
      </c>
      <c r="AP360" s="13" t="s">
        <v>49</v>
      </c>
      <c r="AQ360" s="13" t="s">
        <v>49</v>
      </c>
      <c r="AR360" s="13" t="s">
        <v>49</v>
      </c>
      <c r="AS360" s="13" t="s">
        <v>50</v>
      </c>
      <c r="AT360" s="13" t="s">
        <v>990</v>
      </c>
      <c r="AU360" s="13" t="s">
        <v>998</v>
      </c>
      <c r="AV360" s="14">
        <v>1.47</v>
      </c>
      <c r="AW360" s="14">
        <v>1.46</v>
      </c>
      <c r="AX360" s="14">
        <f>Table1347456[[#This Row],[treatment_mean]]/Table1347456[[#This Row],[control_mean]]</f>
        <v>1.0068493150684932</v>
      </c>
      <c r="AY360" s="14">
        <f>LN(Table1347456[[#This Row],[rr]])</f>
        <v>6.8259650703998906E-3</v>
      </c>
      <c r="AZ360" s="13">
        <v>18</v>
      </c>
      <c r="BA360" s="13">
        <v>18</v>
      </c>
      <c r="BB360" s="14" t="s">
        <v>46</v>
      </c>
      <c r="BC360" s="14" t="s">
        <v>46</v>
      </c>
      <c r="BD360" s="15" t="s">
        <v>46</v>
      </c>
      <c r="BE360" s="14" t="s">
        <v>46</v>
      </c>
      <c r="BF36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60" s="17" t="s">
        <v>46</v>
      </c>
      <c r="BH360" s="13" t="s">
        <v>50</v>
      </c>
      <c r="BI360" s="13">
        <v>2.5000000000000001E-2</v>
      </c>
      <c r="BJ360" s="18">
        <f>ABS(_xlfn.NORM.S.INV(Table1347456[[#This Row],[p_value]]/2))</f>
        <v>2.2414027276049446</v>
      </c>
      <c r="BK360" s="19">
        <f>(Table1347456[[#This Row],[lnrr]]/Table1347456[[#This Row],[z_from_p]])^2</f>
        <v>9.2744535614614207E-6</v>
      </c>
      <c r="BL360" s="16">
        <f>Table1347456[[#This Row],[v_from_z_from_p]]</f>
        <v>9.2744535614614207E-6</v>
      </c>
      <c r="BM360" s="20">
        <f>SQRT(Table1347456[[#This Row],[v]])</f>
        <v>3.0453987524561412E-3</v>
      </c>
      <c r="BN360" s="20">
        <f>Table1347456[[#This Row],[lnrr]]-(1.96*Table1347456[[#This Row],[se]])</f>
        <v>8.5698351558585392E-4</v>
      </c>
      <c r="BO360" s="20">
        <f>Table1347456[[#This Row],[lnrr]]+(1.96 * Table1347456[[#This Row],[se]])</f>
        <v>1.2794946625213927E-2</v>
      </c>
    </row>
    <row r="361" spans="1:67">
      <c r="A361" s="13" t="s">
        <v>171</v>
      </c>
      <c r="B361" s="13" t="s">
        <v>172</v>
      </c>
      <c r="C361" s="13" t="s">
        <v>43</v>
      </c>
      <c r="D361" s="13" t="s">
        <v>174</v>
      </c>
      <c r="E361" s="13" t="s">
        <v>97</v>
      </c>
      <c r="F361" s="13" t="s">
        <v>588</v>
      </c>
      <c r="G361" s="13" t="s">
        <v>46</v>
      </c>
      <c r="H361" s="13">
        <v>24.7</v>
      </c>
      <c r="I361" s="13">
        <v>1318</v>
      </c>
      <c r="K361" s="13" t="s">
        <v>845</v>
      </c>
      <c r="L361" s="13" t="s">
        <v>846</v>
      </c>
      <c r="N361" s="13" t="s">
        <v>47</v>
      </c>
      <c r="O361" s="13" t="s">
        <v>645</v>
      </c>
      <c r="P361" s="13" t="s">
        <v>48</v>
      </c>
      <c r="Q361" s="13" t="s">
        <v>48</v>
      </c>
      <c r="R361" s="4">
        <v>3</v>
      </c>
      <c r="S361" s="13" t="s">
        <v>594</v>
      </c>
      <c r="T361" s="13">
        <v>120</v>
      </c>
      <c r="U361" s="4" t="s">
        <v>173</v>
      </c>
      <c r="V361" s="4">
        <v>350</v>
      </c>
      <c r="W361" s="4" t="s">
        <v>42</v>
      </c>
      <c r="X361" s="4">
        <v>511.3</v>
      </c>
      <c r="Y361" s="4">
        <v>6</v>
      </c>
      <c r="AA361" s="4" t="s">
        <v>49</v>
      </c>
      <c r="AB361" s="4">
        <v>0</v>
      </c>
      <c r="AC361" s="4" t="s">
        <v>49</v>
      </c>
      <c r="AD361" s="4">
        <v>0</v>
      </c>
      <c r="AE361" s="4" t="s">
        <v>49</v>
      </c>
      <c r="AF361" s="4">
        <v>0</v>
      </c>
      <c r="AG361" s="4" t="s">
        <v>774</v>
      </c>
      <c r="AH361" s="4" t="s">
        <v>773</v>
      </c>
      <c r="AI361" s="4" t="s">
        <v>64</v>
      </c>
      <c r="AJ361" s="13">
        <v>0</v>
      </c>
      <c r="AK361" s="13">
        <v>10</v>
      </c>
      <c r="AP361" s="13" t="s">
        <v>49</v>
      </c>
      <c r="AQ361" s="13" t="s">
        <v>49</v>
      </c>
      <c r="AR361" s="13" t="s">
        <v>49</v>
      </c>
      <c r="AS361" s="13" t="s">
        <v>50</v>
      </c>
      <c r="AT361" s="13" t="s">
        <v>990</v>
      </c>
      <c r="AU361" s="13" t="s">
        <v>998</v>
      </c>
      <c r="AV361" s="14">
        <v>1.55</v>
      </c>
      <c r="AW361" s="14">
        <v>1.46</v>
      </c>
      <c r="AX361" s="14">
        <f>Table1347456[[#This Row],[treatment_mean]]/Table1347456[[#This Row],[control_mean]]</f>
        <v>1.0616438356164384</v>
      </c>
      <c r="AY361" s="14">
        <f>LN(Table1347456[[#This Row],[rr]])</f>
        <v>5.9818495210910205E-2</v>
      </c>
      <c r="AZ361" s="13">
        <v>18</v>
      </c>
      <c r="BA361" s="13">
        <v>18</v>
      </c>
      <c r="BB361" s="14" t="s">
        <v>46</v>
      </c>
      <c r="BC361" s="14" t="s">
        <v>46</v>
      </c>
      <c r="BD361" s="15" t="s">
        <v>46</v>
      </c>
      <c r="BE361" s="14" t="s">
        <v>46</v>
      </c>
      <c r="BF36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61" s="17" t="s">
        <v>46</v>
      </c>
      <c r="BH361" s="13" t="s">
        <v>50</v>
      </c>
      <c r="BI361" s="13">
        <v>2.5000000000000001E-2</v>
      </c>
      <c r="BJ361" s="18">
        <f>ABS(_xlfn.NORM.S.INV(Table1347456[[#This Row],[p_value]]/2))</f>
        <v>2.2414027276049446</v>
      </c>
      <c r="BK361" s="19">
        <f>(Table1347456[[#This Row],[lnrr]]/Table1347456[[#This Row],[z_from_p]])^2</f>
        <v>7.1224789652532994E-4</v>
      </c>
      <c r="BL361" s="16">
        <f>Table1347456[[#This Row],[v_from_z_from_p]]</f>
        <v>7.1224789652532994E-4</v>
      </c>
      <c r="BM361" s="20">
        <f>SQRT(Table1347456[[#This Row],[v]])</f>
        <v>2.6687972881530922E-2</v>
      </c>
      <c r="BN361" s="20">
        <f>Table1347456[[#This Row],[lnrr]]-(1.96*Table1347456[[#This Row],[se]])</f>
        <v>7.5100683631095996E-3</v>
      </c>
      <c r="BO361" s="20">
        <f>Table1347456[[#This Row],[lnrr]]+(1.96 * Table1347456[[#This Row],[se]])</f>
        <v>0.1121269220587108</v>
      </c>
    </row>
    <row r="362" spans="1:67">
      <c r="A362" s="13" t="s">
        <v>171</v>
      </c>
      <c r="B362" s="13" t="s">
        <v>172</v>
      </c>
      <c r="C362" s="13" t="s">
        <v>43</v>
      </c>
      <c r="D362" s="13" t="s">
        <v>174</v>
      </c>
      <c r="E362" s="13" t="s">
        <v>97</v>
      </c>
      <c r="F362" s="13" t="s">
        <v>588</v>
      </c>
      <c r="G362" s="13" t="s">
        <v>46</v>
      </c>
      <c r="H362" s="13">
        <v>24.7</v>
      </c>
      <c r="I362" s="13">
        <v>1318</v>
      </c>
      <c r="K362" s="13" t="s">
        <v>845</v>
      </c>
      <c r="L362" s="13" t="s">
        <v>846</v>
      </c>
      <c r="N362" s="13" t="s">
        <v>47</v>
      </c>
      <c r="O362" s="13" t="s">
        <v>645</v>
      </c>
      <c r="P362" s="13" t="s">
        <v>48</v>
      </c>
      <c r="Q362" s="13" t="s">
        <v>48</v>
      </c>
      <c r="R362" s="4">
        <v>3</v>
      </c>
      <c r="S362" s="13" t="s">
        <v>594</v>
      </c>
      <c r="T362" s="13">
        <v>120</v>
      </c>
      <c r="U362" s="4" t="s">
        <v>173</v>
      </c>
      <c r="V362" s="4">
        <v>350</v>
      </c>
      <c r="W362" s="4" t="s">
        <v>42</v>
      </c>
      <c r="X362" s="4">
        <v>511.3</v>
      </c>
      <c r="Y362" s="4">
        <v>12</v>
      </c>
      <c r="AA362" s="4" t="s">
        <v>49</v>
      </c>
      <c r="AB362" s="4">
        <v>0</v>
      </c>
      <c r="AC362" s="4" t="s">
        <v>49</v>
      </c>
      <c r="AD362" s="4">
        <v>0</v>
      </c>
      <c r="AE362" s="4" t="s">
        <v>49</v>
      </c>
      <c r="AF362" s="4">
        <v>0</v>
      </c>
      <c r="AG362" s="4" t="s">
        <v>774</v>
      </c>
      <c r="AH362" s="4" t="s">
        <v>773</v>
      </c>
      <c r="AI362" s="4" t="s">
        <v>64</v>
      </c>
      <c r="AJ362" s="13">
        <v>0</v>
      </c>
      <c r="AK362" s="13">
        <v>10</v>
      </c>
      <c r="AP362" s="13" t="s">
        <v>49</v>
      </c>
      <c r="AQ362" s="13" t="s">
        <v>49</v>
      </c>
      <c r="AR362" s="13" t="s">
        <v>49</v>
      </c>
      <c r="AS362" s="13" t="s">
        <v>50</v>
      </c>
      <c r="AT362" s="13" t="s">
        <v>990</v>
      </c>
      <c r="AU362" s="13" t="s">
        <v>998</v>
      </c>
      <c r="AV362" s="14">
        <v>1.53</v>
      </c>
      <c r="AW362" s="14">
        <v>1.46</v>
      </c>
      <c r="AX362" s="14">
        <f>Table1347456[[#This Row],[treatment_mean]]/Table1347456[[#This Row],[control_mean]]</f>
        <v>1.047945205479452</v>
      </c>
      <c r="AY362" s="14">
        <f>LN(Table1347456[[#This Row],[rr]])</f>
        <v>4.6831299684098993E-2</v>
      </c>
      <c r="AZ362" s="13">
        <v>18</v>
      </c>
      <c r="BA362" s="13">
        <v>18</v>
      </c>
      <c r="BB362" s="14" t="s">
        <v>46</v>
      </c>
      <c r="BC362" s="14" t="s">
        <v>46</v>
      </c>
      <c r="BD362" s="15" t="s">
        <v>46</v>
      </c>
      <c r="BE362" s="14" t="s">
        <v>46</v>
      </c>
      <c r="BF36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62" s="17" t="s">
        <v>46</v>
      </c>
      <c r="BH362" s="13" t="s">
        <v>50</v>
      </c>
      <c r="BI362" s="13">
        <v>2.5000000000000001E-2</v>
      </c>
      <c r="BJ362" s="18">
        <f>ABS(_xlfn.NORM.S.INV(Table1347456[[#This Row],[p_value]]/2))</f>
        <v>2.2414027276049446</v>
      </c>
      <c r="BK362" s="19">
        <f>(Table1347456[[#This Row],[lnrr]]/Table1347456[[#This Row],[z_from_p]])^2</f>
        <v>4.3654862955286674E-4</v>
      </c>
      <c r="BL362" s="16">
        <f>Table1347456[[#This Row],[v_from_z_from_p]]</f>
        <v>4.3654862955286674E-4</v>
      </c>
      <c r="BM362" s="20">
        <f>SQRT(Table1347456[[#This Row],[v]])</f>
        <v>2.0893746182838221E-2</v>
      </c>
      <c r="BN362" s="20">
        <f>Table1347456[[#This Row],[lnrr]]-(1.96*Table1347456[[#This Row],[se]])</f>
        <v>5.8795571657360782E-3</v>
      </c>
      <c r="BO362" s="20">
        <f>Table1347456[[#This Row],[lnrr]]+(1.96 * Table1347456[[#This Row],[se]])</f>
        <v>8.7783042202461914E-2</v>
      </c>
    </row>
    <row r="363" spans="1:67">
      <c r="A363" s="13" t="s">
        <v>171</v>
      </c>
      <c r="B363" s="13" t="s">
        <v>172</v>
      </c>
      <c r="C363" s="13" t="s">
        <v>43</v>
      </c>
      <c r="D363" s="13" t="s">
        <v>174</v>
      </c>
      <c r="E363" s="13" t="s">
        <v>97</v>
      </c>
      <c r="F363" s="13" t="s">
        <v>588</v>
      </c>
      <c r="G363" s="13" t="s">
        <v>46</v>
      </c>
      <c r="H363" s="13">
        <v>24.7</v>
      </c>
      <c r="I363" s="13">
        <v>1318</v>
      </c>
      <c r="K363" s="13" t="s">
        <v>845</v>
      </c>
      <c r="L363" s="13" t="s">
        <v>846</v>
      </c>
      <c r="N363" s="13" t="s">
        <v>47</v>
      </c>
      <c r="O363" s="13" t="s">
        <v>645</v>
      </c>
      <c r="P363" s="13" t="s">
        <v>48</v>
      </c>
      <c r="Q363" s="13" t="s">
        <v>48</v>
      </c>
      <c r="R363" s="4">
        <v>3</v>
      </c>
      <c r="S363" s="13" t="s">
        <v>594</v>
      </c>
      <c r="T363" s="13">
        <v>120</v>
      </c>
      <c r="U363" s="4" t="s">
        <v>173</v>
      </c>
      <c r="V363" s="4">
        <v>350</v>
      </c>
      <c r="W363" s="4" t="s">
        <v>42</v>
      </c>
      <c r="X363" s="4">
        <v>511.3</v>
      </c>
      <c r="Y363" s="4">
        <v>3</v>
      </c>
      <c r="AA363" s="4" t="s">
        <v>50</v>
      </c>
      <c r="AB363" s="4">
        <v>30</v>
      </c>
      <c r="AC363" s="4" t="s">
        <v>49</v>
      </c>
      <c r="AD363" s="4">
        <v>0</v>
      </c>
      <c r="AE363" s="4" t="s">
        <v>49</v>
      </c>
      <c r="AF363" s="4">
        <v>0</v>
      </c>
      <c r="AG363" s="4" t="s">
        <v>774</v>
      </c>
      <c r="AH363" s="4" t="s">
        <v>773</v>
      </c>
      <c r="AI363" s="4" t="s">
        <v>64</v>
      </c>
      <c r="AJ363" s="13">
        <v>0</v>
      </c>
      <c r="AK363" s="13">
        <v>10</v>
      </c>
      <c r="AP363" s="13" t="s">
        <v>49</v>
      </c>
      <c r="AQ363" s="13" t="s">
        <v>49</v>
      </c>
      <c r="AR363" s="13" t="s">
        <v>49</v>
      </c>
      <c r="AS363" s="13" t="s">
        <v>50</v>
      </c>
      <c r="AT363" s="13" t="s">
        <v>992</v>
      </c>
      <c r="AU363" s="4" t="s">
        <v>1000</v>
      </c>
      <c r="AV363" s="14">
        <v>1.62</v>
      </c>
      <c r="AW363" s="14">
        <v>0.92</v>
      </c>
      <c r="AX363" s="14">
        <f>Table1347456[[#This Row],[treatment_mean]]/Table1347456[[#This Row],[control_mean]]</f>
        <v>1.7608695652173914</v>
      </c>
      <c r="AY363" s="14">
        <f>LN(Table1347456[[#This Row],[rr]])</f>
        <v>0.56580775818334383</v>
      </c>
      <c r="AZ363" s="13">
        <v>18</v>
      </c>
      <c r="BA363" s="13">
        <v>18</v>
      </c>
      <c r="BB363" s="14" t="s">
        <v>46</v>
      </c>
      <c r="BC363" s="14" t="s">
        <v>46</v>
      </c>
      <c r="BD363" s="15" t="s">
        <v>46</v>
      </c>
      <c r="BE363" s="14" t="s">
        <v>46</v>
      </c>
      <c r="BF36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63" s="17" t="s">
        <v>46</v>
      </c>
      <c r="BH363" s="13" t="s">
        <v>50</v>
      </c>
      <c r="BI363" s="13">
        <v>2.5000000000000001E-2</v>
      </c>
      <c r="BJ363" s="18">
        <f>ABS(_xlfn.NORM.S.INV(Table1347456[[#This Row],[p_value]]/2))</f>
        <v>2.2414027276049446</v>
      </c>
      <c r="BK363" s="19">
        <f>(Table1347456[[#This Row],[lnrr]]/Table1347456[[#This Row],[z_from_p]])^2</f>
        <v>6.3723262686324014E-2</v>
      </c>
      <c r="BL363" s="16">
        <f>Table1347456[[#This Row],[v_from_z_from_p]]</f>
        <v>6.3723262686324014E-2</v>
      </c>
      <c r="BM363" s="20">
        <f>SQRT(Table1347456[[#This Row],[v]])</f>
        <v>0.25243467013531246</v>
      </c>
      <c r="BN363" s="20">
        <f>Table1347456[[#This Row],[lnrr]]-(1.96*Table1347456[[#This Row],[se]])</f>
        <v>7.1035804718131423E-2</v>
      </c>
      <c r="BO363" s="20">
        <f>Table1347456[[#This Row],[lnrr]]+(1.96 * Table1347456[[#This Row],[se]])</f>
        <v>1.0605797116485562</v>
      </c>
    </row>
    <row r="364" spans="1:67">
      <c r="A364" s="13" t="s">
        <v>171</v>
      </c>
      <c r="B364" s="13" t="s">
        <v>172</v>
      </c>
      <c r="C364" s="13" t="s">
        <v>43</v>
      </c>
      <c r="D364" s="13" t="s">
        <v>174</v>
      </c>
      <c r="E364" s="13" t="s">
        <v>97</v>
      </c>
      <c r="F364" s="13" t="s">
        <v>588</v>
      </c>
      <c r="G364" s="13" t="s">
        <v>46</v>
      </c>
      <c r="H364" s="13">
        <v>24.7</v>
      </c>
      <c r="I364" s="13">
        <v>1318</v>
      </c>
      <c r="K364" s="13" t="s">
        <v>845</v>
      </c>
      <c r="L364" s="13" t="s">
        <v>846</v>
      </c>
      <c r="N364" s="13" t="s">
        <v>47</v>
      </c>
      <c r="O364" s="13" t="s">
        <v>645</v>
      </c>
      <c r="P364" s="13" t="s">
        <v>48</v>
      </c>
      <c r="Q364" s="13" t="s">
        <v>48</v>
      </c>
      <c r="R364" s="4">
        <v>3</v>
      </c>
      <c r="S364" s="13" t="s">
        <v>594</v>
      </c>
      <c r="T364" s="13">
        <v>120</v>
      </c>
      <c r="U364" s="4" t="s">
        <v>173</v>
      </c>
      <c r="V364" s="4">
        <v>350</v>
      </c>
      <c r="W364" s="4" t="s">
        <v>42</v>
      </c>
      <c r="X364" s="4">
        <v>511.3</v>
      </c>
      <c r="Y364" s="4">
        <v>6</v>
      </c>
      <c r="AA364" s="4" t="s">
        <v>50</v>
      </c>
      <c r="AB364" s="4">
        <v>60</v>
      </c>
      <c r="AC364" s="4" t="s">
        <v>49</v>
      </c>
      <c r="AD364" s="4">
        <v>0</v>
      </c>
      <c r="AE364" s="4" t="s">
        <v>49</v>
      </c>
      <c r="AF364" s="4">
        <v>0</v>
      </c>
      <c r="AG364" s="4" t="s">
        <v>774</v>
      </c>
      <c r="AH364" s="4" t="s">
        <v>773</v>
      </c>
      <c r="AI364" s="4" t="s">
        <v>64</v>
      </c>
      <c r="AJ364" s="13">
        <v>0</v>
      </c>
      <c r="AK364" s="13">
        <v>10</v>
      </c>
      <c r="AP364" s="13" t="s">
        <v>49</v>
      </c>
      <c r="AQ364" s="13" t="s">
        <v>49</v>
      </c>
      <c r="AR364" s="13" t="s">
        <v>49</v>
      </c>
      <c r="AS364" s="13" t="s">
        <v>50</v>
      </c>
      <c r="AT364" s="13" t="s">
        <v>992</v>
      </c>
      <c r="AU364" s="4" t="s">
        <v>1000</v>
      </c>
      <c r="AV364" s="14">
        <v>1.77</v>
      </c>
      <c r="AW364" s="14">
        <v>0.92</v>
      </c>
      <c r="AX364" s="14">
        <f>Table1347456[[#This Row],[treatment_mean]]/Table1347456[[#This Row],[control_mean]]</f>
        <v>1.9239130434782608</v>
      </c>
      <c r="AY364" s="14">
        <f>LN(Table1347456[[#This Row],[rr]])</f>
        <v>0.6543611555247888</v>
      </c>
      <c r="AZ364" s="13">
        <v>18</v>
      </c>
      <c r="BA364" s="13">
        <v>18</v>
      </c>
      <c r="BB364" s="14" t="s">
        <v>46</v>
      </c>
      <c r="BC364" s="14" t="s">
        <v>46</v>
      </c>
      <c r="BD364" s="15" t="s">
        <v>46</v>
      </c>
      <c r="BE364" s="14" t="s">
        <v>46</v>
      </c>
      <c r="BF36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64" s="17" t="s">
        <v>46</v>
      </c>
      <c r="BH364" s="13" t="s">
        <v>50</v>
      </c>
      <c r="BI364" s="13">
        <v>2.5000000000000001E-2</v>
      </c>
      <c r="BJ364" s="18">
        <f>ABS(_xlfn.NORM.S.INV(Table1347456[[#This Row],[p_value]]/2))</f>
        <v>2.2414027276049446</v>
      </c>
      <c r="BK364" s="19">
        <f>(Table1347456[[#This Row],[lnrr]]/Table1347456[[#This Row],[z_from_p]])^2</f>
        <v>8.5230537853523816E-2</v>
      </c>
      <c r="BL364" s="16">
        <f>Table1347456[[#This Row],[v_from_z_from_p]]</f>
        <v>8.5230537853523816E-2</v>
      </c>
      <c r="BM364" s="20">
        <f>SQRT(Table1347456[[#This Row],[v]])</f>
        <v>0.29194269618115781</v>
      </c>
      <c r="BN364" s="20">
        <f>Table1347456[[#This Row],[lnrr]]-(1.96*Table1347456[[#This Row],[se]])</f>
        <v>8.2153471009719481E-2</v>
      </c>
      <c r="BO364" s="20">
        <f>Table1347456[[#This Row],[lnrr]]+(1.96 * Table1347456[[#This Row],[se]])</f>
        <v>1.226568840039858</v>
      </c>
    </row>
    <row r="365" spans="1:67">
      <c r="A365" s="13" t="s">
        <v>171</v>
      </c>
      <c r="B365" s="13" t="s">
        <v>172</v>
      </c>
      <c r="C365" s="13" t="s">
        <v>43</v>
      </c>
      <c r="D365" s="13" t="s">
        <v>174</v>
      </c>
      <c r="E365" s="13" t="s">
        <v>97</v>
      </c>
      <c r="F365" s="13" t="s">
        <v>588</v>
      </c>
      <c r="G365" s="13" t="s">
        <v>46</v>
      </c>
      <c r="H365" s="13">
        <v>24.7</v>
      </c>
      <c r="I365" s="13">
        <v>1318</v>
      </c>
      <c r="K365" s="13" t="s">
        <v>845</v>
      </c>
      <c r="L365" s="13" t="s">
        <v>846</v>
      </c>
      <c r="N365" s="13" t="s">
        <v>47</v>
      </c>
      <c r="O365" s="13" t="s">
        <v>645</v>
      </c>
      <c r="P365" s="13" t="s">
        <v>48</v>
      </c>
      <c r="Q365" s="13" t="s">
        <v>48</v>
      </c>
      <c r="R365" s="4">
        <v>3</v>
      </c>
      <c r="S365" s="13" t="s">
        <v>594</v>
      </c>
      <c r="T365" s="13">
        <v>120</v>
      </c>
      <c r="U365" s="4" t="s">
        <v>173</v>
      </c>
      <c r="V365" s="4">
        <v>350</v>
      </c>
      <c r="W365" s="4" t="s">
        <v>42</v>
      </c>
      <c r="X365" s="4">
        <v>511.3</v>
      </c>
      <c r="Y365" s="4">
        <v>12</v>
      </c>
      <c r="AA365" s="4" t="s">
        <v>50</v>
      </c>
      <c r="AB365" s="4">
        <v>90</v>
      </c>
      <c r="AC365" s="4" t="s">
        <v>49</v>
      </c>
      <c r="AD365" s="4">
        <v>0</v>
      </c>
      <c r="AE365" s="4" t="s">
        <v>49</v>
      </c>
      <c r="AF365" s="4">
        <v>0</v>
      </c>
      <c r="AG365" s="4" t="s">
        <v>774</v>
      </c>
      <c r="AH365" s="4" t="s">
        <v>773</v>
      </c>
      <c r="AI365" s="4" t="s">
        <v>64</v>
      </c>
      <c r="AJ365" s="13">
        <v>0</v>
      </c>
      <c r="AK365" s="13">
        <v>10</v>
      </c>
      <c r="AP365" s="13" t="s">
        <v>49</v>
      </c>
      <c r="AQ365" s="13" t="s">
        <v>49</v>
      </c>
      <c r="AR365" s="13" t="s">
        <v>49</v>
      </c>
      <c r="AS365" s="13" t="s">
        <v>50</v>
      </c>
      <c r="AT365" s="13" t="s">
        <v>992</v>
      </c>
      <c r="AU365" s="4" t="s">
        <v>1000</v>
      </c>
      <c r="AV365" s="14">
        <v>1.67</v>
      </c>
      <c r="AW365" s="14">
        <v>0.92</v>
      </c>
      <c r="AX365" s="14">
        <f>Table1347456[[#This Row],[treatment_mean]]/Table1347456[[#This Row],[control_mean]]</f>
        <v>1.8152173913043477</v>
      </c>
      <c r="AY365" s="14">
        <f>LN(Table1347456[[#This Row],[rr]])</f>
        <v>0.59620523536771475</v>
      </c>
      <c r="AZ365" s="13">
        <v>18</v>
      </c>
      <c r="BA365" s="13">
        <v>18</v>
      </c>
      <c r="BB365" s="14" t="s">
        <v>46</v>
      </c>
      <c r="BC365" s="14" t="s">
        <v>46</v>
      </c>
      <c r="BD365" s="15" t="s">
        <v>46</v>
      </c>
      <c r="BE365" s="14" t="s">
        <v>46</v>
      </c>
      <c r="BF36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65" s="17" t="s">
        <v>46</v>
      </c>
      <c r="BH365" s="13" t="s">
        <v>50</v>
      </c>
      <c r="BI365" s="13">
        <v>2.5000000000000001E-2</v>
      </c>
      <c r="BJ365" s="18">
        <f>ABS(_xlfn.NORM.S.INV(Table1347456[[#This Row],[p_value]]/2))</f>
        <v>2.2414027276049446</v>
      </c>
      <c r="BK365" s="19">
        <f>(Table1347456[[#This Row],[lnrr]]/Table1347456[[#This Row],[z_from_p]])^2</f>
        <v>7.0754127268526978E-2</v>
      </c>
      <c r="BL365" s="16">
        <f>Table1347456[[#This Row],[v_from_z_from_p]]</f>
        <v>7.0754127268526978E-2</v>
      </c>
      <c r="BM365" s="20">
        <f>SQRT(Table1347456[[#This Row],[v]])</f>
        <v>0.26599647980476543</v>
      </c>
      <c r="BN365" s="20">
        <f>Table1347456[[#This Row],[lnrr]]-(1.96*Table1347456[[#This Row],[se]])</f>
        <v>7.4852134950374571E-2</v>
      </c>
      <c r="BO365" s="20">
        <f>Table1347456[[#This Row],[lnrr]]+(1.96 * Table1347456[[#This Row],[se]])</f>
        <v>1.1175583357850549</v>
      </c>
    </row>
    <row r="366" spans="1:67">
      <c r="A366" s="13" t="s">
        <v>171</v>
      </c>
      <c r="B366" s="13" t="s">
        <v>172</v>
      </c>
      <c r="C366" s="13" t="s">
        <v>43</v>
      </c>
      <c r="D366" s="13" t="s">
        <v>174</v>
      </c>
      <c r="E366" s="13" t="s">
        <v>97</v>
      </c>
      <c r="F366" s="13" t="s">
        <v>588</v>
      </c>
      <c r="G366" s="13" t="s">
        <v>46</v>
      </c>
      <c r="H366" s="13">
        <v>24.7</v>
      </c>
      <c r="I366" s="13">
        <v>1318</v>
      </c>
      <c r="K366" s="13" t="s">
        <v>845</v>
      </c>
      <c r="L366" s="13" t="s">
        <v>846</v>
      </c>
      <c r="N366" s="13" t="s">
        <v>47</v>
      </c>
      <c r="O366" s="13" t="s">
        <v>645</v>
      </c>
      <c r="P366" s="13" t="s">
        <v>48</v>
      </c>
      <c r="Q366" s="13" t="s">
        <v>48</v>
      </c>
      <c r="R366" s="4">
        <v>3</v>
      </c>
      <c r="S366" s="13" t="s">
        <v>594</v>
      </c>
      <c r="T366" s="13">
        <v>120</v>
      </c>
      <c r="U366" s="4" t="s">
        <v>173</v>
      </c>
      <c r="V366" s="4">
        <v>350</v>
      </c>
      <c r="W366" s="4" t="s">
        <v>42</v>
      </c>
      <c r="X366" s="4">
        <v>511.3</v>
      </c>
      <c r="Y366" s="4">
        <v>3</v>
      </c>
      <c r="AA366" s="4" t="s">
        <v>49</v>
      </c>
      <c r="AB366" s="4">
        <v>0</v>
      </c>
      <c r="AC366" s="4" t="s">
        <v>49</v>
      </c>
      <c r="AD366" s="4">
        <v>0</v>
      </c>
      <c r="AE366" s="4" t="s">
        <v>49</v>
      </c>
      <c r="AF366" s="4">
        <v>0</v>
      </c>
      <c r="AG366" s="4" t="s">
        <v>774</v>
      </c>
      <c r="AH366" s="4" t="s">
        <v>773</v>
      </c>
      <c r="AI366" s="4" t="s">
        <v>64</v>
      </c>
      <c r="AJ366" s="13">
        <v>10</v>
      </c>
      <c r="AK366" s="13">
        <v>20</v>
      </c>
      <c r="AP366" s="13" t="s">
        <v>49</v>
      </c>
      <c r="AQ366" s="13" t="s">
        <v>49</v>
      </c>
      <c r="AR366" s="13" t="s">
        <v>49</v>
      </c>
      <c r="AS366" s="13" t="s">
        <v>50</v>
      </c>
      <c r="AT366" s="13" t="s">
        <v>990</v>
      </c>
      <c r="AU366" s="13" t="s">
        <v>998</v>
      </c>
      <c r="AV366" s="14">
        <v>0.41</v>
      </c>
      <c r="AW366" s="14">
        <v>0.96</v>
      </c>
      <c r="AX366" s="14">
        <f>Table1347456[[#This Row],[treatment_mean]]/Table1347456[[#This Row],[control_mean]]</f>
        <v>0.42708333333333331</v>
      </c>
      <c r="AY366" s="14">
        <f>LN(Table1347456[[#This Row],[rr]])</f>
        <v>-0.85077612476352849</v>
      </c>
      <c r="AZ366" s="13">
        <v>18</v>
      </c>
      <c r="BA366" s="13">
        <v>18</v>
      </c>
      <c r="BB366" s="14" t="s">
        <v>46</v>
      </c>
      <c r="BC366" s="14" t="s">
        <v>46</v>
      </c>
      <c r="BD366" s="15" t="s">
        <v>46</v>
      </c>
      <c r="BE366" s="14" t="s">
        <v>46</v>
      </c>
      <c r="BF36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66" s="17" t="s">
        <v>46</v>
      </c>
      <c r="BH366" s="13" t="s">
        <v>50</v>
      </c>
      <c r="BI366" s="13">
        <v>2.5000000000000001E-2</v>
      </c>
      <c r="BJ366" s="18">
        <f>ABS(_xlfn.NORM.S.INV(Table1347456[[#This Row],[p_value]]/2))</f>
        <v>2.2414027276049446</v>
      </c>
      <c r="BK366" s="19">
        <f>(Table1347456[[#This Row],[lnrr]]/Table1347456[[#This Row],[z_from_p]])^2</f>
        <v>0.1440757189713541</v>
      </c>
      <c r="BL366" s="16">
        <f>Table1347456[[#This Row],[v_from_z_from_p]]</f>
        <v>0.1440757189713541</v>
      </c>
      <c r="BM366" s="20">
        <f>SQRT(Table1347456[[#This Row],[v]])</f>
        <v>0.37957307461324769</v>
      </c>
      <c r="BN366" s="20">
        <f>Table1347456[[#This Row],[lnrr]]-(1.96*Table1347456[[#This Row],[se]])</f>
        <v>-1.5947393510054939</v>
      </c>
      <c r="BO366" s="20">
        <f>Table1347456[[#This Row],[lnrr]]+(1.96 * Table1347456[[#This Row],[se]])</f>
        <v>-0.10681289852156306</v>
      </c>
    </row>
    <row r="367" spans="1:67">
      <c r="A367" s="13" t="s">
        <v>171</v>
      </c>
      <c r="B367" s="13" t="s">
        <v>172</v>
      </c>
      <c r="C367" s="13" t="s">
        <v>43</v>
      </c>
      <c r="D367" s="13" t="s">
        <v>174</v>
      </c>
      <c r="E367" s="13" t="s">
        <v>97</v>
      </c>
      <c r="F367" s="13" t="s">
        <v>588</v>
      </c>
      <c r="G367" s="13" t="s">
        <v>46</v>
      </c>
      <c r="H367" s="13">
        <v>24.7</v>
      </c>
      <c r="I367" s="13">
        <v>1318</v>
      </c>
      <c r="K367" s="13" t="s">
        <v>845</v>
      </c>
      <c r="L367" s="13" t="s">
        <v>846</v>
      </c>
      <c r="N367" s="13" t="s">
        <v>47</v>
      </c>
      <c r="O367" s="13" t="s">
        <v>645</v>
      </c>
      <c r="P367" s="13" t="s">
        <v>48</v>
      </c>
      <c r="Q367" s="13" t="s">
        <v>48</v>
      </c>
      <c r="R367" s="4">
        <v>3</v>
      </c>
      <c r="S367" s="13" t="s">
        <v>594</v>
      </c>
      <c r="T367" s="13">
        <v>120</v>
      </c>
      <c r="U367" s="4" t="s">
        <v>173</v>
      </c>
      <c r="V367" s="4">
        <v>350</v>
      </c>
      <c r="W367" s="4" t="s">
        <v>42</v>
      </c>
      <c r="X367" s="4">
        <v>511.3</v>
      </c>
      <c r="Y367" s="4">
        <v>6</v>
      </c>
      <c r="AA367" s="4" t="s">
        <v>49</v>
      </c>
      <c r="AB367" s="4">
        <v>0</v>
      </c>
      <c r="AC367" s="4" t="s">
        <v>49</v>
      </c>
      <c r="AD367" s="4">
        <v>0</v>
      </c>
      <c r="AE367" s="4" t="s">
        <v>49</v>
      </c>
      <c r="AF367" s="4">
        <v>0</v>
      </c>
      <c r="AG367" s="4" t="s">
        <v>774</v>
      </c>
      <c r="AH367" s="4" t="s">
        <v>773</v>
      </c>
      <c r="AI367" s="4" t="s">
        <v>64</v>
      </c>
      <c r="AJ367" s="13">
        <v>10</v>
      </c>
      <c r="AK367" s="13">
        <v>20</v>
      </c>
      <c r="AP367" s="13" t="s">
        <v>49</v>
      </c>
      <c r="AQ367" s="13" t="s">
        <v>49</v>
      </c>
      <c r="AR367" s="13" t="s">
        <v>49</v>
      </c>
      <c r="AS367" s="13" t="s">
        <v>50</v>
      </c>
      <c r="AT367" s="13" t="s">
        <v>990</v>
      </c>
      <c r="AU367" s="13" t="s">
        <v>998</v>
      </c>
      <c r="AV367" s="14">
        <v>0.5</v>
      </c>
      <c r="AW367" s="14">
        <v>0.96</v>
      </c>
      <c r="AX367" s="14">
        <f>Table1347456[[#This Row],[treatment_mean]]/Table1347456[[#This Row],[control_mean]]</f>
        <v>0.52083333333333337</v>
      </c>
      <c r="AY367" s="14">
        <f>LN(Table1347456[[#This Row],[rr]])</f>
        <v>-0.65232518603969014</v>
      </c>
      <c r="AZ367" s="13">
        <v>18</v>
      </c>
      <c r="BA367" s="13">
        <v>18</v>
      </c>
      <c r="BB367" s="14" t="s">
        <v>46</v>
      </c>
      <c r="BC367" s="14" t="s">
        <v>46</v>
      </c>
      <c r="BD367" s="15" t="s">
        <v>46</v>
      </c>
      <c r="BE367" s="14" t="s">
        <v>46</v>
      </c>
      <c r="BF36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67" s="17" t="s">
        <v>46</v>
      </c>
      <c r="BH367" s="13" t="s">
        <v>50</v>
      </c>
      <c r="BI367" s="13">
        <v>2.5000000000000001E-2</v>
      </c>
      <c r="BJ367" s="18">
        <f>ABS(_xlfn.NORM.S.INV(Table1347456[[#This Row],[p_value]]/2))</f>
        <v>2.2414027276049446</v>
      </c>
      <c r="BK367" s="19">
        <f>(Table1347456[[#This Row],[lnrr]]/Table1347456[[#This Row],[z_from_p]])^2</f>
        <v>8.4700992911853401E-2</v>
      </c>
      <c r="BL367" s="16">
        <f>Table1347456[[#This Row],[v_from_z_from_p]]</f>
        <v>8.4700992911853401E-2</v>
      </c>
      <c r="BM367" s="20">
        <f>SQRT(Table1347456[[#This Row],[v]])</f>
        <v>0.29103435005485762</v>
      </c>
      <c r="BN367" s="20">
        <f>Table1347456[[#This Row],[lnrr]]-(1.96*Table1347456[[#This Row],[se]])</f>
        <v>-1.2227525121472111</v>
      </c>
      <c r="BO367" s="20">
        <f>Table1347456[[#This Row],[lnrr]]+(1.96 * Table1347456[[#This Row],[se]])</f>
        <v>-8.1897859932169248E-2</v>
      </c>
    </row>
    <row r="368" spans="1:67">
      <c r="A368" s="13" t="s">
        <v>171</v>
      </c>
      <c r="B368" s="13" t="s">
        <v>172</v>
      </c>
      <c r="C368" s="13" t="s">
        <v>43</v>
      </c>
      <c r="D368" s="13" t="s">
        <v>174</v>
      </c>
      <c r="E368" s="13" t="s">
        <v>97</v>
      </c>
      <c r="F368" s="13" t="s">
        <v>588</v>
      </c>
      <c r="G368" s="13" t="s">
        <v>46</v>
      </c>
      <c r="H368" s="13">
        <v>24.7</v>
      </c>
      <c r="I368" s="13">
        <v>1318</v>
      </c>
      <c r="K368" s="13" t="s">
        <v>845</v>
      </c>
      <c r="L368" s="13" t="s">
        <v>846</v>
      </c>
      <c r="N368" s="13" t="s">
        <v>47</v>
      </c>
      <c r="O368" s="13" t="s">
        <v>645</v>
      </c>
      <c r="P368" s="13" t="s">
        <v>48</v>
      </c>
      <c r="Q368" s="13" t="s">
        <v>48</v>
      </c>
      <c r="R368" s="4">
        <v>3</v>
      </c>
      <c r="S368" s="13" t="s">
        <v>594</v>
      </c>
      <c r="T368" s="13">
        <v>120</v>
      </c>
      <c r="U368" s="4" t="s">
        <v>173</v>
      </c>
      <c r="V368" s="4">
        <v>350</v>
      </c>
      <c r="W368" s="4" t="s">
        <v>42</v>
      </c>
      <c r="X368" s="4">
        <v>511.3</v>
      </c>
      <c r="Y368" s="4">
        <v>12</v>
      </c>
      <c r="AA368" s="4" t="s">
        <v>49</v>
      </c>
      <c r="AB368" s="4">
        <v>0</v>
      </c>
      <c r="AC368" s="4" t="s">
        <v>49</v>
      </c>
      <c r="AD368" s="4">
        <v>0</v>
      </c>
      <c r="AE368" s="4" t="s">
        <v>49</v>
      </c>
      <c r="AF368" s="4">
        <v>0</v>
      </c>
      <c r="AG368" s="4" t="s">
        <v>774</v>
      </c>
      <c r="AH368" s="4" t="s">
        <v>773</v>
      </c>
      <c r="AI368" s="4" t="s">
        <v>64</v>
      </c>
      <c r="AJ368" s="13">
        <v>10</v>
      </c>
      <c r="AK368" s="13">
        <v>20</v>
      </c>
      <c r="AP368" s="13" t="s">
        <v>49</v>
      </c>
      <c r="AQ368" s="13" t="s">
        <v>49</v>
      </c>
      <c r="AR368" s="13" t="s">
        <v>49</v>
      </c>
      <c r="AS368" s="13" t="s">
        <v>50</v>
      </c>
      <c r="AT368" s="13" t="s">
        <v>990</v>
      </c>
      <c r="AU368" s="13" t="s">
        <v>998</v>
      </c>
      <c r="AV368" s="14">
        <v>0.7</v>
      </c>
      <c r="AW368" s="14">
        <v>0.96</v>
      </c>
      <c r="AX368" s="14">
        <f>Table1347456[[#This Row],[treatment_mean]]/Table1347456[[#This Row],[control_mean]]</f>
        <v>0.72916666666666663</v>
      </c>
      <c r="AY368" s="14">
        <f>LN(Table1347456[[#This Row],[rr]])</f>
        <v>-0.3158529494184773</v>
      </c>
      <c r="AZ368" s="13">
        <v>18</v>
      </c>
      <c r="BA368" s="13">
        <v>18</v>
      </c>
      <c r="BB368" s="14" t="s">
        <v>46</v>
      </c>
      <c r="BC368" s="14" t="s">
        <v>46</v>
      </c>
      <c r="BD368" s="15" t="s">
        <v>46</v>
      </c>
      <c r="BE368" s="14" t="s">
        <v>46</v>
      </c>
      <c r="BF36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68" s="17" t="s">
        <v>46</v>
      </c>
      <c r="BH368" s="13" t="s">
        <v>50</v>
      </c>
      <c r="BI368" s="13">
        <v>2.5000000000000001E-2</v>
      </c>
      <c r="BJ368" s="18">
        <f>ABS(_xlfn.NORM.S.INV(Table1347456[[#This Row],[p_value]]/2))</f>
        <v>2.2414027276049446</v>
      </c>
      <c r="BK368" s="19">
        <f>(Table1347456[[#This Row],[lnrr]]/Table1347456[[#This Row],[z_from_p]])^2</f>
        <v>1.985775193479682E-2</v>
      </c>
      <c r="BL368" s="16">
        <f>Table1347456[[#This Row],[v_from_z_from_p]]</f>
        <v>1.985775193479682E-2</v>
      </c>
      <c r="BM368" s="20">
        <f>SQRT(Table1347456[[#This Row],[v]])</f>
        <v>0.14091753593785558</v>
      </c>
      <c r="BN368" s="20">
        <f>Table1347456[[#This Row],[lnrr]]-(1.96*Table1347456[[#This Row],[se]])</f>
        <v>-0.59205131985667425</v>
      </c>
      <c r="BO368" s="20">
        <f>Table1347456[[#This Row],[lnrr]]+(1.96 * Table1347456[[#This Row],[se]])</f>
        <v>-3.9654578980280353E-2</v>
      </c>
    </row>
    <row r="369" spans="1:67">
      <c r="A369" s="13" t="s">
        <v>171</v>
      </c>
      <c r="B369" s="13" t="s">
        <v>172</v>
      </c>
      <c r="C369" s="13" t="s">
        <v>43</v>
      </c>
      <c r="D369" s="13" t="s">
        <v>174</v>
      </c>
      <c r="E369" s="13" t="s">
        <v>97</v>
      </c>
      <c r="F369" s="13" t="s">
        <v>588</v>
      </c>
      <c r="G369" s="13" t="s">
        <v>46</v>
      </c>
      <c r="H369" s="13">
        <v>24.7</v>
      </c>
      <c r="I369" s="13">
        <v>1318</v>
      </c>
      <c r="K369" s="13" t="s">
        <v>845</v>
      </c>
      <c r="L369" s="13" t="s">
        <v>846</v>
      </c>
      <c r="N369" s="13" t="s">
        <v>47</v>
      </c>
      <c r="O369" s="13" t="s">
        <v>645</v>
      </c>
      <c r="P369" s="13" t="s">
        <v>48</v>
      </c>
      <c r="Q369" s="13" t="s">
        <v>48</v>
      </c>
      <c r="R369" s="4">
        <v>3</v>
      </c>
      <c r="S369" s="13" t="s">
        <v>594</v>
      </c>
      <c r="T369" s="13">
        <v>120</v>
      </c>
      <c r="U369" s="4" t="s">
        <v>173</v>
      </c>
      <c r="V369" s="4">
        <v>350</v>
      </c>
      <c r="W369" s="4" t="s">
        <v>42</v>
      </c>
      <c r="X369" s="4">
        <v>511.3</v>
      </c>
      <c r="Y369" s="4">
        <v>3</v>
      </c>
      <c r="AA369" s="4" t="s">
        <v>50</v>
      </c>
      <c r="AB369" s="4">
        <v>30</v>
      </c>
      <c r="AC369" s="4" t="s">
        <v>49</v>
      </c>
      <c r="AD369" s="4">
        <v>0</v>
      </c>
      <c r="AE369" s="4" t="s">
        <v>49</v>
      </c>
      <c r="AF369" s="4">
        <v>0</v>
      </c>
      <c r="AG369" s="4" t="s">
        <v>774</v>
      </c>
      <c r="AH369" s="4" t="s">
        <v>773</v>
      </c>
      <c r="AI369" s="4" t="s">
        <v>64</v>
      </c>
      <c r="AJ369" s="13">
        <v>10</v>
      </c>
      <c r="AK369" s="13">
        <v>20</v>
      </c>
      <c r="AP369" s="13" t="s">
        <v>49</v>
      </c>
      <c r="AQ369" s="13" t="s">
        <v>49</v>
      </c>
      <c r="AR369" s="13" t="s">
        <v>49</v>
      </c>
      <c r="AS369" s="13" t="s">
        <v>50</v>
      </c>
      <c r="AT369" s="13" t="s">
        <v>992</v>
      </c>
      <c r="AU369" s="4" t="s">
        <v>1000</v>
      </c>
      <c r="AV369" s="14">
        <v>0.67</v>
      </c>
      <c r="AW369" s="14">
        <v>0.69</v>
      </c>
      <c r="AX369" s="14">
        <f>Table1347456[[#This Row],[treatment_mean]]/Table1347456[[#This Row],[control_mean]]</f>
        <v>0.97101449275362328</v>
      </c>
      <c r="AY369" s="14">
        <f>LN(Table1347456[[#This Row],[rr]])</f>
        <v>-2.9413885206293226E-2</v>
      </c>
      <c r="AZ369" s="13">
        <v>18</v>
      </c>
      <c r="BA369" s="13">
        <v>18</v>
      </c>
      <c r="BB369" s="14" t="s">
        <v>46</v>
      </c>
      <c r="BC369" s="14" t="s">
        <v>46</v>
      </c>
      <c r="BD369" s="15" t="s">
        <v>46</v>
      </c>
      <c r="BE369" s="14" t="s">
        <v>46</v>
      </c>
      <c r="BF36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69" s="17" t="s">
        <v>46</v>
      </c>
      <c r="BH369" s="13" t="s">
        <v>50</v>
      </c>
      <c r="BI369" s="13">
        <v>2.5000000000000001E-2</v>
      </c>
      <c r="BJ369" s="18">
        <f>ABS(_xlfn.NORM.S.INV(Table1347456[[#This Row],[p_value]]/2))</f>
        <v>2.2414027276049446</v>
      </c>
      <c r="BK369" s="19">
        <f>(Table1347456[[#This Row],[lnrr]]/Table1347456[[#This Row],[z_from_p]])^2</f>
        <v>1.7221262796787324E-4</v>
      </c>
      <c r="BL369" s="16">
        <f>Table1347456[[#This Row],[v_from_z_from_p]]</f>
        <v>1.7221262796787324E-4</v>
      </c>
      <c r="BM369" s="20">
        <f>SQRT(Table1347456[[#This Row],[v]])</f>
        <v>1.3122980910139024E-2</v>
      </c>
      <c r="BN369" s="20">
        <f>Table1347456[[#This Row],[lnrr]]-(1.96*Table1347456[[#This Row],[se]])</f>
        <v>-5.5134927790165711E-2</v>
      </c>
      <c r="BO369" s="20">
        <f>Table1347456[[#This Row],[lnrr]]+(1.96 * Table1347456[[#This Row],[se]])</f>
        <v>-3.6928426224207382E-3</v>
      </c>
    </row>
    <row r="370" spans="1:67">
      <c r="A370" s="13" t="s">
        <v>171</v>
      </c>
      <c r="B370" s="13" t="s">
        <v>172</v>
      </c>
      <c r="C370" s="13" t="s">
        <v>43</v>
      </c>
      <c r="D370" s="13" t="s">
        <v>174</v>
      </c>
      <c r="E370" s="13" t="s">
        <v>97</v>
      </c>
      <c r="F370" s="13" t="s">
        <v>588</v>
      </c>
      <c r="G370" s="13" t="s">
        <v>46</v>
      </c>
      <c r="H370" s="13">
        <v>24.7</v>
      </c>
      <c r="I370" s="13">
        <v>1318</v>
      </c>
      <c r="K370" s="13" t="s">
        <v>845</v>
      </c>
      <c r="L370" s="13" t="s">
        <v>846</v>
      </c>
      <c r="N370" s="13" t="s">
        <v>47</v>
      </c>
      <c r="O370" s="13" t="s">
        <v>645</v>
      </c>
      <c r="P370" s="13" t="s">
        <v>48</v>
      </c>
      <c r="Q370" s="13" t="s">
        <v>48</v>
      </c>
      <c r="R370" s="4">
        <v>3</v>
      </c>
      <c r="S370" s="13" t="s">
        <v>594</v>
      </c>
      <c r="T370" s="13">
        <v>120</v>
      </c>
      <c r="U370" s="4" t="s">
        <v>173</v>
      </c>
      <c r="V370" s="4">
        <v>350</v>
      </c>
      <c r="W370" s="4" t="s">
        <v>42</v>
      </c>
      <c r="X370" s="4">
        <v>511.3</v>
      </c>
      <c r="Y370" s="4">
        <v>6</v>
      </c>
      <c r="AA370" s="4" t="s">
        <v>50</v>
      </c>
      <c r="AB370" s="4">
        <v>60</v>
      </c>
      <c r="AC370" s="4" t="s">
        <v>49</v>
      </c>
      <c r="AD370" s="4">
        <v>0</v>
      </c>
      <c r="AE370" s="4" t="s">
        <v>49</v>
      </c>
      <c r="AF370" s="4">
        <v>0</v>
      </c>
      <c r="AG370" s="4" t="s">
        <v>774</v>
      </c>
      <c r="AH370" s="4" t="s">
        <v>773</v>
      </c>
      <c r="AI370" s="4" t="s">
        <v>64</v>
      </c>
      <c r="AJ370" s="13">
        <v>10</v>
      </c>
      <c r="AK370" s="13">
        <v>20</v>
      </c>
      <c r="AP370" s="13" t="s">
        <v>49</v>
      </c>
      <c r="AQ370" s="13" t="s">
        <v>49</v>
      </c>
      <c r="AR370" s="13" t="s">
        <v>49</v>
      </c>
      <c r="AS370" s="13" t="s">
        <v>50</v>
      </c>
      <c r="AT370" s="13" t="s">
        <v>992</v>
      </c>
      <c r="AU370" s="4" t="s">
        <v>1000</v>
      </c>
      <c r="AV370" s="14">
        <v>0.63</v>
      </c>
      <c r="AW370" s="14">
        <v>0.69</v>
      </c>
      <c r="AX370" s="14">
        <f>Table1347456[[#This Row],[treatment_mean]]/Table1347456[[#This Row],[control_mean]]</f>
        <v>0.91304347826086962</v>
      </c>
      <c r="AY370" s="14">
        <f>LN(Table1347456[[#This Row],[rr]])</f>
        <v>-9.0971778205726633E-2</v>
      </c>
      <c r="AZ370" s="13">
        <v>18</v>
      </c>
      <c r="BA370" s="13">
        <v>18</v>
      </c>
      <c r="BB370" s="14" t="s">
        <v>46</v>
      </c>
      <c r="BC370" s="14" t="s">
        <v>46</v>
      </c>
      <c r="BD370" s="15" t="s">
        <v>46</v>
      </c>
      <c r="BE370" s="14" t="s">
        <v>46</v>
      </c>
      <c r="BF37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70" s="17" t="s">
        <v>46</v>
      </c>
      <c r="BH370" s="13" t="s">
        <v>50</v>
      </c>
      <c r="BI370" s="13">
        <v>2.5000000000000001E-2</v>
      </c>
      <c r="BJ370" s="18">
        <f>ABS(_xlfn.NORM.S.INV(Table1347456[[#This Row],[p_value]]/2))</f>
        <v>2.2414027276049446</v>
      </c>
      <c r="BK370" s="19">
        <f>(Table1347456[[#This Row],[lnrr]]/Table1347456[[#This Row],[z_from_p]])^2</f>
        <v>1.6473033268166284E-3</v>
      </c>
      <c r="BL370" s="16">
        <f>Table1347456[[#This Row],[v_from_z_from_p]]</f>
        <v>1.6473033268166284E-3</v>
      </c>
      <c r="BM370" s="20">
        <f>SQRT(Table1347456[[#This Row],[v]])</f>
        <v>4.0586984697272455E-2</v>
      </c>
      <c r="BN370" s="20">
        <f>Table1347456[[#This Row],[lnrr]]-(1.96*Table1347456[[#This Row],[se]])</f>
        <v>-0.17052226821238065</v>
      </c>
      <c r="BO370" s="20">
        <f>Table1347456[[#This Row],[lnrr]]+(1.96 * Table1347456[[#This Row],[se]])</f>
        <v>-1.1421288199072621E-2</v>
      </c>
    </row>
    <row r="371" spans="1:67">
      <c r="A371" s="13" t="s">
        <v>171</v>
      </c>
      <c r="B371" s="13" t="s">
        <v>172</v>
      </c>
      <c r="C371" s="13" t="s">
        <v>43</v>
      </c>
      <c r="D371" s="13" t="s">
        <v>174</v>
      </c>
      <c r="E371" s="13" t="s">
        <v>97</v>
      </c>
      <c r="F371" s="13" t="s">
        <v>588</v>
      </c>
      <c r="G371" s="13" t="s">
        <v>46</v>
      </c>
      <c r="H371" s="13">
        <v>24.7</v>
      </c>
      <c r="I371" s="13">
        <v>1318</v>
      </c>
      <c r="K371" s="13" t="s">
        <v>845</v>
      </c>
      <c r="L371" s="13" t="s">
        <v>846</v>
      </c>
      <c r="N371" s="13" t="s">
        <v>47</v>
      </c>
      <c r="O371" s="13" t="s">
        <v>645</v>
      </c>
      <c r="P371" s="13" t="s">
        <v>48</v>
      </c>
      <c r="Q371" s="13" t="s">
        <v>48</v>
      </c>
      <c r="R371" s="4">
        <v>3</v>
      </c>
      <c r="S371" s="13" t="s">
        <v>594</v>
      </c>
      <c r="T371" s="13">
        <v>120</v>
      </c>
      <c r="U371" s="4" t="s">
        <v>173</v>
      </c>
      <c r="V371" s="4">
        <v>350</v>
      </c>
      <c r="W371" s="4" t="s">
        <v>42</v>
      </c>
      <c r="X371" s="4">
        <v>511.3</v>
      </c>
      <c r="Y371" s="4">
        <v>12</v>
      </c>
      <c r="AA371" s="4" t="s">
        <v>50</v>
      </c>
      <c r="AB371" s="4">
        <v>90</v>
      </c>
      <c r="AC371" s="4" t="s">
        <v>49</v>
      </c>
      <c r="AD371" s="4">
        <v>0</v>
      </c>
      <c r="AE371" s="4" t="s">
        <v>49</v>
      </c>
      <c r="AF371" s="4">
        <v>0</v>
      </c>
      <c r="AG371" s="4" t="s">
        <v>774</v>
      </c>
      <c r="AH371" s="4" t="s">
        <v>773</v>
      </c>
      <c r="AI371" s="4" t="s">
        <v>64</v>
      </c>
      <c r="AJ371" s="13">
        <v>10</v>
      </c>
      <c r="AK371" s="13">
        <v>20</v>
      </c>
      <c r="AP371" s="13" t="s">
        <v>49</v>
      </c>
      <c r="AQ371" s="13" t="s">
        <v>49</v>
      </c>
      <c r="AR371" s="13" t="s">
        <v>49</v>
      </c>
      <c r="AS371" s="13" t="s">
        <v>50</v>
      </c>
      <c r="AT371" s="13" t="s">
        <v>992</v>
      </c>
      <c r="AU371" s="4" t="s">
        <v>1000</v>
      </c>
      <c r="AV371" s="14">
        <v>0.57999999999999996</v>
      </c>
      <c r="AW371" s="14">
        <v>0.69</v>
      </c>
      <c r="AX371" s="14">
        <f>Table1347456[[#This Row],[treatment_mean]]/Table1347456[[#This Row],[control_mean]]</f>
        <v>0.84057971014492749</v>
      </c>
      <c r="AY371" s="14">
        <f>LN(Table1347456[[#This Row],[rr]])</f>
        <v>-0.17366349405084008</v>
      </c>
      <c r="AZ371" s="13">
        <v>18</v>
      </c>
      <c r="BA371" s="13">
        <v>18</v>
      </c>
      <c r="BB371" s="14" t="s">
        <v>46</v>
      </c>
      <c r="BC371" s="14" t="s">
        <v>46</v>
      </c>
      <c r="BD371" s="15" t="s">
        <v>46</v>
      </c>
      <c r="BE371" s="14" t="s">
        <v>46</v>
      </c>
      <c r="BF37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71" s="17" t="s">
        <v>46</v>
      </c>
      <c r="BH371" s="13" t="s">
        <v>50</v>
      </c>
      <c r="BI371" s="13">
        <v>2.5000000000000001E-2</v>
      </c>
      <c r="BJ371" s="18">
        <f>ABS(_xlfn.NORM.S.INV(Table1347456[[#This Row],[p_value]]/2))</f>
        <v>2.2414027276049446</v>
      </c>
      <c r="BK371" s="19">
        <f>(Table1347456[[#This Row],[lnrr]]/Table1347456[[#This Row],[z_from_p]])^2</f>
        <v>6.0031234867733421E-3</v>
      </c>
      <c r="BL371" s="16">
        <f>Table1347456[[#This Row],[v_from_z_from_p]]</f>
        <v>6.0031234867733421E-3</v>
      </c>
      <c r="BM371" s="20">
        <f>SQRT(Table1347456[[#This Row],[v]])</f>
        <v>7.7479826321264697E-2</v>
      </c>
      <c r="BN371" s="20">
        <f>Table1347456[[#This Row],[lnrr]]-(1.96*Table1347456[[#This Row],[se]])</f>
        <v>-0.32552395364051889</v>
      </c>
      <c r="BO371" s="20">
        <f>Table1347456[[#This Row],[lnrr]]+(1.96 * Table1347456[[#This Row],[se]])</f>
        <v>-2.1803034461161275E-2</v>
      </c>
    </row>
    <row r="372" spans="1:67">
      <c r="A372" s="13" t="s">
        <v>171</v>
      </c>
      <c r="B372" s="13" t="s">
        <v>172</v>
      </c>
      <c r="C372" s="13" t="s">
        <v>43</v>
      </c>
      <c r="D372" s="13" t="s">
        <v>174</v>
      </c>
      <c r="E372" s="13" t="s">
        <v>97</v>
      </c>
      <c r="F372" s="13" t="s">
        <v>588</v>
      </c>
      <c r="G372" s="13" t="s">
        <v>46</v>
      </c>
      <c r="H372" s="13">
        <v>24.7</v>
      </c>
      <c r="I372" s="13">
        <v>1318</v>
      </c>
      <c r="J372" s="13" t="s">
        <v>650</v>
      </c>
      <c r="K372" s="13" t="s">
        <v>845</v>
      </c>
      <c r="L372" s="13" t="s">
        <v>846</v>
      </c>
      <c r="M372" s="13" t="s">
        <v>800</v>
      </c>
      <c r="N372" s="13" t="s">
        <v>84</v>
      </c>
      <c r="O372" s="13" t="s">
        <v>644</v>
      </c>
      <c r="P372" s="13" t="s">
        <v>85</v>
      </c>
      <c r="Q372" s="13" t="s">
        <v>48</v>
      </c>
      <c r="R372" s="4">
        <v>3</v>
      </c>
      <c r="S372" s="13" t="s">
        <v>594</v>
      </c>
      <c r="T372" s="13">
        <v>120</v>
      </c>
      <c r="U372" s="4" t="s">
        <v>173</v>
      </c>
      <c r="V372" s="4">
        <v>350</v>
      </c>
      <c r="W372" s="4" t="s">
        <v>42</v>
      </c>
      <c r="X372" s="4">
        <v>511.3</v>
      </c>
      <c r="Y372" s="4">
        <v>3</v>
      </c>
      <c r="AA372" s="4" t="s">
        <v>49</v>
      </c>
      <c r="AB372" s="4">
        <v>0</v>
      </c>
      <c r="AC372" s="4" t="s">
        <v>49</v>
      </c>
      <c r="AD372" s="4">
        <v>0</v>
      </c>
      <c r="AE372" s="4" t="s">
        <v>49</v>
      </c>
      <c r="AF372" s="4">
        <v>0</v>
      </c>
      <c r="AG372" s="4" t="s">
        <v>774</v>
      </c>
      <c r="AH372" s="4" t="s">
        <v>773</v>
      </c>
      <c r="AI372" s="4" t="s">
        <v>64</v>
      </c>
      <c r="AJ372" s="13">
        <v>0</v>
      </c>
      <c r="AK372" s="13">
        <v>10</v>
      </c>
      <c r="AP372" s="13" t="s">
        <v>49</v>
      </c>
      <c r="AQ372" s="13" t="s">
        <v>49</v>
      </c>
      <c r="AR372" s="13" t="s">
        <v>49</v>
      </c>
      <c r="AS372" s="13" t="s">
        <v>50</v>
      </c>
      <c r="AT372" s="13" t="s">
        <v>990</v>
      </c>
      <c r="AU372" s="13" t="s">
        <v>998</v>
      </c>
      <c r="AV372" s="23">
        <f>59.46/1000</f>
        <v>5.9459999999999999E-2</v>
      </c>
      <c r="AW372" s="23">
        <f>31.78/1000</f>
        <v>3.1780000000000003E-2</v>
      </c>
      <c r="AX372" s="14">
        <f>Table1347456[[#This Row],[treatment_mean]]/Table1347456[[#This Row],[control_mean]]</f>
        <v>1.87098804279421</v>
      </c>
      <c r="AY372" s="14">
        <f>LN(Table1347456[[#This Row],[rr]])</f>
        <v>0.62646665646138167</v>
      </c>
      <c r="AZ372" s="13">
        <v>18</v>
      </c>
      <c r="BA372" s="13">
        <v>18</v>
      </c>
      <c r="BB372" s="14" t="s">
        <v>46</v>
      </c>
      <c r="BC372" s="14" t="s">
        <v>46</v>
      </c>
      <c r="BD372" s="15" t="s">
        <v>46</v>
      </c>
      <c r="BE372" s="14" t="s">
        <v>46</v>
      </c>
      <c r="BF37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72" s="17" t="s">
        <v>46</v>
      </c>
      <c r="BH372" s="13" t="s">
        <v>50</v>
      </c>
      <c r="BI372" s="13">
        <v>2.5000000000000001E-2</v>
      </c>
      <c r="BJ372" s="18">
        <f>ABS(_xlfn.NORM.S.INV(Table1347456[[#This Row],[p_value]]/2))</f>
        <v>2.2414027276049446</v>
      </c>
      <c r="BK372" s="19">
        <f>(Table1347456[[#This Row],[lnrr]]/Table1347456[[#This Row],[z_from_p]])^2</f>
        <v>7.8118901787395167E-2</v>
      </c>
      <c r="BL372" s="16">
        <f>Table1347456[[#This Row],[v_from_z_from_p]]</f>
        <v>7.8118901787395167E-2</v>
      </c>
      <c r="BM372" s="20">
        <f>SQRT(Table1347456[[#This Row],[v]])</f>
        <v>0.27949758816024722</v>
      </c>
      <c r="BN372" s="20">
        <f>Table1347456[[#This Row],[lnrr]]-(1.96*Table1347456[[#This Row],[se]])</f>
        <v>7.865138366729707E-2</v>
      </c>
      <c r="BO372" s="20">
        <f>Table1347456[[#This Row],[lnrr]]+(1.96 * Table1347456[[#This Row],[se]])</f>
        <v>1.1742819292554663</v>
      </c>
    </row>
    <row r="373" spans="1:67">
      <c r="A373" s="13" t="s">
        <v>171</v>
      </c>
      <c r="B373" s="13" t="s">
        <v>172</v>
      </c>
      <c r="C373" s="13" t="s">
        <v>43</v>
      </c>
      <c r="D373" s="13" t="s">
        <v>174</v>
      </c>
      <c r="E373" s="13" t="s">
        <v>97</v>
      </c>
      <c r="F373" s="13" t="s">
        <v>588</v>
      </c>
      <c r="G373" s="13" t="s">
        <v>46</v>
      </c>
      <c r="H373" s="13">
        <v>24.7</v>
      </c>
      <c r="I373" s="13">
        <v>1318</v>
      </c>
      <c r="J373" s="13" t="s">
        <v>650</v>
      </c>
      <c r="K373" s="13" t="s">
        <v>845</v>
      </c>
      <c r="L373" s="13" t="s">
        <v>846</v>
      </c>
      <c r="M373" s="13" t="s">
        <v>800</v>
      </c>
      <c r="N373" s="13" t="s">
        <v>84</v>
      </c>
      <c r="O373" s="13" t="s">
        <v>644</v>
      </c>
      <c r="P373" s="13" t="s">
        <v>85</v>
      </c>
      <c r="Q373" s="13" t="s">
        <v>48</v>
      </c>
      <c r="R373" s="4">
        <v>3</v>
      </c>
      <c r="S373" s="13" t="s">
        <v>594</v>
      </c>
      <c r="T373" s="13">
        <v>120</v>
      </c>
      <c r="U373" s="4" t="s">
        <v>173</v>
      </c>
      <c r="V373" s="4">
        <v>350</v>
      </c>
      <c r="W373" s="4" t="s">
        <v>42</v>
      </c>
      <c r="X373" s="4">
        <v>511.3</v>
      </c>
      <c r="Y373" s="4">
        <v>6</v>
      </c>
      <c r="AA373" s="4" t="s">
        <v>49</v>
      </c>
      <c r="AB373" s="4">
        <v>0</v>
      </c>
      <c r="AC373" s="4" t="s">
        <v>49</v>
      </c>
      <c r="AD373" s="4">
        <v>0</v>
      </c>
      <c r="AE373" s="4" t="s">
        <v>49</v>
      </c>
      <c r="AF373" s="4">
        <v>0</v>
      </c>
      <c r="AG373" s="4" t="s">
        <v>774</v>
      </c>
      <c r="AH373" s="4" t="s">
        <v>773</v>
      </c>
      <c r="AI373" s="4" t="s">
        <v>64</v>
      </c>
      <c r="AJ373" s="13">
        <v>0</v>
      </c>
      <c r="AK373" s="13">
        <v>10</v>
      </c>
      <c r="AP373" s="13" t="s">
        <v>49</v>
      </c>
      <c r="AQ373" s="13" t="s">
        <v>49</v>
      </c>
      <c r="AR373" s="13" t="s">
        <v>49</v>
      </c>
      <c r="AS373" s="13" t="s">
        <v>50</v>
      </c>
      <c r="AT373" s="13" t="s">
        <v>990</v>
      </c>
      <c r="AU373" s="13" t="s">
        <v>998</v>
      </c>
      <c r="AV373" s="23">
        <f>67.01/1000</f>
        <v>6.701E-2</v>
      </c>
      <c r="AW373" s="23">
        <f>31.78/1000</f>
        <v>3.1780000000000003E-2</v>
      </c>
      <c r="AX373" s="14">
        <f>Table1347456[[#This Row],[treatment_mean]]/Table1347456[[#This Row],[control_mean]]</f>
        <v>2.108558842039018</v>
      </c>
      <c r="AY373" s="14">
        <f>LN(Table1347456[[#This Row],[rr]])</f>
        <v>0.74600470087650927</v>
      </c>
      <c r="AZ373" s="13">
        <v>18</v>
      </c>
      <c r="BA373" s="13">
        <v>18</v>
      </c>
      <c r="BB373" s="14" t="s">
        <v>46</v>
      </c>
      <c r="BC373" s="14" t="s">
        <v>46</v>
      </c>
      <c r="BD373" s="15" t="s">
        <v>46</v>
      </c>
      <c r="BE373" s="14" t="s">
        <v>46</v>
      </c>
      <c r="BF37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73" s="17" t="s">
        <v>46</v>
      </c>
      <c r="BH373" s="13" t="s">
        <v>50</v>
      </c>
      <c r="BI373" s="13">
        <v>2.5000000000000001E-2</v>
      </c>
      <c r="BJ373" s="18">
        <f>ABS(_xlfn.NORM.S.INV(Table1347456[[#This Row],[p_value]]/2))</f>
        <v>2.2414027276049446</v>
      </c>
      <c r="BK373" s="19">
        <f>(Table1347456[[#This Row],[lnrr]]/Table1347456[[#This Row],[z_from_p]])^2</f>
        <v>0.11077540234391628</v>
      </c>
      <c r="BL373" s="16">
        <f>Table1347456[[#This Row],[v_from_z_from_p]]</f>
        <v>0.11077540234391628</v>
      </c>
      <c r="BM373" s="20">
        <f>SQRT(Table1347456[[#This Row],[v]])</f>
        <v>0.33282938924307193</v>
      </c>
      <c r="BN373" s="20">
        <f>Table1347456[[#This Row],[lnrr]]-(1.96*Table1347456[[#This Row],[se]])</f>
        <v>9.3659097960088311E-2</v>
      </c>
      <c r="BO373" s="20">
        <f>Table1347456[[#This Row],[lnrr]]+(1.96 * Table1347456[[#This Row],[se]])</f>
        <v>1.3983503037929301</v>
      </c>
    </row>
    <row r="374" spans="1:67">
      <c r="A374" s="13" t="s">
        <v>171</v>
      </c>
      <c r="B374" s="13" t="s">
        <v>172</v>
      </c>
      <c r="C374" s="13" t="s">
        <v>43</v>
      </c>
      <c r="D374" s="13" t="s">
        <v>174</v>
      </c>
      <c r="E374" s="13" t="s">
        <v>97</v>
      </c>
      <c r="F374" s="13" t="s">
        <v>588</v>
      </c>
      <c r="G374" s="13" t="s">
        <v>46</v>
      </c>
      <c r="H374" s="13">
        <v>24.7</v>
      </c>
      <c r="I374" s="13">
        <v>1318</v>
      </c>
      <c r="J374" s="13" t="s">
        <v>650</v>
      </c>
      <c r="K374" s="13" t="s">
        <v>845</v>
      </c>
      <c r="L374" s="13" t="s">
        <v>846</v>
      </c>
      <c r="M374" s="13" t="s">
        <v>800</v>
      </c>
      <c r="N374" s="13" t="s">
        <v>84</v>
      </c>
      <c r="O374" s="13" t="s">
        <v>644</v>
      </c>
      <c r="P374" s="13" t="s">
        <v>85</v>
      </c>
      <c r="Q374" s="13" t="s">
        <v>48</v>
      </c>
      <c r="R374" s="4">
        <v>3</v>
      </c>
      <c r="S374" s="13" t="s">
        <v>594</v>
      </c>
      <c r="T374" s="13">
        <v>120</v>
      </c>
      <c r="U374" s="4" t="s">
        <v>173</v>
      </c>
      <c r="V374" s="4">
        <v>350</v>
      </c>
      <c r="W374" s="4" t="s">
        <v>42</v>
      </c>
      <c r="X374" s="4">
        <v>511.3</v>
      </c>
      <c r="Y374" s="4">
        <v>12</v>
      </c>
      <c r="AA374" s="4" t="s">
        <v>49</v>
      </c>
      <c r="AB374" s="4">
        <v>0</v>
      </c>
      <c r="AC374" s="4" t="s">
        <v>49</v>
      </c>
      <c r="AD374" s="4">
        <v>0</v>
      </c>
      <c r="AE374" s="4" t="s">
        <v>49</v>
      </c>
      <c r="AF374" s="4">
        <v>0</v>
      </c>
      <c r="AG374" s="4" t="s">
        <v>774</v>
      </c>
      <c r="AH374" s="4" t="s">
        <v>773</v>
      </c>
      <c r="AI374" s="4" t="s">
        <v>64</v>
      </c>
      <c r="AJ374" s="13">
        <v>0</v>
      </c>
      <c r="AK374" s="13">
        <v>10</v>
      </c>
      <c r="AP374" s="13" t="s">
        <v>49</v>
      </c>
      <c r="AQ374" s="13" t="s">
        <v>49</v>
      </c>
      <c r="AR374" s="13" t="s">
        <v>49</v>
      </c>
      <c r="AS374" s="13" t="s">
        <v>50</v>
      </c>
      <c r="AT374" s="13" t="s">
        <v>990</v>
      </c>
      <c r="AU374" s="13" t="s">
        <v>998</v>
      </c>
      <c r="AV374" s="23">
        <f>75.84/1000</f>
        <v>7.5840000000000005E-2</v>
      </c>
      <c r="AW374" s="23">
        <f>31.78/1000</f>
        <v>3.1780000000000003E-2</v>
      </c>
      <c r="AX374" s="14">
        <f>Table1347456[[#This Row],[treatment_mean]]/Table1347456[[#This Row],[control_mean]]</f>
        <v>2.3864065449968535</v>
      </c>
      <c r="AY374" s="14">
        <f>LN(Table1347456[[#This Row],[rr]])</f>
        <v>0.86978869683819648</v>
      </c>
      <c r="AZ374" s="13">
        <v>18</v>
      </c>
      <c r="BA374" s="13">
        <v>18</v>
      </c>
      <c r="BB374" s="14" t="s">
        <v>46</v>
      </c>
      <c r="BC374" s="14" t="s">
        <v>46</v>
      </c>
      <c r="BD374" s="15" t="s">
        <v>46</v>
      </c>
      <c r="BE374" s="14" t="s">
        <v>46</v>
      </c>
      <c r="BF37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74" s="17" t="s">
        <v>46</v>
      </c>
      <c r="BH374" s="13" t="s">
        <v>50</v>
      </c>
      <c r="BI374" s="13">
        <v>2.5000000000000001E-2</v>
      </c>
      <c r="BJ374" s="18">
        <f>ABS(_xlfn.NORM.S.INV(Table1347456[[#This Row],[p_value]]/2))</f>
        <v>2.2414027276049446</v>
      </c>
      <c r="BK374" s="19">
        <f>(Table1347456[[#This Row],[lnrr]]/Table1347456[[#This Row],[z_from_p]])^2</f>
        <v>0.15058708516480776</v>
      </c>
      <c r="BL374" s="16">
        <f>Table1347456[[#This Row],[v_from_z_from_p]]</f>
        <v>0.15058708516480776</v>
      </c>
      <c r="BM374" s="20">
        <f>SQRT(Table1347456[[#This Row],[v]])</f>
        <v>0.38805551814760703</v>
      </c>
      <c r="BN374" s="20">
        <f>Table1347456[[#This Row],[lnrr]]-(1.96*Table1347456[[#This Row],[se]])</f>
        <v>0.10919988126888669</v>
      </c>
      <c r="BO374" s="20">
        <f>Table1347456[[#This Row],[lnrr]]+(1.96 * Table1347456[[#This Row],[se]])</f>
        <v>1.6303775124075064</v>
      </c>
    </row>
    <row r="375" spans="1:67">
      <c r="A375" s="13" t="s">
        <v>171</v>
      </c>
      <c r="B375" s="13" t="s">
        <v>172</v>
      </c>
      <c r="C375" s="13" t="s">
        <v>43</v>
      </c>
      <c r="D375" s="13" t="s">
        <v>174</v>
      </c>
      <c r="E375" s="13" t="s">
        <v>97</v>
      </c>
      <c r="F375" s="13" t="s">
        <v>588</v>
      </c>
      <c r="G375" s="13" t="s">
        <v>46</v>
      </c>
      <c r="H375" s="13">
        <v>24.7</v>
      </c>
      <c r="I375" s="13">
        <v>1318</v>
      </c>
      <c r="J375" s="13" t="s">
        <v>650</v>
      </c>
      <c r="K375" s="13" t="s">
        <v>845</v>
      </c>
      <c r="L375" s="13" t="s">
        <v>846</v>
      </c>
      <c r="M375" s="13" t="s">
        <v>800</v>
      </c>
      <c r="N375" s="13" t="s">
        <v>84</v>
      </c>
      <c r="O375" s="13" t="s">
        <v>644</v>
      </c>
      <c r="P375" s="13" t="s">
        <v>85</v>
      </c>
      <c r="Q375" s="13" t="s">
        <v>48</v>
      </c>
      <c r="R375" s="4">
        <v>3</v>
      </c>
      <c r="S375" s="13" t="s">
        <v>594</v>
      </c>
      <c r="T375" s="13">
        <v>120</v>
      </c>
      <c r="U375" s="4" t="s">
        <v>173</v>
      </c>
      <c r="V375" s="4">
        <v>350</v>
      </c>
      <c r="W375" s="4" t="s">
        <v>42</v>
      </c>
      <c r="X375" s="4">
        <v>511.3</v>
      </c>
      <c r="Y375" s="4">
        <v>3</v>
      </c>
      <c r="AA375" s="4" t="s">
        <v>50</v>
      </c>
      <c r="AB375" s="4">
        <v>30</v>
      </c>
      <c r="AC375" s="4" t="s">
        <v>49</v>
      </c>
      <c r="AD375" s="4">
        <v>0</v>
      </c>
      <c r="AE375" s="4" t="s">
        <v>49</v>
      </c>
      <c r="AF375" s="4">
        <v>0</v>
      </c>
      <c r="AG375" s="4" t="s">
        <v>774</v>
      </c>
      <c r="AH375" s="4" t="s">
        <v>773</v>
      </c>
      <c r="AI375" s="4" t="s">
        <v>64</v>
      </c>
      <c r="AJ375" s="13">
        <v>0</v>
      </c>
      <c r="AK375" s="13">
        <v>10</v>
      </c>
      <c r="AP375" s="13" t="s">
        <v>49</v>
      </c>
      <c r="AQ375" s="13" t="s">
        <v>49</v>
      </c>
      <c r="AR375" s="13" t="s">
        <v>49</v>
      </c>
      <c r="AS375" s="13" t="s">
        <v>50</v>
      </c>
      <c r="AT375" s="13" t="s">
        <v>992</v>
      </c>
      <c r="AU375" s="4" t="s">
        <v>1000</v>
      </c>
      <c r="AV375" s="23">
        <f>53.33/1000</f>
        <v>5.3329999999999995E-2</v>
      </c>
      <c r="AW375" s="23">
        <f>49.47/1000</f>
        <v>4.947E-2</v>
      </c>
      <c r="AX375" s="14">
        <f>Table1347456[[#This Row],[treatment_mean]]/Table1347456[[#This Row],[control_mean]]</f>
        <v>1.0780270871235091</v>
      </c>
      <c r="AY375" s="14">
        <f>LN(Table1347456[[#This Row],[rr]])</f>
        <v>7.5132599372893571E-2</v>
      </c>
      <c r="AZ375" s="13">
        <v>18</v>
      </c>
      <c r="BA375" s="13">
        <v>18</v>
      </c>
      <c r="BB375" s="14" t="s">
        <v>46</v>
      </c>
      <c r="BC375" s="14" t="s">
        <v>46</v>
      </c>
      <c r="BD375" s="15" t="s">
        <v>46</v>
      </c>
      <c r="BE375" s="14" t="s">
        <v>46</v>
      </c>
      <c r="BF37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75" s="17" t="s">
        <v>46</v>
      </c>
      <c r="BH375" s="13" t="s">
        <v>50</v>
      </c>
      <c r="BI375" s="13">
        <v>2.5000000000000001E-2</v>
      </c>
      <c r="BJ375" s="18">
        <f>ABS(_xlfn.NORM.S.INV(Table1347456[[#This Row],[p_value]]/2))</f>
        <v>2.2414027276049446</v>
      </c>
      <c r="BK375" s="19">
        <f>(Table1347456[[#This Row],[lnrr]]/Table1347456[[#This Row],[z_from_p]])^2</f>
        <v>1.1236137281097046E-3</v>
      </c>
      <c r="BL375" s="16">
        <f>Table1347456[[#This Row],[v_from_z_from_p]]</f>
        <v>1.1236137281097046E-3</v>
      </c>
      <c r="BM375" s="20">
        <f>SQRT(Table1347456[[#This Row],[v]])</f>
        <v>3.3520347971190641E-2</v>
      </c>
      <c r="BN375" s="20">
        <f>Table1347456[[#This Row],[lnrr]]-(1.96*Table1347456[[#This Row],[se]])</f>
        <v>9.4327173493599231E-3</v>
      </c>
      <c r="BO375" s="20">
        <f>Table1347456[[#This Row],[lnrr]]+(1.96 * Table1347456[[#This Row],[se]])</f>
        <v>0.14083248139642723</v>
      </c>
    </row>
    <row r="376" spans="1:67">
      <c r="A376" s="13" t="s">
        <v>171</v>
      </c>
      <c r="B376" s="13" t="s">
        <v>172</v>
      </c>
      <c r="C376" s="13" t="s">
        <v>43</v>
      </c>
      <c r="D376" s="13" t="s">
        <v>174</v>
      </c>
      <c r="E376" s="13" t="s">
        <v>97</v>
      </c>
      <c r="F376" s="13" t="s">
        <v>588</v>
      </c>
      <c r="G376" s="13" t="s">
        <v>46</v>
      </c>
      <c r="H376" s="13">
        <v>24.7</v>
      </c>
      <c r="I376" s="13">
        <v>1318</v>
      </c>
      <c r="J376" s="13" t="s">
        <v>650</v>
      </c>
      <c r="K376" s="13" t="s">
        <v>845</v>
      </c>
      <c r="L376" s="13" t="s">
        <v>846</v>
      </c>
      <c r="M376" s="13" t="s">
        <v>800</v>
      </c>
      <c r="N376" s="13" t="s">
        <v>84</v>
      </c>
      <c r="O376" s="13" t="s">
        <v>644</v>
      </c>
      <c r="P376" s="13" t="s">
        <v>85</v>
      </c>
      <c r="Q376" s="13" t="s">
        <v>48</v>
      </c>
      <c r="R376" s="4">
        <v>3</v>
      </c>
      <c r="S376" s="13" t="s">
        <v>594</v>
      </c>
      <c r="T376" s="13">
        <v>120</v>
      </c>
      <c r="U376" s="4" t="s">
        <v>173</v>
      </c>
      <c r="V376" s="4">
        <v>350</v>
      </c>
      <c r="W376" s="4" t="s">
        <v>42</v>
      </c>
      <c r="X376" s="4">
        <v>511.3</v>
      </c>
      <c r="Y376" s="4">
        <v>6</v>
      </c>
      <c r="AA376" s="4" t="s">
        <v>50</v>
      </c>
      <c r="AB376" s="4">
        <v>60</v>
      </c>
      <c r="AC376" s="4" t="s">
        <v>49</v>
      </c>
      <c r="AD376" s="4">
        <v>0</v>
      </c>
      <c r="AE376" s="4" t="s">
        <v>49</v>
      </c>
      <c r="AF376" s="4">
        <v>0</v>
      </c>
      <c r="AG376" s="4" t="s">
        <v>774</v>
      </c>
      <c r="AH376" s="4" t="s">
        <v>773</v>
      </c>
      <c r="AI376" s="4" t="s">
        <v>64</v>
      </c>
      <c r="AJ376" s="13">
        <v>0</v>
      </c>
      <c r="AK376" s="13">
        <v>10</v>
      </c>
      <c r="AP376" s="13" t="s">
        <v>49</v>
      </c>
      <c r="AQ376" s="13" t="s">
        <v>49</v>
      </c>
      <c r="AR376" s="13" t="s">
        <v>49</v>
      </c>
      <c r="AS376" s="13" t="s">
        <v>50</v>
      </c>
      <c r="AT376" s="13" t="s">
        <v>992</v>
      </c>
      <c r="AU376" s="4" t="s">
        <v>1000</v>
      </c>
      <c r="AV376" s="23">
        <f>57.1/1000</f>
        <v>5.7099999999999998E-2</v>
      </c>
      <c r="AW376" s="23">
        <f>49.47/1000</f>
        <v>4.947E-2</v>
      </c>
      <c r="AX376" s="14">
        <f>Table1347456[[#This Row],[treatment_mean]]/Table1347456[[#This Row],[control_mean]]</f>
        <v>1.1542348898322214</v>
      </c>
      <c r="AY376" s="14">
        <f>LN(Table1347456[[#This Row],[rr]])</f>
        <v>0.14343769142234722</v>
      </c>
      <c r="AZ376" s="13">
        <v>18</v>
      </c>
      <c r="BA376" s="13">
        <v>18</v>
      </c>
      <c r="BB376" s="14" t="s">
        <v>46</v>
      </c>
      <c r="BC376" s="14" t="s">
        <v>46</v>
      </c>
      <c r="BD376" s="15" t="s">
        <v>46</v>
      </c>
      <c r="BE376" s="14" t="s">
        <v>46</v>
      </c>
      <c r="BF37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76" s="17" t="s">
        <v>46</v>
      </c>
      <c r="BH376" s="13" t="s">
        <v>50</v>
      </c>
      <c r="BI376" s="13">
        <v>2.5000000000000001E-2</v>
      </c>
      <c r="BJ376" s="18">
        <f>ABS(_xlfn.NORM.S.INV(Table1347456[[#This Row],[p_value]]/2))</f>
        <v>2.2414027276049446</v>
      </c>
      <c r="BK376" s="19">
        <f>(Table1347456[[#This Row],[lnrr]]/Table1347456[[#This Row],[z_from_p]])^2</f>
        <v>4.0953099957801546E-3</v>
      </c>
      <c r="BL376" s="16">
        <f>Table1347456[[#This Row],[v_from_z_from_p]]</f>
        <v>4.0953099957801546E-3</v>
      </c>
      <c r="BM376" s="20">
        <f>SQRT(Table1347456[[#This Row],[v]])</f>
        <v>6.3994609114988388E-2</v>
      </c>
      <c r="BN376" s="20">
        <f>Table1347456[[#This Row],[lnrr]]-(1.96*Table1347456[[#This Row],[se]])</f>
        <v>1.800825755696997E-2</v>
      </c>
      <c r="BO376" s="20">
        <f>Table1347456[[#This Row],[lnrr]]+(1.96 * Table1347456[[#This Row],[se]])</f>
        <v>0.2688671252877245</v>
      </c>
    </row>
    <row r="377" spans="1:67">
      <c r="A377" s="13" t="s">
        <v>171</v>
      </c>
      <c r="B377" s="13" t="s">
        <v>172</v>
      </c>
      <c r="C377" s="13" t="s">
        <v>43</v>
      </c>
      <c r="D377" s="13" t="s">
        <v>174</v>
      </c>
      <c r="E377" s="13" t="s">
        <v>97</v>
      </c>
      <c r="F377" s="13" t="s">
        <v>588</v>
      </c>
      <c r="G377" s="13" t="s">
        <v>46</v>
      </c>
      <c r="H377" s="13">
        <v>24.7</v>
      </c>
      <c r="I377" s="13">
        <v>1318</v>
      </c>
      <c r="J377" s="13" t="s">
        <v>650</v>
      </c>
      <c r="K377" s="13" t="s">
        <v>845</v>
      </c>
      <c r="L377" s="13" t="s">
        <v>846</v>
      </c>
      <c r="M377" s="13" t="s">
        <v>800</v>
      </c>
      <c r="N377" s="13" t="s">
        <v>84</v>
      </c>
      <c r="O377" s="13" t="s">
        <v>644</v>
      </c>
      <c r="P377" s="13" t="s">
        <v>85</v>
      </c>
      <c r="Q377" s="13" t="s">
        <v>48</v>
      </c>
      <c r="R377" s="4">
        <v>3</v>
      </c>
      <c r="S377" s="13" t="s">
        <v>594</v>
      </c>
      <c r="T377" s="13">
        <v>120</v>
      </c>
      <c r="U377" s="4" t="s">
        <v>173</v>
      </c>
      <c r="V377" s="4">
        <v>350</v>
      </c>
      <c r="W377" s="4" t="s">
        <v>42</v>
      </c>
      <c r="X377" s="4">
        <v>511.3</v>
      </c>
      <c r="Y377" s="4">
        <v>12</v>
      </c>
      <c r="AA377" s="4" t="s">
        <v>50</v>
      </c>
      <c r="AB377" s="4">
        <v>90</v>
      </c>
      <c r="AC377" s="4" t="s">
        <v>49</v>
      </c>
      <c r="AD377" s="4">
        <v>0</v>
      </c>
      <c r="AE377" s="4" t="s">
        <v>49</v>
      </c>
      <c r="AF377" s="4">
        <v>0</v>
      </c>
      <c r="AG377" s="4" t="s">
        <v>774</v>
      </c>
      <c r="AH377" s="4" t="s">
        <v>773</v>
      </c>
      <c r="AI377" s="4" t="s">
        <v>64</v>
      </c>
      <c r="AJ377" s="13">
        <v>0</v>
      </c>
      <c r="AK377" s="13">
        <v>10</v>
      </c>
      <c r="AP377" s="13" t="s">
        <v>49</v>
      </c>
      <c r="AQ377" s="13" t="s">
        <v>49</v>
      </c>
      <c r="AR377" s="13" t="s">
        <v>49</v>
      </c>
      <c r="AS377" s="13" t="s">
        <v>50</v>
      </c>
      <c r="AT377" s="13" t="s">
        <v>992</v>
      </c>
      <c r="AU377" s="4" t="s">
        <v>1000</v>
      </c>
      <c r="AV377" s="23">
        <f>74.19/1000</f>
        <v>7.4189999999999992E-2</v>
      </c>
      <c r="AW377" s="23">
        <f>49.47/1000</f>
        <v>4.947E-2</v>
      </c>
      <c r="AX377" s="14">
        <f>Table1347456[[#This Row],[treatment_mean]]/Table1347456[[#This Row],[control_mean]]</f>
        <v>1.499696785930867</v>
      </c>
      <c r="AY377" s="14">
        <f>LN(Table1347456[[#This Row],[rr]])</f>
        <v>0.40526294496181714</v>
      </c>
      <c r="AZ377" s="13">
        <v>18</v>
      </c>
      <c r="BA377" s="13">
        <v>18</v>
      </c>
      <c r="BB377" s="14" t="s">
        <v>46</v>
      </c>
      <c r="BC377" s="14" t="s">
        <v>46</v>
      </c>
      <c r="BD377" s="15" t="s">
        <v>46</v>
      </c>
      <c r="BE377" s="14" t="s">
        <v>46</v>
      </c>
      <c r="BF37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77" s="17" t="s">
        <v>46</v>
      </c>
      <c r="BH377" s="13" t="s">
        <v>50</v>
      </c>
      <c r="BI377" s="13">
        <v>2.5000000000000001E-2</v>
      </c>
      <c r="BJ377" s="18">
        <f>ABS(_xlfn.NORM.S.INV(Table1347456[[#This Row],[p_value]]/2))</f>
        <v>2.2414027276049446</v>
      </c>
      <c r="BK377" s="19">
        <f>(Table1347456[[#This Row],[lnrr]]/Table1347456[[#This Row],[z_from_p]])^2</f>
        <v>3.2691436158291051E-2</v>
      </c>
      <c r="BL377" s="16">
        <f>Table1347456[[#This Row],[v_from_z_from_p]]</f>
        <v>3.2691436158291051E-2</v>
      </c>
      <c r="BM377" s="20">
        <f>SQRT(Table1347456[[#This Row],[v]])</f>
        <v>0.18080773257328087</v>
      </c>
      <c r="BN377" s="20">
        <f>Table1347456[[#This Row],[lnrr]]-(1.96*Table1347456[[#This Row],[se]])</f>
        <v>5.0879789118186636E-2</v>
      </c>
      <c r="BO377" s="20">
        <f>Table1347456[[#This Row],[lnrr]]+(1.96 * Table1347456[[#This Row],[se]])</f>
        <v>0.75964610080544759</v>
      </c>
    </row>
    <row r="378" spans="1:67">
      <c r="A378" s="13" t="s">
        <v>171</v>
      </c>
      <c r="B378" s="13" t="s">
        <v>172</v>
      </c>
      <c r="C378" s="13" t="s">
        <v>43</v>
      </c>
      <c r="D378" s="13" t="s">
        <v>174</v>
      </c>
      <c r="E378" s="13" t="s">
        <v>97</v>
      </c>
      <c r="F378" s="13" t="s">
        <v>588</v>
      </c>
      <c r="G378" s="13" t="s">
        <v>46</v>
      </c>
      <c r="H378" s="13">
        <v>24.7</v>
      </c>
      <c r="I378" s="13">
        <v>1318</v>
      </c>
      <c r="K378" s="13" t="s">
        <v>845</v>
      </c>
      <c r="L378" s="13" t="s">
        <v>846</v>
      </c>
      <c r="N378" s="13" t="s">
        <v>86</v>
      </c>
      <c r="O378" s="13" t="s">
        <v>644</v>
      </c>
      <c r="P378" s="13" t="s">
        <v>85</v>
      </c>
      <c r="Q378" s="13" t="s">
        <v>48</v>
      </c>
      <c r="R378" s="4">
        <v>3</v>
      </c>
      <c r="S378" s="13" t="s">
        <v>594</v>
      </c>
      <c r="T378" s="13">
        <v>120</v>
      </c>
      <c r="U378" s="4" t="s">
        <v>173</v>
      </c>
      <c r="V378" s="4">
        <v>350</v>
      </c>
      <c r="W378" s="4" t="s">
        <v>42</v>
      </c>
      <c r="X378" s="4">
        <v>511.3</v>
      </c>
      <c r="Y378" s="4">
        <v>3</v>
      </c>
      <c r="AA378" s="4" t="s">
        <v>49</v>
      </c>
      <c r="AB378" s="4">
        <v>0</v>
      </c>
      <c r="AC378" s="4" t="s">
        <v>49</v>
      </c>
      <c r="AD378" s="4">
        <v>0</v>
      </c>
      <c r="AE378" s="4" t="s">
        <v>49</v>
      </c>
      <c r="AF378" s="4">
        <v>0</v>
      </c>
      <c r="AG378" s="4" t="s">
        <v>774</v>
      </c>
      <c r="AH378" s="4" t="s">
        <v>773</v>
      </c>
      <c r="AI378" s="4" t="s">
        <v>64</v>
      </c>
      <c r="AJ378" s="13">
        <v>0</v>
      </c>
      <c r="AK378" s="13">
        <v>10</v>
      </c>
      <c r="AP378" s="13" t="s">
        <v>49</v>
      </c>
      <c r="AQ378" s="13" t="s">
        <v>49</v>
      </c>
      <c r="AR378" s="13" t="s">
        <v>49</v>
      </c>
      <c r="AS378" s="13" t="s">
        <v>50</v>
      </c>
      <c r="AT378" s="13" t="s">
        <v>990</v>
      </c>
      <c r="AU378" s="13" t="s">
        <v>998</v>
      </c>
      <c r="AV378" s="14">
        <f>0.89/1000</f>
        <v>8.9000000000000006E-4</v>
      </c>
      <c r="AW378" s="14">
        <f>0.67/1000</f>
        <v>6.7000000000000002E-4</v>
      </c>
      <c r="AX378" s="14">
        <f>Table1347456[[#This Row],[treatment_mean]]/Table1347456[[#This Row],[control_mean]]</f>
        <v>1.3283582089552239</v>
      </c>
      <c r="AY378" s="14">
        <f>LN(Table1347456[[#This Row],[rr]])</f>
        <v>0.28394375034117381</v>
      </c>
      <c r="AZ378" s="13">
        <v>18</v>
      </c>
      <c r="BA378" s="13">
        <v>18</v>
      </c>
      <c r="BB378" s="14" t="s">
        <v>46</v>
      </c>
      <c r="BC378" s="14" t="s">
        <v>46</v>
      </c>
      <c r="BD378" s="15" t="s">
        <v>46</v>
      </c>
      <c r="BE378" s="14" t="s">
        <v>46</v>
      </c>
      <c r="BF37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78" s="17" t="s">
        <v>46</v>
      </c>
      <c r="BH378" s="13" t="s">
        <v>50</v>
      </c>
      <c r="BI378" s="13">
        <v>2.5000000000000001E-2</v>
      </c>
      <c r="BJ378" s="18">
        <f>ABS(_xlfn.NORM.S.INV(Table1347456[[#This Row],[p_value]]/2))</f>
        <v>2.2414027276049446</v>
      </c>
      <c r="BK378" s="19">
        <f>(Table1347456[[#This Row],[lnrr]]/Table1347456[[#This Row],[z_from_p]])^2</f>
        <v>1.6048144872665187E-2</v>
      </c>
      <c r="BL378" s="16">
        <f>Table1347456[[#This Row],[v_from_z_from_p]]</f>
        <v>1.6048144872665187E-2</v>
      </c>
      <c r="BM378" s="20">
        <f>SQRT(Table1347456[[#This Row],[v]])</f>
        <v>0.12668127277804397</v>
      </c>
      <c r="BN378" s="20">
        <f>Table1347456[[#This Row],[lnrr]]-(1.96*Table1347456[[#This Row],[se]])</f>
        <v>3.5648455696207615E-2</v>
      </c>
      <c r="BO378" s="20">
        <f>Table1347456[[#This Row],[lnrr]]+(1.96 * Table1347456[[#This Row],[se]])</f>
        <v>0.53223904498614005</v>
      </c>
    </row>
    <row r="379" spans="1:67">
      <c r="A379" s="13" t="s">
        <v>171</v>
      </c>
      <c r="B379" s="13" t="s">
        <v>172</v>
      </c>
      <c r="C379" s="13" t="s">
        <v>43</v>
      </c>
      <c r="D379" s="13" t="s">
        <v>174</v>
      </c>
      <c r="E379" s="13" t="s">
        <v>97</v>
      </c>
      <c r="F379" s="13" t="s">
        <v>588</v>
      </c>
      <c r="G379" s="13" t="s">
        <v>46</v>
      </c>
      <c r="H379" s="13">
        <v>24.7</v>
      </c>
      <c r="I379" s="13">
        <v>1318</v>
      </c>
      <c r="K379" s="13" t="s">
        <v>845</v>
      </c>
      <c r="L379" s="13" t="s">
        <v>846</v>
      </c>
      <c r="N379" s="13" t="s">
        <v>86</v>
      </c>
      <c r="O379" s="13" t="s">
        <v>644</v>
      </c>
      <c r="P379" s="13" t="s">
        <v>85</v>
      </c>
      <c r="Q379" s="13" t="s">
        <v>48</v>
      </c>
      <c r="R379" s="4">
        <v>3</v>
      </c>
      <c r="S379" s="13" t="s">
        <v>594</v>
      </c>
      <c r="T379" s="13">
        <v>120</v>
      </c>
      <c r="U379" s="4" t="s">
        <v>173</v>
      </c>
      <c r="V379" s="4">
        <v>350</v>
      </c>
      <c r="W379" s="4" t="s">
        <v>42</v>
      </c>
      <c r="X379" s="4">
        <v>511.3</v>
      </c>
      <c r="Y379" s="4">
        <v>6</v>
      </c>
      <c r="AA379" s="4" t="s">
        <v>49</v>
      </c>
      <c r="AB379" s="4">
        <v>0</v>
      </c>
      <c r="AC379" s="4" t="s">
        <v>49</v>
      </c>
      <c r="AD379" s="4">
        <v>0</v>
      </c>
      <c r="AE379" s="4" t="s">
        <v>49</v>
      </c>
      <c r="AF379" s="4">
        <v>0</v>
      </c>
      <c r="AG379" s="4" t="s">
        <v>774</v>
      </c>
      <c r="AH379" s="4" t="s">
        <v>773</v>
      </c>
      <c r="AI379" s="4" t="s">
        <v>64</v>
      </c>
      <c r="AJ379" s="13">
        <v>0</v>
      </c>
      <c r="AK379" s="13">
        <v>10</v>
      </c>
      <c r="AP379" s="13" t="s">
        <v>49</v>
      </c>
      <c r="AQ379" s="13" t="s">
        <v>49</v>
      </c>
      <c r="AR379" s="13" t="s">
        <v>49</v>
      </c>
      <c r="AS379" s="13" t="s">
        <v>50</v>
      </c>
      <c r="AT379" s="13" t="s">
        <v>990</v>
      </c>
      <c r="AU379" s="13" t="s">
        <v>998</v>
      </c>
      <c r="AV379" s="14">
        <f>0.97/1000</f>
        <v>9.6999999999999994E-4</v>
      </c>
      <c r="AW379" s="14">
        <f>0.67/1000</f>
        <v>6.7000000000000002E-4</v>
      </c>
      <c r="AX379" s="14">
        <f>Table1347456[[#This Row],[treatment_mean]]/Table1347456[[#This Row],[control_mean]]</f>
        <v>1.4477611940298507</v>
      </c>
      <c r="AY379" s="14">
        <f>LN(Table1347456[[#This Row],[rr]])</f>
        <v>0.37001835911241676</v>
      </c>
      <c r="AZ379" s="13">
        <v>18</v>
      </c>
      <c r="BA379" s="13">
        <v>18</v>
      </c>
      <c r="BB379" s="14" t="s">
        <v>46</v>
      </c>
      <c r="BC379" s="14" t="s">
        <v>46</v>
      </c>
      <c r="BD379" s="15" t="s">
        <v>46</v>
      </c>
      <c r="BE379" s="14" t="s">
        <v>46</v>
      </c>
      <c r="BF37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79" s="17" t="s">
        <v>46</v>
      </c>
      <c r="BH379" s="13" t="s">
        <v>50</v>
      </c>
      <c r="BI379" s="13">
        <v>2.5000000000000001E-2</v>
      </c>
      <c r="BJ379" s="18">
        <f>ABS(_xlfn.NORM.S.INV(Table1347456[[#This Row],[p_value]]/2))</f>
        <v>2.2414027276049446</v>
      </c>
      <c r="BK379" s="19">
        <f>(Table1347456[[#This Row],[lnrr]]/Table1347456[[#This Row],[z_from_p]])^2</f>
        <v>2.725252543060128E-2</v>
      </c>
      <c r="BL379" s="16">
        <f>Table1347456[[#This Row],[v_from_z_from_p]]</f>
        <v>2.725252543060128E-2</v>
      </c>
      <c r="BM379" s="20">
        <f>SQRT(Table1347456[[#This Row],[v]])</f>
        <v>0.16508338932370295</v>
      </c>
      <c r="BN379" s="20">
        <f>Table1347456[[#This Row],[lnrr]]-(1.96*Table1347456[[#This Row],[se]])</f>
        <v>4.6454916037958982E-2</v>
      </c>
      <c r="BO379" s="20">
        <f>Table1347456[[#This Row],[lnrr]]+(1.96 * Table1347456[[#This Row],[se]])</f>
        <v>0.69358180218687449</v>
      </c>
    </row>
    <row r="380" spans="1:67">
      <c r="A380" s="13" t="s">
        <v>171</v>
      </c>
      <c r="B380" s="13" t="s">
        <v>172</v>
      </c>
      <c r="C380" s="13" t="s">
        <v>43</v>
      </c>
      <c r="D380" s="13" t="s">
        <v>174</v>
      </c>
      <c r="E380" s="13" t="s">
        <v>97</v>
      </c>
      <c r="F380" s="13" t="s">
        <v>588</v>
      </c>
      <c r="G380" s="13" t="s">
        <v>46</v>
      </c>
      <c r="H380" s="13">
        <v>24.7</v>
      </c>
      <c r="I380" s="13">
        <v>1318</v>
      </c>
      <c r="K380" s="13" t="s">
        <v>845</v>
      </c>
      <c r="L380" s="13" t="s">
        <v>846</v>
      </c>
      <c r="N380" s="13" t="s">
        <v>86</v>
      </c>
      <c r="O380" s="13" t="s">
        <v>644</v>
      </c>
      <c r="P380" s="13" t="s">
        <v>85</v>
      </c>
      <c r="Q380" s="13" t="s">
        <v>48</v>
      </c>
      <c r="R380" s="4">
        <v>3</v>
      </c>
      <c r="S380" s="13" t="s">
        <v>594</v>
      </c>
      <c r="T380" s="13">
        <v>120</v>
      </c>
      <c r="U380" s="4" t="s">
        <v>173</v>
      </c>
      <c r="V380" s="4">
        <v>350</v>
      </c>
      <c r="W380" s="4" t="s">
        <v>42</v>
      </c>
      <c r="X380" s="4">
        <v>511.3</v>
      </c>
      <c r="Y380" s="4">
        <v>12</v>
      </c>
      <c r="AA380" s="4" t="s">
        <v>49</v>
      </c>
      <c r="AB380" s="4">
        <v>0</v>
      </c>
      <c r="AC380" s="4" t="s">
        <v>49</v>
      </c>
      <c r="AD380" s="4">
        <v>0</v>
      </c>
      <c r="AE380" s="4" t="s">
        <v>49</v>
      </c>
      <c r="AF380" s="4">
        <v>0</v>
      </c>
      <c r="AG380" s="4" t="s">
        <v>774</v>
      </c>
      <c r="AH380" s="4" t="s">
        <v>773</v>
      </c>
      <c r="AI380" s="4" t="s">
        <v>64</v>
      </c>
      <c r="AJ380" s="13">
        <v>0</v>
      </c>
      <c r="AK380" s="13">
        <v>10</v>
      </c>
      <c r="AP380" s="13" t="s">
        <v>49</v>
      </c>
      <c r="AQ380" s="13" t="s">
        <v>49</v>
      </c>
      <c r="AR380" s="13" t="s">
        <v>49</v>
      </c>
      <c r="AS380" s="13" t="s">
        <v>50</v>
      </c>
      <c r="AT380" s="13" t="s">
        <v>990</v>
      </c>
      <c r="AU380" s="13" t="s">
        <v>998</v>
      </c>
      <c r="AV380" s="14">
        <f>1.07/1000</f>
        <v>1.07E-3</v>
      </c>
      <c r="AW380" s="14">
        <f>0.67/1000</f>
        <v>6.7000000000000002E-4</v>
      </c>
      <c r="AX380" s="14">
        <f>Table1347456[[#This Row],[treatment_mean]]/Table1347456[[#This Row],[control_mean]]</f>
        <v>1.5970149253731343</v>
      </c>
      <c r="AY380" s="14">
        <f>LN(Table1347456[[#This Row],[rr]])</f>
        <v>0.46813621507094005</v>
      </c>
      <c r="AZ380" s="13">
        <v>18</v>
      </c>
      <c r="BA380" s="13">
        <v>18</v>
      </c>
      <c r="BB380" s="14" t="s">
        <v>46</v>
      </c>
      <c r="BC380" s="14" t="s">
        <v>46</v>
      </c>
      <c r="BD380" s="15" t="s">
        <v>46</v>
      </c>
      <c r="BE380" s="14" t="s">
        <v>46</v>
      </c>
      <c r="BF38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80" s="17" t="s">
        <v>46</v>
      </c>
      <c r="BH380" s="13" t="s">
        <v>50</v>
      </c>
      <c r="BI380" s="13">
        <v>2.5000000000000001E-2</v>
      </c>
      <c r="BJ380" s="18">
        <f>ABS(_xlfn.NORM.S.INV(Table1347456[[#This Row],[p_value]]/2))</f>
        <v>2.2414027276049446</v>
      </c>
      <c r="BK380" s="19">
        <f>(Table1347456[[#This Row],[lnrr]]/Table1347456[[#This Row],[z_from_p]])^2</f>
        <v>4.3621910945015906E-2</v>
      </c>
      <c r="BL380" s="16">
        <f>Table1347456[[#This Row],[v_from_z_from_p]]</f>
        <v>4.3621910945015906E-2</v>
      </c>
      <c r="BM380" s="20">
        <f>SQRT(Table1347456[[#This Row],[v]])</f>
        <v>0.20885859078576563</v>
      </c>
      <c r="BN380" s="20">
        <f>Table1347456[[#This Row],[lnrr]]-(1.96*Table1347456[[#This Row],[se]])</f>
        <v>5.877337713083941E-2</v>
      </c>
      <c r="BO380" s="20">
        <f>Table1347456[[#This Row],[lnrr]]+(1.96 * Table1347456[[#This Row],[se]])</f>
        <v>0.8774990530110407</v>
      </c>
    </row>
    <row r="381" spans="1:67">
      <c r="A381" s="13" t="s">
        <v>171</v>
      </c>
      <c r="B381" s="13" t="s">
        <v>172</v>
      </c>
      <c r="C381" s="13" t="s">
        <v>43</v>
      </c>
      <c r="D381" s="13" t="s">
        <v>174</v>
      </c>
      <c r="E381" s="13" t="s">
        <v>97</v>
      </c>
      <c r="F381" s="13" t="s">
        <v>588</v>
      </c>
      <c r="G381" s="13" t="s">
        <v>46</v>
      </c>
      <c r="H381" s="13">
        <v>24.7</v>
      </c>
      <c r="I381" s="13">
        <v>1318</v>
      </c>
      <c r="K381" s="13" t="s">
        <v>845</v>
      </c>
      <c r="L381" s="13" t="s">
        <v>846</v>
      </c>
      <c r="N381" s="13" t="s">
        <v>86</v>
      </c>
      <c r="O381" s="13" t="s">
        <v>644</v>
      </c>
      <c r="P381" s="13" t="s">
        <v>85</v>
      </c>
      <c r="Q381" s="13" t="s">
        <v>48</v>
      </c>
      <c r="R381" s="4">
        <v>3</v>
      </c>
      <c r="S381" s="13" t="s">
        <v>594</v>
      </c>
      <c r="T381" s="13">
        <v>120</v>
      </c>
      <c r="U381" s="4" t="s">
        <v>173</v>
      </c>
      <c r="V381" s="4">
        <v>350</v>
      </c>
      <c r="W381" s="4" t="s">
        <v>42</v>
      </c>
      <c r="X381" s="4">
        <v>511.3</v>
      </c>
      <c r="Y381" s="4">
        <v>3</v>
      </c>
      <c r="AA381" s="4" t="s">
        <v>50</v>
      </c>
      <c r="AB381" s="4">
        <v>30</v>
      </c>
      <c r="AC381" s="4" t="s">
        <v>49</v>
      </c>
      <c r="AD381" s="4">
        <v>0</v>
      </c>
      <c r="AE381" s="4" t="s">
        <v>49</v>
      </c>
      <c r="AF381" s="4">
        <v>0</v>
      </c>
      <c r="AG381" s="4" t="s">
        <v>774</v>
      </c>
      <c r="AH381" s="4" t="s">
        <v>773</v>
      </c>
      <c r="AI381" s="4" t="s">
        <v>64</v>
      </c>
      <c r="AJ381" s="13">
        <v>0</v>
      </c>
      <c r="AK381" s="13">
        <v>10</v>
      </c>
      <c r="AP381" s="13" t="s">
        <v>49</v>
      </c>
      <c r="AQ381" s="13" t="s">
        <v>49</v>
      </c>
      <c r="AR381" s="13" t="s">
        <v>49</v>
      </c>
      <c r="AS381" s="13" t="s">
        <v>50</v>
      </c>
      <c r="AT381" s="13" t="s">
        <v>992</v>
      </c>
      <c r="AU381" s="4" t="s">
        <v>1000</v>
      </c>
      <c r="AV381" s="14">
        <f>0.94/1000</f>
        <v>9.3999999999999997E-4</v>
      </c>
      <c r="AW381" s="14">
        <f>0.77/1000</f>
        <v>7.7000000000000007E-4</v>
      </c>
      <c r="AX381" s="14">
        <f>Table1347456[[#This Row],[treatment_mean]]/Table1347456[[#This Row],[control_mean]]</f>
        <v>1.2207792207792207</v>
      </c>
      <c r="AY381" s="14">
        <f>LN(Table1347456[[#This Row],[rr]])</f>
        <v>0.19948936041632001</v>
      </c>
      <c r="AZ381" s="13">
        <v>18</v>
      </c>
      <c r="BA381" s="13">
        <v>18</v>
      </c>
      <c r="BB381" s="14" t="s">
        <v>46</v>
      </c>
      <c r="BC381" s="14" t="s">
        <v>46</v>
      </c>
      <c r="BD381" s="15" t="s">
        <v>46</v>
      </c>
      <c r="BE381" s="14" t="s">
        <v>46</v>
      </c>
      <c r="BF38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81" s="17" t="s">
        <v>46</v>
      </c>
      <c r="BH381" s="13" t="s">
        <v>50</v>
      </c>
      <c r="BI381" s="13">
        <v>2.5000000000000001E-2</v>
      </c>
      <c r="BJ381" s="18">
        <f>ABS(_xlfn.NORM.S.INV(Table1347456[[#This Row],[p_value]]/2))</f>
        <v>2.2414027276049446</v>
      </c>
      <c r="BK381" s="19">
        <f>(Table1347456[[#This Row],[lnrr]]/Table1347456[[#This Row],[z_from_p]])^2</f>
        <v>7.9213587719793033E-3</v>
      </c>
      <c r="BL381" s="16">
        <f>Table1347456[[#This Row],[v_from_z_from_p]]</f>
        <v>7.9213587719793033E-3</v>
      </c>
      <c r="BM381" s="20">
        <f>SQRT(Table1347456[[#This Row],[v]])</f>
        <v>8.9002015550094724E-2</v>
      </c>
      <c r="BN381" s="20">
        <f>Table1347456[[#This Row],[lnrr]]-(1.96*Table1347456[[#This Row],[se]])</f>
        <v>2.5045409938134366E-2</v>
      </c>
      <c r="BO381" s="20">
        <f>Table1347456[[#This Row],[lnrr]]+(1.96 * Table1347456[[#This Row],[se]])</f>
        <v>0.37393331089450565</v>
      </c>
    </row>
    <row r="382" spans="1:67">
      <c r="A382" s="13" t="s">
        <v>171</v>
      </c>
      <c r="B382" s="13" t="s">
        <v>172</v>
      </c>
      <c r="C382" s="13" t="s">
        <v>43</v>
      </c>
      <c r="D382" s="13" t="s">
        <v>174</v>
      </c>
      <c r="E382" s="13" t="s">
        <v>97</v>
      </c>
      <c r="F382" s="13" t="s">
        <v>588</v>
      </c>
      <c r="G382" s="13" t="s">
        <v>46</v>
      </c>
      <c r="H382" s="13">
        <v>24.7</v>
      </c>
      <c r="I382" s="13">
        <v>1318</v>
      </c>
      <c r="K382" s="13" t="s">
        <v>845</v>
      </c>
      <c r="L382" s="13" t="s">
        <v>846</v>
      </c>
      <c r="N382" s="13" t="s">
        <v>86</v>
      </c>
      <c r="O382" s="13" t="s">
        <v>644</v>
      </c>
      <c r="P382" s="13" t="s">
        <v>85</v>
      </c>
      <c r="Q382" s="13" t="s">
        <v>48</v>
      </c>
      <c r="R382" s="4">
        <v>3</v>
      </c>
      <c r="S382" s="13" t="s">
        <v>594</v>
      </c>
      <c r="T382" s="13">
        <v>120</v>
      </c>
      <c r="U382" s="4" t="s">
        <v>173</v>
      </c>
      <c r="V382" s="4">
        <v>350</v>
      </c>
      <c r="W382" s="4" t="s">
        <v>42</v>
      </c>
      <c r="X382" s="4">
        <v>511.3</v>
      </c>
      <c r="Y382" s="4">
        <v>6</v>
      </c>
      <c r="AA382" s="4" t="s">
        <v>50</v>
      </c>
      <c r="AB382" s="4">
        <v>60</v>
      </c>
      <c r="AC382" s="4" t="s">
        <v>49</v>
      </c>
      <c r="AD382" s="4">
        <v>0</v>
      </c>
      <c r="AE382" s="4" t="s">
        <v>49</v>
      </c>
      <c r="AF382" s="4">
        <v>0</v>
      </c>
      <c r="AG382" s="4" t="s">
        <v>774</v>
      </c>
      <c r="AH382" s="4" t="s">
        <v>773</v>
      </c>
      <c r="AI382" s="4" t="s">
        <v>64</v>
      </c>
      <c r="AJ382" s="13">
        <v>0</v>
      </c>
      <c r="AK382" s="13">
        <v>10</v>
      </c>
      <c r="AP382" s="13" t="s">
        <v>49</v>
      </c>
      <c r="AQ382" s="13" t="s">
        <v>49</v>
      </c>
      <c r="AR382" s="13" t="s">
        <v>49</v>
      </c>
      <c r="AS382" s="13" t="s">
        <v>50</v>
      </c>
      <c r="AT382" s="13" t="s">
        <v>992</v>
      </c>
      <c r="AU382" s="4" t="s">
        <v>1000</v>
      </c>
      <c r="AV382" s="14">
        <f>0.92/1000</f>
        <v>9.2000000000000003E-4</v>
      </c>
      <c r="AW382" s="14">
        <f>0.77/1000</f>
        <v>7.7000000000000007E-4</v>
      </c>
      <c r="AX382" s="14">
        <f>Table1347456[[#This Row],[treatment_mean]]/Table1347456[[#This Row],[control_mean]]</f>
        <v>1.1948051948051948</v>
      </c>
      <c r="AY382" s="14">
        <f>LN(Table1347456[[#This Row],[rr]])</f>
        <v>0.17798315519535643</v>
      </c>
      <c r="AZ382" s="13">
        <v>18</v>
      </c>
      <c r="BA382" s="13">
        <v>18</v>
      </c>
      <c r="BB382" s="14" t="s">
        <v>46</v>
      </c>
      <c r="BC382" s="14" t="s">
        <v>46</v>
      </c>
      <c r="BD382" s="15" t="s">
        <v>46</v>
      </c>
      <c r="BE382" s="14" t="s">
        <v>46</v>
      </c>
      <c r="BF38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82" s="17" t="s">
        <v>46</v>
      </c>
      <c r="BH382" s="13" t="s">
        <v>50</v>
      </c>
      <c r="BI382" s="13">
        <v>2.5000000000000001E-2</v>
      </c>
      <c r="BJ382" s="18">
        <f>ABS(_xlfn.NORM.S.INV(Table1347456[[#This Row],[p_value]]/2))</f>
        <v>2.2414027276049446</v>
      </c>
      <c r="BK382" s="19">
        <f>(Table1347456[[#This Row],[lnrr]]/Table1347456[[#This Row],[z_from_p]])^2</f>
        <v>6.3054779412161123E-3</v>
      </c>
      <c r="BL382" s="16">
        <f>Table1347456[[#This Row],[v_from_z_from_p]]</f>
        <v>6.3054779412161123E-3</v>
      </c>
      <c r="BM382" s="20">
        <f>SQRT(Table1347456[[#This Row],[v]])</f>
        <v>7.9407039620024322E-2</v>
      </c>
      <c r="BN382" s="20">
        <f>Table1347456[[#This Row],[lnrr]]-(1.96*Table1347456[[#This Row],[se]])</f>
        <v>2.2345357540108773E-2</v>
      </c>
      <c r="BO382" s="20">
        <f>Table1347456[[#This Row],[lnrr]]+(1.96 * Table1347456[[#This Row],[se]])</f>
        <v>0.33362095285060411</v>
      </c>
    </row>
    <row r="383" spans="1:67">
      <c r="A383" s="13" t="s">
        <v>171</v>
      </c>
      <c r="B383" s="13" t="s">
        <v>172</v>
      </c>
      <c r="C383" s="13" t="s">
        <v>43</v>
      </c>
      <c r="D383" s="13" t="s">
        <v>174</v>
      </c>
      <c r="E383" s="13" t="s">
        <v>97</v>
      </c>
      <c r="F383" s="13" t="s">
        <v>588</v>
      </c>
      <c r="G383" s="13" t="s">
        <v>46</v>
      </c>
      <c r="H383" s="13">
        <v>24.7</v>
      </c>
      <c r="I383" s="13">
        <v>1318</v>
      </c>
      <c r="K383" s="13" t="s">
        <v>845</v>
      </c>
      <c r="L383" s="13" t="s">
        <v>846</v>
      </c>
      <c r="N383" s="13" t="s">
        <v>86</v>
      </c>
      <c r="O383" s="13" t="s">
        <v>644</v>
      </c>
      <c r="P383" s="13" t="s">
        <v>85</v>
      </c>
      <c r="Q383" s="13" t="s">
        <v>48</v>
      </c>
      <c r="R383" s="4">
        <v>3</v>
      </c>
      <c r="S383" s="13" t="s">
        <v>594</v>
      </c>
      <c r="T383" s="13">
        <v>120</v>
      </c>
      <c r="U383" s="4" t="s">
        <v>173</v>
      </c>
      <c r="V383" s="4">
        <v>350</v>
      </c>
      <c r="W383" s="4" t="s">
        <v>42</v>
      </c>
      <c r="X383" s="4">
        <v>511.3</v>
      </c>
      <c r="Y383" s="4">
        <v>12</v>
      </c>
      <c r="AA383" s="4" t="s">
        <v>50</v>
      </c>
      <c r="AB383" s="4">
        <v>90</v>
      </c>
      <c r="AC383" s="4" t="s">
        <v>49</v>
      </c>
      <c r="AD383" s="4">
        <v>0</v>
      </c>
      <c r="AE383" s="4" t="s">
        <v>49</v>
      </c>
      <c r="AF383" s="4">
        <v>0</v>
      </c>
      <c r="AG383" s="4" t="s">
        <v>774</v>
      </c>
      <c r="AH383" s="4" t="s">
        <v>773</v>
      </c>
      <c r="AI383" s="4" t="s">
        <v>64</v>
      </c>
      <c r="AJ383" s="13">
        <v>0</v>
      </c>
      <c r="AK383" s="13">
        <v>10</v>
      </c>
      <c r="AP383" s="13" t="s">
        <v>49</v>
      </c>
      <c r="AQ383" s="13" t="s">
        <v>49</v>
      </c>
      <c r="AR383" s="13" t="s">
        <v>49</v>
      </c>
      <c r="AS383" s="13" t="s">
        <v>50</v>
      </c>
      <c r="AT383" s="13" t="s">
        <v>992</v>
      </c>
      <c r="AU383" s="4" t="s">
        <v>1000</v>
      </c>
      <c r="AV383" s="14">
        <f>0.98/1000</f>
        <v>9.7999999999999997E-4</v>
      </c>
      <c r="AW383" s="14">
        <f>0.77/1000</f>
        <v>7.7000000000000007E-4</v>
      </c>
      <c r="AX383" s="14">
        <f>Table1347456[[#This Row],[treatment_mean]]/Table1347456[[#This Row],[control_mean]]</f>
        <v>1.2727272727272725</v>
      </c>
      <c r="AY383" s="14">
        <f>LN(Table1347456[[#This Row],[rr]])</f>
        <v>0.24116205681688788</v>
      </c>
      <c r="AZ383" s="13">
        <v>18</v>
      </c>
      <c r="BA383" s="13">
        <v>18</v>
      </c>
      <c r="BB383" s="14" t="s">
        <v>46</v>
      </c>
      <c r="BC383" s="14" t="s">
        <v>46</v>
      </c>
      <c r="BD383" s="15" t="s">
        <v>46</v>
      </c>
      <c r="BE383" s="14" t="s">
        <v>46</v>
      </c>
      <c r="BF38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83" s="17" t="s">
        <v>46</v>
      </c>
      <c r="BH383" s="13" t="s">
        <v>50</v>
      </c>
      <c r="BI383" s="13">
        <v>2.5000000000000001E-2</v>
      </c>
      <c r="BJ383" s="18">
        <f>ABS(_xlfn.NORM.S.INV(Table1347456[[#This Row],[p_value]]/2))</f>
        <v>2.2414027276049446</v>
      </c>
      <c r="BK383" s="19">
        <f>(Table1347456[[#This Row],[lnrr]]/Table1347456[[#This Row],[z_from_p]])^2</f>
        <v>1.1576523726791698E-2</v>
      </c>
      <c r="BL383" s="16">
        <f>Table1347456[[#This Row],[v_from_z_from_p]]</f>
        <v>1.1576523726791698E-2</v>
      </c>
      <c r="BM383" s="20">
        <f>SQRT(Table1347456[[#This Row],[v]])</f>
        <v>0.10759425508265624</v>
      </c>
      <c r="BN383" s="20">
        <f>Table1347456[[#This Row],[lnrr]]-(1.96*Table1347456[[#This Row],[se]])</f>
        <v>3.0277316854881636E-2</v>
      </c>
      <c r="BO383" s="20">
        <f>Table1347456[[#This Row],[lnrr]]+(1.96 * Table1347456[[#This Row],[se]])</f>
        <v>0.45204679677889414</v>
      </c>
    </row>
    <row r="384" spans="1:67">
      <c r="A384" s="13" t="s">
        <v>171</v>
      </c>
      <c r="B384" s="13" t="s">
        <v>172</v>
      </c>
      <c r="C384" s="13" t="s">
        <v>43</v>
      </c>
      <c r="D384" s="13" t="s">
        <v>174</v>
      </c>
      <c r="E384" s="13" t="s">
        <v>97</v>
      </c>
      <c r="F384" s="13" t="s">
        <v>588</v>
      </c>
      <c r="G384" s="13" t="s">
        <v>46</v>
      </c>
      <c r="H384" s="13">
        <v>24.7</v>
      </c>
      <c r="I384" s="13">
        <v>1318</v>
      </c>
      <c r="J384" s="13" t="s">
        <v>650</v>
      </c>
      <c r="K384" s="13" t="s">
        <v>845</v>
      </c>
      <c r="L384" s="13" t="s">
        <v>846</v>
      </c>
      <c r="M384" s="13" t="s">
        <v>800</v>
      </c>
      <c r="N384" s="13" t="s">
        <v>84</v>
      </c>
      <c r="O384" s="13" t="s">
        <v>644</v>
      </c>
      <c r="P384" s="13" t="s">
        <v>85</v>
      </c>
      <c r="Q384" s="13" t="s">
        <v>48</v>
      </c>
      <c r="R384" s="4">
        <v>3</v>
      </c>
      <c r="S384" s="13" t="s">
        <v>594</v>
      </c>
      <c r="T384" s="13">
        <v>120</v>
      </c>
      <c r="U384" s="4" t="s">
        <v>173</v>
      </c>
      <c r="V384" s="4">
        <v>350</v>
      </c>
      <c r="W384" s="4" t="s">
        <v>42</v>
      </c>
      <c r="X384" s="4">
        <v>511.3</v>
      </c>
      <c r="Y384" s="4">
        <v>3</v>
      </c>
      <c r="AA384" s="4" t="s">
        <v>49</v>
      </c>
      <c r="AB384" s="4">
        <v>0</v>
      </c>
      <c r="AC384" s="4" t="s">
        <v>49</v>
      </c>
      <c r="AD384" s="4">
        <v>0</v>
      </c>
      <c r="AE384" s="4" t="s">
        <v>49</v>
      </c>
      <c r="AF384" s="4">
        <v>0</v>
      </c>
      <c r="AG384" s="4" t="s">
        <v>774</v>
      </c>
      <c r="AH384" s="4" t="s">
        <v>773</v>
      </c>
      <c r="AI384" s="4" t="s">
        <v>64</v>
      </c>
      <c r="AJ384" s="13">
        <v>10</v>
      </c>
      <c r="AK384" s="13">
        <v>20</v>
      </c>
      <c r="AP384" s="13" t="s">
        <v>49</v>
      </c>
      <c r="AQ384" s="13" t="s">
        <v>49</v>
      </c>
      <c r="AR384" s="13" t="s">
        <v>49</v>
      </c>
      <c r="AS384" s="13" t="s">
        <v>50</v>
      </c>
      <c r="AT384" s="13" t="s">
        <v>990</v>
      </c>
      <c r="AU384" s="13" t="s">
        <v>998</v>
      </c>
      <c r="AV384" s="23">
        <f>11.89/1000</f>
        <v>1.1890000000000001E-2</v>
      </c>
      <c r="AW384" s="23">
        <f>7.99/1000</f>
        <v>7.9900000000000006E-3</v>
      </c>
      <c r="AX384" s="14">
        <f>Table1347456[[#This Row],[treatment_mean]]/Table1347456[[#This Row],[control_mean]]</f>
        <v>1.4881101376720902</v>
      </c>
      <c r="AY384" s="14">
        <f>LN(Table1347456[[#This Row],[rr]])</f>
        <v>0.39750695092450722</v>
      </c>
      <c r="AZ384" s="13">
        <v>18</v>
      </c>
      <c r="BA384" s="13">
        <v>18</v>
      </c>
      <c r="BB384" s="14" t="s">
        <v>46</v>
      </c>
      <c r="BC384" s="14" t="s">
        <v>46</v>
      </c>
      <c r="BD384" s="15" t="s">
        <v>46</v>
      </c>
      <c r="BE384" s="14" t="s">
        <v>46</v>
      </c>
      <c r="BF38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84" s="17" t="s">
        <v>46</v>
      </c>
      <c r="BH384" s="13" t="s">
        <v>50</v>
      </c>
      <c r="BI384" s="13">
        <v>2.5000000000000001E-2</v>
      </c>
      <c r="BJ384" s="18">
        <f>ABS(_xlfn.NORM.S.INV(Table1347456[[#This Row],[p_value]]/2))</f>
        <v>2.2414027276049446</v>
      </c>
      <c r="BK384" s="19">
        <f>(Table1347456[[#This Row],[lnrr]]/Table1347456[[#This Row],[z_from_p]])^2</f>
        <v>3.1452101051228441E-2</v>
      </c>
      <c r="BL384" s="16">
        <f>Table1347456[[#This Row],[v_from_z_from_p]]</f>
        <v>3.1452101051228441E-2</v>
      </c>
      <c r="BM384" s="20">
        <f>SQRT(Table1347456[[#This Row],[v]])</f>
        <v>0.17734740215528516</v>
      </c>
      <c r="BN384" s="20">
        <f>Table1347456[[#This Row],[lnrr]]-(1.96*Table1347456[[#This Row],[se]])</f>
        <v>4.9906042700148312E-2</v>
      </c>
      <c r="BO384" s="20">
        <f>Table1347456[[#This Row],[lnrr]]+(1.96 * Table1347456[[#This Row],[se]])</f>
        <v>0.74510785914886613</v>
      </c>
    </row>
    <row r="385" spans="1:67">
      <c r="A385" s="13" t="s">
        <v>171</v>
      </c>
      <c r="B385" s="13" t="s">
        <v>172</v>
      </c>
      <c r="C385" s="13" t="s">
        <v>43</v>
      </c>
      <c r="D385" s="13" t="s">
        <v>174</v>
      </c>
      <c r="E385" s="13" t="s">
        <v>97</v>
      </c>
      <c r="F385" s="13" t="s">
        <v>588</v>
      </c>
      <c r="G385" s="13" t="s">
        <v>46</v>
      </c>
      <c r="H385" s="13">
        <v>24.7</v>
      </c>
      <c r="I385" s="13">
        <v>1318</v>
      </c>
      <c r="J385" s="13" t="s">
        <v>650</v>
      </c>
      <c r="K385" s="13" t="s">
        <v>845</v>
      </c>
      <c r="L385" s="13" t="s">
        <v>846</v>
      </c>
      <c r="M385" s="13" t="s">
        <v>800</v>
      </c>
      <c r="N385" s="13" t="s">
        <v>84</v>
      </c>
      <c r="O385" s="13" t="s">
        <v>644</v>
      </c>
      <c r="P385" s="13" t="s">
        <v>85</v>
      </c>
      <c r="Q385" s="13" t="s">
        <v>48</v>
      </c>
      <c r="R385" s="4">
        <v>3</v>
      </c>
      <c r="S385" s="13" t="s">
        <v>594</v>
      </c>
      <c r="T385" s="13">
        <v>120</v>
      </c>
      <c r="U385" s="4" t="s">
        <v>173</v>
      </c>
      <c r="V385" s="4">
        <v>350</v>
      </c>
      <c r="W385" s="4" t="s">
        <v>42</v>
      </c>
      <c r="X385" s="4">
        <v>511.3</v>
      </c>
      <c r="Y385" s="4">
        <v>6</v>
      </c>
      <c r="AA385" s="4" t="s">
        <v>49</v>
      </c>
      <c r="AB385" s="4">
        <v>0</v>
      </c>
      <c r="AC385" s="4" t="s">
        <v>49</v>
      </c>
      <c r="AD385" s="4">
        <v>0</v>
      </c>
      <c r="AE385" s="4" t="s">
        <v>49</v>
      </c>
      <c r="AF385" s="4">
        <v>0</v>
      </c>
      <c r="AG385" s="4" t="s">
        <v>774</v>
      </c>
      <c r="AH385" s="4" t="s">
        <v>773</v>
      </c>
      <c r="AI385" s="4" t="s">
        <v>64</v>
      </c>
      <c r="AJ385" s="13">
        <v>10</v>
      </c>
      <c r="AK385" s="13">
        <v>20</v>
      </c>
      <c r="AP385" s="13" t="s">
        <v>49</v>
      </c>
      <c r="AQ385" s="13" t="s">
        <v>49</v>
      </c>
      <c r="AR385" s="13" t="s">
        <v>49</v>
      </c>
      <c r="AS385" s="13" t="s">
        <v>50</v>
      </c>
      <c r="AT385" s="13" t="s">
        <v>990</v>
      </c>
      <c r="AU385" s="13" t="s">
        <v>998</v>
      </c>
      <c r="AV385" s="23">
        <f>13.05/1000</f>
        <v>1.3050000000000001E-2</v>
      </c>
      <c r="AW385" s="23">
        <f>7.99/1000</f>
        <v>7.9900000000000006E-3</v>
      </c>
      <c r="AX385" s="14">
        <f>Table1347456[[#This Row],[treatment_mean]]/Table1347456[[#This Row],[control_mean]]</f>
        <v>1.6332916145181477</v>
      </c>
      <c r="AY385" s="14">
        <f>LN(Table1347456[[#This Row],[rr]])</f>
        <v>0.49059737399051917</v>
      </c>
      <c r="AZ385" s="13">
        <v>18</v>
      </c>
      <c r="BA385" s="13">
        <v>18</v>
      </c>
      <c r="BB385" s="14" t="s">
        <v>46</v>
      </c>
      <c r="BC385" s="14" t="s">
        <v>46</v>
      </c>
      <c r="BD385" s="15" t="s">
        <v>46</v>
      </c>
      <c r="BE385" s="14" t="s">
        <v>46</v>
      </c>
      <c r="BF38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85" s="17" t="s">
        <v>46</v>
      </c>
      <c r="BH385" s="13" t="s">
        <v>50</v>
      </c>
      <c r="BI385" s="13">
        <v>2.5000000000000001E-2</v>
      </c>
      <c r="BJ385" s="18">
        <f>ABS(_xlfn.NORM.S.INV(Table1347456[[#This Row],[p_value]]/2))</f>
        <v>2.2414027276049446</v>
      </c>
      <c r="BK385" s="19">
        <f>(Table1347456[[#This Row],[lnrr]]/Table1347456[[#This Row],[z_from_p]])^2</f>
        <v>4.7908287407886635E-2</v>
      </c>
      <c r="BL385" s="16">
        <f>Table1347456[[#This Row],[v_from_z_from_p]]</f>
        <v>4.7908287407886635E-2</v>
      </c>
      <c r="BM385" s="20">
        <f>SQRT(Table1347456[[#This Row],[v]])</f>
        <v>0.21887961853011037</v>
      </c>
      <c r="BN385" s="20">
        <f>Table1347456[[#This Row],[lnrr]]-(1.96*Table1347456[[#This Row],[se]])</f>
        <v>6.1593321671502832E-2</v>
      </c>
      <c r="BO385" s="20">
        <f>Table1347456[[#This Row],[lnrr]]+(1.96 * Table1347456[[#This Row],[se]])</f>
        <v>0.91960142630953556</v>
      </c>
    </row>
    <row r="386" spans="1:67">
      <c r="A386" s="13" t="s">
        <v>171</v>
      </c>
      <c r="B386" s="13" t="s">
        <v>172</v>
      </c>
      <c r="C386" s="13" t="s">
        <v>43</v>
      </c>
      <c r="D386" s="13" t="s">
        <v>174</v>
      </c>
      <c r="E386" s="13" t="s">
        <v>97</v>
      </c>
      <c r="F386" s="13" t="s">
        <v>588</v>
      </c>
      <c r="G386" s="13" t="s">
        <v>46</v>
      </c>
      <c r="H386" s="13">
        <v>24.7</v>
      </c>
      <c r="I386" s="13">
        <v>1318</v>
      </c>
      <c r="J386" s="13" t="s">
        <v>650</v>
      </c>
      <c r="K386" s="13" t="s">
        <v>845</v>
      </c>
      <c r="L386" s="13" t="s">
        <v>846</v>
      </c>
      <c r="M386" s="13" t="s">
        <v>800</v>
      </c>
      <c r="N386" s="13" t="s">
        <v>84</v>
      </c>
      <c r="O386" s="13" t="s">
        <v>644</v>
      </c>
      <c r="P386" s="13" t="s">
        <v>85</v>
      </c>
      <c r="Q386" s="13" t="s">
        <v>48</v>
      </c>
      <c r="R386" s="4">
        <v>3</v>
      </c>
      <c r="S386" s="13" t="s">
        <v>594</v>
      </c>
      <c r="T386" s="13">
        <v>120</v>
      </c>
      <c r="U386" s="4" t="s">
        <v>173</v>
      </c>
      <c r="V386" s="4">
        <v>350</v>
      </c>
      <c r="W386" s="4" t="s">
        <v>42</v>
      </c>
      <c r="X386" s="4">
        <v>511.3</v>
      </c>
      <c r="Y386" s="4">
        <v>12</v>
      </c>
      <c r="AA386" s="4" t="s">
        <v>49</v>
      </c>
      <c r="AB386" s="4">
        <v>0</v>
      </c>
      <c r="AC386" s="4" t="s">
        <v>49</v>
      </c>
      <c r="AD386" s="4">
        <v>0</v>
      </c>
      <c r="AE386" s="4" t="s">
        <v>49</v>
      </c>
      <c r="AF386" s="4">
        <v>0</v>
      </c>
      <c r="AG386" s="4" t="s">
        <v>774</v>
      </c>
      <c r="AH386" s="4" t="s">
        <v>773</v>
      </c>
      <c r="AI386" s="4" t="s">
        <v>64</v>
      </c>
      <c r="AJ386" s="13">
        <v>10</v>
      </c>
      <c r="AK386" s="13">
        <v>20</v>
      </c>
      <c r="AP386" s="13" t="s">
        <v>49</v>
      </c>
      <c r="AQ386" s="13" t="s">
        <v>49</v>
      </c>
      <c r="AR386" s="13" t="s">
        <v>49</v>
      </c>
      <c r="AS386" s="13" t="s">
        <v>50</v>
      </c>
      <c r="AT386" s="13" t="s">
        <v>990</v>
      </c>
      <c r="AU386" s="13" t="s">
        <v>998</v>
      </c>
      <c r="AV386" s="23">
        <f>14.77/1000</f>
        <v>1.477E-2</v>
      </c>
      <c r="AW386" s="23">
        <f>7.99/1000</f>
        <v>7.9900000000000006E-3</v>
      </c>
      <c r="AX386" s="14">
        <f>Table1347456[[#This Row],[treatment_mean]]/Table1347456[[#This Row],[control_mean]]</f>
        <v>1.8485607008760949</v>
      </c>
      <c r="AY386" s="14">
        <f>LN(Table1347456[[#This Row],[rr]])</f>
        <v>0.61440733676510506</v>
      </c>
      <c r="AZ386" s="13">
        <v>18</v>
      </c>
      <c r="BA386" s="13">
        <v>18</v>
      </c>
      <c r="BB386" s="14" t="s">
        <v>46</v>
      </c>
      <c r="BC386" s="14" t="s">
        <v>46</v>
      </c>
      <c r="BD386" s="15" t="s">
        <v>46</v>
      </c>
      <c r="BE386" s="14" t="s">
        <v>46</v>
      </c>
      <c r="BF38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86" s="17" t="s">
        <v>46</v>
      </c>
      <c r="BH386" s="13" t="s">
        <v>50</v>
      </c>
      <c r="BI386" s="13">
        <v>2.5000000000000001E-2</v>
      </c>
      <c r="BJ386" s="18">
        <f>ABS(_xlfn.NORM.S.INV(Table1347456[[#This Row],[p_value]]/2))</f>
        <v>2.2414027276049446</v>
      </c>
      <c r="BK386" s="19">
        <f>(Table1347456[[#This Row],[lnrr]]/Table1347456[[#This Row],[z_from_p]])^2</f>
        <v>7.5140311980783442E-2</v>
      </c>
      <c r="BL386" s="16">
        <f>Table1347456[[#This Row],[v_from_z_from_p]]</f>
        <v>7.5140311980783442E-2</v>
      </c>
      <c r="BM386" s="20">
        <f>SQRT(Table1347456[[#This Row],[v]])</f>
        <v>0.27411733250705517</v>
      </c>
      <c r="BN386" s="20">
        <f>Table1347456[[#This Row],[lnrr]]-(1.96*Table1347456[[#This Row],[se]])</f>
        <v>7.7137365051276996E-2</v>
      </c>
      <c r="BO386" s="20">
        <f>Table1347456[[#This Row],[lnrr]]+(1.96 * Table1347456[[#This Row],[se]])</f>
        <v>1.1516773084789331</v>
      </c>
    </row>
    <row r="387" spans="1:67">
      <c r="A387" s="13" t="s">
        <v>171</v>
      </c>
      <c r="B387" s="13" t="s">
        <v>172</v>
      </c>
      <c r="C387" s="13" t="s">
        <v>43</v>
      </c>
      <c r="D387" s="13" t="s">
        <v>174</v>
      </c>
      <c r="E387" s="13" t="s">
        <v>97</v>
      </c>
      <c r="F387" s="13" t="s">
        <v>588</v>
      </c>
      <c r="G387" s="13" t="s">
        <v>46</v>
      </c>
      <c r="H387" s="13">
        <v>24.7</v>
      </c>
      <c r="I387" s="13">
        <v>1318</v>
      </c>
      <c r="J387" s="13" t="s">
        <v>650</v>
      </c>
      <c r="K387" s="13" t="s">
        <v>845</v>
      </c>
      <c r="L387" s="13" t="s">
        <v>846</v>
      </c>
      <c r="M387" s="13" t="s">
        <v>800</v>
      </c>
      <c r="N387" s="13" t="s">
        <v>84</v>
      </c>
      <c r="O387" s="13" t="s">
        <v>644</v>
      </c>
      <c r="P387" s="13" t="s">
        <v>85</v>
      </c>
      <c r="Q387" s="13" t="s">
        <v>48</v>
      </c>
      <c r="R387" s="4">
        <v>3</v>
      </c>
      <c r="S387" s="13" t="s">
        <v>594</v>
      </c>
      <c r="T387" s="13">
        <v>120</v>
      </c>
      <c r="U387" s="4" t="s">
        <v>173</v>
      </c>
      <c r="V387" s="4">
        <v>350</v>
      </c>
      <c r="W387" s="4" t="s">
        <v>42</v>
      </c>
      <c r="X387" s="4">
        <v>511.3</v>
      </c>
      <c r="Y387" s="4">
        <v>3</v>
      </c>
      <c r="AA387" s="4" t="s">
        <v>50</v>
      </c>
      <c r="AB387" s="4">
        <v>30</v>
      </c>
      <c r="AC387" s="4" t="s">
        <v>49</v>
      </c>
      <c r="AD387" s="4">
        <v>0</v>
      </c>
      <c r="AE387" s="4" t="s">
        <v>49</v>
      </c>
      <c r="AF387" s="4">
        <v>0</v>
      </c>
      <c r="AG387" s="4" t="s">
        <v>774</v>
      </c>
      <c r="AH387" s="4" t="s">
        <v>773</v>
      </c>
      <c r="AI387" s="4" t="s">
        <v>64</v>
      </c>
      <c r="AJ387" s="13">
        <v>10</v>
      </c>
      <c r="AK387" s="13">
        <v>20</v>
      </c>
      <c r="AP387" s="13" t="s">
        <v>49</v>
      </c>
      <c r="AQ387" s="13" t="s">
        <v>49</v>
      </c>
      <c r="AR387" s="13" t="s">
        <v>49</v>
      </c>
      <c r="AS387" s="13" t="s">
        <v>50</v>
      </c>
      <c r="AT387" s="13" t="s">
        <v>992</v>
      </c>
      <c r="AU387" s="4" t="s">
        <v>1000</v>
      </c>
      <c r="AV387" s="23">
        <f>10.27/1000</f>
        <v>1.027E-2</v>
      </c>
      <c r="AW387" s="23">
        <f>11.45/1000</f>
        <v>1.145E-2</v>
      </c>
      <c r="AX387" s="14">
        <f>Table1347456[[#This Row],[treatment_mean]]/Table1347456[[#This Row],[control_mean]]</f>
        <v>0.89694323144104804</v>
      </c>
      <c r="AY387" s="14">
        <f>LN(Table1347456[[#This Row],[rr]])</f>
        <v>-0.10876270605978179</v>
      </c>
      <c r="AZ387" s="13">
        <v>18</v>
      </c>
      <c r="BA387" s="13">
        <v>18</v>
      </c>
      <c r="BB387" s="14" t="s">
        <v>46</v>
      </c>
      <c r="BC387" s="14" t="s">
        <v>46</v>
      </c>
      <c r="BD387" s="15" t="s">
        <v>46</v>
      </c>
      <c r="BE387" s="14" t="s">
        <v>46</v>
      </c>
      <c r="BF38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87" s="17" t="s">
        <v>46</v>
      </c>
      <c r="BH387" s="13" t="s">
        <v>50</v>
      </c>
      <c r="BI387" s="13">
        <v>2.5000000000000001E-2</v>
      </c>
      <c r="BJ387" s="18">
        <f>ABS(_xlfn.NORM.S.INV(Table1347456[[#This Row],[p_value]]/2))</f>
        <v>2.2414027276049446</v>
      </c>
      <c r="BK387" s="19">
        <f>(Table1347456[[#This Row],[lnrr]]/Table1347456[[#This Row],[z_from_p]])^2</f>
        <v>2.3546166828609847E-3</v>
      </c>
      <c r="BL387" s="16">
        <f>Table1347456[[#This Row],[v_from_z_from_p]]</f>
        <v>2.3546166828609847E-3</v>
      </c>
      <c r="BM387" s="20">
        <f>SQRT(Table1347456[[#This Row],[v]])</f>
        <v>4.8524392658342304E-2</v>
      </c>
      <c r="BN387" s="20">
        <f>Table1347456[[#This Row],[lnrr]]-(1.96*Table1347456[[#This Row],[se]])</f>
        <v>-0.2038705156701327</v>
      </c>
      <c r="BO387" s="20">
        <f>Table1347456[[#This Row],[lnrr]]+(1.96 * Table1347456[[#This Row],[se]])</f>
        <v>-1.3654896449430881E-2</v>
      </c>
    </row>
    <row r="388" spans="1:67">
      <c r="A388" s="13" t="s">
        <v>171</v>
      </c>
      <c r="B388" s="13" t="s">
        <v>172</v>
      </c>
      <c r="C388" s="13" t="s">
        <v>43</v>
      </c>
      <c r="D388" s="13" t="s">
        <v>174</v>
      </c>
      <c r="E388" s="13" t="s">
        <v>97</v>
      </c>
      <c r="F388" s="13" t="s">
        <v>588</v>
      </c>
      <c r="G388" s="13" t="s">
        <v>46</v>
      </c>
      <c r="H388" s="13">
        <v>24.7</v>
      </c>
      <c r="I388" s="13">
        <v>1318</v>
      </c>
      <c r="J388" s="13" t="s">
        <v>650</v>
      </c>
      <c r="K388" s="13" t="s">
        <v>845</v>
      </c>
      <c r="L388" s="13" t="s">
        <v>846</v>
      </c>
      <c r="M388" s="13" t="s">
        <v>800</v>
      </c>
      <c r="N388" s="13" t="s">
        <v>84</v>
      </c>
      <c r="O388" s="13" t="s">
        <v>644</v>
      </c>
      <c r="P388" s="13" t="s">
        <v>85</v>
      </c>
      <c r="Q388" s="13" t="s">
        <v>48</v>
      </c>
      <c r="R388" s="4">
        <v>3</v>
      </c>
      <c r="S388" s="13" t="s">
        <v>594</v>
      </c>
      <c r="T388" s="13">
        <v>120</v>
      </c>
      <c r="U388" s="4" t="s">
        <v>173</v>
      </c>
      <c r="V388" s="4">
        <v>350</v>
      </c>
      <c r="W388" s="4" t="s">
        <v>42</v>
      </c>
      <c r="X388" s="4">
        <v>511.3</v>
      </c>
      <c r="Y388" s="4">
        <v>6</v>
      </c>
      <c r="AA388" s="4" t="s">
        <v>50</v>
      </c>
      <c r="AB388" s="4">
        <v>60</v>
      </c>
      <c r="AC388" s="4" t="s">
        <v>49</v>
      </c>
      <c r="AD388" s="4">
        <v>0</v>
      </c>
      <c r="AE388" s="4" t="s">
        <v>49</v>
      </c>
      <c r="AF388" s="4">
        <v>0</v>
      </c>
      <c r="AG388" s="4" t="s">
        <v>774</v>
      </c>
      <c r="AH388" s="4" t="s">
        <v>773</v>
      </c>
      <c r="AI388" s="4" t="s">
        <v>64</v>
      </c>
      <c r="AJ388" s="13">
        <v>10</v>
      </c>
      <c r="AK388" s="13">
        <v>20</v>
      </c>
      <c r="AP388" s="13" t="s">
        <v>49</v>
      </c>
      <c r="AQ388" s="13" t="s">
        <v>49</v>
      </c>
      <c r="AR388" s="13" t="s">
        <v>49</v>
      </c>
      <c r="AS388" s="13" t="s">
        <v>50</v>
      </c>
      <c r="AT388" s="13" t="s">
        <v>992</v>
      </c>
      <c r="AU388" s="4" t="s">
        <v>1000</v>
      </c>
      <c r="AV388" s="23">
        <f>11.36/1000</f>
        <v>1.1359999999999999E-2</v>
      </c>
      <c r="AW388" s="23">
        <f>11.45/1000</f>
        <v>1.145E-2</v>
      </c>
      <c r="AX388" s="14">
        <f>Table1347456[[#This Row],[treatment_mean]]/Table1347456[[#This Row],[control_mean]]</f>
        <v>0.9921397379912662</v>
      </c>
      <c r="AY388" s="14">
        <f>LN(Table1347456[[#This Row],[rr]])</f>
        <v>-7.8913167072435387E-3</v>
      </c>
      <c r="AZ388" s="13">
        <v>18</v>
      </c>
      <c r="BA388" s="13">
        <v>18</v>
      </c>
      <c r="BB388" s="14" t="s">
        <v>46</v>
      </c>
      <c r="BC388" s="14" t="s">
        <v>46</v>
      </c>
      <c r="BD388" s="15" t="s">
        <v>46</v>
      </c>
      <c r="BE388" s="14" t="s">
        <v>46</v>
      </c>
      <c r="BF38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88" s="17" t="s">
        <v>46</v>
      </c>
      <c r="BH388" s="13" t="s">
        <v>50</v>
      </c>
      <c r="BI388" s="13">
        <v>2.5000000000000001E-2</v>
      </c>
      <c r="BJ388" s="18">
        <f>ABS(_xlfn.NORM.S.INV(Table1347456[[#This Row],[p_value]]/2))</f>
        <v>2.2414027276049446</v>
      </c>
      <c r="BK388" s="19">
        <f>(Table1347456[[#This Row],[lnrr]]/Table1347456[[#This Row],[z_from_p]])^2</f>
        <v>1.2395360295234706E-5</v>
      </c>
      <c r="BL388" s="16">
        <f>Table1347456[[#This Row],[v_from_z_from_p]]</f>
        <v>1.2395360295234706E-5</v>
      </c>
      <c r="BM388" s="20">
        <f>SQRT(Table1347456[[#This Row],[v]])</f>
        <v>3.5207045168878779E-3</v>
      </c>
      <c r="BN388" s="20">
        <f>Table1347456[[#This Row],[lnrr]]-(1.96*Table1347456[[#This Row],[se]])</f>
        <v>-1.479189756034378E-2</v>
      </c>
      <c r="BO388" s="20">
        <f>Table1347456[[#This Row],[lnrr]]+(1.96 * Table1347456[[#This Row],[se]])</f>
        <v>-9.9073585414329816E-4</v>
      </c>
    </row>
    <row r="389" spans="1:67">
      <c r="A389" s="13" t="s">
        <v>171</v>
      </c>
      <c r="B389" s="13" t="s">
        <v>172</v>
      </c>
      <c r="C389" s="13" t="s">
        <v>43</v>
      </c>
      <c r="D389" s="13" t="s">
        <v>174</v>
      </c>
      <c r="E389" s="13" t="s">
        <v>97</v>
      </c>
      <c r="F389" s="13" t="s">
        <v>588</v>
      </c>
      <c r="G389" s="13" t="s">
        <v>46</v>
      </c>
      <c r="H389" s="13">
        <v>24.7</v>
      </c>
      <c r="I389" s="13">
        <v>1318</v>
      </c>
      <c r="J389" s="13" t="s">
        <v>650</v>
      </c>
      <c r="K389" s="13" t="s">
        <v>845</v>
      </c>
      <c r="L389" s="13" t="s">
        <v>846</v>
      </c>
      <c r="M389" s="13" t="s">
        <v>800</v>
      </c>
      <c r="N389" s="13" t="s">
        <v>84</v>
      </c>
      <c r="O389" s="13" t="s">
        <v>644</v>
      </c>
      <c r="P389" s="13" t="s">
        <v>85</v>
      </c>
      <c r="Q389" s="13" t="s">
        <v>48</v>
      </c>
      <c r="R389" s="4">
        <v>3</v>
      </c>
      <c r="S389" s="13" t="s">
        <v>594</v>
      </c>
      <c r="T389" s="13">
        <v>120</v>
      </c>
      <c r="U389" s="4" t="s">
        <v>173</v>
      </c>
      <c r="V389" s="4">
        <v>350</v>
      </c>
      <c r="W389" s="4" t="s">
        <v>42</v>
      </c>
      <c r="X389" s="4">
        <v>511.3</v>
      </c>
      <c r="Y389" s="4">
        <v>12</v>
      </c>
      <c r="AA389" s="4" t="s">
        <v>50</v>
      </c>
      <c r="AB389" s="4">
        <v>90</v>
      </c>
      <c r="AC389" s="4" t="s">
        <v>49</v>
      </c>
      <c r="AD389" s="4">
        <v>0</v>
      </c>
      <c r="AE389" s="4" t="s">
        <v>49</v>
      </c>
      <c r="AF389" s="4">
        <v>0</v>
      </c>
      <c r="AG389" s="4" t="s">
        <v>774</v>
      </c>
      <c r="AH389" s="4" t="s">
        <v>773</v>
      </c>
      <c r="AI389" s="4" t="s">
        <v>64</v>
      </c>
      <c r="AJ389" s="13">
        <v>10</v>
      </c>
      <c r="AK389" s="13">
        <v>20</v>
      </c>
      <c r="AP389" s="13" t="s">
        <v>49</v>
      </c>
      <c r="AQ389" s="13" t="s">
        <v>49</v>
      </c>
      <c r="AR389" s="13" t="s">
        <v>49</v>
      </c>
      <c r="AS389" s="13" t="s">
        <v>50</v>
      </c>
      <c r="AT389" s="13" t="s">
        <v>992</v>
      </c>
      <c r="AU389" s="4" t="s">
        <v>1000</v>
      </c>
      <c r="AV389" s="23">
        <f>14.62/1000</f>
        <v>1.4619999999999999E-2</v>
      </c>
      <c r="AW389" s="23">
        <f>11.45/1000</f>
        <v>1.145E-2</v>
      </c>
      <c r="AX389" s="14">
        <f>Table1347456[[#This Row],[treatment_mean]]/Table1347456[[#This Row],[control_mean]]</f>
        <v>1.2768558951965066</v>
      </c>
      <c r="AY389" s="14">
        <f>LN(Table1347456[[#This Row],[rr]])</f>
        <v>0.24440072432138379</v>
      </c>
      <c r="AZ389" s="13">
        <v>18</v>
      </c>
      <c r="BA389" s="13">
        <v>18</v>
      </c>
      <c r="BB389" s="14" t="s">
        <v>46</v>
      </c>
      <c r="BC389" s="14" t="s">
        <v>46</v>
      </c>
      <c r="BD389" s="15" t="s">
        <v>46</v>
      </c>
      <c r="BE389" s="14" t="s">
        <v>46</v>
      </c>
      <c r="BF38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89" s="17" t="s">
        <v>46</v>
      </c>
      <c r="BH389" s="13" t="s">
        <v>50</v>
      </c>
      <c r="BI389" s="13">
        <v>2.5000000000000001E-2</v>
      </c>
      <c r="BJ389" s="18">
        <f>ABS(_xlfn.NORM.S.INV(Table1347456[[#This Row],[p_value]]/2))</f>
        <v>2.2414027276049446</v>
      </c>
      <c r="BK389" s="19">
        <f>(Table1347456[[#This Row],[lnrr]]/Table1347456[[#This Row],[z_from_p]])^2</f>
        <v>1.188954363648549E-2</v>
      </c>
      <c r="BL389" s="16">
        <f>Table1347456[[#This Row],[v_from_z_from_p]]</f>
        <v>1.188954363648549E-2</v>
      </c>
      <c r="BM389" s="20">
        <f>SQRT(Table1347456[[#This Row],[v]])</f>
        <v>0.10903918395001629</v>
      </c>
      <c r="BN389" s="20">
        <f>Table1347456[[#This Row],[lnrr]]-(1.96*Table1347456[[#This Row],[se]])</f>
        <v>3.068392377935189E-2</v>
      </c>
      <c r="BO389" s="20">
        <f>Table1347456[[#This Row],[lnrr]]+(1.96 * Table1347456[[#This Row],[se]])</f>
        <v>0.45811752486341573</v>
      </c>
    </row>
    <row r="390" spans="1:67">
      <c r="A390" s="13" t="s">
        <v>171</v>
      </c>
      <c r="B390" s="13" t="s">
        <v>172</v>
      </c>
      <c r="C390" s="13" t="s">
        <v>43</v>
      </c>
      <c r="D390" s="13" t="s">
        <v>174</v>
      </c>
      <c r="E390" s="13" t="s">
        <v>97</v>
      </c>
      <c r="F390" s="13" t="s">
        <v>588</v>
      </c>
      <c r="G390" s="13" t="s">
        <v>46</v>
      </c>
      <c r="H390" s="13">
        <v>24.7</v>
      </c>
      <c r="I390" s="13">
        <v>1318</v>
      </c>
      <c r="K390" s="13" t="s">
        <v>845</v>
      </c>
      <c r="L390" s="13" t="s">
        <v>846</v>
      </c>
      <c r="N390" s="13" t="s">
        <v>86</v>
      </c>
      <c r="O390" s="13" t="s">
        <v>644</v>
      </c>
      <c r="P390" s="13" t="s">
        <v>85</v>
      </c>
      <c r="Q390" s="13" t="s">
        <v>48</v>
      </c>
      <c r="R390" s="4">
        <v>3</v>
      </c>
      <c r="S390" s="13" t="s">
        <v>594</v>
      </c>
      <c r="T390" s="13">
        <v>120</v>
      </c>
      <c r="U390" s="4" t="s">
        <v>173</v>
      </c>
      <c r="V390" s="4">
        <v>350</v>
      </c>
      <c r="W390" s="4" t="s">
        <v>42</v>
      </c>
      <c r="X390" s="4">
        <v>511.3</v>
      </c>
      <c r="Y390" s="4">
        <v>3</v>
      </c>
      <c r="AA390" s="4" t="s">
        <v>49</v>
      </c>
      <c r="AB390" s="4">
        <v>0</v>
      </c>
      <c r="AC390" s="4" t="s">
        <v>49</v>
      </c>
      <c r="AD390" s="4">
        <v>0</v>
      </c>
      <c r="AE390" s="4" t="s">
        <v>49</v>
      </c>
      <c r="AF390" s="4">
        <v>0</v>
      </c>
      <c r="AG390" s="4" t="s">
        <v>774</v>
      </c>
      <c r="AH390" s="4" t="s">
        <v>773</v>
      </c>
      <c r="AI390" s="4" t="s">
        <v>64</v>
      </c>
      <c r="AJ390" s="13">
        <v>10</v>
      </c>
      <c r="AK390" s="13">
        <v>20</v>
      </c>
      <c r="AP390" s="13" t="s">
        <v>49</v>
      </c>
      <c r="AQ390" s="13" t="s">
        <v>49</v>
      </c>
      <c r="AR390" s="13" t="s">
        <v>49</v>
      </c>
      <c r="AS390" s="13" t="s">
        <v>50</v>
      </c>
      <c r="AT390" s="13" t="s">
        <v>990</v>
      </c>
      <c r="AU390" s="13" t="s">
        <v>998</v>
      </c>
      <c r="AV390" s="14">
        <f>0.89/1000</f>
        <v>8.9000000000000006E-4</v>
      </c>
      <c r="AW390" s="14">
        <f>1.23/1000</f>
        <v>1.23E-3</v>
      </c>
      <c r="AX390" s="14">
        <f>Table1347456[[#This Row],[treatment_mean]]/Table1347456[[#This Row],[control_mean]]</f>
        <v>0.72357723577235777</v>
      </c>
      <c r="AY390" s="14">
        <f>LN(Table1347456[[#This Row],[rr]])</f>
        <v>-0.32354798564027759</v>
      </c>
      <c r="AZ390" s="13">
        <v>18</v>
      </c>
      <c r="BA390" s="13">
        <v>18</v>
      </c>
      <c r="BB390" s="14" t="s">
        <v>46</v>
      </c>
      <c r="BC390" s="14" t="s">
        <v>46</v>
      </c>
      <c r="BD390" s="15" t="s">
        <v>46</v>
      </c>
      <c r="BE390" s="14" t="s">
        <v>46</v>
      </c>
      <c r="BF39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90" s="17" t="s">
        <v>46</v>
      </c>
      <c r="BH390" s="13" t="s">
        <v>50</v>
      </c>
      <c r="BI390" s="13">
        <v>2.5000000000000001E-2</v>
      </c>
      <c r="BJ390" s="18">
        <f>ABS(_xlfn.NORM.S.INV(Table1347456[[#This Row],[p_value]]/2))</f>
        <v>2.2414027276049446</v>
      </c>
      <c r="BK390" s="19">
        <f>(Table1347456[[#This Row],[lnrr]]/Table1347456[[#This Row],[z_from_p]])^2</f>
        <v>2.0837115951432672E-2</v>
      </c>
      <c r="BL390" s="16">
        <f>Table1347456[[#This Row],[v_from_z_from_p]]</f>
        <v>2.0837115951432672E-2</v>
      </c>
      <c r="BM390" s="20">
        <f>SQRT(Table1347456[[#This Row],[v]])</f>
        <v>0.1443506700761471</v>
      </c>
      <c r="BN390" s="20">
        <f>Table1347456[[#This Row],[lnrr]]-(1.96*Table1347456[[#This Row],[se]])</f>
        <v>-0.6064752989895259</v>
      </c>
      <c r="BO390" s="20">
        <f>Table1347456[[#This Row],[lnrr]]+(1.96 * Table1347456[[#This Row],[se]])</f>
        <v>-4.0620672291029281E-2</v>
      </c>
    </row>
    <row r="391" spans="1:67">
      <c r="A391" s="13" t="s">
        <v>171</v>
      </c>
      <c r="B391" s="13" t="s">
        <v>172</v>
      </c>
      <c r="C391" s="13" t="s">
        <v>43</v>
      </c>
      <c r="D391" s="13" t="s">
        <v>174</v>
      </c>
      <c r="E391" s="13" t="s">
        <v>97</v>
      </c>
      <c r="F391" s="13" t="s">
        <v>588</v>
      </c>
      <c r="G391" s="13" t="s">
        <v>46</v>
      </c>
      <c r="H391" s="13">
        <v>24.7</v>
      </c>
      <c r="I391" s="13">
        <v>1318</v>
      </c>
      <c r="K391" s="13" t="s">
        <v>845</v>
      </c>
      <c r="L391" s="13" t="s">
        <v>846</v>
      </c>
      <c r="N391" s="13" t="s">
        <v>86</v>
      </c>
      <c r="O391" s="13" t="s">
        <v>644</v>
      </c>
      <c r="P391" s="13" t="s">
        <v>85</v>
      </c>
      <c r="Q391" s="13" t="s">
        <v>48</v>
      </c>
      <c r="R391" s="4">
        <v>3</v>
      </c>
      <c r="S391" s="13" t="s">
        <v>594</v>
      </c>
      <c r="T391" s="13">
        <v>120</v>
      </c>
      <c r="U391" s="4" t="s">
        <v>173</v>
      </c>
      <c r="V391" s="4">
        <v>350</v>
      </c>
      <c r="W391" s="4" t="s">
        <v>42</v>
      </c>
      <c r="X391" s="4">
        <v>511.3</v>
      </c>
      <c r="Y391" s="4">
        <v>6</v>
      </c>
      <c r="AA391" s="4" t="s">
        <v>49</v>
      </c>
      <c r="AB391" s="4">
        <v>0</v>
      </c>
      <c r="AC391" s="4" t="s">
        <v>49</v>
      </c>
      <c r="AD391" s="4">
        <v>0</v>
      </c>
      <c r="AE391" s="4" t="s">
        <v>49</v>
      </c>
      <c r="AF391" s="4">
        <v>0</v>
      </c>
      <c r="AG391" s="4" t="s">
        <v>774</v>
      </c>
      <c r="AH391" s="4" t="s">
        <v>773</v>
      </c>
      <c r="AI391" s="4" t="s">
        <v>64</v>
      </c>
      <c r="AJ391" s="13">
        <v>10</v>
      </c>
      <c r="AK391" s="13">
        <v>20</v>
      </c>
      <c r="AP391" s="13" t="s">
        <v>49</v>
      </c>
      <c r="AQ391" s="13" t="s">
        <v>49</v>
      </c>
      <c r="AR391" s="13" t="s">
        <v>49</v>
      </c>
      <c r="AS391" s="13" t="s">
        <v>50</v>
      </c>
      <c r="AT391" s="13" t="s">
        <v>990</v>
      </c>
      <c r="AU391" s="13" t="s">
        <v>998</v>
      </c>
      <c r="AV391" s="14">
        <f>0.97/1000</f>
        <v>9.6999999999999994E-4</v>
      </c>
      <c r="AW391" s="14">
        <f>1.23/1000</f>
        <v>1.23E-3</v>
      </c>
      <c r="AX391" s="14">
        <f>Table1347456[[#This Row],[treatment_mean]]/Table1347456[[#This Row],[control_mean]]</f>
        <v>0.78861788617886175</v>
      </c>
      <c r="AY391" s="14">
        <f>LN(Table1347456[[#This Row],[rr]])</f>
        <v>-0.23747337686903472</v>
      </c>
      <c r="AZ391" s="13">
        <v>18</v>
      </c>
      <c r="BA391" s="13">
        <v>18</v>
      </c>
      <c r="BB391" s="14" t="s">
        <v>46</v>
      </c>
      <c r="BC391" s="14" t="s">
        <v>46</v>
      </c>
      <c r="BD391" s="15" t="s">
        <v>46</v>
      </c>
      <c r="BE391" s="14" t="s">
        <v>46</v>
      </c>
      <c r="BF39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91" s="17" t="s">
        <v>46</v>
      </c>
      <c r="BH391" s="13" t="s">
        <v>50</v>
      </c>
      <c r="BI391" s="13">
        <v>2.5000000000000001E-2</v>
      </c>
      <c r="BJ391" s="18">
        <f>ABS(_xlfn.NORM.S.INV(Table1347456[[#This Row],[p_value]]/2))</f>
        <v>2.2414027276049446</v>
      </c>
      <c r="BK391" s="19">
        <f>(Table1347456[[#This Row],[lnrr]]/Table1347456[[#This Row],[z_from_p]])^2</f>
        <v>1.1225095995202723E-2</v>
      </c>
      <c r="BL391" s="16">
        <f>Table1347456[[#This Row],[v_from_z_from_p]]</f>
        <v>1.1225095995202723E-2</v>
      </c>
      <c r="BM391" s="20">
        <f>SQRT(Table1347456[[#This Row],[v]])</f>
        <v>0.1059485535304882</v>
      </c>
      <c r="BN391" s="20">
        <f>Table1347456[[#This Row],[lnrr]]-(1.96*Table1347456[[#This Row],[se]])</f>
        <v>-0.44513254178879158</v>
      </c>
      <c r="BO391" s="20">
        <f>Table1347456[[#This Row],[lnrr]]+(1.96 * Table1347456[[#This Row],[se]])</f>
        <v>-2.9814211949277858E-2</v>
      </c>
    </row>
    <row r="392" spans="1:67">
      <c r="A392" s="13" t="s">
        <v>171</v>
      </c>
      <c r="B392" s="13" t="s">
        <v>172</v>
      </c>
      <c r="C392" s="13" t="s">
        <v>43</v>
      </c>
      <c r="D392" s="13" t="s">
        <v>174</v>
      </c>
      <c r="E392" s="13" t="s">
        <v>97</v>
      </c>
      <c r="F392" s="13" t="s">
        <v>588</v>
      </c>
      <c r="G392" s="13" t="s">
        <v>46</v>
      </c>
      <c r="H392" s="13">
        <v>24.7</v>
      </c>
      <c r="I392" s="13">
        <v>1318</v>
      </c>
      <c r="K392" s="13" t="s">
        <v>845</v>
      </c>
      <c r="L392" s="13" t="s">
        <v>846</v>
      </c>
      <c r="N392" s="13" t="s">
        <v>86</v>
      </c>
      <c r="O392" s="13" t="s">
        <v>644</v>
      </c>
      <c r="P392" s="13" t="s">
        <v>85</v>
      </c>
      <c r="Q392" s="13" t="s">
        <v>48</v>
      </c>
      <c r="R392" s="4">
        <v>3</v>
      </c>
      <c r="S392" s="13" t="s">
        <v>594</v>
      </c>
      <c r="T392" s="13">
        <v>120</v>
      </c>
      <c r="U392" s="4" t="s">
        <v>173</v>
      </c>
      <c r="V392" s="4">
        <v>350</v>
      </c>
      <c r="W392" s="4" t="s">
        <v>42</v>
      </c>
      <c r="X392" s="4">
        <v>511.3</v>
      </c>
      <c r="Y392" s="4">
        <v>12</v>
      </c>
      <c r="AA392" s="4" t="s">
        <v>49</v>
      </c>
      <c r="AB392" s="4">
        <v>0</v>
      </c>
      <c r="AC392" s="4" t="s">
        <v>49</v>
      </c>
      <c r="AD392" s="4">
        <v>0</v>
      </c>
      <c r="AE392" s="4" t="s">
        <v>49</v>
      </c>
      <c r="AF392" s="4">
        <v>0</v>
      </c>
      <c r="AG392" s="4" t="s">
        <v>774</v>
      </c>
      <c r="AH392" s="4" t="s">
        <v>773</v>
      </c>
      <c r="AI392" s="4" t="s">
        <v>64</v>
      </c>
      <c r="AJ392" s="13">
        <v>10</v>
      </c>
      <c r="AK392" s="13">
        <v>20</v>
      </c>
      <c r="AP392" s="13" t="s">
        <v>49</v>
      </c>
      <c r="AQ392" s="13" t="s">
        <v>49</v>
      </c>
      <c r="AR392" s="13" t="s">
        <v>49</v>
      </c>
      <c r="AS392" s="13" t="s">
        <v>50</v>
      </c>
      <c r="AT392" s="13" t="s">
        <v>990</v>
      </c>
      <c r="AU392" s="13" t="s">
        <v>998</v>
      </c>
      <c r="AV392" s="14">
        <f>1.07/1000</f>
        <v>1.07E-3</v>
      </c>
      <c r="AW392" s="14">
        <f>1.23/1000</f>
        <v>1.23E-3</v>
      </c>
      <c r="AX392" s="14">
        <f>Table1347456[[#This Row],[treatment_mean]]/Table1347456[[#This Row],[control_mean]]</f>
        <v>0.86991869918699183</v>
      </c>
      <c r="AY392" s="14">
        <f>LN(Table1347456[[#This Row],[rr]])</f>
        <v>-0.13935552091051137</v>
      </c>
      <c r="AZ392" s="13">
        <v>18</v>
      </c>
      <c r="BA392" s="13">
        <v>18</v>
      </c>
      <c r="BB392" s="14" t="s">
        <v>46</v>
      </c>
      <c r="BC392" s="14" t="s">
        <v>46</v>
      </c>
      <c r="BD392" s="15" t="s">
        <v>46</v>
      </c>
      <c r="BE392" s="14" t="s">
        <v>46</v>
      </c>
      <c r="BF39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92" s="17" t="s">
        <v>46</v>
      </c>
      <c r="BH392" s="13" t="s">
        <v>50</v>
      </c>
      <c r="BI392" s="13">
        <v>2.5000000000000001E-2</v>
      </c>
      <c r="BJ392" s="18">
        <f>ABS(_xlfn.NORM.S.INV(Table1347456[[#This Row],[p_value]]/2))</f>
        <v>2.2414027276049446</v>
      </c>
      <c r="BK392" s="19">
        <f>(Table1347456[[#This Row],[lnrr]]/Table1347456[[#This Row],[z_from_p]])^2</f>
        <v>3.8655257074243854E-3</v>
      </c>
      <c r="BL392" s="16">
        <f>Table1347456[[#This Row],[v_from_z_from_p]]</f>
        <v>3.8655257074243854E-3</v>
      </c>
      <c r="BM392" s="20">
        <f>SQRT(Table1347456[[#This Row],[v]])</f>
        <v>6.2173352068425468E-2</v>
      </c>
      <c r="BN392" s="20">
        <f>Table1347456[[#This Row],[lnrr]]-(1.96*Table1347456[[#This Row],[se]])</f>
        <v>-0.26121529096462526</v>
      </c>
      <c r="BO392" s="20">
        <f>Table1347456[[#This Row],[lnrr]]+(1.96 * Table1347456[[#This Row],[se]])</f>
        <v>-1.7495750856397457E-2</v>
      </c>
    </row>
    <row r="393" spans="1:67">
      <c r="A393" s="13" t="s">
        <v>171</v>
      </c>
      <c r="B393" s="13" t="s">
        <v>172</v>
      </c>
      <c r="C393" s="13" t="s">
        <v>43</v>
      </c>
      <c r="D393" s="13" t="s">
        <v>174</v>
      </c>
      <c r="E393" s="13" t="s">
        <v>97</v>
      </c>
      <c r="F393" s="13" t="s">
        <v>588</v>
      </c>
      <c r="G393" s="13" t="s">
        <v>46</v>
      </c>
      <c r="H393" s="13">
        <v>24.7</v>
      </c>
      <c r="I393" s="13">
        <v>1318</v>
      </c>
      <c r="K393" s="13" t="s">
        <v>845</v>
      </c>
      <c r="L393" s="13" t="s">
        <v>846</v>
      </c>
      <c r="N393" s="13" t="s">
        <v>86</v>
      </c>
      <c r="O393" s="13" t="s">
        <v>644</v>
      </c>
      <c r="P393" s="13" t="s">
        <v>85</v>
      </c>
      <c r="Q393" s="13" t="s">
        <v>48</v>
      </c>
      <c r="R393" s="4">
        <v>3</v>
      </c>
      <c r="S393" s="13" t="s">
        <v>594</v>
      </c>
      <c r="T393" s="13">
        <v>120</v>
      </c>
      <c r="U393" s="4" t="s">
        <v>173</v>
      </c>
      <c r="V393" s="4">
        <v>350</v>
      </c>
      <c r="W393" s="4" t="s">
        <v>42</v>
      </c>
      <c r="X393" s="4">
        <v>511.3</v>
      </c>
      <c r="Y393" s="4">
        <v>3</v>
      </c>
      <c r="AA393" s="4" t="s">
        <v>50</v>
      </c>
      <c r="AB393" s="4">
        <v>30</v>
      </c>
      <c r="AC393" s="4" t="s">
        <v>49</v>
      </c>
      <c r="AD393" s="4">
        <v>0</v>
      </c>
      <c r="AE393" s="4" t="s">
        <v>49</v>
      </c>
      <c r="AF393" s="4">
        <v>0</v>
      </c>
      <c r="AG393" s="4" t="s">
        <v>774</v>
      </c>
      <c r="AH393" s="4" t="s">
        <v>773</v>
      </c>
      <c r="AI393" s="4" t="s">
        <v>64</v>
      </c>
      <c r="AJ393" s="13">
        <v>10</v>
      </c>
      <c r="AK393" s="13">
        <v>20</v>
      </c>
      <c r="AP393" s="13" t="s">
        <v>49</v>
      </c>
      <c r="AQ393" s="13" t="s">
        <v>49</v>
      </c>
      <c r="AR393" s="13" t="s">
        <v>49</v>
      </c>
      <c r="AS393" s="13" t="s">
        <v>50</v>
      </c>
      <c r="AT393" s="13" t="s">
        <v>992</v>
      </c>
      <c r="AU393" s="4" t="s">
        <v>1000</v>
      </c>
      <c r="AV393" s="14">
        <f>0.69/1000</f>
        <v>6.8999999999999997E-4</v>
      </c>
      <c r="AW393" s="14">
        <f>0.54/1000</f>
        <v>5.4000000000000001E-4</v>
      </c>
      <c r="AX393" s="14">
        <f>Table1347456[[#This Row],[treatment_mean]]/Table1347456[[#This Row],[control_mean]]</f>
        <v>1.2777777777777777</v>
      </c>
      <c r="AY393" s="14">
        <f>LN(Table1347456[[#This Row],[rr]])</f>
        <v>0.24512245803298491</v>
      </c>
      <c r="AZ393" s="13">
        <v>18</v>
      </c>
      <c r="BA393" s="13">
        <v>18</v>
      </c>
      <c r="BB393" s="14" t="s">
        <v>46</v>
      </c>
      <c r="BC393" s="14" t="s">
        <v>46</v>
      </c>
      <c r="BD393" s="15" t="s">
        <v>46</v>
      </c>
      <c r="BE393" s="14" t="s">
        <v>46</v>
      </c>
      <c r="BF39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93" s="17" t="s">
        <v>46</v>
      </c>
      <c r="BH393" s="13" t="s">
        <v>50</v>
      </c>
      <c r="BI393" s="13">
        <v>2.5000000000000001E-2</v>
      </c>
      <c r="BJ393" s="18">
        <f>ABS(_xlfn.NORM.S.INV(Table1347456[[#This Row],[p_value]]/2))</f>
        <v>2.2414027276049446</v>
      </c>
      <c r="BK393" s="19">
        <f>(Table1347456[[#This Row],[lnrr]]/Table1347456[[#This Row],[z_from_p]])^2</f>
        <v>1.195986875336562E-2</v>
      </c>
      <c r="BL393" s="16">
        <f>Table1347456[[#This Row],[v_from_z_from_p]]</f>
        <v>1.195986875336562E-2</v>
      </c>
      <c r="BM393" s="20">
        <f>SQRT(Table1347456[[#This Row],[v]])</f>
        <v>0.10936118485717691</v>
      </c>
      <c r="BN393" s="20">
        <f>Table1347456[[#This Row],[lnrr]]-(1.96*Table1347456[[#This Row],[se]])</f>
        <v>3.0774535712918161E-2</v>
      </c>
      <c r="BO393" s="20">
        <f>Table1347456[[#This Row],[lnrr]]+(1.96 * Table1347456[[#This Row],[se]])</f>
        <v>0.45947038035305166</v>
      </c>
    </row>
    <row r="394" spans="1:67">
      <c r="A394" s="13" t="s">
        <v>171</v>
      </c>
      <c r="B394" s="13" t="s">
        <v>172</v>
      </c>
      <c r="C394" s="13" t="s">
        <v>43</v>
      </c>
      <c r="D394" s="13" t="s">
        <v>174</v>
      </c>
      <c r="E394" s="13" t="s">
        <v>97</v>
      </c>
      <c r="F394" s="13" t="s">
        <v>588</v>
      </c>
      <c r="G394" s="13" t="s">
        <v>46</v>
      </c>
      <c r="H394" s="13">
        <v>24.7</v>
      </c>
      <c r="I394" s="13">
        <v>1318</v>
      </c>
      <c r="K394" s="13" t="s">
        <v>845</v>
      </c>
      <c r="L394" s="13" t="s">
        <v>846</v>
      </c>
      <c r="N394" s="13" t="s">
        <v>86</v>
      </c>
      <c r="O394" s="13" t="s">
        <v>644</v>
      </c>
      <c r="P394" s="13" t="s">
        <v>85</v>
      </c>
      <c r="Q394" s="13" t="s">
        <v>48</v>
      </c>
      <c r="R394" s="4">
        <v>3</v>
      </c>
      <c r="S394" s="13" t="s">
        <v>594</v>
      </c>
      <c r="T394" s="13">
        <v>120</v>
      </c>
      <c r="U394" s="4" t="s">
        <v>173</v>
      </c>
      <c r="V394" s="4">
        <v>350</v>
      </c>
      <c r="W394" s="4" t="s">
        <v>42</v>
      </c>
      <c r="X394" s="4">
        <v>511.3</v>
      </c>
      <c r="Y394" s="4">
        <v>6</v>
      </c>
      <c r="AA394" s="4" t="s">
        <v>50</v>
      </c>
      <c r="AB394" s="4">
        <v>60</v>
      </c>
      <c r="AC394" s="4" t="s">
        <v>49</v>
      </c>
      <c r="AD394" s="4">
        <v>0</v>
      </c>
      <c r="AE394" s="4" t="s">
        <v>49</v>
      </c>
      <c r="AF394" s="4">
        <v>0</v>
      </c>
      <c r="AG394" s="4" t="s">
        <v>774</v>
      </c>
      <c r="AH394" s="4" t="s">
        <v>773</v>
      </c>
      <c r="AI394" s="4" t="s">
        <v>64</v>
      </c>
      <c r="AJ394" s="13">
        <v>10</v>
      </c>
      <c r="AK394" s="13">
        <v>20</v>
      </c>
      <c r="AP394" s="13" t="s">
        <v>49</v>
      </c>
      <c r="AQ394" s="13" t="s">
        <v>49</v>
      </c>
      <c r="AR394" s="13" t="s">
        <v>49</v>
      </c>
      <c r="AS394" s="13" t="s">
        <v>50</v>
      </c>
      <c r="AT394" s="13" t="s">
        <v>992</v>
      </c>
      <c r="AU394" s="4" t="s">
        <v>1000</v>
      </c>
      <c r="AV394" s="14">
        <f>0.68/1000</f>
        <v>6.8000000000000005E-4</v>
      </c>
      <c r="AW394" s="14">
        <f>0.54/1000</f>
        <v>5.4000000000000001E-4</v>
      </c>
      <c r="AX394" s="14">
        <f>Table1347456[[#This Row],[treatment_mean]]/Table1347456[[#This Row],[control_mean]]</f>
        <v>1.2592592592592593</v>
      </c>
      <c r="AY394" s="14">
        <f>LN(Table1347456[[#This Row],[rr]])</f>
        <v>0.23052365861183235</v>
      </c>
      <c r="AZ394" s="13">
        <v>18</v>
      </c>
      <c r="BA394" s="13">
        <v>18</v>
      </c>
      <c r="BB394" s="14" t="s">
        <v>46</v>
      </c>
      <c r="BC394" s="14" t="s">
        <v>46</v>
      </c>
      <c r="BD394" s="15" t="s">
        <v>46</v>
      </c>
      <c r="BE394" s="14" t="s">
        <v>46</v>
      </c>
      <c r="BF39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94" s="17" t="s">
        <v>46</v>
      </c>
      <c r="BH394" s="13" t="s">
        <v>50</v>
      </c>
      <c r="BI394" s="13">
        <v>2.5000000000000001E-2</v>
      </c>
      <c r="BJ394" s="18">
        <f>ABS(_xlfn.NORM.S.INV(Table1347456[[#This Row],[p_value]]/2))</f>
        <v>2.2414027276049446</v>
      </c>
      <c r="BK394" s="19">
        <f>(Table1347456[[#This Row],[lnrr]]/Table1347456[[#This Row],[z_from_p]])^2</f>
        <v>1.0577699254804767E-2</v>
      </c>
      <c r="BL394" s="16">
        <f>Table1347456[[#This Row],[v_from_z_from_p]]</f>
        <v>1.0577699254804767E-2</v>
      </c>
      <c r="BM394" s="20">
        <f>SQRT(Table1347456[[#This Row],[v]])</f>
        <v>0.10284794239460879</v>
      </c>
      <c r="BN394" s="20">
        <f>Table1347456[[#This Row],[lnrr]]-(1.96*Table1347456[[#This Row],[se]])</f>
        <v>2.8941691518399121E-2</v>
      </c>
      <c r="BO394" s="20">
        <f>Table1347456[[#This Row],[lnrr]]+(1.96 * Table1347456[[#This Row],[se]])</f>
        <v>0.43210562570526556</v>
      </c>
    </row>
    <row r="395" spans="1:67">
      <c r="A395" s="13" t="s">
        <v>171</v>
      </c>
      <c r="B395" s="13" t="s">
        <v>172</v>
      </c>
      <c r="C395" s="13" t="s">
        <v>43</v>
      </c>
      <c r="D395" s="13" t="s">
        <v>174</v>
      </c>
      <c r="E395" s="13" t="s">
        <v>97</v>
      </c>
      <c r="F395" s="13" t="s">
        <v>588</v>
      </c>
      <c r="G395" s="13" t="s">
        <v>46</v>
      </c>
      <c r="H395" s="13">
        <v>24.7</v>
      </c>
      <c r="I395" s="13">
        <v>1318</v>
      </c>
      <c r="K395" s="13" t="s">
        <v>845</v>
      </c>
      <c r="L395" s="13" t="s">
        <v>846</v>
      </c>
      <c r="N395" s="13" t="s">
        <v>86</v>
      </c>
      <c r="O395" s="13" t="s">
        <v>644</v>
      </c>
      <c r="P395" s="13" t="s">
        <v>85</v>
      </c>
      <c r="Q395" s="13" t="s">
        <v>48</v>
      </c>
      <c r="R395" s="4">
        <v>3</v>
      </c>
      <c r="S395" s="13" t="s">
        <v>594</v>
      </c>
      <c r="T395" s="13">
        <v>120</v>
      </c>
      <c r="U395" s="4" t="s">
        <v>173</v>
      </c>
      <c r="V395" s="4">
        <v>350</v>
      </c>
      <c r="W395" s="4" t="s">
        <v>42</v>
      </c>
      <c r="X395" s="4">
        <v>511.3</v>
      </c>
      <c r="Y395" s="4">
        <v>12</v>
      </c>
      <c r="AA395" s="4" t="s">
        <v>50</v>
      </c>
      <c r="AB395" s="4">
        <v>90</v>
      </c>
      <c r="AC395" s="4" t="s">
        <v>49</v>
      </c>
      <c r="AD395" s="4">
        <v>0</v>
      </c>
      <c r="AE395" s="4" t="s">
        <v>49</v>
      </c>
      <c r="AF395" s="4">
        <v>0</v>
      </c>
      <c r="AG395" s="4" t="s">
        <v>774</v>
      </c>
      <c r="AH395" s="4" t="s">
        <v>773</v>
      </c>
      <c r="AI395" s="4" t="s">
        <v>64</v>
      </c>
      <c r="AJ395" s="13">
        <v>10</v>
      </c>
      <c r="AK395" s="13">
        <v>20</v>
      </c>
      <c r="AP395" s="13" t="s">
        <v>49</v>
      </c>
      <c r="AQ395" s="13" t="s">
        <v>49</v>
      </c>
      <c r="AR395" s="13" t="s">
        <v>49</v>
      </c>
      <c r="AS395" s="13" t="s">
        <v>50</v>
      </c>
      <c r="AT395" s="13" t="s">
        <v>992</v>
      </c>
      <c r="AU395" s="4" t="s">
        <v>1000</v>
      </c>
      <c r="AV395" s="14">
        <f>0.56/1000</f>
        <v>5.6000000000000006E-4</v>
      </c>
      <c r="AW395" s="14">
        <f>0.54/1000</f>
        <v>5.4000000000000001E-4</v>
      </c>
      <c r="AX395" s="14">
        <f>Table1347456[[#This Row],[treatment_mean]]/Table1347456[[#This Row],[control_mean]]</f>
        <v>1.0370370370370372</v>
      </c>
      <c r="AY395" s="14">
        <f>LN(Table1347456[[#This Row],[rr]])</f>
        <v>3.6367644170875006E-2</v>
      </c>
      <c r="AZ395" s="13">
        <v>18</v>
      </c>
      <c r="BA395" s="13">
        <v>18</v>
      </c>
      <c r="BB395" s="14" t="s">
        <v>46</v>
      </c>
      <c r="BC395" s="14" t="s">
        <v>46</v>
      </c>
      <c r="BD395" s="15" t="s">
        <v>46</v>
      </c>
      <c r="BE395" s="14" t="s">
        <v>46</v>
      </c>
      <c r="BF39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95" s="17" t="s">
        <v>46</v>
      </c>
      <c r="BH395" s="13" t="s">
        <v>50</v>
      </c>
      <c r="BI395" s="13">
        <v>2.5000000000000001E-2</v>
      </c>
      <c r="BJ395" s="18">
        <f>ABS(_xlfn.NORM.S.INV(Table1347456[[#This Row],[p_value]]/2))</f>
        <v>2.2414027276049446</v>
      </c>
      <c r="BK395" s="19">
        <f>(Table1347456[[#This Row],[lnrr]]/Table1347456[[#This Row],[z_from_p]])^2</f>
        <v>2.6326343655612774E-4</v>
      </c>
      <c r="BL395" s="16">
        <f>Table1347456[[#This Row],[v_from_z_from_p]]</f>
        <v>2.6326343655612774E-4</v>
      </c>
      <c r="BM395" s="20">
        <f>SQRT(Table1347456[[#This Row],[v]])</f>
        <v>1.6225394804322259E-2</v>
      </c>
      <c r="BN395" s="20">
        <f>Table1347456[[#This Row],[lnrr]]-(1.96*Table1347456[[#This Row],[se]])</f>
        <v>4.5658703544033813E-3</v>
      </c>
      <c r="BO395" s="20">
        <f>Table1347456[[#This Row],[lnrr]]+(1.96 * Table1347456[[#This Row],[se]])</f>
        <v>6.8169417987346631E-2</v>
      </c>
    </row>
    <row r="396" spans="1:67">
      <c r="A396" s="13" t="s">
        <v>171</v>
      </c>
      <c r="B396" s="13" t="s">
        <v>172</v>
      </c>
      <c r="C396" s="13" t="s">
        <v>43</v>
      </c>
      <c r="D396" s="13" t="s">
        <v>96</v>
      </c>
      <c r="E396" s="13" t="s">
        <v>97</v>
      </c>
      <c r="F396" s="13" t="s">
        <v>588</v>
      </c>
      <c r="G396" s="13" t="s">
        <v>46</v>
      </c>
      <c r="H396" s="13">
        <v>25.3</v>
      </c>
      <c r="I396" s="13">
        <v>1450</v>
      </c>
      <c r="K396" s="13" t="s">
        <v>843</v>
      </c>
      <c r="L396" s="13" t="s">
        <v>844</v>
      </c>
      <c r="N396" s="13" t="s">
        <v>617</v>
      </c>
      <c r="O396" s="13" t="s">
        <v>54</v>
      </c>
      <c r="P396" s="13" t="s">
        <v>483</v>
      </c>
      <c r="Q396" s="13" t="s">
        <v>48</v>
      </c>
      <c r="R396" s="4">
        <v>3</v>
      </c>
      <c r="S396" s="13" t="s">
        <v>594</v>
      </c>
      <c r="T396" s="13">
        <v>120</v>
      </c>
      <c r="U396" s="4" t="s">
        <v>173</v>
      </c>
      <c r="V396" s="4">
        <v>350</v>
      </c>
      <c r="W396" s="4" t="s">
        <v>42</v>
      </c>
      <c r="X396" s="4">
        <v>511.3</v>
      </c>
      <c r="Y396" s="4">
        <v>3</v>
      </c>
      <c r="AA396" s="4" t="s">
        <v>49</v>
      </c>
      <c r="AB396" s="4">
        <v>0</v>
      </c>
      <c r="AC396" s="4" t="s">
        <v>49</v>
      </c>
      <c r="AD396" s="4">
        <v>0</v>
      </c>
      <c r="AE396" s="4" t="s">
        <v>49</v>
      </c>
      <c r="AF396" s="4">
        <v>0</v>
      </c>
      <c r="AG396" s="4" t="s">
        <v>774</v>
      </c>
      <c r="AH396" s="4" t="s">
        <v>772</v>
      </c>
      <c r="AI396" s="4" t="s">
        <v>52</v>
      </c>
      <c r="AJ396" s="13">
        <v>0</v>
      </c>
      <c r="AK396" s="13">
        <v>10</v>
      </c>
      <c r="AP396" s="13" t="s">
        <v>49</v>
      </c>
      <c r="AQ396" s="13" t="s">
        <v>49</v>
      </c>
      <c r="AR396" s="13" t="s">
        <v>49</v>
      </c>
      <c r="AS396" s="13" t="s">
        <v>50</v>
      </c>
      <c r="AT396" s="13" t="s">
        <v>990</v>
      </c>
      <c r="AU396" s="13" t="s">
        <v>998</v>
      </c>
      <c r="AV396" s="14">
        <f>12.82/1000</f>
        <v>1.282E-2</v>
      </c>
      <c r="AW396" s="14">
        <f>14.09/1000</f>
        <v>1.409E-2</v>
      </c>
      <c r="AX396" s="14">
        <f>Table1347456[[#This Row],[treatment_mean]]/Table1347456[[#This Row],[control_mean]]</f>
        <v>0.90986515259048972</v>
      </c>
      <c r="AY396" s="14">
        <f>LN(Table1347456[[#This Row],[rr]])</f>
        <v>-9.4458874418064859E-2</v>
      </c>
      <c r="AZ396" s="13">
        <v>18</v>
      </c>
      <c r="BA396" s="13">
        <v>18</v>
      </c>
      <c r="BB396" s="14" t="s">
        <v>46</v>
      </c>
      <c r="BC396" s="14" t="s">
        <v>46</v>
      </c>
      <c r="BD396" s="15" t="s">
        <v>46</v>
      </c>
      <c r="BE396" s="14" t="s">
        <v>46</v>
      </c>
      <c r="BF39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96" s="17" t="s">
        <v>46</v>
      </c>
      <c r="BH396" s="13" t="s">
        <v>50</v>
      </c>
      <c r="BI396" s="13">
        <v>2.5000000000000001E-2</v>
      </c>
      <c r="BJ396" s="18">
        <f>ABS(_xlfn.NORM.S.INV(Table1347456[[#This Row],[p_value]]/2))</f>
        <v>2.2414027276049446</v>
      </c>
      <c r="BK396" s="19">
        <f>(Table1347456[[#This Row],[lnrr]]/Table1347456[[#This Row],[z_from_p]])^2</f>
        <v>1.776011363246376E-3</v>
      </c>
      <c r="BL396" s="16">
        <f>Table1347456[[#This Row],[v_from_z_from_p]]</f>
        <v>1.776011363246376E-3</v>
      </c>
      <c r="BM396" s="20">
        <f>SQRT(Table1347456[[#This Row],[v]])</f>
        <v>4.214274983014725E-2</v>
      </c>
      <c r="BN396" s="20">
        <f>Table1347456[[#This Row],[lnrr]]-(1.96*Table1347456[[#This Row],[se]])</f>
        <v>-0.17705866408515347</v>
      </c>
      <c r="BO396" s="20">
        <f>Table1347456[[#This Row],[lnrr]]+(1.96 * Table1347456[[#This Row],[se]])</f>
        <v>-1.1859084750976245E-2</v>
      </c>
    </row>
    <row r="397" spans="1:67">
      <c r="A397" s="13" t="s">
        <v>171</v>
      </c>
      <c r="B397" s="13" t="s">
        <v>172</v>
      </c>
      <c r="C397" s="13" t="s">
        <v>43</v>
      </c>
      <c r="D397" s="13" t="s">
        <v>96</v>
      </c>
      <c r="E397" s="13" t="s">
        <v>97</v>
      </c>
      <c r="F397" s="13" t="s">
        <v>588</v>
      </c>
      <c r="G397" s="13" t="s">
        <v>46</v>
      </c>
      <c r="H397" s="13">
        <v>25.3</v>
      </c>
      <c r="I397" s="13">
        <v>1450</v>
      </c>
      <c r="K397" s="13" t="s">
        <v>843</v>
      </c>
      <c r="L397" s="13" t="s">
        <v>844</v>
      </c>
      <c r="N397" s="13" t="s">
        <v>617</v>
      </c>
      <c r="O397" s="13" t="s">
        <v>54</v>
      </c>
      <c r="P397" s="13" t="s">
        <v>483</v>
      </c>
      <c r="Q397" s="13" t="s">
        <v>48</v>
      </c>
      <c r="R397" s="4">
        <v>3</v>
      </c>
      <c r="S397" s="13" t="s">
        <v>594</v>
      </c>
      <c r="T397" s="13">
        <v>120</v>
      </c>
      <c r="U397" s="4" t="s">
        <v>173</v>
      </c>
      <c r="V397" s="4">
        <v>350</v>
      </c>
      <c r="W397" s="4" t="s">
        <v>42</v>
      </c>
      <c r="X397" s="4">
        <v>511.3</v>
      </c>
      <c r="Y397" s="4">
        <v>6</v>
      </c>
      <c r="AA397" s="4" t="s">
        <v>49</v>
      </c>
      <c r="AB397" s="4">
        <v>0</v>
      </c>
      <c r="AC397" s="4" t="s">
        <v>49</v>
      </c>
      <c r="AD397" s="4">
        <v>0</v>
      </c>
      <c r="AE397" s="4" t="s">
        <v>49</v>
      </c>
      <c r="AF397" s="4">
        <v>0</v>
      </c>
      <c r="AG397" s="4" t="s">
        <v>774</v>
      </c>
      <c r="AH397" s="4" t="s">
        <v>772</v>
      </c>
      <c r="AI397" s="4" t="s">
        <v>52</v>
      </c>
      <c r="AJ397" s="13">
        <v>0</v>
      </c>
      <c r="AK397" s="13">
        <v>10</v>
      </c>
      <c r="AP397" s="13" t="s">
        <v>49</v>
      </c>
      <c r="AQ397" s="13" t="s">
        <v>49</v>
      </c>
      <c r="AR397" s="13" t="s">
        <v>49</v>
      </c>
      <c r="AS397" s="13" t="s">
        <v>50</v>
      </c>
      <c r="AT397" s="13" t="s">
        <v>990</v>
      </c>
      <c r="AU397" s="13" t="s">
        <v>998</v>
      </c>
      <c r="AV397" s="14">
        <f>17.2/1000</f>
        <v>1.72E-2</v>
      </c>
      <c r="AW397" s="14">
        <f>14.09/1000</f>
        <v>1.409E-2</v>
      </c>
      <c r="AX397" s="14">
        <f>Table1347456[[#This Row],[treatment_mean]]/Table1347456[[#This Row],[control_mean]]</f>
        <v>1.2207239176721079</v>
      </c>
      <c r="AY397" s="14">
        <f>LN(Table1347456[[#This Row],[rr]])</f>
        <v>0.1994440579088185</v>
      </c>
      <c r="AZ397" s="13">
        <v>18</v>
      </c>
      <c r="BA397" s="13">
        <v>18</v>
      </c>
      <c r="BB397" s="14" t="s">
        <v>46</v>
      </c>
      <c r="BC397" s="14" t="s">
        <v>46</v>
      </c>
      <c r="BD397" s="15" t="s">
        <v>46</v>
      </c>
      <c r="BE397" s="14" t="s">
        <v>46</v>
      </c>
      <c r="BF39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97" s="17" t="s">
        <v>46</v>
      </c>
      <c r="BH397" s="13" t="s">
        <v>50</v>
      </c>
      <c r="BI397" s="13">
        <v>2.5000000000000001E-2</v>
      </c>
      <c r="BJ397" s="18">
        <f>ABS(_xlfn.NORM.S.INV(Table1347456[[#This Row],[p_value]]/2))</f>
        <v>2.2414027276049446</v>
      </c>
      <c r="BK397" s="19">
        <f>(Table1347456[[#This Row],[lnrr]]/Table1347456[[#This Row],[z_from_p]])^2</f>
        <v>7.9177614205460812E-3</v>
      </c>
      <c r="BL397" s="16">
        <f>Table1347456[[#This Row],[v_from_z_from_p]]</f>
        <v>7.9177614205460812E-3</v>
      </c>
      <c r="BM397" s="20">
        <f>SQRT(Table1347456[[#This Row],[v]])</f>
        <v>8.8981803873298057E-2</v>
      </c>
      <c r="BN397" s="20">
        <f>Table1347456[[#This Row],[lnrr]]-(1.96*Table1347456[[#This Row],[se]])</f>
        <v>2.5039722317154317E-2</v>
      </c>
      <c r="BO397" s="20">
        <f>Table1347456[[#This Row],[lnrr]]+(1.96 * Table1347456[[#This Row],[se]])</f>
        <v>0.37384839350048271</v>
      </c>
    </row>
    <row r="398" spans="1:67">
      <c r="A398" s="13" t="s">
        <v>171</v>
      </c>
      <c r="B398" s="13" t="s">
        <v>172</v>
      </c>
      <c r="C398" s="13" t="s">
        <v>43</v>
      </c>
      <c r="D398" s="13" t="s">
        <v>96</v>
      </c>
      <c r="E398" s="13" t="s">
        <v>97</v>
      </c>
      <c r="F398" s="13" t="s">
        <v>588</v>
      </c>
      <c r="G398" s="13" t="s">
        <v>46</v>
      </c>
      <c r="H398" s="13">
        <v>25.3</v>
      </c>
      <c r="I398" s="13">
        <v>1450</v>
      </c>
      <c r="K398" s="13" t="s">
        <v>843</v>
      </c>
      <c r="L398" s="13" t="s">
        <v>844</v>
      </c>
      <c r="N398" s="13" t="s">
        <v>617</v>
      </c>
      <c r="O398" s="13" t="s">
        <v>54</v>
      </c>
      <c r="P398" s="13" t="s">
        <v>483</v>
      </c>
      <c r="Q398" s="13" t="s">
        <v>48</v>
      </c>
      <c r="R398" s="4">
        <v>3</v>
      </c>
      <c r="S398" s="13" t="s">
        <v>594</v>
      </c>
      <c r="T398" s="13">
        <v>120</v>
      </c>
      <c r="U398" s="4" t="s">
        <v>173</v>
      </c>
      <c r="V398" s="4">
        <v>350</v>
      </c>
      <c r="W398" s="4" t="s">
        <v>42</v>
      </c>
      <c r="X398" s="4">
        <v>511.3</v>
      </c>
      <c r="Y398" s="4">
        <v>12</v>
      </c>
      <c r="AA398" s="4" t="s">
        <v>49</v>
      </c>
      <c r="AB398" s="4">
        <v>0</v>
      </c>
      <c r="AC398" s="4" t="s">
        <v>49</v>
      </c>
      <c r="AD398" s="4">
        <v>0</v>
      </c>
      <c r="AE398" s="4" t="s">
        <v>49</v>
      </c>
      <c r="AF398" s="4">
        <v>0</v>
      </c>
      <c r="AG398" s="4" t="s">
        <v>774</v>
      </c>
      <c r="AH398" s="4" t="s">
        <v>772</v>
      </c>
      <c r="AI398" s="4" t="s">
        <v>52</v>
      </c>
      <c r="AJ398" s="13">
        <v>0</v>
      </c>
      <c r="AK398" s="13">
        <v>10</v>
      </c>
      <c r="AP398" s="13" t="s">
        <v>49</v>
      </c>
      <c r="AQ398" s="13" t="s">
        <v>49</v>
      </c>
      <c r="AR398" s="13" t="s">
        <v>49</v>
      </c>
      <c r="AS398" s="13" t="s">
        <v>50</v>
      </c>
      <c r="AT398" s="13" t="s">
        <v>990</v>
      </c>
      <c r="AU398" s="13" t="s">
        <v>998</v>
      </c>
      <c r="AV398" s="14">
        <f>21.3/1000</f>
        <v>2.1299999999999999E-2</v>
      </c>
      <c r="AW398" s="14">
        <f>14.09/1000</f>
        <v>1.409E-2</v>
      </c>
      <c r="AX398" s="14">
        <f>Table1347456[[#This Row],[treatment_mean]]/Table1347456[[#This Row],[control_mean]]</f>
        <v>1.5117104329311568</v>
      </c>
      <c r="AY398" s="14">
        <f>LN(Table1347456[[#This Row],[rr]])</f>
        <v>0.41324174680479053</v>
      </c>
      <c r="AZ398" s="13">
        <v>18</v>
      </c>
      <c r="BA398" s="13">
        <v>18</v>
      </c>
      <c r="BB398" s="14" t="s">
        <v>46</v>
      </c>
      <c r="BC398" s="14" t="s">
        <v>46</v>
      </c>
      <c r="BD398" s="15" t="s">
        <v>46</v>
      </c>
      <c r="BE398" s="14" t="s">
        <v>46</v>
      </c>
      <c r="BF39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98" s="17" t="s">
        <v>46</v>
      </c>
      <c r="BH398" s="13" t="s">
        <v>50</v>
      </c>
      <c r="BI398" s="13">
        <v>2.5000000000000001E-2</v>
      </c>
      <c r="BJ398" s="18">
        <f>ABS(_xlfn.NORM.S.INV(Table1347456[[#This Row],[p_value]]/2))</f>
        <v>2.2414027276049446</v>
      </c>
      <c r="BK398" s="19">
        <f>(Table1347456[[#This Row],[lnrr]]/Table1347456[[#This Row],[z_from_p]])^2</f>
        <v>3.3991363445585003E-2</v>
      </c>
      <c r="BL398" s="16">
        <f>Table1347456[[#This Row],[v_from_z_from_p]]</f>
        <v>3.3991363445585003E-2</v>
      </c>
      <c r="BM398" s="20">
        <f>SQRT(Table1347456[[#This Row],[v]])</f>
        <v>0.18436746851216732</v>
      </c>
      <c r="BN398" s="20">
        <f>Table1347456[[#This Row],[lnrr]]-(1.96*Table1347456[[#This Row],[se]])</f>
        <v>5.1881508520942587E-2</v>
      </c>
      <c r="BO398" s="20">
        <f>Table1347456[[#This Row],[lnrr]]+(1.96 * Table1347456[[#This Row],[se]])</f>
        <v>0.77460198508863853</v>
      </c>
    </row>
    <row r="399" spans="1:67">
      <c r="A399" s="13" t="s">
        <v>171</v>
      </c>
      <c r="B399" s="13" t="s">
        <v>172</v>
      </c>
      <c r="C399" s="13" t="s">
        <v>43</v>
      </c>
      <c r="D399" s="13" t="s">
        <v>96</v>
      </c>
      <c r="E399" s="13" t="s">
        <v>97</v>
      </c>
      <c r="F399" s="13" t="s">
        <v>588</v>
      </c>
      <c r="G399" s="13" t="s">
        <v>46</v>
      </c>
      <c r="H399" s="13">
        <v>25.3</v>
      </c>
      <c r="I399" s="13">
        <v>1450</v>
      </c>
      <c r="K399" s="13" t="s">
        <v>843</v>
      </c>
      <c r="L399" s="13" t="s">
        <v>844</v>
      </c>
      <c r="N399" s="13" t="s">
        <v>617</v>
      </c>
      <c r="O399" s="13" t="s">
        <v>54</v>
      </c>
      <c r="P399" s="13" t="s">
        <v>483</v>
      </c>
      <c r="Q399" s="13" t="s">
        <v>48</v>
      </c>
      <c r="R399" s="4">
        <v>3</v>
      </c>
      <c r="S399" s="13" t="s">
        <v>594</v>
      </c>
      <c r="T399" s="13">
        <v>120</v>
      </c>
      <c r="U399" s="4" t="s">
        <v>173</v>
      </c>
      <c r="V399" s="4">
        <v>350</v>
      </c>
      <c r="W399" s="4" t="s">
        <v>42</v>
      </c>
      <c r="X399" s="4">
        <v>511.3</v>
      </c>
      <c r="Y399" s="4">
        <v>3</v>
      </c>
      <c r="AA399" s="4" t="s">
        <v>50</v>
      </c>
      <c r="AB399" s="4">
        <v>30</v>
      </c>
      <c r="AC399" s="4" t="s">
        <v>49</v>
      </c>
      <c r="AD399" s="4">
        <v>0</v>
      </c>
      <c r="AE399" s="4" t="s">
        <v>49</v>
      </c>
      <c r="AF399" s="4">
        <v>0</v>
      </c>
      <c r="AG399" s="4" t="s">
        <v>774</v>
      </c>
      <c r="AH399" s="4" t="s">
        <v>772</v>
      </c>
      <c r="AI399" s="4" t="s">
        <v>52</v>
      </c>
      <c r="AJ399" s="13">
        <v>0</v>
      </c>
      <c r="AK399" s="13">
        <v>10</v>
      </c>
      <c r="AP399" s="13" t="s">
        <v>49</v>
      </c>
      <c r="AQ399" s="13" t="s">
        <v>49</v>
      </c>
      <c r="AR399" s="13" t="s">
        <v>49</v>
      </c>
      <c r="AS399" s="13" t="s">
        <v>50</v>
      </c>
      <c r="AT399" s="13" t="s">
        <v>992</v>
      </c>
      <c r="AU399" s="4" t="s">
        <v>1000</v>
      </c>
      <c r="AV399" s="14">
        <f>17.41/1000</f>
        <v>1.7410000000000002E-2</v>
      </c>
      <c r="AW399" s="14">
        <f>17.1/1000</f>
        <v>1.7100000000000001E-2</v>
      </c>
      <c r="AX399" s="14">
        <f>Table1347456[[#This Row],[treatment_mean]]/Table1347456[[#This Row],[control_mean]]</f>
        <v>1.0181286549707602</v>
      </c>
      <c r="AY399" s="14">
        <f>LN(Table1347456[[#This Row],[rr]])</f>
        <v>1.7966290271483498E-2</v>
      </c>
      <c r="AZ399" s="13">
        <v>18</v>
      </c>
      <c r="BA399" s="13">
        <v>18</v>
      </c>
      <c r="BB399" s="14" t="s">
        <v>46</v>
      </c>
      <c r="BC399" s="14" t="s">
        <v>46</v>
      </c>
      <c r="BD399" s="15" t="s">
        <v>46</v>
      </c>
      <c r="BE399" s="14" t="s">
        <v>46</v>
      </c>
      <c r="BF39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399" s="17" t="s">
        <v>46</v>
      </c>
      <c r="BH399" s="13" t="s">
        <v>50</v>
      </c>
      <c r="BI399" s="13">
        <v>2.5000000000000001E-2</v>
      </c>
      <c r="BJ399" s="18">
        <f>ABS(_xlfn.NORM.S.INV(Table1347456[[#This Row],[p_value]]/2))</f>
        <v>2.2414027276049446</v>
      </c>
      <c r="BK399" s="19">
        <f>(Table1347456[[#This Row],[lnrr]]/Table1347456[[#This Row],[z_from_p]])^2</f>
        <v>6.4250576960566593E-5</v>
      </c>
      <c r="BL399" s="16">
        <f>Table1347456[[#This Row],[v_from_z_from_p]]</f>
        <v>6.4250576960566593E-5</v>
      </c>
      <c r="BM399" s="20">
        <f>SQRT(Table1347456[[#This Row],[v]])</f>
        <v>8.0156457606712257E-3</v>
      </c>
      <c r="BN399" s="20">
        <f>Table1347456[[#This Row],[lnrr]]-(1.96*Table1347456[[#This Row],[se]])</f>
        <v>2.2556245805678971E-3</v>
      </c>
      <c r="BO399" s="20">
        <f>Table1347456[[#This Row],[lnrr]]+(1.96 * Table1347456[[#This Row],[se]])</f>
        <v>3.3676955962399099E-2</v>
      </c>
    </row>
    <row r="400" spans="1:67">
      <c r="A400" s="13" t="s">
        <v>171</v>
      </c>
      <c r="B400" s="13" t="s">
        <v>172</v>
      </c>
      <c r="C400" s="13" t="s">
        <v>43</v>
      </c>
      <c r="D400" s="13" t="s">
        <v>96</v>
      </c>
      <c r="E400" s="13" t="s">
        <v>97</v>
      </c>
      <c r="F400" s="13" t="s">
        <v>588</v>
      </c>
      <c r="G400" s="13" t="s">
        <v>46</v>
      </c>
      <c r="H400" s="13">
        <v>25.3</v>
      </c>
      <c r="I400" s="13">
        <v>1450</v>
      </c>
      <c r="K400" s="13" t="s">
        <v>843</v>
      </c>
      <c r="L400" s="13" t="s">
        <v>844</v>
      </c>
      <c r="N400" s="13" t="s">
        <v>617</v>
      </c>
      <c r="O400" s="13" t="s">
        <v>54</v>
      </c>
      <c r="P400" s="13" t="s">
        <v>483</v>
      </c>
      <c r="Q400" s="13" t="s">
        <v>48</v>
      </c>
      <c r="R400" s="4">
        <v>3</v>
      </c>
      <c r="S400" s="13" t="s">
        <v>594</v>
      </c>
      <c r="T400" s="13">
        <v>120</v>
      </c>
      <c r="U400" s="4" t="s">
        <v>173</v>
      </c>
      <c r="V400" s="4">
        <v>350</v>
      </c>
      <c r="W400" s="4" t="s">
        <v>42</v>
      </c>
      <c r="X400" s="4">
        <v>511.3</v>
      </c>
      <c r="Y400" s="4">
        <v>6</v>
      </c>
      <c r="AA400" s="4" t="s">
        <v>50</v>
      </c>
      <c r="AB400" s="4">
        <v>60</v>
      </c>
      <c r="AC400" s="4" t="s">
        <v>49</v>
      </c>
      <c r="AD400" s="4">
        <v>0</v>
      </c>
      <c r="AE400" s="4" t="s">
        <v>49</v>
      </c>
      <c r="AF400" s="4">
        <v>0</v>
      </c>
      <c r="AG400" s="4" t="s">
        <v>774</v>
      </c>
      <c r="AH400" s="4" t="s">
        <v>772</v>
      </c>
      <c r="AI400" s="4" t="s">
        <v>52</v>
      </c>
      <c r="AJ400" s="13">
        <v>0</v>
      </c>
      <c r="AK400" s="13">
        <v>10</v>
      </c>
      <c r="AP400" s="13" t="s">
        <v>49</v>
      </c>
      <c r="AQ400" s="13" t="s">
        <v>49</v>
      </c>
      <c r="AR400" s="13" t="s">
        <v>49</v>
      </c>
      <c r="AS400" s="13" t="s">
        <v>50</v>
      </c>
      <c r="AT400" s="13" t="s">
        <v>992</v>
      </c>
      <c r="AU400" s="4" t="s">
        <v>1000</v>
      </c>
      <c r="AV400" s="14">
        <f>17.57/1000</f>
        <v>1.7569999999999999E-2</v>
      </c>
      <c r="AW400" s="14">
        <f>17.1/1000</f>
        <v>1.7100000000000001E-2</v>
      </c>
      <c r="AX400" s="14">
        <f>Table1347456[[#This Row],[treatment_mean]]/Table1347456[[#This Row],[control_mean]]</f>
        <v>1.027485380116959</v>
      </c>
      <c r="AY400" s="14">
        <f>LN(Table1347456[[#This Row],[rr]])</f>
        <v>2.7114438690391603E-2</v>
      </c>
      <c r="AZ400" s="13">
        <v>18</v>
      </c>
      <c r="BA400" s="13">
        <v>18</v>
      </c>
      <c r="BB400" s="14" t="s">
        <v>46</v>
      </c>
      <c r="BC400" s="14" t="s">
        <v>46</v>
      </c>
      <c r="BD400" s="15" t="s">
        <v>46</v>
      </c>
      <c r="BE400" s="14" t="s">
        <v>46</v>
      </c>
      <c r="BF40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00" s="17" t="s">
        <v>46</v>
      </c>
      <c r="BH400" s="13" t="s">
        <v>50</v>
      </c>
      <c r="BI400" s="13">
        <v>2.5000000000000001E-2</v>
      </c>
      <c r="BJ400" s="18">
        <f>ABS(_xlfn.NORM.S.INV(Table1347456[[#This Row],[p_value]]/2))</f>
        <v>2.2414027276049446</v>
      </c>
      <c r="BK400" s="19">
        <f>(Table1347456[[#This Row],[lnrr]]/Table1347456[[#This Row],[z_from_p]])^2</f>
        <v>1.4633945875432803E-4</v>
      </c>
      <c r="BL400" s="16">
        <f>Table1347456[[#This Row],[v_from_z_from_p]]</f>
        <v>1.4633945875432803E-4</v>
      </c>
      <c r="BM400" s="20">
        <f>SQRT(Table1347456[[#This Row],[v]])</f>
        <v>1.2097084721300749E-2</v>
      </c>
      <c r="BN400" s="20">
        <f>Table1347456[[#This Row],[lnrr]]-(1.96*Table1347456[[#This Row],[se]])</f>
        <v>3.4041526366421354E-3</v>
      </c>
      <c r="BO400" s="20">
        <f>Table1347456[[#This Row],[lnrr]]+(1.96 * Table1347456[[#This Row],[se]])</f>
        <v>5.082472474414107E-2</v>
      </c>
    </row>
    <row r="401" spans="1:67">
      <c r="A401" s="13" t="s">
        <v>171</v>
      </c>
      <c r="B401" s="13" t="s">
        <v>172</v>
      </c>
      <c r="C401" s="13" t="s">
        <v>43</v>
      </c>
      <c r="D401" s="13" t="s">
        <v>96</v>
      </c>
      <c r="E401" s="13" t="s">
        <v>97</v>
      </c>
      <c r="F401" s="13" t="s">
        <v>588</v>
      </c>
      <c r="G401" s="13" t="s">
        <v>46</v>
      </c>
      <c r="H401" s="13">
        <v>25.3</v>
      </c>
      <c r="I401" s="13">
        <v>1450</v>
      </c>
      <c r="K401" s="13" t="s">
        <v>843</v>
      </c>
      <c r="L401" s="13" t="s">
        <v>844</v>
      </c>
      <c r="N401" s="13" t="s">
        <v>617</v>
      </c>
      <c r="O401" s="13" t="s">
        <v>54</v>
      </c>
      <c r="P401" s="13" t="s">
        <v>483</v>
      </c>
      <c r="Q401" s="13" t="s">
        <v>48</v>
      </c>
      <c r="R401" s="4">
        <v>3</v>
      </c>
      <c r="S401" s="13" t="s">
        <v>594</v>
      </c>
      <c r="T401" s="13">
        <v>120</v>
      </c>
      <c r="U401" s="4" t="s">
        <v>173</v>
      </c>
      <c r="V401" s="4">
        <v>350</v>
      </c>
      <c r="W401" s="4" t="s">
        <v>42</v>
      </c>
      <c r="X401" s="4">
        <v>511.3</v>
      </c>
      <c r="Y401" s="4">
        <v>12</v>
      </c>
      <c r="AA401" s="4" t="s">
        <v>50</v>
      </c>
      <c r="AB401" s="4">
        <v>90</v>
      </c>
      <c r="AC401" s="4" t="s">
        <v>49</v>
      </c>
      <c r="AD401" s="4">
        <v>0</v>
      </c>
      <c r="AE401" s="4" t="s">
        <v>49</v>
      </c>
      <c r="AF401" s="4">
        <v>0</v>
      </c>
      <c r="AG401" s="4" t="s">
        <v>774</v>
      </c>
      <c r="AH401" s="4" t="s">
        <v>772</v>
      </c>
      <c r="AI401" s="4" t="s">
        <v>52</v>
      </c>
      <c r="AJ401" s="13">
        <v>0</v>
      </c>
      <c r="AK401" s="13">
        <v>10</v>
      </c>
      <c r="AP401" s="13" t="s">
        <v>49</v>
      </c>
      <c r="AQ401" s="13" t="s">
        <v>49</v>
      </c>
      <c r="AR401" s="13" t="s">
        <v>49</v>
      </c>
      <c r="AS401" s="13" t="s">
        <v>50</v>
      </c>
      <c r="AT401" s="13" t="s">
        <v>992</v>
      </c>
      <c r="AU401" s="4" t="s">
        <v>1000</v>
      </c>
      <c r="AV401" s="14">
        <f>13.32/1000</f>
        <v>1.332E-2</v>
      </c>
      <c r="AW401" s="14">
        <f>17.1/1000</f>
        <v>1.7100000000000001E-2</v>
      </c>
      <c r="AX401" s="14">
        <f>Table1347456[[#This Row],[treatment_mean]]/Table1347456[[#This Row],[control_mean]]</f>
        <v>0.77894736842105261</v>
      </c>
      <c r="AY401" s="14">
        <f>LN(Table1347456[[#This Row],[rr]])</f>
        <v>-0.2498117983963711</v>
      </c>
      <c r="AZ401" s="13">
        <v>18</v>
      </c>
      <c r="BA401" s="13">
        <v>18</v>
      </c>
      <c r="BB401" s="14" t="s">
        <v>46</v>
      </c>
      <c r="BC401" s="14" t="s">
        <v>46</v>
      </c>
      <c r="BD401" s="15" t="s">
        <v>46</v>
      </c>
      <c r="BE401" s="14" t="s">
        <v>46</v>
      </c>
      <c r="BF40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01" s="17" t="s">
        <v>46</v>
      </c>
      <c r="BH401" s="13" t="s">
        <v>50</v>
      </c>
      <c r="BI401" s="13">
        <v>2.5000000000000001E-2</v>
      </c>
      <c r="BJ401" s="18">
        <f>ABS(_xlfn.NORM.S.INV(Table1347456[[#This Row],[p_value]]/2))</f>
        <v>2.2414027276049446</v>
      </c>
      <c r="BK401" s="19">
        <f>(Table1347456[[#This Row],[lnrr]]/Table1347456[[#This Row],[z_from_p]])^2</f>
        <v>1.2421844821166865E-2</v>
      </c>
      <c r="BL401" s="16">
        <f>Table1347456[[#This Row],[v_from_z_from_p]]</f>
        <v>1.2421844821166865E-2</v>
      </c>
      <c r="BM401" s="20">
        <f>SQRT(Table1347456[[#This Row],[v]])</f>
        <v>0.11145333023811745</v>
      </c>
      <c r="BN401" s="20">
        <f>Table1347456[[#This Row],[lnrr]]-(1.96*Table1347456[[#This Row],[se]])</f>
        <v>-0.46826032566308129</v>
      </c>
      <c r="BO401" s="20">
        <f>Table1347456[[#This Row],[lnrr]]+(1.96 * Table1347456[[#This Row],[se]])</f>
        <v>-3.1363271129660919E-2</v>
      </c>
    </row>
    <row r="402" spans="1:67">
      <c r="A402" s="13" t="s">
        <v>171</v>
      </c>
      <c r="B402" s="13" t="s">
        <v>172</v>
      </c>
      <c r="C402" s="13" t="s">
        <v>43</v>
      </c>
      <c r="D402" s="13" t="s">
        <v>96</v>
      </c>
      <c r="E402" s="13" t="s">
        <v>97</v>
      </c>
      <c r="F402" s="13" t="s">
        <v>588</v>
      </c>
      <c r="G402" s="13" t="s">
        <v>46</v>
      </c>
      <c r="H402" s="13">
        <v>25.3</v>
      </c>
      <c r="I402" s="13">
        <v>1450</v>
      </c>
      <c r="K402" s="13" t="s">
        <v>843</v>
      </c>
      <c r="L402" s="13" t="s">
        <v>844</v>
      </c>
      <c r="N402" s="13" t="s">
        <v>617</v>
      </c>
      <c r="O402" s="13" t="s">
        <v>54</v>
      </c>
      <c r="P402" s="13" t="s">
        <v>483</v>
      </c>
      <c r="Q402" s="13" t="s">
        <v>48</v>
      </c>
      <c r="R402" s="4">
        <v>3</v>
      </c>
      <c r="S402" s="13" t="s">
        <v>594</v>
      </c>
      <c r="T402" s="13">
        <v>120</v>
      </c>
      <c r="U402" s="4" t="s">
        <v>173</v>
      </c>
      <c r="V402" s="4">
        <v>350</v>
      </c>
      <c r="W402" s="4" t="s">
        <v>42</v>
      </c>
      <c r="X402" s="4">
        <v>511.3</v>
      </c>
      <c r="Y402" s="4">
        <v>3</v>
      </c>
      <c r="AA402" s="4" t="s">
        <v>49</v>
      </c>
      <c r="AB402" s="4">
        <v>0</v>
      </c>
      <c r="AC402" s="4" t="s">
        <v>49</v>
      </c>
      <c r="AD402" s="4">
        <v>0</v>
      </c>
      <c r="AE402" s="4" t="s">
        <v>49</v>
      </c>
      <c r="AF402" s="4">
        <v>0</v>
      </c>
      <c r="AG402" s="4" t="s">
        <v>774</v>
      </c>
      <c r="AH402" s="4" t="s">
        <v>772</v>
      </c>
      <c r="AI402" s="4" t="s">
        <v>52</v>
      </c>
      <c r="AJ402" s="13">
        <v>10</v>
      </c>
      <c r="AK402" s="13">
        <v>20</v>
      </c>
      <c r="AP402" s="13" t="s">
        <v>49</v>
      </c>
      <c r="AQ402" s="13" t="s">
        <v>49</v>
      </c>
      <c r="AR402" s="13" t="s">
        <v>49</v>
      </c>
      <c r="AS402" s="13" t="s">
        <v>50</v>
      </c>
      <c r="AT402" s="13" t="s">
        <v>990</v>
      </c>
      <c r="AU402" s="13" t="s">
        <v>998</v>
      </c>
      <c r="AV402" s="14">
        <f>11.12/1000</f>
        <v>1.112E-2</v>
      </c>
      <c r="AW402" s="14">
        <f>12.41/1000</f>
        <v>1.2410000000000001E-2</v>
      </c>
      <c r="AX402" s="14">
        <f>Table1347456[[#This Row],[treatment_mean]]/Table1347456[[#This Row],[control_mean]]</f>
        <v>0.89605157131345681</v>
      </c>
      <c r="AY402" s="14">
        <f>LN(Table1347456[[#This Row],[rr]])</f>
        <v>-0.10975731039407961</v>
      </c>
      <c r="AZ402" s="13">
        <v>18</v>
      </c>
      <c r="BA402" s="13">
        <v>18</v>
      </c>
      <c r="BB402" s="14" t="s">
        <v>46</v>
      </c>
      <c r="BC402" s="14" t="s">
        <v>46</v>
      </c>
      <c r="BD402" s="15" t="s">
        <v>46</v>
      </c>
      <c r="BE402" s="14" t="s">
        <v>46</v>
      </c>
      <c r="BF40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02" s="17" t="s">
        <v>46</v>
      </c>
      <c r="BH402" s="13" t="s">
        <v>50</v>
      </c>
      <c r="BI402" s="13">
        <v>2.5000000000000001E-2</v>
      </c>
      <c r="BJ402" s="18">
        <f>ABS(_xlfn.NORM.S.INV(Table1347456[[#This Row],[p_value]]/2))</f>
        <v>2.2414027276049446</v>
      </c>
      <c r="BK402" s="19">
        <f>(Table1347456[[#This Row],[lnrr]]/Table1347456[[#This Row],[z_from_p]])^2</f>
        <v>2.3978782034035119E-3</v>
      </c>
      <c r="BL402" s="16">
        <f>Table1347456[[#This Row],[v_from_z_from_p]]</f>
        <v>2.3978782034035119E-3</v>
      </c>
      <c r="BM402" s="20">
        <f>SQRT(Table1347456[[#This Row],[v]])</f>
        <v>4.8968134571407883E-2</v>
      </c>
      <c r="BN402" s="20">
        <f>Table1347456[[#This Row],[lnrr]]-(1.96*Table1347456[[#This Row],[se]])</f>
        <v>-0.20573485415403908</v>
      </c>
      <c r="BO402" s="20">
        <f>Table1347456[[#This Row],[lnrr]]+(1.96 * Table1347456[[#This Row],[se]])</f>
        <v>-1.3779766634120158E-2</v>
      </c>
    </row>
    <row r="403" spans="1:67">
      <c r="A403" s="13" t="s">
        <v>171</v>
      </c>
      <c r="B403" s="13" t="s">
        <v>172</v>
      </c>
      <c r="C403" s="13" t="s">
        <v>43</v>
      </c>
      <c r="D403" s="13" t="s">
        <v>96</v>
      </c>
      <c r="E403" s="13" t="s">
        <v>97</v>
      </c>
      <c r="F403" s="13" t="s">
        <v>588</v>
      </c>
      <c r="G403" s="13" t="s">
        <v>46</v>
      </c>
      <c r="H403" s="13">
        <v>25.3</v>
      </c>
      <c r="I403" s="13">
        <v>1450</v>
      </c>
      <c r="K403" s="13" t="s">
        <v>843</v>
      </c>
      <c r="L403" s="13" t="s">
        <v>844</v>
      </c>
      <c r="N403" s="13" t="s">
        <v>617</v>
      </c>
      <c r="O403" s="13" t="s">
        <v>54</v>
      </c>
      <c r="P403" s="13" t="s">
        <v>483</v>
      </c>
      <c r="Q403" s="13" t="s">
        <v>48</v>
      </c>
      <c r="R403" s="4">
        <v>3</v>
      </c>
      <c r="S403" s="13" t="s">
        <v>594</v>
      </c>
      <c r="T403" s="13">
        <v>120</v>
      </c>
      <c r="U403" s="4" t="s">
        <v>173</v>
      </c>
      <c r="V403" s="4">
        <v>350</v>
      </c>
      <c r="W403" s="4" t="s">
        <v>42</v>
      </c>
      <c r="X403" s="4">
        <v>511.3</v>
      </c>
      <c r="Y403" s="4">
        <v>6</v>
      </c>
      <c r="AA403" s="4" t="s">
        <v>49</v>
      </c>
      <c r="AB403" s="4">
        <v>0</v>
      </c>
      <c r="AC403" s="4" t="s">
        <v>49</v>
      </c>
      <c r="AD403" s="4">
        <v>0</v>
      </c>
      <c r="AE403" s="4" t="s">
        <v>49</v>
      </c>
      <c r="AF403" s="4">
        <v>0</v>
      </c>
      <c r="AG403" s="4" t="s">
        <v>774</v>
      </c>
      <c r="AH403" s="4" t="s">
        <v>772</v>
      </c>
      <c r="AI403" s="4" t="s">
        <v>52</v>
      </c>
      <c r="AJ403" s="13">
        <v>10</v>
      </c>
      <c r="AK403" s="13">
        <v>20</v>
      </c>
      <c r="AP403" s="13" t="s">
        <v>49</v>
      </c>
      <c r="AQ403" s="13" t="s">
        <v>49</v>
      </c>
      <c r="AR403" s="13" t="s">
        <v>49</v>
      </c>
      <c r="AS403" s="13" t="s">
        <v>50</v>
      </c>
      <c r="AT403" s="13" t="s">
        <v>990</v>
      </c>
      <c r="AU403" s="13" t="s">
        <v>998</v>
      </c>
      <c r="AV403" s="14">
        <f>6.09/1000</f>
        <v>6.0899999999999999E-3</v>
      </c>
      <c r="AW403" s="14">
        <f>12.41/1000</f>
        <v>1.2410000000000001E-2</v>
      </c>
      <c r="AX403" s="14">
        <f>Table1347456[[#This Row],[treatment_mean]]/Table1347456[[#This Row],[control_mean]]</f>
        <v>0.49073327961321511</v>
      </c>
      <c r="AY403" s="14">
        <f>LN(Table1347456[[#This Row],[rr]])</f>
        <v>-0.71185451749471029</v>
      </c>
      <c r="AZ403" s="13">
        <v>18</v>
      </c>
      <c r="BA403" s="13">
        <v>18</v>
      </c>
      <c r="BB403" s="14" t="s">
        <v>46</v>
      </c>
      <c r="BC403" s="14" t="s">
        <v>46</v>
      </c>
      <c r="BD403" s="15" t="s">
        <v>46</v>
      </c>
      <c r="BE403" s="14" t="s">
        <v>46</v>
      </c>
      <c r="BF40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03" s="17" t="s">
        <v>46</v>
      </c>
      <c r="BH403" s="13" t="s">
        <v>50</v>
      </c>
      <c r="BI403" s="13">
        <v>2.5000000000000001E-2</v>
      </c>
      <c r="BJ403" s="18">
        <f>ABS(_xlfn.NORM.S.INV(Table1347456[[#This Row],[p_value]]/2))</f>
        <v>2.2414027276049446</v>
      </c>
      <c r="BK403" s="19">
        <f>(Table1347456[[#This Row],[lnrr]]/Table1347456[[#This Row],[z_from_p]])^2</f>
        <v>0.10086551231138903</v>
      </c>
      <c r="BL403" s="16">
        <f>Table1347456[[#This Row],[v_from_z_from_p]]</f>
        <v>0.10086551231138903</v>
      </c>
      <c r="BM403" s="20">
        <f>SQRT(Table1347456[[#This Row],[v]])</f>
        <v>0.31759331276238961</v>
      </c>
      <c r="BN403" s="20">
        <f>Table1347456[[#This Row],[lnrr]]-(1.96*Table1347456[[#This Row],[se]])</f>
        <v>-1.334337410508994</v>
      </c>
      <c r="BO403" s="20">
        <f>Table1347456[[#This Row],[lnrr]]+(1.96 * Table1347456[[#This Row],[se]])</f>
        <v>-8.9371624480426681E-2</v>
      </c>
    </row>
    <row r="404" spans="1:67">
      <c r="A404" s="13" t="s">
        <v>171</v>
      </c>
      <c r="B404" s="13" t="s">
        <v>172</v>
      </c>
      <c r="C404" s="13" t="s">
        <v>43</v>
      </c>
      <c r="D404" s="13" t="s">
        <v>96</v>
      </c>
      <c r="E404" s="13" t="s">
        <v>97</v>
      </c>
      <c r="F404" s="13" t="s">
        <v>588</v>
      </c>
      <c r="G404" s="13" t="s">
        <v>46</v>
      </c>
      <c r="H404" s="13">
        <v>25.3</v>
      </c>
      <c r="I404" s="13">
        <v>1450</v>
      </c>
      <c r="K404" s="13" t="s">
        <v>843</v>
      </c>
      <c r="L404" s="13" t="s">
        <v>844</v>
      </c>
      <c r="N404" s="13" t="s">
        <v>617</v>
      </c>
      <c r="O404" s="13" t="s">
        <v>54</v>
      </c>
      <c r="P404" s="13" t="s">
        <v>483</v>
      </c>
      <c r="Q404" s="13" t="s">
        <v>48</v>
      </c>
      <c r="R404" s="4">
        <v>3</v>
      </c>
      <c r="S404" s="13" t="s">
        <v>594</v>
      </c>
      <c r="T404" s="13">
        <v>120</v>
      </c>
      <c r="U404" s="4" t="s">
        <v>173</v>
      </c>
      <c r="V404" s="4">
        <v>350</v>
      </c>
      <c r="W404" s="4" t="s">
        <v>42</v>
      </c>
      <c r="X404" s="4">
        <v>511.3</v>
      </c>
      <c r="Y404" s="4">
        <v>12</v>
      </c>
      <c r="AA404" s="4" t="s">
        <v>49</v>
      </c>
      <c r="AB404" s="4">
        <v>0</v>
      </c>
      <c r="AC404" s="4" t="s">
        <v>49</v>
      </c>
      <c r="AD404" s="4">
        <v>0</v>
      </c>
      <c r="AE404" s="4" t="s">
        <v>49</v>
      </c>
      <c r="AF404" s="4">
        <v>0</v>
      </c>
      <c r="AG404" s="4" t="s">
        <v>774</v>
      </c>
      <c r="AH404" s="4" t="s">
        <v>772</v>
      </c>
      <c r="AI404" s="4" t="s">
        <v>52</v>
      </c>
      <c r="AJ404" s="13">
        <v>10</v>
      </c>
      <c r="AK404" s="13">
        <v>20</v>
      </c>
      <c r="AP404" s="13" t="s">
        <v>49</v>
      </c>
      <c r="AQ404" s="13" t="s">
        <v>49</v>
      </c>
      <c r="AR404" s="13" t="s">
        <v>49</v>
      </c>
      <c r="AS404" s="13" t="s">
        <v>50</v>
      </c>
      <c r="AT404" s="13" t="s">
        <v>990</v>
      </c>
      <c r="AU404" s="13" t="s">
        <v>998</v>
      </c>
      <c r="AV404" s="14">
        <f>7.38/1000</f>
        <v>7.3800000000000003E-3</v>
      </c>
      <c r="AW404" s="14">
        <f>12.41/1000</f>
        <v>1.2410000000000001E-2</v>
      </c>
      <c r="AX404" s="14">
        <f>Table1347456[[#This Row],[treatment_mean]]/Table1347456[[#This Row],[control_mean]]</f>
        <v>0.59468170829975819</v>
      </c>
      <c r="AY404" s="14">
        <f>LN(Table1347456[[#This Row],[rr]])</f>
        <v>-0.51972896060413487</v>
      </c>
      <c r="AZ404" s="13">
        <v>18</v>
      </c>
      <c r="BA404" s="13">
        <v>18</v>
      </c>
      <c r="BB404" s="14" t="s">
        <v>46</v>
      </c>
      <c r="BC404" s="14" t="s">
        <v>46</v>
      </c>
      <c r="BD404" s="15" t="s">
        <v>46</v>
      </c>
      <c r="BE404" s="14" t="s">
        <v>46</v>
      </c>
      <c r="BF40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04" s="17" t="s">
        <v>46</v>
      </c>
      <c r="BH404" s="13" t="s">
        <v>50</v>
      </c>
      <c r="BI404" s="13">
        <v>2.5000000000000001E-2</v>
      </c>
      <c r="BJ404" s="18">
        <f>ABS(_xlfn.NORM.S.INV(Table1347456[[#This Row],[p_value]]/2))</f>
        <v>2.2414027276049446</v>
      </c>
      <c r="BK404" s="19">
        <f>(Table1347456[[#This Row],[lnrr]]/Table1347456[[#This Row],[z_from_p]])^2</f>
        <v>5.3766781813786343E-2</v>
      </c>
      <c r="BL404" s="16">
        <f>Table1347456[[#This Row],[v_from_z_from_p]]</f>
        <v>5.3766781813786343E-2</v>
      </c>
      <c r="BM404" s="20">
        <f>SQRT(Table1347456[[#This Row],[v]])</f>
        <v>0.23187665215322206</v>
      </c>
      <c r="BN404" s="20">
        <f>Table1347456[[#This Row],[lnrr]]-(1.96*Table1347456[[#This Row],[se]])</f>
        <v>-0.97420719882445006</v>
      </c>
      <c r="BO404" s="20">
        <f>Table1347456[[#This Row],[lnrr]]+(1.96 * Table1347456[[#This Row],[se]])</f>
        <v>-6.5250722383819626E-2</v>
      </c>
    </row>
    <row r="405" spans="1:67">
      <c r="A405" s="13" t="s">
        <v>171</v>
      </c>
      <c r="B405" s="13" t="s">
        <v>172</v>
      </c>
      <c r="C405" s="13" t="s">
        <v>43</v>
      </c>
      <c r="D405" s="13" t="s">
        <v>96</v>
      </c>
      <c r="E405" s="13" t="s">
        <v>97</v>
      </c>
      <c r="F405" s="13" t="s">
        <v>588</v>
      </c>
      <c r="G405" s="13" t="s">
        <v>46</v>
      </c>
      <c r="H405" s="13">
        <v>25.3</v>
      </c>
      <c r="I405" s="13">
        <v>1450</v>
      </c>
      <c r="K405" s="13" t="s">
        <v>843</v>
      </c>
      <c r="L405" s="13" t="s">
        <v>844</v>
      </c>
      <c r="N405" s="13" t="s">
        <v>617</v>
      </c>
      <c r="O405" s="13" t="s">
        <v>54</v>
      </c>
      <c r="P405" s="13" t="s">
        <v>483</v>
      </c>
      <c r="Q405" s="13" t="s">
        <v>48</v>
      </c>
      <c r="R405" s="4">
        <v>3</v>
      </c>
      <c r="S405" s="13" t="s">
        <v>594</v>
      </c>
      <c r="T405" s="13">
        <v>120</v>
      </c>
      <c r="U405" s="4" t="s">
        <v>173</v>
      </c>
      <c r="V405" s="4">
        <v>350</v>
      </c>
      <c r="W405" s="4" t="s">
        <v>42</v>
      </c>
      <c r="X405" s="4">
        <v>511.3</v>
      </c>
      <c r="Y405" s="4">
        <v>3</v>
      </c>
      <c r="AA405" s="4" t="s">
        <v>50</v>
      </c>
      <c r="AB405" s="4">
        <v>30</v>
      </c>
      <c r="AC405" s="4" t="s">
        <v>49</v>
      </c>
      <c r="AD405" s="4">
        <v>0</v>
      </c>
      <c r="AE405" s="4" t="s">
        <v>49</v>
      </c>
      <c r="AF405" s="4">
        <v>0</v>
      </c>
      <c r="AG405" s="4" t="s">
        <v>774</v>
      </c>
      <c r="AH405" s="4" t="s">
        <v>772</v>
      </c>
      <c r="AI405" s="4" t="s">
        <v>52</v>
      </c>
      <c r="AJ405" s="13">
        <v>10</v>
      </c>
      <c r="AK405" s="13">
        <v>20</v>
      </c>
      <c r="AP405" s="13" t="s">
        <v>49</v>
      </c>
      <c r="AQ405" s="13" t="s">
        <v>49</v>
      </c>
      <c r="AR405" s="13" t="s">
        <v>49</v>
      </c>
      <c r="AS405" s="13" t="s">
        <v>50</v>
      </c>
      <c r="AT405" s="13" t="s">
        <v>992</v>
      </c>
      <c r="AU405" s="4" t="s">
        <v>1000</v>
      </c>
      <c r="AV405" s="14">
        <f>9.65/1000</f>
        <v>9.6500000000000006E-3</v>
      </c>
      <c r="AW405" s="14">
        <f>6.6/1000</f>
        <v>6.6E-3</v>
      </c>
      <c r="AX405" s="14">
        <f>Table1347456[[#This Row],[treatment_mean]]/Table1347456[[#This Row],[control_mean]]</f>
        <v>1.4621212121212122</v>
      </c>
      <c r="AY405" s="14">
        <f>LN(Table1347456[[#This Row],[rr]])</f>
        <v>0.37988826631851474</v>
      </c>
      <c r="AZ405" s="13">
        <v>18</v>
      </c>
      <c r="BA405" s="13">
        <v>18</v>
      </c>
      <c r="BB405" s="14" t="s">
        <v>46</v>
      </c>
      <c r="BC405" s="14" t="s">
        <v>46</v>
      </c>
      <c r="BD405" s="15" t="s">
        <v>46</v>
      </c>
      <c r="BE405" s="14" t="s">
        <v>46</v>
      </c>
      <c r="BF40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05" s="17" t="s">
        <v>46</v>
      </c>
      <c r="BH405" s="13" t="s">
        <v>50</v>
      </c>
      <c r="BI405" s="13">
        <v>2.5000000000000001E-2</v>
      </c>
      <c r="BJ405" s="18">
        <f>ABS(_xlfn.NORM.S.INV(Table1347456[[#This Row],[p_value]]/2))</f>
        <v>2.2414027276049446</v>
      </c>
      <c r="BK405" s="19">
        <f>(Table1347456[[#This Row],[lnrr]]/Table1347456[[#This Row],[z_from_p]])^2</f>
        <v>2.8725789061638522E-2</v>
      </c>
      <c r="BL405" s="16">
        <f>Table1347456[[#This Row],[v_from_z_from_p]]</f>
        <v>2.8725789061638522E-2</v>
      </c>
      <c r="BM405" s="20">
        <f>SQRT(Table1347456[[#This Row],[v]])</f>
        <v>0.1694868403789466</v>
      </c>
      <c r="BN405" s="20">
        <f>Table1347456[[#This Row],[lnrr]]-(1.96*Table1347456[[#This Row],[se]])</f>
        <v>4.7694059175779402E-2</v>
      </c>
      <c r="BO405" s="20">
        <f>Table1347456[[#This Row],[lnrr]]+(1.96 * Table1347456[[#This Row],[se]])</f>
        <v>0.71208247346125009</v>
      </c>
    </row>
    <row r="406" spans="1:67">
      <c r="A406" s="13" t="s">
        <v>171</v>
      </c>
      <c r="B406" s="13" t="s">
        <v>172</v>
      </c>
      <c r="C406" s="13" t="s">
        <v>43</v>
      </c>
      <c r="D406" s="13" t="s">
        <v>96</v>
      </c>
      <c r="E406" s="13" t="s">
        <v>97</v>
      </c>
      <c r="F406" s="13" t="s">
        <v>588</v>
      </c>
      <c r="G406" s="13" t="s">
        <v>46</v>
      </c>
      <c r="H406" s="13">
        <v>25.3</v>
      </c>
      <c r="I406" s="13">
        <v>1450</v>
      </c>
      <c r="K406" s="13" t="s">
        <v>843</v>
      </c>
      <c r="L406" s="13" t="s">
        <v>844</v>
      </c>
      <c r="N406" s="13" t="s">
        <v>617</v>
      </c>
      <c r="O406" s="13" t="s">
        <v>54</v>
      </c>
      <c r="P406" s="13" t="s">
        <v>483</v>
      </c>
      <c r="Q406" s="13" t="s">
        <v>48</v>
      </c>
      <c r="R406" s="4">
        <v>3</v>
      </c>
      <c r="S406" s="13" t="s">
        <v>594</v>
      </c>
      <c r="T406" s="13">
        <v>120</v>
      </c>
      <c r="U406" s="4" t="s">
        <v>173</v>
      </c>
      <c r="V406" s="4">
        <v>350</v>
      </c>
      <c r="W406" s="4" t="s">
        <v>42</v>
      </c>
      <c r="X406" s="4">
        <v>511.3</v>
      </c>
      <c r="Y406" s="4">
        <v>6</v>
      </c>
      <c r="AA406" s="4" t="s">
        <v>50</v>
      </c>
      <c r="AB406" s="4">
        <v>60</v>
      </c>
      <c r="AC406" s="4" t="s">
        <v>49</v>
      </c>
      <c r="AD406" s="4">
        <v>0</v>
      </c>
      <c r="AE406" s="4" t="s">
        <v>49</v>
      </c>
      <c r="AF406" s="4">
        <v>0</v>
      </c>
      <c r="AG406" s="4" t="s">
        <v>774</v>
      </c>
      <c r="AH406" s="4" t="s">
        <v>772</v>
      </c>
      <c r="AI406" s="4" t="s">
        <v>52</v>
      </c>
      <c r="AJ406" s="13">
        <v>10</v>
      </c>
      <c r="AK406" s="13">
        <v>20</v>
      </c>
      <c r="AP406" s="13" t="s">
        <v>49</v>
      </c>
      <c r="AQ406" s="13" t="s">
        <v>49</v>
      </c>
      <c r="AR406" s="13" t="s">
        <v>49</v>
      </c>
      <c r="AS406" s="13" t="s">
        <v>50</v>
      </c>
      <c r="AT406" s="13" t="s">
        <v>992</v>
      </c>
      <c r="AU406" s="4" t="s">
        <v>1000</v>
      </c>
      <c r="AV406" s="14">
        <f>11.07/1000</f>
        <v>1.107E-2</v>
      </c>
      <c r="AW406" s="14">
        <f>6.6/1000</f>
        <v>6.6E-3</v>
      </c>
      <c r="AX406" s="14">
        <f>Table1347456[[#This Row],[treatment_mean]]/Table1347456[[#This Row],[control_mean]]</f>
        <v>1.6772727272727272</v>
      </c>
      <c r="AY406" s="14">
        <f>LN(Table1347456[[#This Row],[rr]])</f>
        <v>0.51716909768816566</v>
      </c>
      <c r="AZ406" s="13">
        <v>18</v>
      </c>
      <c r="BA406" s="13">
        <v>18</v>
      </c>
      <c r="BB406" s="14" t="s">
        <v>46</v>
      </c>
      <c r="BC406" s="14" t="s">
        <v>46</v>
      </c>
      <c r="BD406" s="15" t="s">
        <v>46</v>
      </c>
      <c r="BE406" s="14" t="s">
        <v>46</v>
      </c>
      <c r="BF40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06" s="17" t="s">
        <v>46</v>
      </c>
      <c r="BH406" s="13" t="s">
        <v>50</v>
      </c>
      <c r="BI406" s="13">
        <v>2.5000000000000001E-2</v>
      </c>
      <c r="BJ406" s="18">
        <f>ABS(_xlfn.NORM.S.INV(Table1347456[[#This Row],[p_value]]/2))</f>
        <v>2.2414027276049446</v>
      </c>
      <c r="BK406" s="19">
        <f>(Table1347456[[#This Row],[lnrr]]/Table1347456[[#This Row],[z_from_p]])^2</f>
        <v>5.3238442439028012E-2</v>
      </c>
      <c r="BL406" s="16">
        <f>Table1347456[[#This Row],[v_from_z_from_p]]</f>
        <v>5.3238442439028012E-2</v>
      </c>
      <c r="BM406" s="20">
        <f>SQRT(Table1347456[[#This Row],[v]])</f>
        <v>0.23073457139975365</v>
      </c>
      <c r="BN406" s="20">
        <f>Table1347456[[#This Row],[lnrr]]-(1.96*Table1347456[[#This Row],[se]])</f>
        <v>6.4929337744648541E-2</v>
      </c>
      <c r="BO406" s="20">
        <f>Table1347456[[#This Row],[lnrr]]+(1.96 * Table1347456[[#This Row],[se]])</f>
        <v>0.96940885763168283</v>
      </c>
    </row>
    <row r="407" spans="1:67">
      <c r="A407" s="13" t="s">
        <v>171</v>
      </c>
      <c r="B407" s="13" t="s">
        <v>172</v>
      </c>
      <c r="C407" s="13" t="s">
        <v>43</v>
      </c>
      <c r="D407" s="13" t="s">
        <v>96</v>
      </c>
      <c r="E407" s="13" t="s">
        <v>97</v>
      </c>
      <c r="F407" s="13" t="s">
        <v>588</v>
      </c>
      <c r="G407" s="13" t="s">
        <v>46</v>
      </c>
      <c r="H407" s="13">
        <v>25.3</v>
      </c>
      <c r="I407" s="13">
        <v>1450</v>
      </c>
      <c r="K407" s="13" t="s">
        <v>843</v>
      </c>
      <c r="L407" s="13" t="s">
        <v>844</v>
      </c>
      <c r="N407" s="13" t="s">
        <v>617</v>
      </c>
      <c r="O407" s="13" t="s">
        <v>54</v>
      </c>
      <c r="P407" s="13" t="s">
        <v>483</v>
      </c>
      <c r="Q407" s="13" t="s">
        <v>48</v>
      </c>
      <c r="R407" s="4">
        <v>3</v>
      </c>
      <c r="S407" s="13" t="s">
        <v>594</v>
      </c>
      <c r="T407" s="13">
        <v>120</v>
      </c>
      <c r="U407" s="4" t="s">
        <v>173</v>
      </c>
      <c r="V407" s="4">
        <v>350</v>
      </c>
      <c r="W407" s="4" t="s">
        <v>42</v>
      </c>
      <c r="X407" s="4">
        <v>511.3</v>
      </c>
      <c r="Y407" s="4">
        <v>12</v>
      </c>
      <c r="AA407" s="4" t="s">
        <v>50</v>
      </c>
      <c r="AB407" s="4">
        <v>90</v>
      </c>
      <c r="AC407" s="4" t="s">
        <v>49</v>
      </c>
      <c r="AD407" s="4">
        <v>0</v>
      </c>
      <c r="AE407" s="4" t="s">
        <v>49</v>
      </c>
      <c r="AF407" s="4">
        <v>0</v>
      </c>
      <c r="AG407" s="4" t="s">
        <v>774</v>
      </c>
      <c r="AH407" s="4" t="s">
        <v>772</v>
      </c>
      <c r="AI407" s="4" t="s">
        <v>52</v>
      </c>
      <c r="AJ407" s="13">
        <v>10</v>
      </c>
      <c r="AK407" s="13">
        <v>20</v>
      </c>
      <c r="AP407" s="13" t="s">
        <v>49</v>
      </c>
      <c r="AQ407" s="13" t="s">
        <v>49</v>
      </c>
      <c r="AR407" s="13" t="s">
        <v>49</v>
      </c>
      <c r="AS407" s="13" t="s">
        <v>50</v>
      </c>
      <c r="AT407" s="13" t="s">
        <v>992</v>
      </c>
      <c r="AU407" s="4" t="s">
        <v>1000</v>
      </c>
      <c r="AV407" s="14">
        <f>9.68/1000</f>
        <v>9.6799999999999994E-3</v>
      </c>
      <c r="AW407" s="14">
        <f>6.6/1000</f>
        <v>6.6E-3</v>
      </c>
      <c r="AX407" s="14">
        <f>Table1347456[[#This Row],[treatment_mean]]/Table1347456[[#This Row],[control_mean]]</f>
        <v>1.4666666666666666</v>
      </c>
      <c r="AY407" s="14">
        <f>LN(Table1347456[[#This Row],[rr]])</f>
        <v>0.38299225225610573</v>
      </c>
      <c r="AZ407" s="13">
        <v>18</v>
      </c>
      <c r="BA407" s="13">
        <v>18</v>
      </c>
      <c r="BB407" s="14" t="s">
        <v>46</v>
      </c>
      <c r="BC407" s="14" t="s">
        <v>46</v>
      </c>
      <c r="BD407" s="15" t="s">
        <v>46</v>
      </c>
      <c r="BE407" s="14" t="s">
        <v>46</v>
      </c>
      <c r="BF40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07" s="17" t="s">
        <v>46</v>
      </c>
      <c r="BH407" s="13" t="s">
        <v>50</v>
      </c>
      <c r="BI407" s="13">
        <v>2.5000000000000001E-2</v>
      </c>
      <c r="BJ407" s="18">
        <f>ABS(_xlfn.NORM.S.INV(Table1347456[[#This Row],[p_value]]/2))</f>
        <v>2.2414027276049446</v>
      </c>
      <c r="BK407" s="19">
        <f>(Table1347456[[#This Row],[lnrr]]/Table1347456[[#This Row],[z_from_p]])^2</f>
        <v>2.9197131427573634E-2</v>
      </c>
      <c r="BL407" s="16">
        <f>Table1347456[[#This Row],[v_from_z_from_p]]</f>
        <v>2.9197131427573634E-2</v>
      </c>
      <c r="BM407" s="20">
        <f>SQRT(Table1347456[[#This Row],[v]])</f>
        <v>0.17087168117500814</v>
      </c>
      <c r="BN407" s="20">
        <f>Table1347456[[#This Row],[lnrr]]-(1.96*Table1347456[[#This Row],[se]])</f>
        <v>4.8083757153089768E-2</v>
      </c>
      <c r="BO407" s="20">
        <f>Table1347456[[#This Row],[lnrr]]+(1.96 * Table1347456[[#This Row],[se]])</f>
        <v>0.71790074735912168</v>
      </c>
    </row>
    <row r="408" spans="1:67">
      <c r="A408" s="13" t="s">
        <v>171</v>
      </c>
      <c r="B408" s="13" t="s">
        <v>172</v>
      </c>
      <c r="C408" s="13" t="s">
        <v>43</v>
      </c>
      <c r="D408" s="13" t="s">
        <v>96</v>
      </c>
      <c r="E408" s="13" t="s">
        <v>97</v>
      </c>
      <c r="F408" s="13" t="s">
        <v>588</v>
      </c>
      <c r="G408" s="13" t="s">
        <v>46</v>
      </c>
      <c r="H408" s="13">
        <v>25.3</v>
      </c>
      <c r="I408" s="13">
        <v>1450</v>
      </c>
      <c r="K408" s="13" t="s">
        <v>843</v>
      </c>
      <c r="L408" s="13" t="s">
        <v>844</v>
      </c>
      <c r="N408" s="13" t="s">
        <v>639</v>
      </c>
      <c r="O408" s="13" t="s">
        <v>54</v>
      </c>
      <c r="P408" s="13" t="s">
        <v>483</v>
      </c>
      <c r="Q408" s="13" t="s">
        <v>48</v>
      </c>
      <c r="R408" s="4">
        <v>3</v>
      </c>
      <c r="S408" s="13" t="s">
        <v>594</v>
      </c>
      <c r="T408" s="13">
        <v>120</v>
      </c>
      <c r="U408" s="4" t="s">
        <v>173</v>
      </c>
      <c r="V408" s="4">
        <v>350</v>
      </c>
      <c r="W408" s="4" t="s">
        <v>42</v>
      </c>
      <c r="X408" s="4">
        <v>511.3</v>
      </c>
      <c r="Y408" s="4">
        <v>3</v>
      </c>
      <c r="AA408" s="4" t="s">
        <v>49</v>
      </c>
      <c r="AB408" s="4">
        <v>0</v>
      </c>
      <c r="AC408" s="4" t="s">
        <v>49</v>
      </c>
      <c r="AD408" s="4">
        <v>0</v>
      </c>
      <c r="AE408" s="4" t="s">
        <v>49</v>
      </c>
      <c r="AF408" s="4">
        <v>0</v>
      </c>
      <c r="AG408" s="4" t="s">
        <v>774</v>
      </c>
      <c r="AH408" s="4" t="s">
        <v>772</v>
      </c>
      <c r="AI408" s="4" t="s">
        <v>52</v>
      </c>
      <c r="AJ408" s="13">
        <v>0</v>
      </c>
      <c r="AK408" s="13">
        <v>10</v>
      </c>
      <c r="AP408" s="13" t="s">
        <v>49</v>
      </c>
      <c r="AQ408" s="13" t="s">
        <v>49</v>
      </c>
      <c r="AR408" s="13" t="s">
        <v>49</v>
      </c>
      <c r="AS408" s="13" t="s">
        <v>50</v>
      </c>
      <c r="AT408" s="13" t="s">
        <v>990</v>
      </c>
      <c r="AU408" s="13" t="s">
        <v>998</v>
      </c>
      <c r="AV408" s="14">
        <f>2.54/1000</f>
        <v>2.5400000000000002E-3</v>
      </c>
      <c r="AW408" s="14">
        <f>2.96/1000</f>
        <v>2.96E-3</v>
      </c>
      <c r="AX408" s="14">
        <f>Table1347456[[#This Row],[treatment_mean]]/Table1347456[[#This Row],[control_mean]]</f>
        <v>0.85810810810810823</v>
      </c>
      <c r="AY408" s="14">
        <f>LN(Table1347456[[#This Row],[rr]])</f>
        <v>-0.15302518730552364</v>
      </c>
      <c r="AZ408" s="13">
        <v>18</v>
      </c>
      <c r="BA408" s="13">
        <v>18</v>
      </c>
      <c r="BB408" s="14" t="s">
        <v>46</v>
      </c>
      <c r="BC408" s="14" t="s">
        <v>46</v>
      </c>
      <c r="BD408" s="15" t="s">
        <v>46</v>
      </c>
      <c r="BE408" s="14" t="s">
        <v>46</v>
      </c>
      <c r="BF40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08" s="17" t="s">
        <v>46</v>
      </c>
      <c r="BH408" s="13" t="s">
        <v>50</v>
      </c>
      <c r="BI408" s="13">
        <v>2.5000000000000001E-2</v>
      </c>
      <c r="BJ408" s="18">
        <f>ABS(_xlfn.NORM.S.INV(Table1347456[[#This Row],[p_value]]/2))</f>
        <v>2.2414027276049446</v>
      </c>
      <c r="BK408" s="19">
        <f>(Table1347456[[#This Row],[lnrr]]/Table1347456[[#This Row],[z_from_p]])^2</f>
        <v>4.661074530115124E-3</v>
      </c>
      <c r="BL408" s="16">
        <f>Table1347456[[#This Row],[v_from_z_from_p]]</f>
        <v>4.661074530115124E-3</v>
      </c>
      <c r="BM408" s="20">
        <f>SQRT(Table1347456[[#This Row],[v]])</f>
        <v>6.8272062588698196E-2</v>
      </c>
      <c r="BN408" s="20">
        <f>Table1347456[[#This Row],[lnrr]]-(1.96*Table1347456[[#This Row],[se]])</f>
        <v>-0.28683842997937209</v>
      </c>
      <c r="BO408" s="20">
        <f>Table1347456[[#This Row],[lnrr]]+(1.96 * Table1347456[[#This Row],[se]])</f>
        <v>-1.9211944631675193E-2</v>
      </c>
    </row>
    <row r="409" spans="1:67">
      <c r="A409" s="13" t="s">
        <v>171</v>
      </c>
      <c r="B409" s="13" t="s">
        <v>172</v>
      </c>
      <c r="C409" s="13" t="s">
        <v>43</v>
      </c>
      <c r="D409" s="13" t="s">
        <v>96</v>
      </c>
      <c r="E409" s="13" t="s">
        <v>97</v>
      </c>
      <c r="F409" s="13" t="s">
        <v>588</v>
      </c>
      <c r="G409" s="13" t="s">
        <v>46</v>
      </c>
      <c r="H409" s="13">
        <v>25.3</v>
      </c>
      <c r="I409" s="13">
        <v>1450</v>
      </c>
      <c r="K409" s="13" t="s">
        <v>843</v>
      </c>
      <c r="L409" s="13" t="s">
        <v>844</v>
      </c>
      <c r="N409" s="13" t="s">
        <v>639</v>
      </c>
      <c r="O409" s="13" t="s">
        <v>54</v>
      </c>
      <c r="P409" s="13" t="s">
        <v>483</v>
      </c>
      <c r="Q409" s="13" t="s">
        <v>48</v>
      </c>
      <c r="R409" s="4">
        <v>3</v>
      </c>
      <c r="S409" s="13" t="s">
        <v>594</v>
      </c>
      <c r="T409" s="13">
        <v>120</v>
      </c>
      <c r="U409" s="4" t="s">
        <v>173</v>
      </c>
      <c r="V409" s="4">
        <v>350</v>
      </c>
      <c r="W409" s="4" t="s">
        <v>42</v>
      </c>
      <c r="X409" s="4">
        <v>511.3</v>
      </c>
      <c r="Y409" s="4">
        <v>6</v>
      </c>
      <c r="AA409" s="4" t="s">
        <v>49</v>
      </c>
      <c r="AB409" s="4">
        <v>0</v>
      </c>
      <c r="AC409" s="4" t="s">
        <v>49</v>
      </c>
      <c r="AD409" s="4">
        <v>0</v>
      </c>
      <c r="AE409" s="4" t="s">
        <v>49</v>
      </c>
      <c r="AF409" s="4">
        <v>0</v>
      </c>
      <c r="AG409" s="4" t="s">
        <v>774</v>
      </c>
      <c r="AH409" s="4" t="s">
        <v>772</v>
      </c>
      <c r="AI409" s="4" t="s">
        <v>52</v>
      </c>
      <c r="AJ409" s="13">
        <v>0</v>
      </c>
      <c r="AK409" s="13">
        <v>10</v>
      </c>
      <c r="AP409" s="13" t="s">
        <v>49</v>
      </c>
      <c r="AQ409" s="13" t="s">
        <v>49</v>
      </c>
      <c r="AR409" s="13" t="s">
        <v>49</v>
      </c>
      <c r="AS409" s="13" t="s">
        <v>50</v>
      </c>
      <c r="AT409" s="13" t="s">
        <v>990</v>
      </c>
      <c r="AU409" s="13" t="s">
        <v>998</v>
      </c>
      <c r="AV409" s="14">
        <f>3.46/1000</f>
        <v>3.46E-3</v>
      </c>
      <c r="AW409" s="14">
        <f>2.96/1000</f>
        <v>2.96E-3</v>
      </c>
      <c r="AX409" s="14">
        <f>Table1347456[[#This Row],[treatment_mean]]/Table1347456[[#This Row],[control_mean]]</f>
        <v>1.1689189189189189</v>
      </c>
      <c r="AY409" s="14">
        <f>LN(Table1347456[[#This Row],[rr]])</f>
        <v>0.15607932073366385</v>
      </c>
      <c r="AZ409" s="13">
        <v>18</v>
      </c>
      <c r="BA409" s="13">
        <v>18</v>
      </c>
      <c r="BB409" s="14" t="s">
        <v>46</v>
      </c>
      <c r="BC409" s="14" t="s">
        <v>46</v>
      </c>
      <c r="BD409" s="15" t="s">
        <v>46</v>
      </c>
      <c r="BE409" s="14" t="s">
        <v>46</v>
      </c>
      <c r="BF40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09" s="17" t="s">
        <v>46</v>
      </c>
      <c r="BH409" s="13" t="s">
        <v>50</v>
      </c>
      <c r="BI409" s="13">
        <v>2.5000000000000001E-2</v>
      </c>
      <c r="BJ409" s="18">
        <f>ABS(_xlfn.NORM.S.INV(Table1347456[[#This Row],[p_value]]/2))</f>
        <v>2.2414027276049446</v>
      </c>
      <c r="BK409" s="19">
        <f>(Table1347456[[#This Row],[lnrr]]/Table1347456[[#This Row],[z_from_p]])^2</f>
        <v>4.848986114015053E-3</v>
      </c>
      <c r="BL409" s="16">
        <f>Table1347456[[#This Row],[v_from_z_from_p]]</f>
        <v>4.848986114015053E-3</v>
      </c>
      <c r="BM409" s="20">
        <f>SQRT(Table1347456[[#This Row],[v]])</f>
        <v>6.9634661728302044E-2</v>
      </c>
      <c r="BN409" s="20">
        <f>Table1347456[[#This Row],[lnrr]]-(1.96*Table1347456[[#This Row],[se]])</f>
        <v>1.9595383746191852E-2</v>
      </c>
      <c r="BO409" s="20">
        <f>Table1347456[[#This Row],[lnrr]]+(1.96 * Table1347456[[#This Row],[se]])</f>
        <v>0.29256325772113584</v>
      </c>
    </row>
    <row r="410" spans="1:67">
      <c r="A410" s="13" t="s">
        <v>171</v>
      </c>
      <c r="B410" s="13" t="s">
        <v>172</v>
      </c>
      <c r="C410" s="13" t="s">
        <v>43</v>
      </c>
      <c r="D410" s="13" t="s">
        <v>96</v>
      </c>
      <c r="E410" s="13" t="s">
        <v>97</v>
      </c>
      <c r="F410" s="13" t="s">
        <v>588</v>
      </c>
      <c r="G410" s="13" t="s">
        <v>46</v>
      </c>
      <c r="H410" s="13">
        <v>25.3</v>
      </c>
      <c r="I410" s="13">
        <v>1450</v>
      </c>
      <c r="K410" s="13" t="s">
        <v>843</v>
      </c>
      <c r="L410" s="13" t="s">
        <v>844</v>
      </c>
      <c r="N410" s="13" t="s">
        <v>639</v>
      </c>
      <c r="O410" s="13" t="s">
        <v>54</v>
      </c>
      <c r="P410" s="13" t="s">
        <v>483</v>
      </c>
      <c r="Q410" s="13" t="s">
        <v>48</v>
      </c>
      <c r="R410" s="4">
        <v>3</v>
      </c>
      <c r="S410" s="13" t="s">
        <v>594</v>
      </c>
      <c r="T410" s="13">
        <v>120</v>
      </c>
      <c r="U410" s="4" t="s">
        <v>173</v>
      </c>
      <c r="V410" s="4">
        <v>350</v>
      </c>
      <c r="W410" s="4" t="s">
        <v>42</v>
      </c>
      <c r="X410" s="4">
        <v>511.3</v>
      </c>
      <c r="Y410" s="4">
        <v>12</v>
      </c>
      <c r="AA410" s="4" t="s">
        <v>49</v>
      </c>
      <c r="AB410" s="4">
        <v>0</v>
      </c>
      <c r="AC410" s="4" t="s">
        <v>49</v>
      </c>
      <c r="AD410" s="4">
        <v>0</v>
      </c>
      <c r="AE410" s="4" t="s">
        <v>49</v>
      </c>
      <c r="AF410" s="4">
        <v>0</v>
      </c>
      <c r="AG410" s="4" t="s">
        <v>774</v>
      </c>
      <c r="AH410" s="4" t="s">
        <v>772</v>
      </c>
      <c r="AI410" s="4" t="s">
        <v>52</v>
      </c>
      <c r="AJ410" s="13">
        <v>0</v>
      </c>
      <c r="AK410" s="13">
        <v>10</v>
      </c>
      <c r="AP410" s="13" t="s">
        <v>49</v>
      </c>
      <c r="AQ410" s="13" t="s">
        <v>49</v>
      </c>
      <c r="AR410" s="13" t="s">
        <v>49</v>
      </c>
      <c r="AS410" s="13" t="s">
        <v>50</v>
      </c>
      <c r="AT410" s="13" t="s">
        <v>990</v>
      </c>
      <c r="AU410" s="13" t="s">
        <v>998</v>
      </c>
      <c r="AV410" s="14">
        <f>4.24/1000</f>
        <v>4.2399999999999998E-3</v>
      </c>
      <c r="AW410" s="14">
        <f>2.96/1000</f>
        <v>2.96E-3</v>
      </c>
      <c r="AX410" s="14">
        <f>Table1347456[[#This Row],[treatment_mean]]/Table1347456[[#This Row],[control_mean]]</f>
        <v>1.4324324324324325</v>
      </c>
      <c r="AY410" s="14">
        <f>LN(Table1347456[[#This Row],[rr]])</f>
        <v>0.3593740009078974</v>
      </c>
      <c r="AZ410" s="13">
        <v>18</v>
      </c>
      <c r="BA410" s="13">
        <v>18</v>
      </c>
      <c r="BB410" s="14" t="s">
        <v>46</v>
      </c>
      <c r="BC410" s="14" t="s">
        <v>46</v>
      </c>
      <c r="BD410" s="15" t="s">
        <v>46</v>
      </c>
      <c r="BE410" s="14" t="s">
        <v>46</v>
      </c>
      <c r="BF41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10" s="17" t="s">
        <v>46</v>
      </c>
      <c r="BH410" s="13" t="s">
        <v>50</v>
      </c>
      <c r="BI410" s="13">
        <v>2.5000000000000001E-2</v>
      </c>
      <c r="BJ410" s="18">
        <f>ABS(_xlfn.NORM.S.INV(Table1347456[[#This Row],[p_value]]/2))</f>
        <v>2.2414027276049446</v>
      </c>
      <c r="BK410" s="19">
        <f>(Table1347456[[#This Row],[lnrr]]/Table1347456[[#This Row],[z_from_p]])^2</f>
        <v>2.5707125462883153E-2</v>
      </c>
      <c r="BL410" s="16">
        <f>Table1347456[[#This Row],[v_from_z_from_p]]</f>
        <v>2.5707125462883153E-2</v>
      </c>
      <c r="BM410" s="20">
        <f>SQRT(Table1347456[[#This Row],[v]])</f>
        <v>0.16033441758675257</v>
      </c>
      <c r="BN410" s="20">
        <f>Table1347456[[#This Row],[lnrr]]-(1.96*Table1347456[[#This Row],[se]])</f>
        <v>4.5118542437862341E-2</v>
      </c>
      <c r="BO410" s="20">
        <f>Table1347456[[#This Row],[lnrr]]+(1.96 * Table1347456[[#This Row],[se]])</f>
        <v>0.67362945937793239</v>
      </c>
    </row>
    <row r="411" spans="1:67">
      <c r="A411" s="13" t="s">
        <v>171</v>
      </c>
      <c r="B411" s="13" t="s">
        <v>172</v>
      </c>
      <c r="C411" s="13" t="s">
        <v>43</v>
      </c>
      <c r="D411" s="13" t="s">
        <v>96</v>
      </c>
      <c r="E411" s="13" t="s">
        <v>97</v>
      </c>
      <c r="F411" s="13" t="s">
        <v>588</v>
      </c>
      <c r="G411" s="13" t="s">
        <v>46</v>
      </c>
      <c r="H411" s="13">
        <v>25.3</v>
      </c>
      <c r="I411" s="13">
        <v>1450</v>
      </c>
      <c r="K411" s="13" t="s">
        <v>843</v>
      </c>
      <c r="L411" s="13" t="s">
        <v>844</v>
      </c>
      <c r="N411" s="13" t="s">
        <v>639</v>
      </c>
      <c r="O411" s="13" t="s">
        <v>54</v>
      </c>
      <c r="P411" s="13" t="s">
        <v>483</v>
      </c>
      <c r="Q411" s="13" t="s">
        <v>48</v>
      </c>
      <c r="R411" s="4">
        <v>3</v>
      </c>
      <c r="S411" s="13" t="s">
        <v>594</v>
      </c>
      <c r="T411" s="13">
        <v>120</v>
      </c>
      <c r="U411" s="4" t="s">
        <v>173</v>
      </c>
      <c r="V411" s="4">
        <v>350</v>
      </c>
      <c r="W411" s="4" t="s">
        <v>42</v>
      </c>
      <c r="X411" s="4">
        <v>511.3</v>
      </c>
      <c r="Y411" s="4">
        <v>3</v>
      </c>
      <c r="AA411" s="4" t="s">
        <v>50</v>
      </c>
      <c r="AB411" s="4">
        <v>30</v>
      </c>
      <c r="AC411" s="4" t="s">
        <v>49</v>
      </c>
      <c r="AD411" s="4">
        <v>0</v>
      </c>
      <c r="AE411" s="4" t="s">
        <v>49</v>
      </c>
      <c r="AF411" s="4">
        <v>0</v>
      </c>
      <c r="AG411" s="4" t="s">
        <v>774</v>
      </c>
      <c r="AH411" s="4" t="s">
        <v>772</v>
      </c>
      <c r="AI411" s="4" t="s">
        <v>52</v>
      </c>
      <c r="AJ411" s="13">
        <v>0</v>
      </c>
      <c r="AK411" s="13">
        <v>10</v>
      </c>
      <c r="AP411" s="13" t="s">
        <v>49</v>
      </c>
      <c r="AQ411" s="13" t="s">
        <v>49</v>
      </c>
      <c r="AR411" s="13" t="s">
        <v>49</v>
      </c>
      <c r="AS411" s="13" t="s">
        <v>50</v>
      </c>
      <c r="AT411" s="13" t="s">
        <v>992</v>
      </c>
      <c r="AU411" s="4" t="s">
        <v>1000</v>
      </c>
      <c r="AV411" s="14">
        <f>3.49/1000</f>
        <v>3.49E-3</v>
      </c>
      <c r="AW411" s="14">
        <f>3.38/1000</f>
        <v>3.3799999999999998E-3</v>
      </c>
      <c r="AX411" s="14">
        <f>Table1347456[[#This Row],[treatment_mean]]/Table1347456[[#This Row],[control_mean]]</f>
        <v>1.0325443786982249</v>
      </c>
      <c r="AY411" s="14">
        <f>LN(Table1347456[[#This Row],[rr]])</f>
        <v>3.2026026719408435E-2</v>
      </c>
      <c r="AZ411" s="13">
        <v>18</v>
      </c>
      <c r="BA411" s="13">
        <v>18</v>
      </c>
      <c r="BB411" s="14" t="s">
        <v>46</v>
      </c>
      <c r="BC411" s="14" t="s">
        <v>46</v>
      </c>
      <c r="BD411" s="15" t="s">
        <v>46</v>
      </c>
      <c r="BE411" s="14" t="s">
        <v>46</v>
      </c>
      <c r="BF41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11" s="17" t="s">
        <v>46</v>
      </c>
      <c r="BH411" s="13" t="s">
        <v>50</v>
      </c>
      <c r="BI411" s="13">
        <v>2.5000000000000001E-2</v>
      </c>
      <c r="BJ411" s="18">
        <f>ABS(_xlfn.NORM.S.INV(Table1347456[[#This Row],[p_value]]/2))</f>
        <v>2.2414027276049446</v>
      </c>
      <c r="BK411" s="19">
        <f>(Table1347456[[#This Row],[lnrr]]/Table1347456[[#This Row],[z_from_p]])^2</f>
        <v>2.0415796640099656E-4</v>
      </c>
      <c r="BL411" s="16">
        <f>Table1347456[[#This Row],[v_from_z_from_p]]</f>
        <v>2.0415796640099656E-4</v>
      </c>
      <c r="BM411" s="20">
        <f>SQRT(Table1347456[[#This Row],[v]])</f>
        <v>1.4288385717112922E-2</v>
      </c>
      <c r="BN411" s="20">
        <f>Table1347456[[#This Row],[lnrr]]-(1.96*Table1347456[[#This Row],[se]])</f>
        <v>4.0207907138671076E-3</v>
      </c>
      <c r="BO411" s="20">
        <f>Table1347456[[#This Row],[lnrr]]+(1.96 * Table1347456[[#This Row],[se]])</f>
        <v>6.0031262724949762E-2</v>
      </c>
    </row>
    <row r="412" spans="1:67">
      <c r="A412" s="13" t="s">
        <v>171</v>
      </c>
      <c r="B412" s="13" t="s">
        <v>172</v>
      </c>
      <c r="C412" s="13" t="s">
        <v>43</v>
      </c>
      <c r="D412" s="13" t="s">
        <v>96</v>
      </c>
      <c r="E412" s="13" t="s">
        <v>97</v>
      </c>
      <c r="F412" s="13" t="s">
        <v>588</v>
      </c>
      <c r="G412" s="13" t="s">
        <v>46</v>
      </c>
      <c r="H412" s="13">
        <v>25.3</v>
      </c>
      <c r="I412" s="13">
        <v>1450</v>
      </c>
      <c r="K412" s="13" t="s">
        <v>843</v>
      </c>
      <c r="L412" s="13" t="s">
        <v>844</v>
      </c>
      <c r="N412" s="13" t="s">
        <v>639</v>
      </c>
      <c r="O412" s="13" t="s">
        <v>54</v>
      </c>
      <c r="P412" s="13" t="s">
        <v>483</v>
      </c>
      <c r="Q412" s="13" t="s">
        <v>48</v>
      </c>
      <c r="R412" s="4">
        <v>3</v>
      </c>
      <c r="S412" s="13" t="s">
        <v>594</v>
      </c>
      <c r="T412" s="13">
        <v>120</v>
      </c>
      <c r="U412" s="4" t="s">
        <v>173</v>
      </c>
      <c r="V412" s="4">
        <v>350</v>
      </c>
      <c r="W412" s="4" t="s">
        <v>42</v>
      </c>
      <c r="X412" s="4">
        <v>511.3</v>
      </c>
      <c r="Y412" s="4">
        <v>6</v>
      </c>
      <c r="AA412" s="4" t="s">
        <v>50</v>
      </c>
      <c r="AB412" s="4">
        <v>60</v>
      </c>
      <c r="AC412" s="4" t="s">
        <v>49</v>
      </c>
      <c r="AD412" s="4">
        <v>0</v>
      </c>
      <c r="AE412" s="4" t="s">
        <v>49</v>
      </c>
      <c r="AF412" s="4">
        <v>0</v>
      </c>
      <c r="AG412" s="4" t="s">
        <v>774</v>
      </c>
      <c r="AH412" s="4" t="s">
        <v>772</v>
      </c>
      <c r="AI412" s="4" t="s">
        <v>52</v>
      </c>
      <c r="AJ412" s="13">
        <v>0</v>
      </c>
      <c r="AK412" s="13">
        <v>10</v>
      </c>
      <c r="AP412" s="13" t="s">
        <v>49</v>
      </c>
      <c r="AQ412" s="13" t="s">
        <v>49</v>
      </c>
      <c r="AR412" s="13" t="s">
        <v>49</v>
      </c>
      <c r="AS412" s="13" t="s">
        <v>50</v>
      </c>
      <c r="AT412" s="13" t="s">
        <v>992</v>
      </c>
      <c r="AU412" s="4" t="s">
        <v>1000</v>
      </c>
      <c r="AV412" s="14">
        <f>3.55/1000</f>
        <v>3.5499999999999998E-3</v>
      </c>
      <c r="AW412" s="14">
        <f>3.38/1000</f>
        <v>3.3799999999999998E-3</v>
      </c>
      <c r="AX412" s="14">
        <f>Table1347456[[#This Row],[treatment_mean]]/Table1347456[[#This Row],[control_mean]]</f>
        <v>1.0502958579881656</v>
      </c>
      <c r="AY412" s="14">
        <f>LN(Table1347456[[#This Row],[rr]])</f>
        <v>4.9071893992396941E-2</v>
      </c>
      <c r="AZ412" s="13">
        <v>18</v>
      </c>
      <c r="BA412" s="13">
        <v>18</v>
      </c>
      <c r="BB412" s="14" t="s">
        <v>46</v>
      </c>
      <c r="BC412" s="14" t="s">
        <v>46</v>
      </c>
      <c r="BD412" s="15" t="s">
        <v>46</v>
      </c>
      <c r="BE412" s="14" t="s">
        <v>46</v>
      </c>
      <c r="BF41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12" s="17" t="s">
        <v>46</v>
      </c>
      <c r="BH412" s="13" t="s">
        <v>50</v>
      </c>
      <c r="BI412" s="13">
        <v>2.5000000000000001E-2</v>
      </c>
      <c r="BJ412" s="18">
        <f>ABS(_xlfn.NORM.S.INV(Table1347456[[#This Row],[p_value]]/2))</f>
        <v>2.2414027276049446</v>
      </c>
      <c r="BK412" s="19">
        <f>(Table1347456[[#This Row],[lnrr]]/Table1347456[[#This Row],[z_from_p]])^2</f>
        <v>4.7932032896789658E-4</v>
      </c>
      <c r="BL412" s="16">
        <f>Table1347456[[#This Row],[v_from_z_from_p]]</f>
        <v>4.7932032896789658E-4</v>
      </c>
      <c r="BM412" s="20">
        <f>SQRT(Table1347456[[#This Row],[v]])</f>
        <v>2.1893385507223331E-2</v>
      </c>
      <c r="BN412" s="20">
        <f>Table1347456[[#This Row],[lnrr]]-(1.96*Table1347456[[#This Row],[se]])</f>
        <v>6.1608583982392107E-3</v>
      </c>
      <c r="BO412" s="20">
        <f>Table1347456[[#This Row],[lnrr]]+(1.96 * Table1347456[[#This Row],[se]])</f>
        <v>9.1982929586554671E-2</v>
      </c>
    </row>
    <row r="413" spans="1:67">
      <c r="A413" s="13" t="s">
        <v>171</v>
      </c>
      <c r="B413" s="13" t="s">
        <v>172</v>
      </c>
      <c r="C413" s="13" t="s">
        <v>43</v>
      </c>
      <c r="D413" s="13" t="s">
        <v>96</v>
      </c>
      <c r="E413" s="13" t="s">
        <v>97</v>
      </c>
      <c r="F413" s="13" t="s">
        <v>588</v>
      </c>
      <c r="G413" s="13" t="s">
        <v>46</v>
      </c>
      <c r="H413" s="13">
        <v>25.3</v>
      </c>
      <c r="I413" s="13">
        <v>1450</v>
      </c>
      <c r="K413" s="13" t="s">
        <v>843</v>
      </c>
      <c r="L413" s="13" t="s">
        <v>844</v>
      </c>
      <c r="N413" s="13" t="s">
        <v>639</v>
      </c>
      <c r="O413" s="13" t="s">
        <v>54</v>
      </c>
      <c r="P413" s="13" t="s">
        <v>483</v>
      </c>
      <c r="Q413" s="13" t="s">
        <v>48</v>
      </c>
      <c r="R413" s="4">
        <v>3</v>
      </c>
      <c r="S413" s="13" t="s">
        <v>594</v>
      </c>
      <c r="T413" s="13">
        <v>120</v>
      </c>
      <c r="U413" s="4" t="s">
        <v>173</v>
      </c>
      <c r="V413" s="4">
        <v>350</v>
      </c>
      <c r="W413" s="4" t="s">
        <v>42</v>
      </c>
      <c r="X413" s="4">
        <v>511.3</v>
      </c>
      <c r="Y413" s="4">
        <v>12</v>
      </c>
      <c r="AA413" s="4" t="s">
        <v>50</v>
      </c>
      <c r="AB413" s="4">
        <v>90</v>
      </c>
      <c r="AC413" s="4" t="s">
        <v>49</v>
      </c>
      <c r="AD413" s="4">
        <v>0</v>
      </c>
      <c r="AE413" s="4" t="s">
        <v>49</v>
      </c>
      <c r="AF413" s="4">
        <v>0</v>
      </c>
      <c r="AG413" s="4" t="s">
        <v>774</v>
      </c>
      <c r="AH413" s="4" t="s">
        <v>772</v>
      </c>
      <c r="AI413" s="4" t="s">
        <v>52</v>
      </c>
      <c r="AJ413" s="13">
        <v>0</v>
      </c>
      <c r="AK413" s="13">
        <v>10</v>
      </c>
      <c r="AP413" s="13" t="s">
        <v>49</v>
      </c>
      <c r="AQ413" s="13" t="s">
        <v>49</v>
      </c>
      <c r="AR413" s="13" t="s">
        <v>49</v>
      </c>
      <c r="AS413" s="13" t="s">
        <v>50</v>
      </c>
      <c r="AT413" s="13" t="s">
        <v>992</v>
      </c>
      <c r="AU413" s="4" t="s">
        <v>1000</v>
      </c>
      <c r="AV413" s="14">
        <f>2.78/1000</f>
        <v>2.7799999999999999E-3</v>
      </c>
      <c r="AW413" s="14">
        <f>3.38/1000</f>
        <v>3.3799999999999998E-3</v>
      </c>
      <c r="AX413" s="14">
        <f>Table1347456[[#This Row],[treatment_mean]]/Table1347456[[#This Row],[control_mean]]</f>
        <v>0.8224852071005917</v>
      </c>
      <c r="AY413" s="14">
        <f>LN(Table1347456[[#This Row],[rr]])</f>
        <v>-0.19542478179238174</v>
      </c>
      <c r="AZ413" s="13">
        <v>18</v>
      </c>
      <c r="BA413" s="13">
        <v>18</v>
      </c>
      <c r="BB413" s="14" t="s">
        <v>46</v>
      </c>
      <c r="BC413" s="14" t="s">
        <v>46</v>
      </c>
      <c r="BD413" s="15" t="s">
        <v>46</v>
      </c>
      <c r="BE413" s="14" t="s">
        <v>46</v>
      </c>
      <c r="BF41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13" s="17" t="s">
        <v>46</v>
      </c>
      <c r="BH413" s="13" t="s">
        <v>50</v>
      </c>
      <c r="BI413" s="13">
        <v>2.5000000000000001E-2</v>
      </c>
      <c r="BJ413" s="18">
        <f>ABS(_xlfn.NORM.S.INV(Table1347456[[#This Row],[p_value]]/2))</f>
        <v>2.2414027276049446</v>
      </c>
      <c r="BK413" s="19">
        <f>(Table1347456[[#This Row],[lnrr]]/Table1347456[[#This Row],[z_from_p]])^2</f>
        <v>7.6018532097781978E-3</v>
      </c>
      <c r="BL413" s="16">
        <f>Table1347456[[#This Row],[v_from_z_from_p]]</f>
        <v>7.6018532097781978E-3</v>
      </c>
      <c r="BM413" s="20">
        <f>SQRT(Table1347456[[#This Row],[v]])</f>
        <v>8.7188607109978528E-2</v>
      </c>
      <c r="BN413" s="20">
        <f>Table1347456[[#This Row],[lnrr]]-(1.96*Table1347456[[#This Row],[se]])</f>
        <v>-0.36631445172793964</v>
      </c>
      <c r="BO413" s="20">
        <f>Table1347456[[#This Row],[lnrr]]+(1.96 * Table1347456[[#This Row],[se]])</f>
        <v>-2.4535111856823832E-2</v>
      </c>
    </row>
    <row r="414" spans="1:67">
      <c r="A414" s="13" t="s">
        <v>171</v>
      </c>
      <c r="B414" s="13" t="s">
        <v>172</v>
      </c>
      <c r="C414" s="13" t="s">
        <v>43</v>
      </c>
      <c r="D414" s="13" t="s">
        <v>96</v>
      </c>
      <c r="E414" s="13" t="s">
        <v>97</v>
      </c>
      <c r="F414" s="13" t="s">
        <v>588</v>
      </c>
      <c r="G414" s="13" t="s">
        <v>46</v>
      </c>
      <c r="H414" s="13">
        <v>24.7</v>
      </c>
      <c r="I414" s="13">
        <v>1318</v>
      </c>
      <c r="K414" s="13" t="s">
        <v>845</v>
      </c>
      <c r="L414" s="13" t="s">
        <v>846</v>
      </c>
      <c r="N414" s="13" t="s">
        <v>639</v>
      </c>
      <c r="O414" s="13" t="s">
        <v>54</v>
      </c>
      <c r="P414" s="13" t="s">
        <v>483</v>
      </c>
      <c r="Q414" s="13" t="s">
        <v>48</v>
      </c>
      <c r="R414" s="4">
        <v>3</v>
      </c>
      <c r="S414" s="13" t="s">
        <v>594</v>
      </c>
      <c r="T414" s="13">
        <v>120</v>
      </c>
      <c r="U414" s="4" t="s">
        <v>173</v>
      </c>
      <c r="V414" s="4">
        <v>350</v>
      </c>
      <c r="W414" s="4" t="s">
        <v>42</v>
      </c>
      <c r="X414" s="4">
        <v>511.3</v>
      </c>
      <c r="Y414" s="4">
        <v>3</v>
      </c>
      <c r="AA414" s="4" t="s">
        <v>49</v>
      </c>
      <c r="AB414" s="4">
        <v>0</v>
      </c>
      <c r="AC414" s="4" t="s">
        <v>49</v>
      </c>
      <c r="AD414" s="4">
        <v>0</v>
      </c>
      <c r="AE414" s="4" t="s">
        <v>49</v>
      </c>
      <c r="AF414" s="4">
        <v>0</v>
      </c>
      <c r="AG414" s="4" t="s">
        <v>774</v>
      </c>
      <c r="AH414" s="4" t="s">
        <v>772</v>
      </c>
      <c r="AI414" s="4" t="s">
        <v>64</v>
      </c>
      <c r="AJ414" s="13">
        <v>10</v>
      </c>
      <c r="AK414" s="13">
        <v>20</v>
      </c>
      <c r="AP414" s="13" t="s">
        <v>49</v>
      </c>
      <c r="AQ414" s="13" t="s">
        <v>49</v>
      </c>
      <c r="AR414" s="13" t="s">
        <v>49</v>
      </c>
      <c r="AS414" s="13" t="s">
        <v>50</v>
      </c>
      <c r="AT414" s="13" t="s">
        <v>990</v>
      </c>
      <c r="AU414" s="13" t="s">
        <v>998</v>
      </c>
      <c r="AV414" s="14">
        <f>2.88/1000</f>
        <v>2.8799999999999997E-3</v>
      </c>
      <c r="AW414" s="14">
        <f>2.64/1000</f>
        <v>2.64E-3</v>
      </c>
      <c r="AX414" s="14">
        <f>Table1347456[[#This Row],[treatment_mean]]/Table1347456[[#This Row],[control_mean]]</f>
        <v>1.0909090909090908</v>
      </c>
      <c r="AY414" s="14">
        <f>LN(Table1347456[[#This Row],[rr]])</f>
        <v>8.7011376989629699E-2</v>
      </c>
      <c r="AZ414" s="13">
        <v>18</v>
      </c>
      <c r="BA414" s="13">
        <v>18</v>
      </c>
      <c r="BB414" s="14" t="s">
        <v>46</v>
      </c>
      <c r="BC414" s="14" t="s">
        <v>46</v>
      </c>
      <c r="BD414" s="15" t="s">
        <v>46</v>
      </c>
      <c r="BE414" s="14" t="s">
        <v>46</v>
      </c>
      <c r="BF41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14" s="17" t="s">
        <v>46</v>
      </c>
      <c r="BH414" s="13" t="s">
        <v>50</v>
      </c>
      <c r="BI414" s="13">
        <v>2.5000000000000001E-2</v>
      </c>
      <c r="BJ414" s="18">
        <f>ABS(_xlfn.NORM.S.INV(Table1347456[[#This Row],[p_value]]/2))</f>
        <v>2.2414027276049446</v>
      </c>
      <c r="BK414" s="19">
        <f>(Table1347456[[#This Row],[lnrr]]/Table1347456[[#This Row],[z_from_p]])^2</f>
        <v>1.5069966642054682E-3</v>
      </c>
      <c r="BL414" s="16">
        <f>Table1347456[[#This Row],[v_from_z_from_p]]</f>
        <v>1.5069966642054682E-3</v>
      </c>
      <c r="BM414" s="20">
        <f>SQRT(Table1347456[[#This Row],[v]])</f>
        <v>3.8820054922751826E-2</v>
      </c>
      <c r="BN414" s="20">
        <f>Table1347456[[#This Row],[lnrr]]-(1.96*Table1347456[[#This Row],[se]])</f>
        <v>1.0924069341036124E-2</v>
      </c>
      <c r="BO414" s="20">
        <f>Table1347456[[#This Row],[lnrr]]+(1.96 * Table1347456[[#This Row],[se]])</f>
        <v>0.16309868463822327</v>
      </c>
    </row>
    <row r="415" spans="1:67">
      <c r="A415" s="13" t="s">
        <v>171</v>
      </c>
      <c r="B415" s="13" t="s">
        <v>172</v>
      </c>
      <c r="C415" s="13" t="s">
        <v>43</v>
      </c>
      <c r="D415" s="13" t="s">
        <v>96</v>
      </c>
      <c r="E415" s="13" t="s">
        <v>97</v>
      </c>
      <c r="F415" s="13" t="s">
        <v>588</v>
      </c>
      <c r="G415" s="13" t="s">
        <v>46</v>
      </c>
      <c r="H415" s="13">
        <v>24.7</v>
      </c>
      <c r="I415" s="13">
        <v>1318</v>
      </c>
      <c r="K415" s="13" t="s">
        <v>845</v>
      </c>
      <c r="L415" s="13" t="s">
        <v>846</v>
      </c>
      <c r="N415" s="13" t="s">
        <v>639</v>
      </c>
      <c r="O415" s="13" t="s">
        <v>54</v>
      </c>
      <c r="P415" s="13" t="s">
        <v>483</v>
      </c>
      <c r="Q415" s="13" t="s">
        <v>48</v>
      </c>
      <c r="R415" s="4">
        <v>3</v>
      </c>
      <c r="S415" s="13" t="s">
        <v>594</v>
      </c>
      <c r="T415" s="13">
        <v>120</v>
      </c>
      <c r="U415" s="4" t="s">
        <v>173</v>
      </c>
      <c r="V415" s="4">
        <v>350</v>
      </c>
      <c r="W415" s="4" t="s">
        <v>42</v>
      </c>
      <c r="X415" s="4">
        <v>511.3</v>
      </c>
      <c r="Y415" s="4">
        <v>6</v>
      </c>
      <c r="AA415" s="4" t="s">
        <v>49</v>
      </c>
      <c r="AB415" s="4">
        <v>0</v>
      </c>
      <c r="AC415" s="4" t="s">
        <v>49</v>
      </c>
      <c r="AD415" s="4">
        <v>0</v>
      </c>
      <c r="AE415" s="4" t="s">
        <v>49</v>
      </c>
      <c r="AF415" s="4">
        <v>0</v>
      </c>
      <c r="AG415" s="4" t="s">
        <v>774</v>
      </c>
      <c r="AH415" s="4" t="s">
        <v>772</v>
      </c>
      <c r="AI415" s="4" t="s">
        <v>64</v>
      </c>
      <c r="AJ415" s="13">
        <v>10</v>
      </c>
      <c r="AK415" s="13">
        <v>20</v>
      </c>
      <c r="AP415" s="13" t="s">
        <v>49</v>
      </c>
      <c r="AQ415" s="13" t="s">
        <v>49</v>
      </c>
      <c r="AR415" s="13" t="s">
        <v>49</v>
      </c>
      <c r="AS415" s="13" t="s">
        <v>50</v>
      </c>
      <c r="AT415" s="13" t="s">
        <v>990</v>
      </c>
      <c r="AU415" s="13" t="s">
        <v>998</v>
      </c>
      <c r="AV415" s="14">
        <f>1.18/1000</f>
        <v>1.1799999999999998E-3</v>
      </c>
      <c r="AW415" s="14">
        <f>2.64/1000</f>
        <v>2.64E-3</v>
      </c>
      <c r="AX415" s="14">
        <f>Table1347456[[#This Row],[treatment_mean]]/Table1347456[[#This Row],[control_mean]]</f>
        <v>0.44696969696969691</v>
      </c>
      <c r="AY415" s="14">
        <f>LN(Table1347456[[#This Row],[rr]])</f>
        <v>-0.80526447868065154</v>
      </c>
      <c r="AZ415" s="13">
        <v>18</v>
      </c>
      <c r="BA415" s="13">
        <v>18</v>
      </c>
      <c r="BB415" s="14" t="s">
        <v>46</v>
      </c>
      <c r="BC415" s="14" t="s">
        <v>46</v>
      </c>
      <c r="BD415" s="15" t="s">
        <v>46</v>
      </c>
      <c r="BE415" s="14" t="s">
        <v>46</v>
      </c>
      <c r="BF41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15" s="17" t="s">
        <v>46</v>
      </c>
      <c r="BH415" s="13" t="s">
        <v>50</v>
      </c>
      <c r="BI415" s="13">
        <v>2.5000000000000001E-2</v>
      </c>
      <c r="BJ415" s="18">
        <f>ABS(_xlfn.NORM.S.INV(Table1347456[[#This Row],[p_value]]/2))</f>
        <v>2.2414027276049446</v>
      </c>
      <c r="BK415" s="19">
        <f>(Table1347456[[#This Row],[lnrr]]/Table1347456[[#This Row],[z_from_p]])^2</f>
        <v>0.12907356107352397</v>
      </c>
      <c r="BL415" s="16">
        <f>Table1347456[[#This Row],[v_from_z_from_p]]</f>
        <v>0.12907356107352397</v>
      </c>
      <c r="BM415" s="20">
        <f>SQRT(Table1347456[[#This Row],[v]])</f>
        <v>0.35926809080897232</v>
      </c>
      <c r="BN415" s="20">
        <f>Table1347456[[#This Row],[lnrr]]-(1.96*Table1347456[[#This Row],[se]])</f>
        <v>-1.5094299366662374</v>
      </c>
      <c r="BO415" s="20">
        <f>Table1347456[[#This Row],[lnrr]]+(1.96 * Table1347456[[#This Row],[se]])</f>
        <v>-0.10109902069506582</v>
      </c>
    </row>
    <row r="416" spans="1:67">
      <c r="A416" s="13" t="s">
        <v>171</v>
      </c>
      <c r="B416" s="13" t="s">
        <v>172</v>
      </c>
      <c r="C416" s="13" t="s">
        <v>43</v>
      </c>
      <c r="D416" s="13" t="s">
        <v>96</v>
      </c>
      <c r="E416" s="13" t="s">
        <v>97</v>
      </c>
      <c r="F416" s="13" t="s">
        <v>588</v>
      </c>
      <c r="G416" s="13" t="s">
        <v>46</v>
      </c>
      <c r="H416" s="13">
        <v>24.7</v>
      </c>
      <c r="I416" s="13">
        <v>1318</v>
      </c>
      <c r="K416" s="13" t="s">
        <v>845</v>
      </c>
      <c r="L416" s="13" t="s">
        <v>846</v>
      </c>
      <c r="N416" s="13" t="s">
        <v>639</v>
      </c>
      <c r="O416" s="13" t="s">
        <v>54</v>
      </c>
      <c r="P416" s="13" t="s">
        <v>483</v>
      </c>
      <c r="Q416" s="13" t="s">
        <v>48</v>
      </c>
      <c r="R416" s="4">
        <v>3</v>
      </c>
      <c r="S416" s="13" t="s">
        <v>594</v>
      </c>
      <c r="T416" s="13">
        <v>120</v>
      </c>
      <c r="U416" s="4" t="s">
        <v>173</v>
      </c>
      <c r="V416" s="4">
        <v>350</v>
      </c>
      <c r="W416" s="4" t="s">
        <v>42</v>
      </c>
      <c r="X416" s="4">
        <v>511.3</v>
      </c>
      <c r="Y416" s="4">
        <v>12</v>
      </c>
      <c r="AA416" s="4" t="s">
        <v>49</v>
      </c>
      <c r="AB416" s="4">
        <v>0</v>
      </c>
      <c r="AC416" s="4" t="s">
        <v>49</v>
      </c>
      <c r="AD416" s="4">
        <v>0</v>
      </c>
      <c r="AE416" s="4" t="s">
        <v>49</v>
      </c>
      <c r="AF416" s="4">
        <v>0</v>
      </c>
      <c r="AG416" s="4" t="s">
        <v>774</v>
      </c>
      <c r="AH416" s="4" t="s">
        <v>772</v>
      </c>
      <c r="AI416" s="4" t="s">
        <v>64</v>
      </c>
      <c r="AJ416" s="13">
        <v>10</v>
      </c>
      <c r="AK416" s="13">
        <v>20</v>
      </c>
      <c r="AP416" s="13" t="s">
        <v>49</v>
      </c>
      <c r="AQ416" s="13" t="s">
        <v>49</v>
      </c>
      <c r="AR416" s="13" t="s">
        <v>49</v>
      </c>
      <c r="AS416" s="13" t="s">
        <v>50</v>
      </c>
      <c r="AT416" s="13" t="s">
        <v>990</v>
      </c>
      <c r="AU416" s="13" t="s">
        <v>998</v>
      </c>
      <c r="AV416" s="14">
        <f>1.63/1000</f>
        <v>1.6299999999999999E-3</v>
      </c>
      <c r="AW416" s="14">
        <f>2.64/1000</f>
        <v>2.64E-3</v>
      </c>
      <c r="AX416" s="14">
        <f>Table1347456[[#This Row],[treatment_mean]]/Table1347456[[#This Row],[control_mean]]</f>
        <v>0.61742424242424243</v>
      </c>
      <c r="AY416" s="14">
        <f>LN(Table1347456[[#This Row],[rr]])</f>
        <v>-0.48219890233955381</v>
      </c>
      <c r="AZ416" s="13">
        <v>18</v>
      </c>
      <c r="BA416" s="13">
        <v>18</v>
      </c>
      <c r="BB416" s="14" t="s">
        <v>46</v>
      </c>
      <c r="BC416" s="14" t="s">
        <v>46</v>
      </c>
      <c r="BD416" s="15" t="s">
        <v>46</v>
      </c>
      <c r="BE416" s="14" t="s">
        <v>46</v>
      </c>
      <c r="BF41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16" s="17" t="s">
        <v>46</v>
      </c>
      <c r="BH416" s="13" t="s">
        <v>50</v>
      </c>
      <c r="BI416" s="13">
        <v>2.5000000000000001E-2</v>
      </c>
      <c r="BJ416" s="18">
        <f>ABS(_xlfn.NORM.S.INV(Table1347456[[#This Row],[p_value]]/2))</f>
        <v>2.2414027276049446</v>
      </c>
      <c r="BK416" s="19">
        <f>(Table1347456[[#This Row],[lnrr]]/Table1347456[[#This Row],[z_from_p]])^2</f>
        <v>4.6282055912127092E-2</v>
      </c>
      <c r="BL416" s="16">
        <f>Table1347456[[#This Row],[v_from_z_from_p]]</f>
        <v>4.6282055912127092E-2</v>
      </c>
      <c r="BM416" s="20">
        <f>SQRT(Table1347456[[#This Row],[v]])</f>
        <v>0.21513264724845249</v>
      </c>
      <c r="BN416" s="20">
        <f>Table1347456[[#This Row],[lnrr]]-(1.96*Table1347456[[#This Row],[se]])</f>
        <v>-0.90385889094652061</v>
      </c>
      <c r="BO416" s="20">
        <f>Table1347456[[#This Row],[lnrr]]+(1.96 * Table1347456[[#This Row],[se]])</f>
        <v>-6.0538913732586963E-2</v>
      </c>
    </row>
    <row r="417" spans="1:67">
      <c r="A417" s="13" t="s">
        <v>171</v>
      </c>
      <c r="B417" s="13" t="s">
        <v>172</v>
      </c>
      <c r="C417" s="13" t="s">
        <v>43</v>
      </c>
      <c r="D417" s="13" t="s">
        <v>96</v>
      </c>
      <c r="E417" s="13" t="s">
        <v>97</v>
      </c>
      <c r="F417" s="13" t="s">
        <v>588</v>
      </c>
      <c r="G417" s="13" t="s">
        <v>46</v>
      </c>
      <c r="H417" s="13">
        <v>24.7</v>
      </c>
      <c r="I417" s="13">
        <v>1318</v>
      </c>
      <c r="K417" s="13" t="s">
        <v>845</v>
      </c>
      <c r="L417" s="13" t="s">
        <v>846</v>
      </c>
      <c r="N417" s="13" t="s">
        <v>639</v>
      </c>
      <c r="O417" s="13" t="s">
        <v>54</v>
      </c>
      <c r="P417" s="13" t="s">
        <v>483</v>
      </c>
      <c r="Q417" s="13" t="s">
        <v>48</v>
      </c>
      <c r="R417" s="4">
        <v>3</v>
      </c>
      <c r="S417" s="13" t="s">
        <v>594</v>
      </c>
      <c r="T417" s="13">
        <v>120</v>
      </c>
      <c r="U417" s="4" t="s">
        <v>173</v>
      </c>
      <c r="V417" s="4">
        <v>350</v>
      </c>
      <c r="W417" s="4" t="s">
        <v>42</v>
      </c>
      <c r="X417" s="4">
        <v>511.3</v>
      </c>
      <c r="Y417" s="4">
        <v>3</v>
      </c>
      <c r="AA417" s="4" t="s">
        <v>50</v>
      </c>
      <c r="AB417" s="4">
        <v>30</v>
      </c>
      <c r="AC417" s="4" t="s">
        <v>49</v>
      </c>
      <c r="AD417" s="4">
        <v>0</v>
      </c>
      <c r="AE417" s="4" t="s">
        <v>49</v>
      </c>
      <c r="AF417" s="4">
        <v>0</v>
      </c>
      <c r="AG417" s="4" t="s">
        <v>774</v>
      </c>
      <c r="AH417" s="4" t="s">
        <v>772</v>
      </c>
      <c r="AI417" s="4" t="s">
        <v>64</v>
      </c>
      <c r="AJ417" s="13">
        <v>10</v>
      </c>
      <c r="AK417" s="13">
        <v>20</v>
      </c>
      <c r="AP417" s="13" t="s">
        <v>49</v>
      </c>
      <c r="AQ417" s="13" t="s">
        <v>49</v>
      </c>
      <c r="AR417" s="13" t="s">
        <v>49</v>
      </c>
      <c r="AS417" s="13" t="s">
        <v>50</v>
      </c>
      <c r="AT417" s="13" t="s">
        <v>992</v>
      </c>
      <c r="AU417" s="4" t="s">
        <v>1000</v>
      </c>
      <c r="AV417" s="14">
        <f>1.95/1000</f>
        <v>1.9499999999999999E-3</v>
      </c>
      <c r="AW417" s="14">
        <f>1.61/1000</f>
        <v>1.6100000000000001E-3</v>
      </c>
      <c r="AX417" s="14">
        <f>Table1347456[[#This Row],[treatment_mean]]/Table1347456[[#This Row],[control_mean]]</f>
        <v>1.2111801242236024</v>
      </c>
      <c r="AY417" s="14">
        <f>LN(Table1347456[[#This Row],[rr]])</f>
        <v>0.19159519357928376</v>
      </c>
      <c r="AZ417" s="13">
        <v>18</v>
      </c>
      <c r="BA417" s="13">
        <v>18</v>
      </c>
      <c r="BB417" s="14" t="s">
        <v>46</v>
      </c>
      <c r="BC417" s="14" t="s">
        <v>46</v>
      </c>
      <c r="BD417" s="15" t="s">
        <v>46</v>
      </c>
      <c r="BE417" s="14" t="s">
        <v>46</v>
      </c>
      <c r="BF41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17" s="17" t="s">
        <v>46</v>
      </c>
      <c r="BH417" s="13" t="s">
        <v>50</v>
      </c>
      <c r="BI417" s="13">
        <v>2.5000000000000001E-2</v>
      </c>
      <c r="BJ417" s="18">
        <f>ABS(_xlfn.NORM.S.INV(Table1347456[[#This Row],[p_value]]/2))</f>
        <v>2.2414027276049446</v>
      </c>
      <c r="BK417" s="19">
        <f>(Table1347456[[#This Row],[lnrr]]/Table1347456[[#This Row],[z_from_p]])^2</f>
        <v>7.3068371443945684E-3</v>
      </c>
      <c r="BL417" s="16">
        <f>Table1347456[[#This Row],[v_from_z_from_p]]</f>
        <v>7.3068371443945684E-3</v>
      </c>
      <c r="BM417" s="20">
        <f>SQRT(Table1347456[[#This Row],[v]])</f>
        <v>8.5480039450122905E-2</v>
      </c>
      <c r="BN417" s="20">
        <f>Table1347456[[#This Row],[lnrr]]-(1.96*Table1347456[[#This Row],[se]])</f>
        <v>2.4054316257042879E-2</v>
      </c>
      <c r="BO417" s="20">
        <f>Table1347456[[#This Row],[lnrr]]+(1.96 * Table1347456[[#This Row],[se]])</f>
        <v>0.35913607090152466</v>
      </c>
    </row>
    <row r="418" spans="1:67">
      <c r="A418" s="13" t="s">
        <v>171</v>
      </c>
      <c r="B418" s="13" t="s">
        <v>172</v>
      </c>
      <c r="C418" s="13" t="s">
        <v>43</v>
      </c>
      <c r="D418" s="13" t="s">
        <v>96</v>
      </c>
      <c r="E418" s="13" t="s">
        <v>97</v>
      </c>
      <c r="F418" s="13" t="s">
        <v>588</v>
      </c>
      <c r="G418" s="13" t="s">
        <v>46</v>
      </c>
      <c r="H418" s="13">
        <v>24.7</v>
      </c>
      <c r="I418" s="13">
        <v>1318</v>
      </c>
      <c r="K418" s="13" t="s">
        <v>845</v>
      </c>
      <c r="L418" s="13" t="s">
        <v>846</v>
      </c>
      <c r="N418" s="13" t="s">
        <v>639</v>
      </c>
      <c r="O418" s="13" t="s">
        <v>54</v>
      </c>
      <c r="P418" s="13" t="s">
        <v>483</v>
      </c>
      <c r="Q418" s="13" t="s">
        <v>48</v>
      </c>
      <c r="R418" s="4">
        <v>3</v>
      </c>
      <c r="S418" s="13" t="s">
        <v>594</v>
      </c>
      <c r="T418" s="13">
        <v>120</v>
      </c>
      <c r="U418" s="4" t="s">
        <v>173</v>
      </c>
      <c r="V418" s="4">
        <v>350</v>
      </c>
      <c r="W418" s="4" t="s">
        <v>42</v>
      </c>
      <c r="X418" s="4">
        <v>511.3</v>
      </c>
      <c r="Y418" s="4">
        <v>6</v>
      </c>
      <c r="AA418" s="4" t="s">
        <v>50</v>
      </c>
      <c r="AB418" s="4">
        <v>60</v>
      </c>
      <c r="AC418" s="4" t="s">
        <v>49</v>
      </c>
      <c r="AD418" s="4">
        <v>0</v>
      </c>
      <c r="AE418" s="4" t="s">
        <v>49</v>
      </c>
      <c r="AF418" s="4">
        <v>0</v>
      </c>
      <c r="AG418" s="4" t="s">
        <v>774</v>
      </c>
      <c r="AH418" s="4" t="s">
        <v>772</v>
      </c>
      <c r="AI418" s="4" t="s">
        <v>64</v>
      </c>
      <c r="AJ418" s="13">
        <v>10</v>
      </c>
      <c r="AK418" s="13">
        <v>20</v>
      </c>
      <c r="AP418" s="13" t="s">
        <v>49</v>
      </c>
      <c r="AQ418" s="13" t="s">
        <v>49</v>
      </c>
      <c r="AR418" s="13" t="s">
        <v>49</v>
      </c>
      <c r="AS418" s="13" t="s">
        <v>50</v>
      </c>
      <c r="AT418" s="13" t="s">
        <v>992</v>
      </c>
      <c r="AU418" s="4" t="s">
        <v>1000</v>
      </c>
      <c r="AV418" s="14">
        <f>2.22/1000</f>
        <v>2.2200000000000002E-3</v>
      </c>
      <c r="AW418" s="14">
        <f>1.61/1000</f>
        <v>1.6100000000000001E-3</v>
      </c>
      <c r="AX418" s="14">
        <f>Table1347456[[#This Row],[treatment_mean]]/Table1347456[[#This Row],[control_mean]]</f>
        <v>1.3788819875776397</v>
      </c>
      <c r="AY418" s="14">
        <f>LN(Table1347456[[#This Row],[rr]])</f>
        <v>0.3212730168878164</v>
      </c>
      <c r="AZ418" s="13">
        <v>18</v>
      </c>
      <c r="BA418" s="13">
        <v>18</v>
      </c>
      <c r="BB418" s="14" t="s">
        <v>46</v>
      </c>
      <c r="BC418" s="14" t="s">
        <v>46</v>
      </c>
      <c r="BD418" s="15" t="s">
        <v>46</v>
      </c>
      <c r="BE418" s="14" t="s">
        <v>46</v>
      </c>
      <c r="BF41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18" s="17" t="s">
        <v>46</v>
      </c>
      <c r="BH418" s="13" t="s">
        <v>50</v>
      </c>
      <c r="BI418" s="13">
        <v>2.5000000000000001E-2</v>
      </c>
      <c r="BJ418" s="18">
        <f>ABS(_xlfn.NORM.S.INV(Table1347456[[#This Row],[p_value]]/2))</f>
        <v>2.2414027276049446</v>
      </c>
      <c r="BK418" s="19">
        <f>(Table1347456[[#This Row],[lnrr]]/Table1347456[[#This Row],[z_from_p]])^2</f>
        <v>2.0545121352632624E-2</v>
      </c>
      <c r="BL418" s="16">
        <f>Table1347456[[#This Row],[v_from_z_from_p]]</f>
        <v>2.0545121352632624E-2</v>
      </c>
      <c r="BM418" s="20">
        <f>SQRT(Table1347456[[#This Row],[v]])</f>
        <v>0.14333569462151646</v>
      </c>
      <c r="BN418" s="20">
        <f>Table1347456[[#This Row],[lnrr]]-(1.96*Table1347456[[#This Row],[se]])</f>
        <v>4.0335055429644162E-2</v>
      </c>
      <c r="BO418" s="20">
        <f>Table1347456[[#This Row],[lnrr]]+(1.96 * Table1347456[[#This Row],[se]])</f>
        <v>0.60221097834598858</v>
      </c>
    </row>
    <row r="419" spans="1:67">
      <c r="A419" s="13" t="s">
        <v>171</v>
      </c>
      <c r="B419" s="13" t="s">
        <v>172</v>
      </c>
      <c r="C419" s="13" t="s">
        <v>43</v>
      </c>
      <c r="D419" s="13" t="s">
        <v>96</v>
      </c>
      <c r="E419" s="13" t="s">
        <v>97</v>
      </c>
      <c r="F419" s="13" t="s">
        <v>588</v>
      </c>
      <c r="G419" s="13" t="s">
        <v>46</v>
      </c>
      <c r="H419" s="13">
        <v>24.7</v>
      </c>
      <c r="I419" s="13">
        <v>1318</v>
      </c>
      <c r="K419" s="13" t="s">
        <v>845</v>
      </c>
      <c r="L419" s="13" t="s">
        <v>846</v>
      </c>
      <c r="N419" s="13" t="s">
        <v>639</v>
      </c>
      <c r="O419" s="13" t="s">
        <v>54</v>
      </c>
      <c r="P419" s="13" t="s">
        <v>483</v>
      </c>
      <c r="Q419" s="13" t="s">
        <v>48</v>
      </c>
      <c r="R419" s="4">
        <v>3</v>
      </c>
      <c r="S419" s="13" t="s">
        <v>594</v>
      </c>
      <c r="T419" s="13">
        <v>120</v>
      </c>
      <c r="U419" s="4" t="s">
        <v>173</v>
      </c>
      <c r="V419" s="4">
        <v>350</v>
      </c>
      <c r="W419" s="4" t="s">
        <v>42</v>
      </c>
      <c r="X419" s="4">
        <v>511.3</v>
      </c>
      <c r="Y419" s="4">
        <v>12</v>
      </c>
      <c r="AA419" s="4" t="s">
        <v>50</v>
      </c>
      <c r="AB419" s="4">
        <v>90</v>
      </c>
      <c r="AC419" s="4" t="s">
        <v>49</v>
      </c>
      <c r="AD419" s="4">
        <v>0</v>
      </c>
      <c r="AE419" s="4" t="s">
        <v>49</v>
      </c>
      <c r="AF419" s="4">
        <v>0</v>
      </c>
      <c r="AG419" s="4" t="s">
        <v>774</v>
      </c>
      <c r="AH419" s="4" t="s">
        <v>772</v>
      </c>
      <c r="AI419" s="4" t="s">
        <v>64</v>
      </c>
      <c r="AJ419" s="13">
        <v>10</v>
      </c>
      <c r="AK419" s="13">
        <v>20</v>
      </c>
      <c r="AP419" s="13" t="s">
        <v>49</v>
      </c>
      <c r="AQ419" s="13" t="s">
        <v>49</v>
      </c>
      <c r="AR419" s="13" t="s">
        <v>49</v>
      </c>
      <c r="AS419" s="13" t="s">
        <v>50</v>
      </c>
      <c r="AT419" s="13" t="s">
        <v>992</v>
      </c>
      <c r="AU419" s="4" t="s">
        <v>1000</v>
      </c>
      <c r="AV419" s="14">
        <f>2.57/1000</f>
        <v>2.5699999999999998E-3</v>
      </c>
      <c r="AW419" s="14">
        <f>1.61/1000</f>
        <v>1.6100000000000001E-3</v>
      </c>
      <c r="AX419" s="14">
        <f>Table1347456[[#This Row],[treatment_mean]]/Table1347456[[#This Row],[control_mean]]</f>
        <v>1.5962732919254656</v>
      </c>
      <c r="AY419" s="14">
        <f>LN(Table1347456[[#This Row],[rr]])</f>
        <v>0.46767171991075668</v>
      </c>
      <c r="AZ419" s="13">
        <v>18</v>
      </c>
      <c r="BA419" s="13">
        <v>18</v>
      </c>
      <c r="BB419" s="14" t="s">
        <v>46</v>
      </c>
      <c r="BC419" s="14" t="s">
        <v>46</v>
      </c>
      <c r="BD419" s="15" t="s">
        <v>46</v>
      </c>
      <c r="BE419" s="14" t="s">
        <v>46</v>
      </c>
      <c r="BF41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19" s="17" t="s">
        <v>46</v>
      </c>
      <c r="BH419" s="13" t="s">
        <v>50</v>
      </c>
      <c r="BI419" s="13">
        <v>2.5000000000000001E-2</v>
      </c>
      <c r="BJ419" s="18">
        <f>ABS(_xlfn.NORM.S.INV(Table1347456[[#This Row],[p_value]]/2))</f>
        <v>2.2414027276049446</v>
      </c>
      <c r="BK419" s="19">
        <f>(Table1347456[[#This Row],[lnrr]]/Table1347456[[#This Row],[z_from_p]])^2</f>
        <v>4.3535388631322225E-2</v>
      </c>
      <c r="BL419" s="16">
        <f>Table1347456[[#This Row],[v_from_z_from_p]]</f>
        <v>4.3535388631322225E-2</v>
      </c>
      <c r="BM419" s="20">
        <f>SQRT(Table1347456[[#This Row],[v]])</f>
        <v>0.2086513566486502</v>
      </c>
      <c r="BN419" s="20">
        <f>Table1347456[[#This Row],[lnrr]]-(1.96*Table1347456[[#This Row],[se]])</f>
        <v>5.8715060879402314E-2</v>
      </c>
      <c r="BO419" s="20">
        <f>Table1347456[[#This Row],[lnrr]]+(1.96 * Table1347456[[#This Row],[se]])</f>
        <v>0.87662837894211099</v>
      </c>
    </row>
    <row r="420" spans="1:67">
      <c r="A420" s="13" t="s">
        <v>171</v>
      </c>
      <c r="B420" s="13" t="s">
        <v>172</v>
      </c>
      <c r="C420" s="13" t="s">
        <v>43</v>
      </c>
      <c r="D420" s="13" t="s">
        <v>174</v>
      </c>
      <c r="E420" s="13" t="s">
        <v>97</v>
      </c>
      <c r="F420" s="13" t="s">
        <v>588</v>
      </c>
      <c r="G420" s="13" t="s">
        <v>46</v>
      </c>
      <c r="H420" s="13">
        <v>24.7</v>
      </c>
      <c r="I420" s="13">
        <v>1318</v>
      </c>
      <c r="K420" s="13" t="s">
        <v>845</v>
      </c>
      <c r="L420" s="13" t="s">
        <v>846</v>
      </c>
      <c r="N420" s="13" t="s">
        <v>615</v>
      </c>
      <c r="O420" s="13" t="s">
        <v>54</v>
      </c>
      <c r="P420" s="13" t="s">
        <v>483</v>
      </c>
      <c r="Q420" s="13" t="s">
        <v>48</v>
      </c>
      <c r="R420" s="4">
        <v>3</v>
      </c>
      <c r="S420" s="13" t="s">
        <v>594</v>
      </c>
      <c r="T420" s="13">
        <v>120</v>
      </c>
      <c r="U420" s="4" t="s">
        <v>173</v>
      </c>
      <c r="V420" s="4">
        <v>350</v>
      </c>
      <c r="W420" s="4" t="s">
        <v>42</v>
      </c>
      <c r="X420" s="4">
        <v>511.3</v>
      </c>
      <c r="Y420" s="4">
        <v>3</v>
      </c>
      <c r="AA420" s="4" t="s">
        <v>49</v>
      </c>
      <c r="AB420" s="4">
        <v>0</v>
      </c>
      <c r="AC420" s="4" t="s">
        <v>49</v>
      </c>
      <c r="AD420" s="4">
        <v>0</v>
      </c>
      <c r="AE420" s="4" t="s">
        <v>49</v>
      </c>
      <c r="AF420" s="4">
        <v>0</v>
      </c>
      <c r="AG420" s="4" t="s">
        <v>774</v>
      </c>
      <c r="AH420" s="4" t="s">
        <v>773</v>
      </c>
      <c r="AI420" s="4" t="s">
        <v>64</v>
      </c>
      <c r="AJ420" s="13">
        <v>0</v>
      </c>
      <c r="AK420" s="13">
        <v>10</v>
      </c>
      <c r="AP420" s="13" t="s">
        <v>49</v>
      </c>
      <c r="AQ420" s="13" t="s">
        <v>49</v>
      </c>
      <c r="AR420" s="13" t="s">
        <v>49</v>
      </c>
      <c r="AS420" s="13" t="s">
        <v>50</v>
      </c>
      <c r="AT420" s="13" t="s">
        <v>990</v>
      </c>
      <c r="AU420" s="13" t="s">
        <v>998</v>
      </c>
      <c r="AV420" s="14">
        <f>10.07/1000</f>
        <v>1.0070000000000001E-2</v>
      </c>
      <c r="AW420" s="14">
        <f>7.94/1000</f>
        <v>7.9400000000000009E-3</v>
      </c>
      <c r="AX420" s="14">
        <f>Table1347456[[#This Row],[treatment_mean]]/Table1347456[[#This Row],[control_mean]]</f>
        <v>1.2682619647355164</v>
      </c>
      <c r="AY420" s="14">
        <f>LN(Table1347456[[#This Row],[rr]])</f>
        <v>0.23764743147142664</v>
      </c>
      <c r="AZ420" s="13">
        <v>18</v>
      </c>
      <c r="BA420" s="13">
        <v>18</v>
      </c>
      <c r="BB420" s="14" t="s">
        <v>46</v>
      </c>
      <c r="BC420" s="14" t="s">
        <v>46</v>
      </c>
      <c r="BD420" s="15" t="s">
        <v>46</v>
      </c>
      <c r="BE420" s="14" t="s">
        <v>46</v>
      </c>
      <c r="BF42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20" s="17" t="s">
        <v>46</v>
      </c>
      <c r="BH420" s="13" t="s">
        <v>50</v>
      </c>
      <c r="BI420" s="13">
        <v>2.5000000000000001E-2</v>
      </c>
      <c r="BJ420" s="18">
        <f>ABS(_xlfn.NORM.S.INV(Table1347456[[#This Row],[p_value]]/2))</f>
        <v>2.2414027276049446</v>
      </c>
      <c r="BK420" s="19">
        <f>(Table1347456[[#This Row],[lnrr]]/Table1347456[[#This Row],[z_from_p]])^2</f>
        <v>1.1241556750940507E-2</v>
      </c>
      <c r="BL420" s="16">
        <f>Table1347456[[#This Row],[v_from_z_from_p]]</f>
        <v>1.1241556750940507E-2</v>
      </c>
      <c r="BM420" s="20">
        <f>SQRT(Table1347456[[#This Row],[v]])</f>
        <v>0.10602620784947704</v>
      </c>
      <c r="BN420" s="20">
        <f>Table1347456[[#This Row],[lnrr]]-(1.96*Table1347456[[#This Row],[se]])</f>
        <v>2.9836064086451647E-2</v>
      </c>
      <c r="BO420" s="20">
        <f>Table1347456[[#This Row],[lnrr]]+(1.96 * Table1347456[[#This Row],[se]])</f>
        <v>0.44545879885640161</v>
      </c>
    </row>
    <row r="421" spans="1:67">
      <c r="A421" s="13" t="s">
        <v>171</v>
      </c>
      <c r="B421" s="13" t="s">
        <v>172</v>
      </c>
      <c r="C421" s="13" t="s">
        <v>43</v>
      </c>
      <c r="D421" s="13" t="s">
        <v>174</v>
      </c>
      <c r="E421" s="13" t="s">
        <v>97</v>
      </c>
      <c r="F421" s="13" t="s">
        <v>588</v>
      </c>
      <c r="G421" s="13" t="s">
        <v>46</v>
      </c>
      <c r="H421" s="13">
        <v>24.7</v>
      </c>
      <c r="I421" s="13">
        <v>1318</v>
      </c>
      <c r="K421" s="13" t="s">
        <v>845</v>
      </c>
      <c r="L421" s="13" t="s">
        <v>846</v>
      </c>
      <c r="N421" s="13" t="s">
        <v>615</v>
      </c>
      <c r="O421" s="13" t="s">
        <v>54</v>
      </c>
      <c r="P421" s="13" t="s">
        <v>483</v>
      </c>
      <c r="Q421" s="13" t="s">
        <v>48</v>
      </c>
      <c r="R421" s="4">
        <v>3</v>
      </c>
      <c r="S421" s="13" t="s">
        <v>594</v>
      </c>
      <c r="T421" s="13">
        <v>120</v>
      </c>
      <c r="U421" s="4" t="s">
        <v>173</v>
      </c>
      <c r="V421" s="4">
        <v>350</v>
      </c>
      <c r="W421" s="4" t="s">
        <v>42</v>
      </c>
      <c r="X421" s="4">
        <v>511.3</v>
      </c>
      <c r="Y421" s="4">
        <v>6</v>
      </c>
      <c r="AA421" s="4" t="s">
        <v>49</v>
      </c>
      <c r="AB421" s="4">
        <v>0</v>
      </c>
      <c r="AC421" s="4" t="s">
        <v>49</v>
      </c>
      <c r="AD421" s="4">
        <v>0</v>
      </c>
      <c r="AE421" s="4" t="s">
        <v>49</v>
      </c>
      <c r="AF421" s="4">
        <v>0</v>
      </c>
      <c r="AG421" s="4" t="s">
        <v>774</v>
      </c>
      <c r="AH421" s="4" t="s">
        <v>773</v>
      </c>
      <c r="AI421" s="4" t="s">
        <v>64</v>
      </c>
      <c r="AJ421" s="13">
        <v>0</v>
      </c>
      <c r="AK421" s="13">
        <v>10</v>
      </c>
      <c r="AP421" s="13" t="s">
        <v>49</v>
      </c>
      <c r="AQ421" s="13" t="s">
        <v>49</v>
      </c>
      <c r="AR421" s="13" t="s">
        <v>49</v>
      </c>
      <c r="AS421" s="13" t="s">
        <v>50</v>
      </c>
      <c r="AT421" s="13" t="s">
        <v>990</v>
      </c>
      <c r="AU421" s="13" t="s">
        <v>998</v>
      </c>
      <c r="AV421" s="14">
        <f>12.43/1000</f>
        <v>1.243E-2</v>
      </c>
      <c r="AW421" s="14">
        <f>7.94/1000</f>
        <v>7.9400000000000009E-3</v>
      </c>
      <c r="AX421" s="14">
        <f>Table1347456[[#This Row],[treatment_mean]]/Table1347456[[#This Row],[control_mean]]</f>
        <v>1.565491183879093</v>
      </c>
      <c r="AY421" s="14">
        <f>LN(Table1347456[[#This Row],[rr]])</f>
        <v>0.44819963026357529</v>
      </c>
      <c r="AZ421" s="13">
        <v>18</v>
      </c>
      <c r="BA421" s="13">
        <v>18</v>
      </c>
      <c r="BB421" s="14" t="s">
        <v>46</v>
      </c>
      <c r="BC421" s="14" t="s">
        <v>46</v>
      </c>
      <c r="BD421" s="15" t="s">
        <v>46</v>
      </c>
      <c r="BE421" s="14" t="s">
        <v>46</v>
      </c>
      <c r="BF42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21" s="17" t="s">
        <v>46</v>
      </c>
      <c r="BH421" s="13" t="s">
        <v>50</v>
      </c>
      <c r="BI421" s="13">
        <v>2.5000000000000001E-2</v>
      </c>
      <c r="BJ421" s="18">
        <f>ABS(_xlfn.NORM.S.INV(Table1347456[[#This Row],[p_value]]/2))</f>
        <v>2.2414027276049446</v>
      </c>
      <c r="BK421" s="19">
        <f>(Table1347456[[#This Row],[lnrr]]/Table1347456[[#This Row],[z_from_p]])^2</f>
        <v>3.9985561192772835E-2</v>
      </c>
      <c r="BL421" s="16">
        <f>Table1347456[[#This Row],[v_from_z_from_p]]</f>
        <v>3.9985561192772835E-2</v>
      </c>
      <c r="BM421" s="20">
        <f>SQRT(Table1347456[[#This Row],[v]])</f>
        <v>0.19996389972385725</v>
      </c>
      <c r="BN421" s="20">
        <f>Table1347456[[#This Row],[lnrr]]-(1.96*Table1347456[[#This Row],[se]])</f>
        <v>5.6270386804815054E-2</v>
      </c>
      <c r="BO421" s="20">
        <f>Table1347456[[#This Row],[lnrr]]+(1.96 * Table1347456[[#This Row],[se]])</f>
        <v>0.84012887372233558</v>
      </c>
    </row>
    <row r="422" spans="1:67">
      <c r="A422" s="13" t="s">
        <v>171</v>
      </c>
      <c r="B422" s="13" t="s">
        <v>172</v>
      </c>
      <c r="C422" s="13" t="s">
        <v>43</v>
      </c>
      <c r="D422" s="13" t="s">
        <v>174</v>
      </c>
      <c r="E422" s="13" t="s">
        <v>97</v>
      </c>
      <c r="F422" s="13" t="s">
        <v>588</v>
      </c>
      <c r="G422" s="13" t="s">
        <v>46</v>
      </c>
      <c r="H422" s="13">
        <v>24.7</v>
      </c>
      <c r="I422" s="13">
        <v>1318</v>
      </c>
      <c r="K422" s="13" t="s">
        <v>845</v>
      </c>
      <c r="L422" s="13" t="s">
        <v>846</v>
      </c>
      <c r="N422" s="13" t="s">
        <v>615</v>
      </c>
      <c r="O422" s="13" t="s">
        <v>54</v>
      </c>
      <c r="P422" s="13" t="s">
        <v>483</v>
      </c>
      <c r="Q422" s="13" t="s">
        <v>48</v>
      </c>
      <c r="R422" s="4">
        <v>3</v>
      </c>
      <c r="S422" s="13" t="s">
        <v>594</v>
      </c>
      <c r="T422" s="13">
        <v>120</v>
      </c>
      <c r="U422" s="4" t="s">
        <v>173</v>
      </c>
      <c r="V422" s="4">
        <v>350</v>
      </c>
      <c r="W422" s="4" t="s">
        <v>42</v>
      </c>
      <c r="X422" s="4">
        <v>511.3</v>
      </c>
      <c r="Y422" s="4">
        <v>12</v>
      </c>
      <c r="AA422" s="4" t="s">
        <v>49</v>
      </c>
      <c r="AB422" s="4">
        <v>0</v>
      </c>
      <c r="AC422" s="4" t="s">
        <v>49</v>
      </c>
      <c r="AD422" s="4">
        <v>0</v>
      </c>
      <c r="AE422" s="4" t="s">
        <v>49</v>
      </c>
      <c r="AF422" s="4">
        <v>0</v>
      </c>
      <c r="AG422" s="4" t="s">
        <v>774</v>
      </c>
      <c r="AH422" s="4" t="s">
        <v>773</v>
      </c>
      <c r="AI422" s="4" t="s">
        <v>64</v>
      </c>
      <c r="AJ422" s="13">
        <v>0</v>
      </c>
      <c r="AK422" s="13">
        <v>10</v>
      </c>
      <c r="AP422" s="13" t="s">
        <v>49</v>
      </c>
      <c r="AQ422" s="13" t="s">
        <v>49</v>
      </c>
      <c r="AR422" s="13" t="s">
        <v>49</v>
      </c>
      <c r="AS422" s="13" t="s">
        <v>50</v>
      </c>
      <c r="AT422" s="13" t="s">
        <v>990</v>
      </c>
      <c r="AU422" s="13" t="s">
        <v>998</v>
      </c>
      <c r="AV422" s="14">
        <f>14.09/1000</f>
        <v>1.409E-2</v>
      </c>
      <c r="AW422" s="14">
        <f>7.94/1000</f>
        <v>7.9400000000000009E-3</v>
      </c>
      <c r="AX422" s="14">
        <f>Table1347456[[#This Row],[treatment_mean]]/Table1347456[[#This Row],[control_mean]]</f>
        <v>1.7745591939546597</v>
      </c>
      <c r="AY422" s="14">
        <f>LN(Table1347456[[#This Row],[rr]])</f>
        <v>0.57355205065154435</v>
      </c>
      <c r="AZ422" s="13">
        <v>18</v>
      </c>
      <c r="BA422" s="13">
        <v>18</v>
      </c>
      <c r="BB422" s="14" t="s">
        <v>46</v>
      </c>
      <c r="BC422" s="14" t="s">
        <v>46</v>
      </c>
      <c r="BD422" s="15" t="s">
        <v>46</v>
      </c>
      <c r="BE422" s="14" t="s">
        <v>46</v>
      </c>
      <c r="BF42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22" s="17" t="s">
        <v>46</v>
      </c>
      <c r="BH422" s="13" t="s">
        <v>50</v>
      </c>
      <c r="BI422" s="13">
        <v>2.5000000000000001E-2</v>
      </c>
      <c r="BJ422" s="18">
        <f>ABS(_xlfn.NORM.S.INV(Table1347456[[#This Row],[p_value]]/2))</f>
        <v>2.2414027276049446</v>
      </c>
      <c r="BK422" s="19">
        <f>(Table1347456[[#This Row],[lnrr]]/Table1347456[[#This Row],[z_from_p]])^2</f>
        <v>6.5479579461256043E-2</v>
      </c>
      <c r="BL422" s="16">
        <f>Table1347456[[#This Row],[v_from_z_from_p]]</f>
        <v>6.5479579461256043E-2</v>
      </c>
      <c r="BM422" s="20">
        <f>SQRT(Table1347456[[#This Row],[v]])</f>
        <v>0.25588977990778772</v>
      </c>
      <c r="BN422" s="20">
        <f>Table1347456[[#This Row],[lnrr]]-(1.96*Table1347456[[#This Row],[se]])</f>
        <v>7.2008082032280485E-2</v>
      </c>
      <c r="BO422" s="20">
        <f>Table1347456[[#This Row],[lnrr]]+(1.96 * Table1347456[[#This Row],[se]])</f>
        <v>1.0750960192708083</v>
      </c>
    </row>
    <row r="423" spans="1:67">
      <c r="A423" s="13" t="s">
        <v>171</v>
      </c>
      <c r="B423" s="13" t="s">
        <v>172</v>
      </c>
      <c r="C423" s="13" t="s">
        <v>43</v>
      </c>
      <c r="D423" s="13" t="s">
        <v>174</v>
      </c>
      <c r="E423" s="13" t="s">
        <v>97</v>
      </c>
      <c r="F423" s="13" t="s">
        <v>588</v>
      </c>
      <c r="G423" s="13" t="s">
        <v>46</v>
      </c>
      <c r="H423" s="13">
        <v>24.7</v>
      </c>
      <c r="I423" s="13">
        <v>1318</v>
      </c>
      <c r="K423" s="13" t="s">
        <v>845</v>
      </c>
      <c r="L423" s="13" t="s">
        <v>846</v>
      </c>
      <c r="N423" s="13" t="s">
        <v>615</v>
      </c>
      <c r="O423" s="13" t="s">
        <v>54</v>
      </c>
      <c r="P423" s="13" t="s">
        <v>483</v>
      </c>
      <c r="Q423" s="13" t="s">
        <v>48</v>
      </c>
      <c r="R423" s="4">
        <v>3</v>
      </c>
      <c r="S423" s="13" t="s">
        <v>594</v>
      </c>
      <c r="T423" s="13">
        <v>120</v>
      </c>
      <c r="U423" s="4" t="s">
        <v>173</v>
      </c>
      <c r="V423" s="4">
        <v>350</v>
      </c>
      <c r="W423" s="4" t="s">
        <v>42</v>
      </c>
      <c r="X423" s="4">
        <v>511.3</v>
      </c>
      <c r="Y423" s="4">
        <v>3</v>
      </c>
      <c r="AA423" s="4" t="s">
        <v>50</v>
      </c>
      <c r="AB423" s="4">
        <v>30</v>
      </c>
      <c r="AC423" s="4" t="s">
        <v>49</v>
      </c>
      <c r="AD423" s="4">
        <v>0</v>
      </c>
      <c r="AE423" s="4" t="s">
        <v>49</v>
      </c>
      <c r="AF423" s="4">
        <v>0</v>
      </c>
      <c r="AG423" s="4" t="s">
        <v>774</v>
      </c>
      <c r="AH423" s="4" t="s">
        <v>773</v>
      </c>
      <c r="AI423" s="4" t="s">
        <v>64</v>
      </c>
      <c r="AJ423" s="13">
        <v>0</v>
      </c>
      <c r="AK423" s="13">
        <v>10</v>
      </c>
      <c r="AP423" s="13" t="s">
        <v>49</v>
      </c>
      <c r="AQ423" s="13" t="s">
        <v>49</v>
      </c>
      <c r="AR423" s="13" t="s">
        <v>49</v>
      </c>
      <c r="AS423" s="13" t="s">
        <v>50</v>
      </c>
      <c r="AT423" s="13" t="s">
        <v>992</v>
      </c>
      <c r="AU423" s="4" t="s">
        <v>1000</v>
      </c>
      <c r="AV423" s="14">
        <f>13.06/1000</f>
        <v>1.306E-2</v>
      </c>
      <c r="AW423" s="14">
        <f>8.3/1000</f>
        <v>8.3000000000000001E-3</v>
      </c>
      <c r="AX423" s="14">
        <f>Table1347456[[#This Row],[treatment_mean]]/Table1347456[[#This Row],[control_mean]]</f>
        <v>1.5734939759036144</v>
      </c>
      <c r="AY423" s="14">
        <f>LN(Table1347456[[#This Row],[rr]])</f>
        <v>0.45329860904573271</v>
      </c>
      <c r="AZ423" s="13">
        <v>18</v>
      </c>
      <c r="BA423" s="13">
        <v>18</v>
      </c>
      <c r="BB423" s="14" t="s">
        <v>46</v>
      </c>
      <c r="BC423" s="14" t="s">
        <v>46</v>
      </c>
      <c r="BD423" s="15" t="s">
        <v>46</v>
      </c>
      <c r="BE423" s="14" t="s">
        <v>46</v>
      </c>
      <c r="BF42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23" s="17" t="s">
        <v>46</v>
      </c>
      <c r="BH423" s="13" t="s">
        <v>50</v>
      </c>
      <c r="BI423" s="13">
        <v>2.5000000000000001E-2</v>
      </c>
      <c r="BJ423" s="18">
        <f>ABS(_xlfn.NORM.S.INV(Table1347456[[#This Row],[p_value]]/2))</f>
        <v>2.2414027276049446</v>
      </c>
      <c r="BK423" s="19">
        <f>(Table1347456[[#This Row],[lnrr]]/Table1347456[[#This Row],[z_from_p]])^2</f>
        <v>4.0900534228188526E-2</v>
      </c>
      <c r="BL423" s="16">
        <f>Table1347456[[#This Row],[v_from_z_from_p]]</f>
        <v>4.0900534228188526E-2</v>
      </c>
      <c r="BM423" s="20">
        <f>SQRT(Table1347456[[#This Row],[v]])</f>
        <v>0.20223880495144478</v>
      </c>
      <c r="BN423" s="20">
        <f>Table1347456[[#This Row],[lnrr]]-(1.96*Table1347456[[#This Row],[se]])</f>
        <v>5.691055134090095E-2</v>
      </c>
      <c r="BO423" s="20">
        <f>Table1347456[[#This Row],[lnrr]]+(1.96 * Table1347456[[#This Row],[se]])</f>
        <v>0.84968666675056448</v>
      </c>
    </row>
    <row r="424" spans="1:67">
      <c r="A424" s="13" t="s">
        <v>171</v>
      </c>
      <c r="B424" s="13" t="s">
        <v>172</v>
      </c>
      <c r="C424" s="13" t="s">
        <v>43</v>
      </c>
      <c r="D424" s="13" t="s">
        <v>174</v>
      </c>
      <c r="E424" s="13" t="s">
        <v>97</v>
      </c>
      <c r="F424" s="13" t="s">
        <v>588</v>
      </c>
      <c r="G424" s="13" t="s">
        <v>46</v>
      </c>
      <c r="H424" s="13">
        <v>24.7</v>
      </c>
      <c r="I424" s="13">
        <v>1318</v>
      </c>
      <c r="K424" s="13" t="s">
        <v>845</v>
      </c>
      <c r="L424" s="13" t="s">
        <v>846</v>
      </c>
      <c r="N424" s="13" t="s">
        <v>615</v>
      </c>
      <c r="O424" s="13" t="s">
        <v>54</v>
      </c>
      <c r="P424" s="13" t="s">
        <v>483</v>
      </c>
      <c r="Q424" s="13" t="s">
        <v>48</v>
      </c>
      <c r="R424" s="4">
        <v>3</v>
      </c>
      <c r="S424" s="13" t="s">
        <v>594</v>
      </c>
      <c r="T424" s="13">
        <v>120</v>
      </c>
      <c r="U424" s="4" t="s">
        <v>173</v>
      </c>
      <c r="V424" s="4">
        <v>350</v>
      </c>
      <c r="W424" s="4" t="s">
        <v>42</v>
      </c>
      <c r="X424" s="4">
        <v>511.3</v>
      </c>
      <c r="Y424" s="4">
        <v>6</v>
      </c>
      <c r="AA424" s="4" t="s">
        <v>50</v>
      </c>
      <c r="AB424" s="4">
        <v>60</v>
      </c>
      <c r="AC424" s="4" t="s">
        <v>49</v>
      </c>
      <c r="AD424" s="4">
        <v>0</v>
      </c>
      <c r="AE424" s="4" t="s">
        <v>49</v>
      </c>
      <c r="AF424" s="4">
        <v>0</v>
      </c>
      <c r="AG424" s="4" t="s">
        <v>774</v>
      </c>
      <c r="AH424" s="4" t="s">
        <v>773</v>
      </c>
      <c r="AI424" s="4" t="s">
        <v>64</v>
      </c>
      <c r="AJ424" s="13">
        <v>0</v>
      </c>
      <c r="AK424" s="13">
        <v>10</v>
      </c>
      <c r="AP424" s="13" t="s">
        <v>49</v>
      </c>
      <c r="AQ424" s="13" t="s">
        <v>49</v>
      </c>
      <c r="AR424" s="13" t="s">
        <v>49</v>
      </c>
      <c r="AS424" s="13" t="s">
        <v>50</v>
      </c>
      <c r="AT424" s="13" t="s">
        <v>992</v>
      </c>
      <c r="AU424" s="4" t="s">
        <v>1000</v>
      </c>
      <c r="AV424" s="14">
        <f>11.46/1000</f>
        <v>1.1460000000000001E-2</v>
      </c>
      <c r="AW424" s="14">
        <f>8.3/1000</f>
        <v>8.3000000000000001E-3</v>
      </c>
      <c r="AX424" s="14">
        <f>Table1347456[[#This Row],[treatment_mean]]/Table1347456[[#This Row],[control_mean]]</f>
        <v>1.3807228915662653</v>
      </c>
      <c r="AY424" s="14">
        <f>LN(Table1347456[[#This Row],[rr]])</f>
        <v>0.3226071964840414</v>
      </c>
      <c r="AZ424" s="13">
        <v>18</v>
      </c>
      <c r="BA424" s="13">
        <v>18</v>
      </c>
      <c r="BB424" s="14" t="s">
        <v>46</v>
      </c>
      <c r="BC424" s="14" t="s">
        <v>46</v>
      </c>
      <c r="BD424" s="15" t="s">
        <v>46</v>
      </c>
      <c r="BE424" s="14" t="s">
        <v>46</v>
      </c>
      <c r="BF42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24" s="17" t="s">
        <v>46</v>
      </c>
      <c r="BH424" s="13" t="s">
        <v>50</v>
      </c>
      <c r="BI424" s="13">
        <v>2.5000000000000001E-2</v>
      </c>
      <c r="BJ424" s="18">
        <f>ABS(_xlfn.NORM.S.INV(Table1347456[[#This Row],[p_value]]/2))</f>
        <v>2.2414027276049446</v>
      </c>
      <c r="BK424" s="19">
        <f>(Table1347456[[#This Row],[lnrr]]/Table1347456[[#This Row],[z_from_p]])^2</f>
        <v>2.0716114844734974E-2</v>
      </c>
      <c r="BL424" s="16">
        <f>Table1347456[[#This Row],[v_from_z_from_p]]</f>
        <v>2.0716114844734974E-2</v>
      </c>
      <c r="BM424" s="20">
        <f>SQRT(Table1347456[[#This Row],[v]])</f>
        <v>0.14393093776091009</v>
      </c>
      <c r="BN424" s="20">
        <f>Table1347456[[#This Row],[lnrr]]-(1.96*Table1347456[[#This Row],[se]])</f>
        <v>4.0502558472657602E-2</v>
      </c>
      <c r="BO424" s="20">
        <f>Table1347456[[#This Row],[lnrr]]+(1.96 * Table1347456[[#This Row],[se]])</f>
        <v>0.6047118344954252</v>
      </c>
    </row>
    <row r="425" spans="1:67">
      <c r="A425" s="13" t="s">
        <v>171</v>
      </c>
      <c r="B425" s="13" t="s">
        <v>172</v>
      </c>
      <c r="C425" s="13" t="s">
        <v>43</v>
      </c>
      <c r="D425" s="13" t="s">
        <v>174</v>
      </c>
      <c r="E425" s="13" t="s">
        <v>97</v>
      </c>
      <c r="F425" s="13" t="s">
        <v>588</v>
      </c>
      <c r="G425" s="13" t="s">
        <v>46</v>
      </c>
      <c r="H425" s="13">
        <v>24.7</v>
      </c>
      <c r="I425" s="13">
        <v>1318</v>
      </c>
      <c r="K425" s="13" t="s">
        <v>845</v>
      </c>
      <c r="L425" s="13" t="s">
        <v>846</v>
      </c>
      <c r="N425" s="13" t="s">
        <v>615</v>
      </c>
      <c r="O425" s="13" t="s">
        <v>54</v>
      </c>
      <c r="P425" s="13" t="s">
        <v>483</v>
      </c>
      <c r="Q425" s="13" t="s">
        <v>48</v>
      </c>
      <c r="R425" s="4">
        <v>3</v>
      </c>
      <c r="S425" s="13" t="s">
        <v>594</v>
      </c>
      <c r="T425" s="13">
        <v>120</v>
      </c>
      <c r="U425" s="4" t="s">
        <v>173</v>
      </c>
      <c r="V425" s="4">
        <v>350</v>
      </c>
      <c r="W425" s="4" t="s">
        <v>42</v>
      </c>
      <c r="X425" s="4">
        <v>511.3</v>
      </c>
      <c r="Y425" s="4">
        <v>12</v>
      </c>
      <c r="AA425" s="4" t="s">
        <v>50</v>
      </c>
      <c r="AB425" s="4">
        <v>90</v>
      </c>
      <c r="AC425" s="4" t="s">
        <v>49</v>
      </c>
      <c r="AD425" s="4">
        <v>0</v>
      </c>
      <c r="AE425" s="4" t="s">
        <v>49</v>
      </c>
      <c r="AF425" s="4">
        <v>0</v>
      </c>
      <c r="AG425" s="4" t="s">
        <v>774</v>
      </c>
      <c r="AH425" s="4" t="s">
        <v>773</v>
      </c>
      <c r="AI425" s="4" t="s">
        <v>64</v>
      </c>
      <c r="AJ425" s="13">
        <v>0</v>
      </c>
      <c r="AK425" s="13">
        <v>10</v>
      </c>
      <c r="AP425" s="13" t="s">
        <v>49</v>
      </c>
      <c r="AQ425" s="13" t="s">
        <v>49</v>
      </c>
      <c r="AR425" s="13" t="s">
        <v>49</v>
      </c>
      <c r="AS425" s="13" t="s">
        <v>50</v>
      </c>
      <c r="AT425" s="13" t="s">
        <v>992</v>
      </c>
      <c r="AU425" s="4" t="s">
        <v>1000</v>
      </c>
      <c r="AV425" s="14">
        <f>11.7/1000</f>
        <v>1.1699999999999999E-2</v>
      </c>
      <c r="AW425" s="14">
        <f>8.3/1000</f>
        <v>8.3000000000000001E-3</v>
      </c>
      <c r="AX425" s="14">
        <f>Table1347456[[#This Row],[treatment_mean]]/Table1347456[[#This Row],[control_mean]]</f>
        <v>1.4096385542168672</v>
      </c>
      <c r="AY425" s="14">
        <f>LN(Table1347456[[#This Row],[rr]])</f>
        <v>0.34333332700115804</v>
      </c>
      <c r="AZ425" s="13">
        <v>18</v>
      </c>
      <c r="BA425" s="13">
        <v>18</v>
      </c>
      <c r="BB425" s="14" t="s">
        <v>46</v>
      </c>
      <c r="BC425" s="14" t="s">
        <v>46</v>
      </c>
      <c r="BD425" s="15" t="s">
        <v>46</v>
      </c>
      <c r="BE425" s="14" t="s">
        <v>46</v>
      </c>
      <c r="BF42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25" s="17" t="s">
        <v>46</v>
      </c>
      <c r="BH425" s="13" t="s">
        <v>50</v>
      </c>
      <c r="BI425" s="13">
        <v>2.5000000000000001E-2</v>
      </c>
      <c r="BJ425" s="18">
        <f>ABS(_xlfn.NORM.S.INV(Table1347456[[#This Row],[p_value]]/2))</f>
        <v>2.2414027276049446</v>
      </c>
      <c r="BK425" s="19">
        <f>(Table1347456[[#This Row],[lnrr]]/Table1347456[[#This Row],[z_from_p]])^2</f>
        <v>2.34634641460073E-2</v>
      </c>
      <c r="BL425" s="16">
        <f>Table1347456[[#This Row],[v_from_z_from_p]]</f>
        <v>2.34634641460073E-2</v>
      </c>
      <c r="BM425" s="20">
        <f>SQRT(Table1347456[[#This Row],[v]])</f>
        <v>0.15317788399768192</v>
      </c>
      <c r="BN425" s="20">
        <f>Table1347456[[#This Row],[lnrr]]-(1.96*Table1347456[[#This Row],[se]])</f>
        <v>4.3104674365701479E-2</v>
      </c>
      <c r="BO425" s="20">
        <f>Table1347456[[#This Row],[lnrr]]+(1.96 * Table1347456[[#This Row],[se]])</f>
        <v>0.64356197963661455</v>
      </c>
    </row>
    <row r="426" spans="1:67">
      <c r="A426" s="13" t="s">
        <v>171</v>
      </c>
      <c r="B426" s="13" t="s">
        <v>172</v>
      </c>
      <c r="C426" s="13" t="s">
        <v>43</v>
      </c>
      <c r="D426" s="13" t="s">
        <v>174</v>
      </c>
      <c r="E426" s="13" t="s">
        <v>97</v>
      </c>
      <c r="F426" s="13" t="s">
        <v>588</v>
      </c>
      <c r="G426" s="13" t="s">
        <v>46</v>
      </c>
      <c r="H426" s="13">
        <v>24.7</v>
      </c>
      <c r="I426" s="13">
        <v>1318</v>
      </c>
      <c r="K426" s="13" t="s">
        <v>845</v>
      </c>
      <c r="L426" s="13" t="s">
        <v>846</v>
      </c>
      <c r="N426" s="13" t="s">
        <v>615</v>
      </c>
      <c r="O426" s="13" t="s">
        <v>54</v>
      </c>
      <c r="P426" s="13" t="s">
        <v>483</v>
      </c>
      <c r="Q426" s="13" t="s">
        <v>48</v>
      </c>
      <c r="R426" s="4">
        <v>3</v>
      </c>
      <c r="S426" s="13" t="s">
        <v>594</v>
      </c>
      <c r="T426" s="13">
        <v>120</v>
      </c>
      <c r="U426" s="4" t="s">
        <v>173</v>
      </c>
      <c r="V426" s="4">
        <v>350</v>
      </c>
      <c r="W426" s="4" t="s">
        <v>42</v>
      </c>
      <c r="X426" s="4">
        <v>511.3</v>
      </c>
      <c r="Y426" s="4">
        <v>3</v>
      </c>
      <c r="AA426" s="4" t="s">
        <v>49</v>
      </c>
      <c r="AB426" s="4">
        <v>0</v>
      </c>
      <c r="AC426" s="4" t="s">
        <v>49</v>
      </c>
      <c r="AD426" s="4">
        <v>0</v>
      </c>
      <c r="AE426" s="4" t="s">
        <v>49</v>
      </c>
      <c r="AF426" s="4">
        <v>0</v>
      </c>
      <c r="AG426" s="4" t="s">
        <v>774</v>
      </c>
      <c r="AH426" s="4" t="s">
        <v>773</v>
      </c>
      <c r="AI426" s="4" t="s">
        <v>64</v>
      </c>
      <c r="AJ426" s="13">
        <v>10</v>
      </c>
      <c r="AK426" s="13">
        <v>20</v>
      </c>
      <c r="AP426" s="13" t="s">
        <v>49</v>
      </c>
      <c r="AQ426" s="13" t="s">
        <v>49</v>
      </c>
      <c r="AR426" s="13" t="s">
        <v>49</v>
      </c>
      <c r="AS426" s="13" t="s">
        <v>50</v>
      </c>
      <c r="AT426" s="13" t="s">
        <v>990</v>
      </c>
      <c r="AU426" s="13" t="s">
        <v>998</v>
      </c>
      <c r="AV426" s="14">
        <f>8.63/1000</f>
        <v>8.6300000000000005E-3</v>
      </c>
      <c r="AW426" s="14">
        <f>10.34/1000</f>
        <v>1.034E-2</v>
      </c>
      <c r="AX426" s="14">
        <f>Table1347456[[#This Row],[treatment_mean]]/Table1347456[[#This Row],[control_mean]]</f>
        <v>0.83462282398452614</v>
      </c>
      <c r="AY426" s="14">
        <f>LN(Table1347456[[#This Row],[rr]])</f>
        <v>-0.18077536398494645</v>
      </c>
      <c r="AZ426" s="13">
        <v>18</v>
      </c>
      <c r="BA426" s="13">
        <v>18</v>
      </c>
      <c r="BB426" s="14" t="s">
        <v>46</v>
      </c>
      <c r="BC426" s="14" t="s">
        <v>46</v>
      </c>
      <c r="BD426" s="15" t="s">
        <v>46</v>
      </c>
      <c r="BE426" s="14" t="s">
        <v>46</v>
      </c>
      <c r="BF42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26" s="17" t="s">
        <v>46</v>
      </c>
      <c r="BH426" s="13" t="s">
        <v>50</v>
      </c>
      <c r="BI426" s="13">
        <v>2.5000000000000001E-2</v>
      </c>
      <c r="BJ426" s="18">
        <f>ABS(_xlfn.NORM.S.INV(Table1347456[[#This Row],[p_value]]/2))</f>
        <v>2.2414027276049446</v>
      </c>
      <c r="BK426" s="19">
        <f>(Table1347456[[#This Row],[lnrr]]/Table1347456[[#This Row],[z_from_p]])^2</f>
        <v>6.5048711307204576E-3</v>
      </c>
      <c r="BL426" s="16">
        <f>Table1347456[[#This Row],[v_from_z_from_p]]</f>
        <v>6.5048711307204576E-3</v>
      </c>
      <c r="BM426" s="20">
        <f>SQRT(Table1347456[[#This Row],[v]])</f>
        <v>8.0652781295628348E-2</v>
      </c>
      <c r="BN426" s="20">
        <f>Table1347456[[#This Row],[lnrr]]-(1.96*Table1347456[[#This Row],[se]])</f>
        <v>-0.338854815324378</v>
      </c>
      <c r="BO426" s="20">
        <f>Table1347456[[#This Row],[lnrr]]+(1.96 * Table1347456[[#This Row],[se]])</f>
        <v>-2.2695912645514904E-2</v>
      </c>
    </row>
    <row r="427" spans="1:67">
      <c r="A427" s="13" t="s">
        <v>171</v>
      </c>
      <c r="B427" s="13" t="s">
        <v>172</v>
      </c>
      <c r="C427" s="13" t="s">
        <v>43</v>
      </c>
      <c r="D427" s="13" t="s">
        <v>174</v>
      </c>
      <c r="E427" s="13" t="s">
        <v>97</v>
      </c>
      <c r="F427" s="13" t="s">
        <v>588</v>
      </c>
      <c r="G427" s="13" t="s">
        <v>46</v>
      </c>
      <c r="H427" s="13">
        <v>24.7</v>
      </c>
      <c r="I427" s="13">
        <v>1318</v>
      </c>
      <c r="K427" s="13" t="s">
        <v>845</v>
      </c>
      <c r="L427" s="13" t="s">
        <v>846</v>
      </c>
      <c r="N427" s="13" t="s">
        <v>615</v>
      </c>
      <c r="O427" s="13" t="s">
        <v>54</v>
      </c>
      <c r="P427" s="13" t="s">
        <v>483</v>
      </c>
      <c r="Q427" s="13" t="s">
        <v>48</v>
      </c>
      <c r="R427" s="4">
        <v>3</v>
      </c>
      <c r="S427" s="13" t="s">
        <v>594</v>
      </c>
      <c r="T427" s="13">
        <v>120</v>
      </c>
      <c r="U427" s="4" t="s">
        <v>173</v>
      </c>
      <c r="V427" s="4">
        <v>350</v>
      </c>
      <c r="W427" s="4" t="s">
        <v>42</v>
      </c>
      <c r="X427" s="4">
        <v>511.3</v>
      </c>
      <c r="Y427" s="4">
        <v>6</v>
      </c>
      <c r="AA427" s="4" t="s">
        <v>49</v>
      </c>
      <c r="AB427" s="4">
        <v>0</v>
      </c>
      <c r="AC427" s="4" t="s">
        <v>49</v>
      </c>
      <c r="AD427" s="4">
        <v>0</v>
      </c>
      <c r="AE427" s="4" t="s">
        <v>49</v>
      </c>
      <c r="AF427" s="4">
        <v>0</v>
      </c>
      <c r="AG427" s="4" t="s">
        <v>774</v>
      </c>
      <c r="AH427" s="4" t="s">
        <v>773</v>
      </c>
      <c r="AI427" s="4" t="s">
        <v>64</v>
      </c>
      <c r="AJ427" s="13">
        <v>10</v>
      </c>
      <c r="AK427" s="13">
        <v>20</v>
      </c>
      <c r="AP427" s="13" t="s">
        <v>49</v>
      </c>
      <c r="AQ427" s="13" t="s">
        <v>49</v>
      </c>
      <c r="AR427" s="13" t="s">
        <v>49</v>
      </c>
      <c r="AS427" s="13" t="s">
        <v>50</v>
      </c>
      <c r="AT427" s="13" t="s">
        <v>990</v>
      </c>
      <c r="AU427" s="13" t="s">
        <v>998</v>
      </c>
      <c r="AV427" s="14">
        <f>8.64/1000</f>
        <v>8.6400000000000001E-3</v>
      </c>
      <c r="AW427" s="14">
        <f>10.34/1000</f>
        <v>1.034E-2</v>
      </c>
      <c r="AX427" s="14">
        <f>Table1347456[[#This Row],[treatment_mean]]/Table1347456[[#This Row],[control_mean]]</f>
        <v>0.83558994197292069</v>
      </c>
      <c r="AY427" s="14">
        <f>LN(Table1347456[[#This Row],[rr]])</f>
        <v>-0.17961728626431883</v>
      </c>
      <c r="AZ427" s="13">
        <v>18</v>
      </c>
      <c r="BA427" s="13">
        <v>18</v>
      </c>
      <c r="BB427" s="14" t="s">
        <v>46</v>
      </c>
      <c r="BC427" s="14" t="s">
        <v>46</v>
      </c>
      <c r="BD427" s="15" t="s">
        <v>46</v>
      </c>
      <c r="BE427" s="14" t="s">
        <v>46</v>
      </c>
      <c r="BF42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27" s="17" t="s">
        <v>46</v>
      </c>
      <c r="BH427" s="13" t="s">
        <v>50</v>
      </c>
      <c r="BI427" s="13">
        <v>2.5000000000000001E-2</v>
      </c>
      <c r="BJ427" s="18">
        <f>ABS(_xlfn.NORM.S.INV(Table1347456[[#This Row],[p_value]]/2))</f>
        <v>2.2414027276049446</v>
      </c>
      <c r="BK427" s="19">
        <f>(Table1347456[[#This Row],[lnrr]]/Table1347456[[#This Row],[z_from_p]])^2</f>
        <v>6.4217954631256308E-3</v>
      </c>
      <c r="BL427" s="16">
        <f>Table1347456[[#This Row],[v_from_z_from_p]]</f>
        <v>6.4217954631256308E-3</v>
      </c>
      <c r="BM427" s="20">
        <f>SQRT(Table1347456[[#This Row],[v]])</f>
        <v>8.0136105864495502E-2</v>
      </c>
      <c r="BN427" s="20">
        <f>Table1347456[[#This Row],[lnrr]]-(1.96*Table1347456[[#This Row],[se]])</f>
        <v>-0.33668405375873001</v>
      </c>
      <c r="BO427" s="20">
        <f>Table1347456[[#This Row],[lnrr]]+(1.96 * Table1347456[[#This Row],[se]])</f>
        <v>-2.2550518769907657E-2</v>
      </c>
    </row>
    <row r="428" spans="1:67">
      <c r="A428" s="13" t="s">
        <v>171</v>
      </c>
      <c r="B428" s="13" t="s">
        <v>172</v>
      </c>
      <c r="C428" s="13" t="s">
        <v>43</v>
      </c>
      <c r="D428" s="13" t="s">
        <v>174</v>
      </c>
      <c r="E428" s="13" t="s">
        <v>97</v>
      </c>
      <c r="F428" s="13" t="s">
        <v>588</v>
      </c>
      <c r="G428" s="13" t="s">
        <v>46</v>
      </c>
      <c r="H428" s="13">
        <v>24.7</v>
      </c>
      <c r="I428" s="13">
        <v>1318</v>
      </c>
      <c r="K428" s="13" t="s">
        <v>845</v>
      </c>
      <c r="L428" s="13" t="s">
        <v>846</v>
      </c>
      <c r="N428" s="13" t="s">
        <v>615</v>
      </c>
      <c r="O428" s="13" t="s">
        <v>54</v>
      </c>
      <c r="P428" s="13" t="s">
        <v>483</v>
      </c>
      <c r="Q428" s="13" t="s">
        <v>48</v>
      </c>
      <c r="R428" s="4">
        <v>3</v>
      </c>
      <c r="S428" s="13" t="s">
        <v>594</v>
      </c>
      <c r="T428" s="13">
        <v>120</v>
      </c>
      <c r="U428" s="4" t="s">
        <v>173</v>
      </c>
      <c r="V428" s="4">
        <v>350</v>
      </c>
      <c r="W428" s="4" t="s">
        <v>42</v>
      </c>
      <c r="X428" s="4">
        <v>511.3</v>
      </c>
      <c r="Y428" s="4">
        <v>12</v>
      </c>
      <c r="AA428" s="4" t="s">
        <v>49</v>
      </c>
      <c r="AB428" s="4">
        <v>0</v>
      </c>
      <c r="AC428" s="4" t="s">
        <v>49</v>
      </c>
      <c r="AD428" s="4">
        <v>0</v>
      </c>
      <c r="AE428" s="4" t="s">
        <v>49</v>
      </c>
      <c r="AF428" s="4">
        <v>0</v>
      </c>
      <c r="AG428" s="4" t="s">
        <v>774</v>
      </c>
      <c r="AH428" s="4" t="s">
        <v>773</v>
      </c>
      <c r="AI428" s="4" t="s">
        <v>64</v>
      </c>
      <c r="AJ428" s="13">
        <v>10</v>
      </c>
      <c r="AK428" s="13">
        <v>20</v>
      </c>
      <c r="AP428" s="13" t="s">
        <v>49</v>
      </c>
      <c r="AQ428" s="13" t="s">
        <v>49</v>
      </c>
      <c r="AR428" s="13" t="s">
        <v>49</v>
      </c>
      <c r="AS428" s="13" t="s">
        <v>50</v>
      </c>
      <c r="AT428" s="13" t="s">
        <v>990</v>
      </c>
      <c r="AU428" s="13" t="s">
        <v>998</v>
      </c>
      <c r="AV428" s="14">
        <f>8.66/1000</f>
        <v>8.6599999999999993E-3</v>
      </c>
      <c r="AW428" s="14">
        <f>10.34/1000</f>
        <v>1.034E-2</v>
      </c>
      <c r="AX428" s="14">
        <f>Table1347456[[#This Row],[treatment_mean]]/Table1347456[[#This Row],[control_mean]]</f>
        <v>0.83752417794970979</v>
      </c>
      <c r="AY428" s="14">
        <f>LN(Table1347456[[#This Row],[rr]])</f>
        <v>-0.17730514650593937</v>
      </c>
      <c r="AZ428" s="13">
        <v>18</v>
      </c>
      <c r="BA428" s="13">
        <v>18</v>
      </c>
      <c r="BB428" s="14" t="s">
        <v>46</v>
      </c>
      <c r="BC428" s="14" t="s">
        <v>46</v>
      </c>
      <c r="BD428" s="15" t="s">
        <v>46</v>
      </c>
      <c r="BE428" s="14" t="s">
        <v>46</v>
      </c>
      <c r="BF42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28" s="17" t="s">
        <v>46</v>
      </c>
      <c r="BH428" s="13" t="s">
        <v>50</v>
      </c>
      <c r="BI428" s="13">
        <v>2.5000000000000001E-2</v>
      </c>
      <c r="BJ428" s="18">
        <f>ABS(_xlfn.NORM.S.INV(Table1347456[[#This Row],[p_value]]/2))</f>
        <v>2.2414027276049446</v>
      </c>
      <c r="BK428" s="19">
        <f>(Table1347456[[#This Row],[lnrr]]/Table1347456[[#This Row],[z_from_p]])^2</f>
        <v>6.2575292921384449E-3</v>
      </c>
      <c r="BL428" s="16">
        <f>Table1347456[[#This Row],[v_from_z_from_p]]</f>
        <v>6.2575292921384449E-3</v>
      </c>
      <c r="BM428" s="20">
        <f>SQRT(Table1347456[[#This Row],[v]])</f>
        <v>7.9104546595871753E-2</v>
      </c>
      <c r="BN428" s="20">
        <f>Table1347456[[#This Row],[lnrr]]-(1.96*Table1347456[[#This Row],[se]])</f>
        <v>-0.33235005783384797</v>
      </c>
      <c r="BO428" s="20">
        <f>Table1347456[[#This Row],[lnrr]]+(1.96 * Table1347456[[#This Row],[se]])</f>
        <v>-2.2260235178030746E-2</v>
      </c>
    </row>
    <row r="429" spans="1:67">
      <c r="A429" s="13" t="s">
        <v>171</v>
      </c>
      <c r="B429" s="13" t="s">
        <v>172</v>
      </c>
      <c r="C429" s="13" t="s">
        <v>43</v>
      </c>
      <c r="D429" s="13" t="s">
        <v>174</v>
      </c>
      <c r="E429" s="13" t="s">
        <v>97</v>
      </c>
      <c r="F429" s="13" t="s">
        <v>588</v>
      </c>
      <c r="G429" s="13" t="s">
        <v>46</v>
      </c>
      <c r="H429" s="13">
        <v>24.7</v>
      </c>
      <c r="I429" s="13">
        <v>1318</v>
      </c>
      <c r="K429" s="13" t="s">
        <v>845</v>
      </c>
      <c r="L429" s="13" t="s">
        <v>846</v>
      </c>
      <c r="N429" s="13" t="s">
        <v>615</v>
      </c>
      <c r="O429" s="13" t="s">
        <v>54</v>
      </c>
      <c r="P429" s="13" t="s">
        <v>483</v>
      </c>
      <c r="Q429" s="13" t="s">
        <v>48</v>
      </c>
      <c r="R429" s="4">
        <v>3</v>
      </c>
      <c r="S429" s="13" t="s">
        <v>594</v>
      </c>
      <c r="T429" s="13">
        <v>120</v>
      </c>
      <c r="U429" s="4" t="s">
        <v>173</v>
      </c>
      <c r="V429" s="4">
        <v>350</v>
      </c>
      <c r="W429" s="4" t="s">
        <v>42</v>
      </c>
      <c r="X429" s="4">
        <v>511.3</v>
      </c>
      <c r="Y429" s="4">
        <v>3</v>
      </c>
      <c r="AA429" s="4" t="s">
        <v>50</v>
      </c>
      <c r="AB429" s="4">
        <v>30</v>
      </c>
      <c r="AC429" s="4" t="s">
        <v>49</v>
      </c>
      <c r="AD429" s="4">
        <v>0</v>
      </c>
      <c r="AE429" s="4" t="s">
        <v>49</v>
      </c>
      <c r="AF429" s="4">
        <v>0</v>
      </c>
      <c r="AG429" s="4" t="s">
        <v>774</v>
      </c>
      <c r="AH429" s="4" t="s">
        <v>773</v>
      </c>
      <c r="AI429" s="4" t="s">
        <v>64</v>
      </c>
      <c r="AJ429" s="13">
        <v>10</v>
      </c>
      <c r="AK429" s="13">
        <v>20</v>
      </c>
      <c r="AP429" s="13" t="s">
        <v>49</v>
      </c>
      <c r="AQ429" s="13" t="s">
        <v>49</v>
      </c>
      <c r="AR429" s="13" t="s">
        <v>49</v>
      </c>
      <c r="AS429" s="13" t="s">
        <v>50</v>
      </c>
      <c r="AT429" s="13" t="s">
        <v>992</v>
      </c>
      <c r="AU429" s="4" t="s">
        <v>1000</v>
      </c>
      <c r="AV429" s="14">
        <f>9.12/1000</f>
        <v>9.1199999999999996E-3</v>
      </c>
      <c r="AW429" s="14">
        <f>8.24/1000</f>
        <v>8.2400000000000008E-3</v>
      </c>
      <c r="AX429" s="14">
        <f>Table1347456[[#This Row],[treatment_mean]]/Table1347456[[#This Row],[control_mean]]</f>
        <v>1.1067961165048543</v>
      </c>
      <c r="AY429" s="14">
        <f>LN(Table1347456[[#This Row],[rr]])</f>
        <v>0.10146946016485965</v>
      </c>
      <c r="AZ429" s="13">
        <v>18</v>
      </c>
      <c r="BA429" s="13">
        <v>18</v>
      </c>
      <c r="BB429" s="14" t="s">
        <v>46</v>
      </c>
      <c r="BC429" s="14" t="s">
        <v>46</v>
      </c>
      <c r="BD429" s="15" t="s">
        <v>46</v>
      </c>
      <c r="BE429" s="14" t="s">
        <v>46</v>
      </c>
      <c r="BF42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29" s="17" t="s">
        <v>46</v>
      </c>
      <c r="BH429" s="13" t="s">
        <v>50</v>
      </c>
      <c r="BI429" s="13">
        <v>2.5000000000000001E-2</v>
      </c>
      <c r="BJ429" s="18">
        <f>ABS(_xlfn.NORM.S.INV(Table1347456[[#This Row],[p_value]]/2))</f>
        <v>2.2414027276049446</v>
      </c>
      <c r="BK429" s="19">
        <f>(Table1347456[[#This Row],[lnrr]]/Table1347456[[#This Row],[z_from_p]])^2</f>
        <v>2.0494197046392417E-3</v>
      </c>
      <c r="BL429" s="16">
        <f>Table1347456[[#This Row],[v_from_z_from_p]]</f>
        <v>2.0494197046392417E-3</v>
      </c>
      <c r="BM429" s="20">
        <f>SQRT(Table1347456[[#This Row],[v]])</f>
        <v>4.5270516946896482E-2</v>
      </c>
      <c r="BN429" s="20">
        <f>Table1347456[[#This Row],[lnrr]]-(1.96*Table1347456[[#This Row],[se]])</f>
        <v>1.2739246948942545E-2</v>
      </c>
      <c r="BO429" s="20">
        <f>Table1347456[[#This Row],[lnrr]]+(1.96 * Table1347456[[#This Row],[se]])</f>
        <v>0.19019967338077676</v>
      </c>
    </row>
    <row r="430" spans="1:67">
      <c r="A430" s="13" t="s">
        <v>171</v>
      </c>
      <c r="B430" s="13" t="s">
        <v>172</v>
      </c>
      <c r="C430" s="13" t="s">
        <v>43</v>
      </c>
      <c r="D430" s="13" t="s">
        <v>174</v>
      </c>
      <c r="E430" s="13" t="s">
        <v>97</v>
      </c>
      <c r="F430" s="13" t="s">
        <v>588</v>
      </c>
      <c r="G430" s="13" t="s">
        <v>46</v>
      </c>
      <c r="H430" s="13">
        <v>24.7</v>
      </c>
      <c r="I430" s="13">
        <v>1318</v>
      </c>
      <c r="K430" s="13" t="s">
        <v>845</v>
      </c>
      <c r="L430" s="13" t="s">
        <v>846</v>
      </c>
      <c r="N430" s="13" t="s">
        <v>615</v>
      </c>
      <c r="O430" s="13" t="s">
        <v>54</v>
      </c>
      <c r="P430" s="13" t="s">
        <v>483</v>
      </c>
      <c r="Q430" s="13" t="s">
        <v>48</v>
      </c>
      <c r="R430" s="4">
        <v>3</v>
      </c>
      <c r="S430" s="13" t="s">
        <v>594</v>
      </c>
      <c r="T430" s="13">
        <v>120</v>
      </c>
      <c r="U430" s="4" t="s">
        <v>173</v>
      </c>
      <c r="V430" s="4">
        <v>350</v>
      </c>
      <c r="W430" s="4" t="s">
        <v>42</v>
      </c>
      <c r="X430" s="4">
        <v>511.3</v>
      </c>
      <c r="Y430" s="4">
        <v>6</v>
      </c>
      <c r="AA430" s="4" t="s">
        <v>50</v>
      </c>
      <c r="AB430" s="4">
        <v>60</v>
      </c>
      <c r="AC430" s="4" t="s">
        <v>49</v>
      </c>
      <c r="AD430" s="4">
        <v>0</v>
      </c>
      <c r="AE430" s="4" t="s">
        <v>49</v>
      </c>
      <c r="AF430" s="4">
        <v>0</v>
      </c>
      <c r="AG430" s="4" t="s">
        <v>774</v>
      </c>
      <c r="AH430" s="4" t="s">
        <v>773</v>
      </c>
      <c r="AI430" s="4" t="s">
        <v>64</v>
      </c>
      <c r="AJ430" s="13">
        <v>10</v>
      </c>
      <c r="AK430" s="13">
        <v>20</v>
      </c>
      <c r="AP430" s="13" t="s">
        <v>49</v>
      </c>
      <c r="AQ430" s="13" t="s">
        <v>49</v>
      </c>
      <c r="AR430" s="13" t="s">
        <v>49</v>
      </c>
      <c r="AS430" s="13" t="s">
        <v>50</v>
      </c>
      <c r="AT430" s="13" t="s">
        <v>992</v>
      </c>
      <c r="AU430" s="4" t="s">
        <v>1000</v>
      </c>
      <c r="AV430" s="14">
        <f>9.35/1000</f>
        <v>9.3499999999999989E-3</v>
      </c>
      <c r="AW430" s="14">
        <f>8.24/1000</f>
        <v>8.2400000000000008E-3</v>
      </c>
      <c r="AX430" s="14">
        <f>Table1347456[[#This Row],[treatment_mean]]/Table1347456[[#This Row],[control_mean]]</f>
        <v>1.1347087378640774</v>
      </c>
      <c r="AY430" s="14">
        <f>LN(Table1347456[[#This Row],[rr]])</f>
        <v>0.12637599937921509</v>
      </c>
      <c r="AZ430" s="13">
        <v>18</v>
      </c>
      <c r="BA430" s="13">
        <v>18</v>
      </c>
      <c r="BB430" s="14" t="s">
        <v>46</v>
      </c>
      <c r="BC430" s="14" t="s">
        <v>46</v>
      </c>
      <c r="BD430" s="15" t="s">
        <v>46</v>
      </c>
      <c r="BE430" s="14" t="s">
        <v>46</v>
      </c>
      <c r="BF43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30" s="17" t="s">
        <v>46</v>
      </c>
      <c r="BH430" s="13" t="s">
        <v>50</v>
      </c>
      <c r="BI430" s="13">
        <v>2.5000000000000001E-2</v>
      </c>
      <c r="BJ430" s="18">
        <f>ABS(_xlfn.NORM.S.INV(Table1347456[[#This Row],[p_value]]/2))</f>
        <v>2.2414027276049446</v>
      </c>
      <c r="BK430" s="19">
        <f>(Table1347456[[#This Row],[lnrr]]/Table1347456[[#This Row],[z_from_p]])^2</f>
        <v>3.1789918448832002E-3</v>
      </c>
      <c r="BL430" s="16">
        <f>Table1347456[[#This Row],[v_from_z_from_p]]</f>
        <v>3.1789918448832002E-3</v>
      </c>
      <c r="BM430" s="20">
        <f>SQRT(Table1347456[[#This Row],[v]])</f>
        <v>5.6382549116576842E-2</v>
      </c>
      <c r="BN430" s="20">
        <f>Table1347456[[#This Row],[lnrr]]-(1.96*Table1347456[[#This Row],[se]])</f>
        <v>1.5866203110724481E-2</v>
      </c>
      <c r="BO430" s="20">
        <f>Table1347456[[#This Row],[lnrr]]+(1.96 * Table1347456[[#This Row],[se]])</f>
        <v>0.2368857956477057</v>
      </c>
    </row>
    <row r="431" spans="1:67">
      <c r="A431" s="13" t="s">
        <v>171</v>
      </c>
      <c r="B431" s="13" t="s">
        <v>172</v>
      </c>
      <c r="C431" s="13" t="s">
        <v>43</v>
      </c>
      <c r="D431" s="13" t="s">
        <v>174</v>
      </c>
      <c r="E431" s="13" t="s">
        <v>97</v>
      </c>
      <c r="F431" s="13" t="s">
        <v>588</v>
      </c>
      <c r="G431" s="13" t="s">
        <v>46</v>
      </c>
      <c r="H431" s="13">
        <v>24.7</v>
      </c>
      <c r="I431" s="13">
        <v>1318</v>
      </c>
      <c r="K431" s="13" t="s">
        <v>845</v>
      </c>
      <c r="L431" s="13" t="s">
        <v>846</v>
      </c>
      <c r="N431" s="13" t="s">
        <v>615</v>
      </c>
      <c r="O431" s="13" t="s">
        <v>54</v>
      </c>
      <c r="P431" s="13" t="s">
        <v>483</v>
      </c>
      <c r="Q431" s="13" t="s">
        <v>48</v>
      </c>
      <c r="R431" s="4">
        <v>3</v>
      </c>
      <c r="S431" s="13" t="s">
        <v>594</v>
      </c>
      <c r="T431" s="13">
        <v>120</v>
      </c>
      <c r="U431" s="4" t="s">
        <v>173</v>
      </c>
      <c r="V431" s="4">
        <v>350</v>
      </c>
      <c r="W431" s="4" t="s">
        <v>42</v>
      </c>
      <c r="X431" s="4">
        <v>511.3</v>
      </c>
      <c r="Y431" s="4">
        <v>12</v>
      </c>
      <c r="AA431" s="4" t="s">
        <v>50</v>
      </c>
      <c r="AB431" s="4">
        <v>90</v>
      </c>
      <c r="AC431" s="4" t="s">
        <v>49</v>
      </c>
      <c r="AD431" s="4">
        <v>0</v>
      </c>
      <c r="AE431" s="4" t="s">
        <v>49</v>
      </c>
      <c r="AF431" s="4">
        <v>0</v>
      </c>
      <c r="AG431" s="4" t="s">
        <v>774</v>
      </c>
      <c r="AH431" s="4" t="s">
        <v>773</v>
      </c>
      <c r="AI431" s="4" t="s">
        <v>64</v>
      </c>
      <c r="AJ431" s="13">
        <v>10</v>
      </c>
      <c r="AK431" s="13">
        <v>20</v>
      </c>
      <c r="AP431" s="13" t="s">
        <v>49</v>
      </c>
      <c r="AQ431" s="13" t="s">
        <v>49</v>
      </c>
      <c r="AR431" s="13" t="s">
        <v>49</v>
      </c>
      <c r="AS431" s="13" t="s">
        <v>50</v>
      </c>
      <c r="AT431" s="13" t="s">
        <v>992</v>
      </c>
      <c r="AU431" s="4" t="s">
        <v>1000</v>
      </c>
      <c r="AV431" s="14">
        <f>9.57/1000</f>
        <v>9.5700000000000004E-3</v>
      </c>
      <c r="AW431" s="14">
        <f>8.24/1000</f>
        <v>8.2400000000000008E-3</v>
      </c>
      <c r="AX431" s="14">
        <f>Table1347456[[#This Row],[treatment_mean]]/Table1347456[[#This Row],[control_mean]]</f>
        <v>1.1614077669902911</v>
      </c>
      <c r="AY431" s="14">
        <f>LN(Table1347456[[#This Row],[rr]])</f>
        <v>0.14963286154348246</v>
      </c>
      <c r="AZ431" s="13">
        <v>18</v>
      </c>
      <c r="BA431" s="13">
        <v>18</v>
      </c>
      <c r="BB431" s="14" t="s">
        <v>46</v>
      </c>
      <c r="BC431" s="14" t="s">
        <v>46</v>
      </c>
      <c r="BD431" s="15" t="s">
        <v>46</v>
      </c>
      <c r="BE431" s="14" t="s">
        <v>46</v>
      </c>
      <c r="BF43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31" s="17" t="s">
        <v>46</v>
      </c>
      <c r="BH431" s="13" t="s">
        <v>50</v>
      </c>
      <c r="BI431" s="13">
        <v>2.5000000000000001E-2</v>
      </c>
      <c r="BJ431" s="18">
        <f>ABS(_xlfn.NORM.S.INV(Table1347456[[#This Row],[p_value]]/2))</f>
        <v>2.2414027276049446</v>
      </c>
      <c r="BK431" s="19">
        <f>(Table1347456[[#This Row],[lnrr]]/Table1347456[[#This Row],[z_from_p]])^2</f>
        <v>4.4567078988024932E-3</v>
      </c>
      <c r="BL431" s="16">
        <f>Table1347456[[#This Row],[v_from_z_from_p]]</f>
        <v>4.4567078988024932E-3</v>
      </c>
      <c r="BM431" s="20">
        <f>SQRT(Table1347456[[#This Row],[v]])</f>
        <v>6.6758579214978006E-2</v>
      </c>
      <c r="BN431" s="20">
        <f>Table1347456[[#This Row],[lnrr]]-(1.96*Table1347456[[#This Row],[se]])</f>
        <v>1.8786046282125574E-2</v>
      </c>
      <c r="BO431" s="20">
        <f>Table1347456[[#This Row],[lnrr]]+(1.96 * Table1347456[[#This Row],[se]])</f>
        <v>0.28047967680483932</v>
      </c>
    </row>
    <row r="432" spans="1:67">
      <c r="A432" s="13" t="s">
        <v>171</v>
      </c>
      <c r="B432" s="13" t="s">
        <v>172</v>
      </c>
      <c r="C432" s="13" t="s">
        <v>43</v>
      </c>
      <c r="D432" s="13" t="s">
        <v>174</v>
      </c>
      <c r="E432" s="13" t="s">
        <v>97</v>
      </c>
      <c r="F432" s="13" t="s">
        <v>588</v>
      </c>
      <c r="G432" s="13" t="s">
        <v>46</v>
      </c>
      <c r="H432" s="13">
        <v>24.7</v>
      </c>
      <c r="I432" s="13">
        <v>1318</v>
      </c>
      <c r="K432" s="13" t="s">
        <v>845</v>
      </c>
      <c r="L432" s="13" t="s">
        <v>846</v>
      </c>
      <c r="N432" s="13" t="s">
        <v>639</v>
      </c>
      <c r="O432" s="13" t="s">
        <v>54</v>
      </c>
      <c r="P432" s="13" t="s">
        <v>483</v>
      </c>
      <c r="Q432" s="13" t="s">
        <v>48</v>
      </c>
      <c r="R432" s="4">
        <v>3</v>
      </c>
      <c r="S432" s="13" t="s">
        <v>594</v>
      </c>
      <c r="T432" s="13">
        <v>120</v>
      </c>
      <c r="U432" s="4" t="s">
        <v>173</v>
      </c>
      <c r="V432" s="4">
        <v>350</v>
      </c>
      <c r="W432" s="4" t="s">
        <v>42</v>
      </c>
      <c r="X432" s="4">
        <v>511.3</v>
      </c>
      <c r="Y432" s="4">
        <v>3</v>
      </c>
      <c r="AA432" s="4" t="s">
        <v>49</v>
      </c>
      <c r="AB432" s="4">
        <v>0</v>
      </c>
      <c r="AC432" s="4" t="s">
        <v>49</v>
      </c>
      <c r="AD432" s="4">
        <v>0</v>
      </c>
      <c r="AE432" s="4" t="s">
        <v>49</v>
      </c>
      <c r="AF432" s="4">
        <v>0</v>
      </c>
      <c r="AG432" s="4" t="s">
        <v>774</v>
      </c>
      <c r="AH432" s="4" t="s">
        <v>773</v>
      </c>
      <c r="AI432" s="4" t="s">
        <v>64</v>
      </c>
      <c r="AJ432" s="13">
        <v>0</v>
      </c>
      <c r="AK432" s="13">
        <v>10</v>
      </c>
      <c r="AP432" s="13" t="s">
        <v>49</v>
      </c>
      <c r="AQ432" s="13" t="s">
        <v>49</v>
      </c>
      <c r="AR432" s="13" t="s">
        <v>49</v>
      </c>
      <c r="AS432" s="13" t="s">
        <v>50</v>
      </c>
      <c r="AT432" s="13" t="s">
        <v>990</v>
      </c>
      <c r="AU432" s="13" t="s">
        <v>998</v>
      </c>
      <c r="AV432" s="14">
        <f>3.57/1000</f>
        <v>3.5699999999999998E-3</v>
      </c>
      <c r="AW432" s="14">
        <f>3.73/1000</f>
        <v>3.7299999999999998E-3</v>
      </c>
      <c r="AX432" s="14">
        <f>Table1347456[[#This Row],[treatment_mean]]/Table1347456[[#This Row],[control_mean]]</f>
        <v>0.95710455764075064</v>
      </c>
      <c r="AY432" s="14">
        <f>LN(Table1347456[[#This Row],[rr]])</f>
        <v>-4.3842637864176491E-2</v>
      </c>
      <c r="AZ432" s="13">
        <v>18</v>
      </c>
      <c r="BA432" s="13">
        <v>18</v>
      </c>
      <c r="BB432" s="14" t="s">
        <v>46</v>
      </c>
      <c r="BC432" s="14" t="s">
        <v>46</v>
      </c>
      <c r="BD432" s="15" t="s">
        <v>46</v>
      </c>
      <c r="BE432" s="14" t="s">
        <v>46</v>
      </c>
      <c r="BF43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32" s="17" t="s">
        <v>46</v>
      </c>
      <c r="BH432" s="13" t="s">
        <v>50</v>
      </c>
      <c r="BI432" s="13">
        <v>2.5000000000000001E-2</v>
      </c>
      <c r="BJ432" s="18">
        <f>ABS(_xlfn.NORM.S.INV(Table1347456[[#This Row],[p_value]]/2))</f>
        <v>2.2414027276049446</v>
      </c>
      <c r="BK432" s="19">
        <f>(Table1347456[[#This Row],[lnrr]]/Table1347456[[#This Row],[z_from_p]])^2</f>
        <v>3.8260757175246984E-4</v>
      </c>
      <c r="BL432" s="16">
        <f>Table1347456[[#This Row],[v_from_z_from_p]]</f>
        <v>3.8260757175246984E-4</v>
      </c>
      <c r="BM432" s="20">
        <f>SQRT(Table1347456[[#This Row],[v]])</f>
        <v>1.9560357147876156E-2</v>
      </c>
      <c r="BN432" s="20">
        <f>Table1347456[[#This Row],[lnrr]]-(1.96*Table1347456[[#This Row],[se]])</f>
        <v>-8.218093787401376E-2</v>
      </c>
      <c r="BO432" s="20">
        <f>Table1347456[[#This Row],[lnrr]]+(1.96 * Table1347456[[#This Row],[se]])</f>
        <v>-5.5043378543392224E-3</v>
      </c>
    </row>
    <row r="433" spans="1:67">
      <c r="A433" s="13" t="s">
        <v>171</v>
      </c>
      <c r="B433" s="13" t="s">
        <v>172</v>
      </c>
      <c r="C433" s="13" t="s">
        <v>43</v>
      </c>
      <c r="D433" s="13" t="s">
        <v>174</v>
      </c>
      <c r="E433" s="13" t="s">
        <v>97</v>
      </c>
      <c r="F433" s="13" t="s">
        <v>588</v>
      </c>
      <c r="G433" s="13" t="s">
        <v>46</v>
      </c>
      <c r="H433" s="13">
        <v>24.7</v>
      </c>
      <c r="I433" s="13">
        <v>1318</v>
      </c>
      <c r="K433" s="13" t="s">
        <v>845</v>
      </c>
      <c r="L433" s="13" t="s">
        <v>846</v>
      </c>
      <c r="N433" s="13" t="s">
        <v>639</v>
      </c>
      <c r="O433" s="13" t="s">
        <v>54</v>
      </c>
      <c r="P433" s="13" t="s">
        <v>483</v>
      </c>
      <c r="Q433" s="13" t="s">
        <v>48</v>
      </c>
      <c r="R433" s="4">
        <v>3</v>
      </c>
      <c r="S433" s="13" t="s">
        <v>594</v>
      </c>
      <c r="T433" s="13">
        <v>120</v>
      </c>
      <c r="U433" s="4" t="s">
        <v>173</v>
      </c>
      <c r="V433" s="4">
        <v>350</v>
      </c>
      <c r="W433" s="4" t="s">
        <v>42</v>
      </c>
      <c r="X433" s="4">
        <v>511.3</v>
      </c>
      <c r="Y433" s="4">
        <v>6</v>
      </c>
      <c r="AA433" s="4" t="s">
        <v>49</v>
      </c>
      <c r="AB433" s="4">
        <v>0</v>
      </c>
      <c r="AC433" s="4" t="s">
        <v>49</v>
      </c>
      <c r="AD433" s="4">
        <v>0</v>
      </c>
      <c r="AE433" s="4" t="s">
        <v>49</v>
      </c>
      <c r="AF433" s="4">
        <v>0</v>
      </c>
      <c r="AG433" s="4" t="s">
        <v>774</v>
      </c>
      <c r="AH433" s="4" t="s">
        <v>773</v>
      </c>
      <c r="AI433" s="4" t="s">
        <v>64</v>
      </c>
      <c r="AJ433" s="13">
        <v>0</v>
      </c>
      <c r="AK433" s="13">
        <v>10</v>
      </c>
      <c r="AP433" s="13" t="s">
        <v>49</v>
      </c>
      <c r="AQ433" s="13" t="s">
        <v>49</v>
      </c>
      <c r="AR433" s="13" t="s">
        <v>49</v>
      </c>
      <c r="AS433" s="13" t="s">
        <v>50</v>
      </c>
      <c r="AT433" s="13" t="s">
        <v>990</v>
      </c>
      <c r="AU433" s="13" t="s">
        <v>998</v>
      </c>
      <c r="AV433" s="14">
        <f>3.65/1000</f>
        <v>3.65E-3</v>
      </c>
      <c r="AW433" s="14">
        <f>3.73/1000</f>
        <v>3.7299999999999998E-3</v>
      </c>
      <c r="AX433" s="14">
        <f>Table1347456[[#This Row],[treatment_mean]]/Table1347456[[#This Row],[control_mean]]</f>
        <v>0.97855227882037543</v>
      </c>
      <c r="AY433" s="14">
        <f>LN(Table1347456[[#This Row],[rr]])</f>
        <v>-2.1681066061323938E-2</v>
      </c>
      <c r="AZ433" s="13">
        <v>18</v>
      </c>
      <c r="BA433" s="13">
        <v>18</v>
      </c>
      <c r="BB433" s="14" t="s">
        <v>46</v>
      </c>
      <c r="BC433" s="14" t="s">
        <v>46</v>
      </c>
      <c r="BD433" s="15" t="s">
        <v>46</v>
      </c>
      <c r="BE433" s="14" t="s">
        <v>46</v>
      </c>
      <c r="BF43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33" s="17" t="s">
        <v>46</v>
      </c>
      <c r="BH433" s="13" t="s">
        <v>50</v>
      </c>
      <c r="BI433" s="13">
        <v>2.5000000000000001E-2</v>
      </c>
      <c r="BJ433" s="18">
        <f>ABS(_xlfn.NORM.S.INV(Table1347456[[#This Row],[p_value]]/2))</f>
        <v>2.2414027276049446</v>
      </c>
      <c r="BK433" s="19">
        <f>(Table1347456[[#This Row],[lnrr]]/Table1347456[[#This Row],[z_from_p]])^2</f>
        <v>9.3566734601272883E-5</v>
      </c>
      <c r="BL433" s="16">
        <f>Table1347456[[#This Row],[v_from_z_from_p]]</f>
        <v>9.3566734601272883E-5</v>
      </c>
      <c r="BM433" s="20">
        <f>SQRT(Table1347456[[#This Row],[v]])</f>
        <v>9.6729899514717207E-3</v>
      </c>
      <c r="BN433" s="20">
        <f>Table1347456[[#This Row],[lnrr]]-(1.96*Table1347456[[#This Row],[se]])</f>
        <v>-4.0640126366208507E-2</v>
      </c>
      <c r="BO433" s="20">
        <f>Table1347456[[#This Row],[lnrr]]+(1.96 * Table1347456[[#This Row],[se]])</f>
        <v>-2.7220057564393656E-3</v>
      </c>
    </row>
    <row r="434" spans="1:67">
      <c r="A434" s="13" t="s">
        <v>171</v>
      </c>
      <c r="B434" s="13" t="s">
        <v>172</v>
      </c>
      <c r="C434" s="13" t="s">
        <v>43</v>
      </c>
      <c r="D434" s="13" t="s">
        <v>174</v>
      </c>
      <c r="E434" s="13" t="s">
        <v>97</v>
      </c>
      <c r="F434" s="13" t="s">
        <v>588</v>
      </c>
      <c r="G434" s="13" t="s">
        <v>46</v>
      </c>
      <c r="H434" s="13">
        <v>24.7</v>
      </c>
      <c r="I434" s="13">
        <v>1318</v>
      </c>
      <c r="K434" s="13" t="s">
        <v>845</v>
      </c>
      <c r="L434" s="13" t="s">
        <v>846</v>
      </c>
      <c r="N434" s="13" t="s">
        <v>639</v>
      </c>
      <c r="O434" s="13" t="s">
        <v>54</v>
      </c>
      <c r="P434" s="13" t="s">
        <v>483</v>
      </c>
      <c r="Q434" s="13" t="s">
        <v>48</v>
      </c>
      <c r="R434" s="4">
        <v>3</v>
      </c>
      <c r="S434" s="13" t="s">
        <v>594</v>
      </c>
      <c r="T434" s="13">
        <v>120</v>
      </c>
      <c r="U434" s="4" t="s">
        <v>173</v>
      </c>
      <c r="V434" s="4">
        <v>350</v>
      </c>
      <c r="W434" s="4" t="s">
        <v>42</v>
      </c>
      <c r="X434" s="4">
        <v>511.3</v>
      </c>
      <c r="Y434" s="4">
        <v>12</v>
      </c>
      <c r="AA434" s="4" t="s">
        <v>49</v>
      </c>
      <c r="AB434" s="4">
        <v>0</v>
      </c>
      <c r="AC434" s="4" t="s">
        <v>49</v>
      </c>
      <c r="AD434" s="4">
        <v>0</v>
      </c>
      <c r="AE434" s="4" t="s">
        <v>49</v>
      </c>
      <c r="AF434" s="4">
        <v>0</v>
      </c>
      <c r="AG434" s="4" t="s">
        <v>774</v>
      </c>
      <c r="AH434" s="4" t="s">
        <v>773</v>
      </c>
      <c r="AI434" s="4" t="s">
        <v>64</v>
      </c>
      <c r="AJ434" s="13">
        <v>0</v>
      </c>
      <c r="AK434" s="13">
        <v>10</v>
      </c>
      <c r="AP434" s="13" t="s">
        <v>49</v>
      </c>
      <c r="AQ434" s="13" t="s">
        <v>49</v>
      </c>
      <c r="AR434" s="13" t="s">
        <v>49</v>
      </c>
      <c r="AS434" s="13" t="s">
        <v>50</v>
      </c>
      <c r="AT434" s="13" t="s">
        <v>990</v>
      </c>
      <c r="AU434" s="13" t="s">
        <v>998</v>
      </c>
      <c r="AV434" s="14">
        <f>3.71/1000</f>
        <v>3.7099999999999998E-3</v>
      </c>
      <c r="AW434" s="14">
        <f>3.73/1000</f>
        <v>3.7299999999999998E-3</v>
      </c>
      <c r="AX434" s="14">
        <f>Table1347456[[#This Row],[treatment_mean]]/Table1347456[[#This Row],[control_mean]]</f>
        <v>0.99463806970509383</v>
      </c>
      <c r="AY434" s="14">
        <f>LN(Table1347456[[#This Row],[rr]])</f>
        <v>-5.3763570363804056E-3</v>
      </c>
      <c r="AZ434" s="13">
        <v>18</v>
      </c>
      <c r="BA434" s="13">
        <v>18</v>
      </c>
      <c r="BB434" s="14" t="s">
        <v>46</v>
      </c>
      <c r="BC434" s="14" t="s">
        <v>46</v>
      </c>
      <c r="BD434" s="15" t="s">
        <v>46</v>
      </c>
      <c r="BE434" s="14" t="s">
        <v>46</v>
      </c>
      <c r="BF43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34" s="17" t="s">
        <v>46</v>
      </c>
      <c r="BH434" s="13" t="s">
        <v>50</v>
      </c>
      <c r="BI434" s="13">
        <v>2.5000000000000001E-2</v>
      </c>
      <c r="BJ434" s="18">
        <f>ABS(_xlfn.NORM.S.INV(Table1347456[[#This Row],[p_value]]/2))</f>
        <v>2.2414027276049446</v>
      </c>
      <c r="BK434" s="19">
        <f>(Table1347456[[#This Row],[lnrr]]/Table1347456[[#This Row],[z_from_p]])^2</f>
        <v>5.7535568890118628E-6</v>
      </c>
      <c r="BL434" s="16">
        <f>Table1347456[[#This Row],[v_from_z_from_p]]</f>
        <v>5.7535568890118628E-6</v>
      </c>
      <c r="BM434" s="20">
        <f>SQRT(Table1347456[[#This Row],[v]])</f>
        <v>2.3986573096238368E-3</v>
      </c>
      <c r="BN434" s="20">
        <f>Table1347456[[#This Row],[lnrr]]-(1.96*Table1347456[[#This Row],[se]])</f>
        <v>-1.0077725363243126E-2</v>
      </c>
      <c r="BO434" s="20">
        <f>Table1347456[[#This Row],[lnrr]]+(1.96 * Table1347456[[#This Row],[se]])</f>
        <v>-6.7498870951768555E-4</v>
      </c>
    </row>
    <row r="435" spans="1:67">
      <c r="A435" s="13" t="s">
        <v>171</v>
      </c>
      <c r="B435" s="13" t="s">
        <v>172</v>
      </c>
      <c r="C435" s="13" t="s">
        <v>43</v>
      </c>
      <c r="D435" s="13" t="s">
        <v>174</v>
      </c>
      <c r="E435" s="13" t="s">
        <v>97</v>
      </c>
      <c r="F435" s="13" t="s">
        <v>588</v>
      </c>
      <c r="G435" s="13" t="s">
        <v>46</v>
      </c>
      <c r="H435" s="13">
        <v>24.7</v>
      </c>
      <c r="I435" s="13">
        <v>1318</v>
      </c>
      <c r="K435" s="13" t="s">
        <v>845</v>
      </c>
      <c r="L435" s="13" t="s">
        <v>846</v>
      </c>
      <c r="N435" s="13" t="s">
        <v>639</v>
      </c>
      <c r="O435" s="13" t="s">
        <v>54</v>
      </c>
      <c r="P435" s="13" t="s">
        <v>483</v>
      </c>
      <c r="Q435" s="13" t="s">
        <v>48</v>
      </c>
      <c r="R435" s="4">
        <v>3</v>
      </c>
      <c r="S435" s="13" t="s">
        <v>594</v>
      </c>
      <c r="T435" s="13">
        <v>120</v>
      </c>
      <c r="U435" s="4" t="s">
        <v>173</v>
      </c>
      <c r="V435" s="4">
        <v>350</v>
      </c>
      <c r="W435" s="4" t="s">
        <v>42</v>
      </c>
      <c r="X435" s="4">
        <v>511.3</v>
      </c>
      <c r="Y435" s="4">
        <v>3</v>
      </c>
      <c r="AA435" s="4" t="s">
        <v>50</v>
      </c>
      <c r="AB435" s="4">
        <v>30</v>
      </c>
      <c r="AC435" s="4" t="s">
        <v>49</v>
      </c>
      <c r="AD435" s="4">
        <v>0</v>
      </c>
      <c r="AE435" s="4" t="s">
        <v>49</v>
      </c>
      <c r="AF435" s="4">
        <v>0</v>
      </c>
      <c r="AG435" s="4" t="s">
        <v>774</v>
      </c>
      <c r="AH435" s="4" t="s">
        <v>773</v>
      </c>
      <c r="AI435" s="4" t="s">
        <v>64</v>
      </c>
      <c r="AJ435" s="13">
        <v>0</v>
      </c>
      <c r="AK435" s="13">
        <v>10</v>
      </c>
      <c r="AP435" s="13" t="s">
        <v>49</v>
      </c>
      <c r="AQ435" s="13" t="s">
        <v>49</v>
      </c>
      <c r="AR435" s="13" t="s">
        <v>49</v>
      </c>
      <c r="AS435" s="13" t="s">
        <v>50</v>
      </c>
      <c r="AT435" s="13" t="s">
        <v>992</v>
      </c>
      <c r="AU435" s="4" t="s">
        <v>1000</v>
      </c>
      <c r="AV435" s="14">
        <f>3.75/1000</f>
        <v>3.7499999999999999E-3</v>
      </c>
      <c r="AW435" s="14">
        <f>3.5/1000</f>
        <v>3.5000000000000001E-3</v>
      </c>
      <c r="AX435" s="14">
        <f>Table1347456[[#This Row],[treatment_mean]]/Table1347456[[#This Row],[control_mean]]</f>
        <v>1.0714285714285714</v>
      </c>
      <c r="AY435" s="14">
        <f>LN(Table1347456[[#This Row],[rr]])</f>
        <v>6.8992871486951421E-2</v>
      </c>
      <c r="AZ435" s="13">
        <v>18</v>
      </c>
      <c r="BA435" s="13">
        <v>18</v>
      </c>
      <c r="BB435" s="14" t="s">
        <v>46</v>
      </c>
      <c r="BC435" s="14" t="s">
        <v>46</v>
      </c>
      <c r="BD435" s="15" t="s">
        <v>46</v>
      </c>
      <c r="BE435" s="14" t="s">
        <v>46</v>
      </c>
      <c r="BF43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35" s="17" t="s">
        <v>46</v>
      </c>
      <c r="BH435" s="13" t="s">
        <v>50</v>
      </c>
      <c r="BI435" s="13">
        <v>2.5000000000000001E-2</v>
      </c>
      <c r="BJ435" s="18">
        <f>ABS(_xlfn.NORM.S.INV(Table1347456[[#This Row],[p_value]]/2))</f>
        <v>2.2414027276049446</v>
      </c>
      <c r="BK435" s="19">
        <f>(Table1347456[[#This Row],[lnrr]]/Table1347456[[#This Row],[z_from_p]])^2</f>
        <v>9.4747694086578789E-4</v>
      </c>
      <c r="BL435" s="16">
        <f>Table1347456[[#This Row],[v_from_z_from_p]]</f>
        <v>9.4747694086578789E-4</v>
      </c>
      <c r="BM435" s="20">
        <f>SQRT(Table1347456[[#This Row],[v]])</f>
        <v>3.0781113379242601E-2</v>
      </c>
      <c r="BN435" s="20">
        <f>Table1347456[[#This Row],[lnrr]]-(1.96*Table1347456[[#This Row],[se]])</f>
        <v>8.6618892636359246E-3</v>
      </c>
      <c r="BO435" s="20">
        <f>Table1347456[[#This Row],[lnrr]]+(1.96 * Table1347456[[#This Row],[se]])</f>
        <v>0.12932385371026692</v>
      </c>
    </row>
    <row r="436" spans="1:67">
      <c r="A436" s="13" t="s">
        <v>171</v>
      </c>
      <c r="B436" s="13" t="s">
        <v>172</v>
      </c>
      <c r="C436" s="13" t="s">
        <v>43</v>
      </c>
      <c r="D436" s="13" t="s">
        <v>174</v>
      </c>
      <c r="E436" s="13" t="s">
        <v>97</v>
      </c>
      <c r="F436" s="13" t="s">
        <v>588</v>
      </c>
      <c r="G436" s="13" t="s">
        <v>46</v>
      </c>
      <c r="H436" s="13">
        <v>24.7</v>
      </c>
      <c r="I436" s="13">
        <v>1318</v>
      </c>
      <c r="K436" s="13" t="s">
        <v>845</v>
      </c>
      <c r="L436" s="13" t="s">
        <v>846</v>
      </c>
      <c r="N436" s="13" t="s">
        <v>639</v>
      </c>
      <c r="O436" s="13" t="s">
        <v>54</v>
      </c>
      <c r="P436" s="13" t="s">
        <v>483</v>
      </c>
      <c r="Q436" s="13" t="s">
        <v>48</v>
      </c>
      <c r="R436" s="4">
        <v>3</v>
      </c>
      <c r="S436" s="13" t="s">
        <v>594</v>
      </c>
      <c r="T436" s="13">
        <v>120</v>
      </c>
      <c r="U436" s="4" t="s">
        <v>173</v>
      </c>
      <c r="V436" s="4">
        <v>350</v>
      </c>
      <c r="W436" s="4" t="s">
        <v>42</v>
      </c>
      <c r="X436" s="4">
        <v>511.3</v>
      </c>
      <c r="Y436" s="4">
        <v>6</v>
      </c>
      <c r="AA436" s="4" t="s">
        <v>50</v>
      </c>
      <c r="AB436" s="4">
        <v>60</v>
      </c>
      <c r="AC436" s="4" t="s">
        <v>49</v>
      </c>
      <c r="AD436" s="4">
        <v>0</v>
      </c>
      <c r="AE436" s="4" t="s">
        <v>49</v>
      </c>
      <c r="AF436" s="4">
        <v>0</v>
      </c>
      <c r="AG436" s="4" t="s">
        <v>774</v>
      </c>
      <c r="AH436" s="4" t="s">
        <v>773</v>
      </c>
      <c r="AI436" s="4" t="s">
        <v>64</v>
      </c>
      <c r="AJ436" s="13">
        <v>0</v>
      </c>
      <c r="AK436" s="13">
        <v>10</v>
      </c>
      <c r="AP436" s="13" t="s">
        <v>49</v>
      </c>
      <c r="AQ436" s="13" t="s">
        <v>49</v>
      </c>
      <c r="AR436" s="13" t="s">
        <v>49</v>
      </c>
      <c r="AS436" s="13" t="s">
        <v>50</v>
      </c>
      <c r="AT436" s="13" t="s">
        <v>992</v>
      </c>
      <c r="AU436" s="4" t="s">
        <v>1000</v>
      </c>
      <c r="AV436" s="14">
        <f>3.74/1000</f>
        <v>3.7400000000000003E-3</v>
      </c>
      <c r="AW436" s="14">
        <f>3.5/1000</f>
        <v>3.5000000000000001E-3</v>
      </c>
      <c r="AX436" s="14">
        <f>Table1347456[[#This Row],[treatment_mean]]/Table1347456[[#This Row],[control_mean]]</f>
        <v>1.0685714285714287</v>
      </c>
      <c r="AY436" s="14">
        <f>LN(Table1347456[[#This Row],[rr]])</f>
        <v>6.632264293107272E-2</v>
      </c>
      <c r="AZ436" s="13">
        <v>18</v>
      </c>
      <c r="BA436" s="13">
        <v>18</v>
      </c>
      <c r="BB436" s="14" t="s">
        <v>46</v>
      </c>
      <c r="BC436" s="14" t="s">
        <v>46</v>
      </c>
      <c r="BD436" s="15" t="s">
        <v>46</v>
      </c>
      <c r="BE436" s="14" t="s">
        <v>46</v>
      </c>
      <c r="BF43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36" s="17" t="s">
        <v>46</v>
      </c>
      <c r="BH436" s="13" t="s">
        <v>50</v>
      </c>
      <c r="BI436" s="13">
        <v>2.5000000000000001E-2</v>
      </c>
      <c r="BJ436" s="18">
        <f>ABS(_xlfn.NORM.S.INV(Table1347456[[#This Row],[p_value]]/2))</f>
        <v>2.2414027276049446</v>
      </c>
      <c r="BK436" s="19">
        <f>(Table1347456[[#This Row],[lnrr]]/Table1347456[[#This Row],[z_from_p]])^2</f>
        <v>8.7555585484183466E-4</v>
      </c>
      <c r="BL436" s="16">
        <f>Table1347456[[#This Row],[v_from_z_from_p]]</f>
        <v>8.7555585484183466E-4</v>
      </c>
      <c r="BM436" s="20">
        <f>SQRT(Table1347456[[#This Row],[v]])</f>
        <v>2.9589793085485316E-2</v>
      </c>
      <c r="BN436" s="20">
        <f>Table1347456[[#This Row],[lnrr]]-(1.96*Table1347456[[#This Row],[se]])</f>
        <v>8.3266484835214996E-3</v>
      </c>
      <c r="BO436" s="20">
        <f>Table1347456[[#This Row],[lnrr]]+(1.96 * Table1347456[[#This Row],[se]])</f>
        <v>0.12431863737862395</v>
      </c>
    </row>
    <row r="437" spans="1:67">
      <c r="A437" s="13" t="s">
        <v>171</v>
      </c>
      <c r="B437" s="13" t="s">
        <v>172</v>
      </c>
      <c r="C437" s="13" t="s">
        <v>43</v>
      </c>
      <c r="D437" s="13" t="s">
        <v>174</v>
      </c>
      <c r="E437" s="13" t="s">
        <v>97</v>
      </c>
      <c r="F437" s="13" t="s">
        <v>588</v>
      </c>
      <c r="G437" s="13" t="s">
        <v>46</v>
      </c>
      <c r="H437" s="13">
        <v>24.7</v>
      </c>
      <c r="I437" s="13">
        <v>1318</v>
      </c>
      <c r="K437" s="13" t="s">
        <v>845</v>
      </c>
      <c r="L437" s="13" t="s">
        <v>846</v>
      </c>
      <c r="N437" s="13" t="s">
        <v>639</v>
      </c>
      <c r="O437" s="13" t="s">
        <v>54</v>
      </c>
      <c r="P437" s="13" t="s">
        <v>483</v>
      </c>
      <c r="Q437" s="13" t="s">
        <v>48</v>
      </c>
      <c r="R437" s="4">
        <v>3</v>
      </c>
      <c r="S437" s="13" t="s">
        <v>594</v>
      </c>
      <c r="T437" s="13">
        <v>120</v>
      </c>
      <c r="U437" s="4" t="s">
        <v>173</v>
      </c>
      <c r="V437" s="4">
        <v>350</v>
      </c>
      <c r="W437" s="4" t="s">
        <v>42</v>
      </c>
      <c r="X437" s="4">
        <v>511.3</v>
      </c>
      <c r="Y437" s="4">
        <v>12</v>
      </c>
      <c r="AA437" s="4" t="s">
        <v>50</v>
      </c>
      <c r="AB437" s="4">
        <v>90</v>
      </c>
      <c r="AC437" s="4" t="s">
        <v>49</v>
      </c>
      <c r="AD437" s="4">
        <v>0</v>
      </c>
      <c r="AE437" s="4" t="s">
        <v>49</v>
      </c>
      <c r="AF437" s="4">
        <v>0</v>
      </c>
      <c r="AG437" s="4" t="s">
        <v>774</v>
      </c>
      <c r="AH437" s="4" t="s">
        <v>773</v>
      </c>
      <c r="AI437" s="4" t="s">
        <v>64</v>
      </c>
      <c r="AJ437" s="13">
        <v>0</v>
      </c>
      <c r="AK437" s="13">
        <v>10</v>
      </c>
      <c r="AP437" s="13" t="s">
        <v>49</v>
      </c>
      <c r="AQ437" s="13" t="s">
        <v>49</v>
      </c>
      <c r="AR437" s="13" t="s">
        <v>49</v>
      </c>
      <c r="AS437" s="13" t="s">
        <v>50</v>
      </c>
      <c r="AT437" s="13" t="s">
        <v>992</v>
      </c>
      <c r="AU437" s="4" t="s">
        <v>1000</v>
      </c>
      <c r="AV437" s="14">
        <f>3.66/1000</f>
        <v>3.6600000000000001E-3</v>
      </c>
      <c r="AW437" s="14">
        <f>3.5/1000</f>
        <v>3.5000000000000001E-3</v>
      </c>
      <c r="AX437" s="14">
        <f>Table1347456[[#This Row],[treatment_mean]]/Table1347456[[#This Row],[control_mean]]</f>
        <v>1.0457142857142858</v>
      </c>
      <c r="AY437" s="14">
        <f>LN(Table1347456[[#This Row],[rr]])</f>
        <v>4.4700178917906987E-2</v>
      </c>
      <c r="AZ437" s="13">
        <v>18</v>
      </c>
      <c r="BA437" s="13">
        <v>18</v>
      </c>
      <c r="BB437" s="14" t="s">
        <v>46</v>
      </c>
      <c r="BC437" s="14" t="s">
        <v>46</v>
      </c>
      <c r="BD437" s="15" t="s">
        <v>46</v>
      </c>
      <c r="BE437" s="14" t="s">
        <v>46</v>
      </c>
      <c r="BF43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37" s="17" t="s">
        <v>46</v>
      </c>
      <c r="BH437" s="13" t="s">
        <v>50</v>
      </c>
      <c r="BI437" s="13">
        <v>2.5000000000000001E-2</v>
      </c>
      <c r="BJ437" s="18">
        <f>ABS(_xlfn.NORM.S.INV(Table1347456[[#This Row],[p_value]]/2))</f>
        <v>2.2414027276049446</v>
      </c>
      <c r="BK437" s="19">
        <f>(Table1347456[[#This Row],[lnrr]]/Table1347456[[#This Row],[z_from_p]])^2</f>
        <v>3.9772119048756222E-4</v>
      </c>
      <c r="BL437" s="16">
        <f>Table1347456[[#This Row],[v_from_z_from_p]]</f>
        <v>3.9772119048756222E-4</v>
      </c>
      <c r="BM437" s="20">
        <f>SQRT(Table1347456[[#This Row],[v]])</f>
        <v>1.9942948390034063E-2</v>
      </c>
      <c r="BN437" s="20">
        <f>Table1347456[[#This Row],[lnrr]]-(1.96*Table1347456[[#This Row],[se]])</f>
        <v>5.6120000734402251E-3</v>
      </c>
      <c r="BO437" s="20">
        <f>Table1347456[[#This Row],[lnrr]]+(1.96 * Table1347456[[#This Row],[se]])</f>
        <v>8.3788357762373755E-2</v>
      </c>
    </row>
    <row r="438" spans="1:67">
      <c r="A438" s="13" t="s">
        <v>171</v>
      </c>
      <c r="B438" s="13" t="s">
        <v>172</v>
      </c>
      <c r="C438" s="13" t="s">
        <v>43</v>
      </c>
      <c r="D438" s="13" t="s">
        <v>174</v>
      </c>
      <c r="E438" s="13" t="s">
        <v>97</v>
      </c>
      <c r="F438" s="13" t="s">
        <v>588</v>
      </c>
      <c r="G438" s="13" t="s">
        <v>46</v>
      </c>
      <c r="H438" s="13">
        <v>24.7</v>
      </c>
      <c r="I438" s="13">
        <v>1318</v>
      </c>
      <c r="K438" s="13" t="s">
        <v>845</v>
      </c>
      <c r="L438" s="13" t="s">
        <v>846</v>
      </c>
      <c r="N438" s="13" t="s">
        <v>639</v>
      </c>
      <c r="O438" s="13" t="s">
        <v>54</v>
      </c>
      <c r="P438" s="13" t="s">
        <v>483</v>
      </c>
      <c r="Q438" s="13" t="s">
        <v>48</v>
      </c>
      <c r="R438" s="4">
        <v>3</v>
      </c>
      <c r="S438" s="13" t="s">
        <v>594</v>
      </c>
      <c r="T438" s="13">
        <v>120</v>
      </c>
      <c r="U438" s="4" t="s">
        <v>173</v>
      </c>
      <c r="V438" s="4">
        <v>350</v>
      </c>
      <c r="W438" s="4" t="s">
        <v>42</v>
      </c>
      <c r="X438" s="4">
        <v>511.3</v>
      </c>
      <c r="Y438" s="4">
        <v>3</v>
      </c>
      <c r="AA438" s="4" t="s">
        <v>49</v>
      </c>
      <c r="AB438" s="4">
        <v>0</v>
      </c>
      <c r="AC438" s="4" t="s">
        <v>49</v>
      </c>
      <c r="AD438" s="4">
        <v>0</v>
      </c>
      <c r="AE438" s="4" t="s">
        <v>49</v>
      </c>
      <c r="AF438" s="4">
        <v>0</v>
      </c>
      <c r="AG438" s="4" t="s">
        <v>774</v>
      </c>
      <c r="AH438" s="4" t="s">
        <v>773</v>
      </c>
      <c r="AI438" s="4" t="s">
        <v>64</v>
      </c>
      <c r="AJ438" s="13">
        <v>10</v>
      </c>
      <c r="AK438" s="13">
        <v>20</v>
      </c>
      <c r="AP438" s="13" t="s">
        <v>49</v>
      </c>
      <c r="AQ438" s="13" t="s">
        <v>49</v>
      </c>
      <c r="AR438" s="13" t="s">
        <v>49</v>
      </c>
      <c r="AS438" s="13" t="s">
        <v>50</v>
      </c>
      <c r="AT438" s="13" t="s">
        <v>990</v>
      </c>
      <c r="AU438" s="13" t="s">
        <v>998</v>
      </c>
      <c r="AV438" s="14">
        <f>1.75/1000</f>
        <v>1.75E-3</v>
      </c>
      <c r="AW438" s="14">
        <f t="shared" ref="AW438:AW443" si="17">1.78/1000</f>
        <v>1.7800000000000001E-3</v>
      </c>
      <c r="AX438" s="14">
        <f>Table1347456[[#This Row],[treatment_mean]]/Table1347456[[#This Row],[control_mean]]</f>
        <v>0.9831460674157303</v>
      </c>
      <c r="AY438" s="14">
        <f>LN(Table1347456[[#This Row],[rr]])</f>
        <v>-1.6997576368571136E-2</v>
      </c>
      <c r="AZ438" s="13">
        <v>18</v>
      </c>
      <c r="BA438" s="13">
        <v>18</v>
      </c>
      <c r="BB438" s="14" t="s">
        <v>46</v>
      </c>
      <c r="BC438" s="14" t="s">
        <v>46</v>
      </c>
      <c r="BD438" s="15" t="s">
        <v>46</v>
      </c>
      <c r="BE438" s="14" t="s">
        <v>46</v>
      </c>
      <c r="BF43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38" s="17" t="s">
        <v>46</v>
      </c>
      <c r="BH438" s="13" t="s">
        <v>50</v>
      </c>
      <c r="BI438" s="13">
        <v>2.5000000000000001E-2</v>
      </c>
      <c r="BJ438" s="18">
        <f>ABS(_xlfn.NORM.S.INV(Table1347456[[#This Row],[p_value]]/2))</f>
        <v>2.2414027276049446</v>
      </c>
      <c r="BK438" s="19">
        <f>(Table1347456[[#This Row],[lnrr]]/Table1347456[[#This Row],[z_from_p]])^2</f>
        <v>5.7508787347713705E-5</v>
      </c>
      <c r="BL438" s="16">
        <f>Table1347456[[#This Row],[v_from_z_from_p]]</f>
        <v>5.7508787347713705E-5</v>
      </c>
      <c r="BM438" s="20">
        <f>SQRT(Table1347456[[#This Row],[v]])</f>
        <v>7.5834548424655174E-3</v>
      </c>
      <c r="BN438" s="20">
        <f>Table1347456[[#This Row],[lnrr]]-(1.96*Table1347456[[#This Row],[se]])</f>
        <v>-3.1861147859803547E-2</v>
      </c>
      <c r="BO438" s="20">
        <f>Table1347456[[#This Row],[lnrr]]+(1.96 * Table1347456[[#This Row],[se]])</f>
        <v>-2.1340048773387226E-3</v>
      </c>
    </row>
    <row r="439" spans="1:67">
      <c r="A439" s="13" t="s">
        <v>171</v>
      </c>
      <c r="B439" s="13" t="s">
        <v>172</v>
      </c>
      <c r="C439" s="13" t="s">
        <v>43</v>
      </c>
      <c r="D439" s="13" t="s">
        <v>174</v>
      </c>
      <c r="E439" s="13" t="s">
        <v>97</v>
      </c>
      <c r="F439" s="13" t="s">
        <v>588</v>
      </c>
      <c r="G439" s="13" t="s">
        <v>46</v>
      </c>
      <c r="H439" s="13">
        <v>24.7</v>
      </c>
      <c r="I439" s="13">
        <v>1318</v>
      </c>
      <c r="K439" s="13" t="s">
        <v>845</v>
      </c>
      <c r="L439" s="13" t="s">
        <v>846</v>
      </c>
      <c r="N439" s="13" t="s">
        <v>639</v>
      </c>
      <c r="O439" s="13" t="s">
        <v>54</v>
      </c>
      <c r="P439" s="13" t="s">
        <v>483</v>
      </c>
      <c r="Q439" s="13" t="s">
        <v>48</v>
      </c>
      <c r="R439" s="4">
        <v>3</v>
      </c>
      <c r="S439" s="13" t="s">
        <v>594</v>
      </c>
      <c r="T439" s="13">
        <v>120</v>
      </c>
      <c r="U439" s="4" t="s">
        <v>173</v>
      </c>
      <c r="V439" s="4">
        <v>350</v>
      </c>
      <c r="W439" s="4" t="s">
        <v>42</v>
      </c>
      <c r="X439" s="4">
        <v>511.3</v>
      </c>
      <c r="Y439" s="4">
        <v>6</v>
      </c>
      <c r="AA439" s="4" t="s">
        <v>49</v>
      </c>
      <c r="AB439" s="4">
        <v>0</v>
      </c>
      <c r="AC439" s="4" t="s">
        <v>49</v>
      </c>
      <c r="AD439" s="4">
        <v>0</v>
      </c>
      <c r="AE439" s="4" t="s">
        <v>49</v>
      </c>
      <c r="AF439" s="4">
        <v>0</v>
      </c>
      <c r="AG439" s="4" t="s">
        <v>774</v>
      </c>
      <c r="AH439" s="4" t="s">
        <v>773</v>
      </c>
      <c r="AI439" s="4" t="s">
        <v>64</v>
      </c>
      <c r="AJ439" s="13">
        <v>10</v>
      </c>
      <c r="AK439" s="13">
        <v>20</v>
      </c>
      <c r="AP439" s="13" t="s">
        <v>49</v>
      </c>
      <c r="AQ439" s="13" t="s">
        <v>49</v>
      </c>
      <c r="AR439" s="13" t="s">
        <v>49</v>
      </c>
      <c r="AS439" s="13" t="s">
        <v>50</v>
      </c>
      <c r="AT439" s="13" t="s">
        <v>990</v>
      </c>
      <c r="AU439" s="13" t="s">
        <v>998</v>
      </c>
      <c r="AV439" s="19">
        <f>1.781/1000</f>
        <v>1.7809999999999998E-3</v>
      </c>
      <c r="AW439" s="19">
        <f t="shared" si="17"/>
        <v>1.7800000000000001E-3</v>
      </c>
      <c r="AX439" s="14">
        <f>Table1347456[[#This Row],[treatment_mean]]/Table1347456[[#This Row],[control_mean]]</f>
        <v>1.0005617977528087</v>
      </c>
      <c r="AY439" s="17">
        <f>LN(Table1347456[[#This Row],[rr]])</f>
        <v>5.6164000353056578E-4</v>
      </c>
      <c r="AZ439" s="13">
        <v>18</v>
      </c>
      <c r="BA439" s="13">
        <v>18</v>
      </c>
      <c r="BB439" s="14" t="s">
        <v>46</v>
      </c>
      <c r="BC439" s="14" t="s">
        <v>46</v>
      </c>
      <c r="BD439" s="15" t="s">
        <v>46</v>
      </c>
      <c r="BE439" s="14" t="s">
        <v>46</v>
      </c>
      <c r="BF43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39" s="17" t="s">
        <v>46</v>
      </c>
      <c r="BH439" s="13" t="s">
        <v>50</v>
      </c>
      <c r="BI439" s="13">
        <v>2.5000000000000001E-2</v>
      </c>
      <c r="BJ439" s="18">
        <f>ABS(_xlfn.NORM.S.INV(Table1347456[[#This Row],[p_value]]/2))</f>
        <v>2.2414027276049446</v>
      </c>
      <c r="BK439" s="24">
        <f>(Table1347456[[#This Row],[lnrr]]/Table1347456[[#This Row],[z_from_p]])^2</f>
        <v>6.278794578632896E-8</v>
      </c>
      <c r="BL439" s="16">
        <f>Table1347456[[#This Row],[v_from_z_from_p]]</f>
        <v>6.278794578632896E-8</v>
      </c>
      <c r="BM439" s="20">
        <f>SQRT(Table1347456[[#This Row],[v]])</f>
        <v>2.5057522979402604E-4</v>
      </c>
      <c r="BN439" s="20">
        <f>Table1347456[[#This Row],[lnrr]]-(1.96*Table1347456[[#This Row],[se]])</f>
        <v>7.0512553134274717E-5</v>
      </c>
      <c r="BO439" s="20">
        <f>Table1347456[[#This Row],[lnrr]]+(1.96 * Table1347456[[#This Row],[se]])</f>
        <v>1.0527674539268568E-3</v>
      </c>
    </row>
    <row r="440" spans="1:67">
      <c r="A440" s="13" t="s">
        <v>171</v>
      </c>
      <c r="B440" s="13" t="s">
        <v>172</v>
      </c>
      <c r="C440" s="13" t="s">
        <v>43</v>
      </c>
      <c r="D440" s="13" t="s">
        <v>174</v>
      </c>
      <c r="E440" s="13" t="s">
        <v>97</v>
      </c>
      <c r="F440" s="13" t="s">
        <v>588</v>
      </c>
      <c r="G440" s="13" t="s">
        <v>46</v>
      </c>
      <c r="H440" s="13">
        <v>24.7</v>
      </c>
      <c r="I440" s="13">
        <v>1318</v>
      </c>
      <c r="K440" s="13" t="s">
        <v>845</v>
      </c>
      <c r="L440" s="13" t="s">
        <v>846</v>
      </c>
      <c r="N440" s="13" t="s">
        <v>639</v>
      </c>
      <c r="O440" s="13" t="s">
        <v>54</v>
      </c>
      <c r="P440" s="13" t="s">
        <v>483</v>
      </c>
      <c r="Q440" s="13" t="s">
        <v>48</v>
      </c>
      <c r="R440" s="4">
        <v>3</v>
      </c>
      <c r="S440" s="13" t="s">
        <v>594</v>
      </c>
      <c r="T440" s="13">
        <v>120</v>
      </c>
      <c r="U440" s="4" t="s">
        <v>173</v>
      </c>
      <c r="V440" s="4">
        <v>350</v>
      </c>
      <c r="W440" s="4" t="s">
        <v>42</v>
      </c>
      <c r="X440" s="4">
        <v>511.3</v>
      </c>
      <c r="Y440" s="4">
        <v>12</v>
      </c>
      <c r="AA440" s="4" t="s">
        <v>49</v>
      </c>
      <c r="AB440" s="4">
        <v>0</v>
      </c>
      <c r="AC440" s="4" t="s">
        <v>49</v>
      </c>
      <c r="AD440" s="4">
        <v>0</v>
      </c>
      <c r="AE440" s="4" t="s">
        <v>49</v>
      </c>
      <c r="AF440" s="4">
        <v>0</v>
      </c>
      <c r="AG440" s="4" t="s">
        <v>774</v>
      </c>
      <c r="AH440" s="4" t="s">
        <v>773</v>
      </c>
      <c r="AI440" s="4" t="s">
        <v>64</v>
      </c>
      <c r="AJ440" s="13">
        <v>10</v>
      </c>
      <c r="AK440" s="13">
        <v>20</v>
      </c>
      <c r="AP440" s="13" t="s">
        <v>49</v>
      </c>
      <c r="AQ440" s="13" t="s">
        <v>49</v>
      </c>
      <c r="AR440" s="13" t="s">
        <v>49</v>
      </c>
      <c r="AS440" s="13" t="s">
        <v>50</v>
      </c>
      <c r="AT440" s="13" t="s">
        <v>990</v>
      </c>
      <c r="AU440" s="13" t="s">
        <v>998</v>
      </c>
      <c r="AV440" s="19">
        <f>1.781/1000</f>
        <v>1.7809999999999998E-3</v>
      </c>
      <c r="AW440" s="19">
        <f t="shared" si="17"/>
        <v>1.7800000000000001E-3</v>
      </c>
      <c r="AX440" s="14">
        <f>Table1347456[[#This Row],[treatment_mean]]/Table1347456[[#This Row],[control_mean]]</f>
        <v>1.0005617977528087</v>
      </c>
      <c r="AY440" s="17">
        <f>LN(Table1347456[[#This Row],[rr]])</f>
        <v>5.6164000353056578E-4</v>
      </c>
      <c r="AZ440" s="13">
        <v>18</v>
      </c>
      <c r="BA440" s="13">
        <v>18</v>
      </c>
      <c r="BB440" s="14" t="s">
        <v>46</v>
      </c>
      <c r="BC440" s="14" t="s">
        <v>46</v>
      </c>
      <c r="BD440" s="15" t="s">
        <v>46</v>
      </c>
      <c r="BE440" s="14" t="s">
        <v>46</v>
      </c>
      <c r="BF44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40" s="17" t="s">
        <v>46</v>
      </c>
      <c r="BH440" s="13" t="s">
        <v>50</v>
      </c>
      <c r="BI440" s="13">
        <v>2.5000000000000001E-2</v>
      </c>
      <c r="BJ440" s="18">
        <f>ABS(_xlfn.NORM.S.INV(Table1347456[[#This Row],[p_value]]/2))</f>
        <v>2.2414027276049446</v>
      </c>
      <c r="BK440" s="19">
        <f>(Table1347456[[#This Row],[lnrr]]/Table1347456[[#This Row],[z_from_p]])^2</f>
        <v>6.278794578632896E-8</v>
      </c>
      <c r="BL440" s="16">
        <f>Table1347456[[#This Row],[v_from_z_from_p]]</f>
        <v>6.278794578632896E-8</v>
      </c>
      <c r="BM440" s="20">
        <f>SQRT(Table1347456[[#This Row],[v]])</f>
        <v>2.5057522979402604E-4</v>
      </c>
      <c r="BN440" s="20">
        <f>Table1347456[[#This Row],[lnrr]]-(1.96*Table1347456[[#This Row],[se]])</f>
        <v>7.0512553134274717E-5</v>
      </c>
      <c r="BO440" s="20">
        <f>Table1347456[[#This Row],[lnrr]]+(1.96 * Table1347456[[#This Row],[se]])</f>
        <v>1.0527674539268568E-3</v>
      </c>
    </row>
    <row r="441" spans="1:67">
      <c r="A441" s="13" t="s">
        <v>171</v>
      </c>
      <c r="B441" s="13" t="s">
        <v>172</v>
      </c>
      <c r="C441" s="13" t="s">
        <v>43</v>
      </c>
      <c r="D441" s="13" t="s">
        <v>174</v>
      </c>
      <c r="E441" s="13" t="s">
        <v>97</v>
      </c>
      <c r="F441" s="13" t="s">
        <v>588</v>
      </c>
      <c r="G441" s="13" t="s">
        <v>46</v>
      </c>
      <c r="H441" s="13">
        <v>24.7</v>
      </c>
      <c r="I441" s="13">
        <v>1318</v>
      </c>
      <c r="K441" s="13" t="s">
        <v>845</v>
      </c>
      <c r="L441" s="13" t="s">
        <v>846</v>
      </c>
      <c r="N441" s="13" t="s">
        <v>639</v>
      </c>
      <c r="O441" s="13" t="s">
        <v>54</v>
      </c>
      <c r="P441" s="13" t="s">
        <v>483</v>
      </c>
      <c r="Q441" s="13" t="s">
        <v>48</v>
      </c>
      <c r="R441" s="4">
        <v>3</v>
      </c>
      <c r="S441" s="13" t="s">
        <v>594</v>
      </c>
      <c r="T441" s="13">
        <v>120</v>
      </c>
      <c r="U441" s="4" t="s">
        <v>173</v>
      </c>
      <c r="V441" s="4">
        <v>350</v>
      </c>
      <c r="W441" s="4" t="s">
        <v>42</v>
      </c>
      <c r="X441" s="4">
        <v>511.3</v>
      </c>
      <c r="Y441" s="4">
        <v>3</v>
      </c>
      <c r="AA441" s="4" t="s">
        <v>50</v>
      </c>
      <c r="AB441" s="4">
        <v>30</v>
      </c>
      <c r="AC441" s="4" t="s">
        <v>49</v>
      </c>
      <c r="AD441" s="4">
        <v>0</v>
      </c>
      <c r="AE441" s="4" t="s">
        <v>49</v>
      </c>
      <c r="AF441" s="4">
        <v>0</v>
      </c>
      <c r="AG441" s="4" t="s">
        <v>774</v>
      </c>
      <c r="AH441" s="4" t="s">
        <v>773</v>
      </c>
      <c r="AI441" s="4" t="s">
        <v>64</v>
      </c>
      <c r="AJ441" s="13">
        <v>10</v>
      </c>
      <c r="AK441" s="13">
        <v>20</v>
      </c>
      <c r="AP441" s="13" t="s">
        <v>49</v>
      </c>
      <c r="AQ441" s="13" t="s">
        <v>49</v>
      </c>
      <c r="AR441" s="13" t="s">
        <v>49</v>
      </c>
      <c r="AS441" s="13" t="s">
        <v>50</v>
      </c>
      <c r="AT441" s="13" t="s">
        <v>992</v>
      </c>
      <c r="AU441" s="4" t="s">
        <v>1000</v>
      </c>
      <c r="AV441" s="19">
        <f>1.781/1000</f>
        <v>1.7809999999999998E-3</v>
      </c>
      <c r="AW441" s="19">
        <f t="shared" si="17"/>
        <v>1.7800000000000001E-3</v>
      </c>
      <c r="AX441" s="14">
        <f>Table1347456[[#This Row],[treatment_mean]]/Table1347456[[#This Row],[control_mean]]</f>
        <v>1.0005617977528087</v>
      </c>
      <c r="AY441" s="17">
        <f>LN(Table1347456[[#This Row],[rr]])</f>
        <v>5.6164000353056578E-4</v>
      </c>
      <c r="AZ441" s="13">
        <v>18</v>
      </c>
      <c r="BA441" s="13">
        <v>18</v>
      </c>
      <c r="BB441" s="14" t="s">
        <v>46</v>
      </c>
      <c r="BC441" s="14" t="s">
        <v>46</v>
      </c>
      <c r="BD441" s="15" t="s">
        <v>46</v>
      </c>
      <c r="BE441" s="14" t="s">
        <v>46</v>
      </c>
      <c r="BF44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41" s="17" t="s">
        <v>46</v>
      </c>
      <c r="BH441" s="13" t="s">
        <v>50</v>
      </c>
      <c r="BI441" s="13">
        <v>2.5000000000000001E-2</v>
      </c>
      <c r="BJ441" s="18">
        <f>ABS(_xlfn.NORM.S.INV(Table1347456[[#This Row],[p_value]]/2))</f>
        <v>2.2414027276049446</v>
      </c>
      <c r="BK441" s="19">
        <f>(Table1347456[[#This Row],[lnrr]]/Table1347456[[#This Row],[z_from_p]])^2</f>
        <v>6.278794578632896E-8</v>
      </c>
      <c r="BL441" s="16">
        <f>Table1347456[[#This Row],[v_from_z_from_p]]</f>
        <v>6.278794578632896E-8</v>
      </c>
      <c r="BM441" s="20">
        <f>SQRT(Table1347456[[#This Row],[v]])</f>
        <v>2.5057522979402604E-4</v>
      </c>
      <c r="BN441" s="20">
        <f>Table1347456[[#This Row],[lnrr]]-(1.96*Table1347456[[#This Row],[se]])</f>
        <v>7.0512553134274717E-5</v>
      </c>
      <c r="BO441" s="20">
        <f>Table1347456[[#This Row],[lnrr]]+(1.96 * Table1347456[[#This Row],[se]])</f>
        <v>1.0527674539268568E-3</v>
      </c>
    </row>
    <row r="442" spans="1:67">
      <c r="A442" s="13" t="s">
        <v>171</v>
      </c>
      <c r="B442" s="13" t="s">
        <v>172</v>
      </c>
      <c r="C442" s="13" t="s">
        <v>43</v>
      </c>
      <c r="D442" s="13" t="s">
        <v>174</v>
      </c>
      <c r="E442" s="13" t="s">
        <v>97</v>
      </c>
      <c r="F442" s="13" t="s">
        <v>588</v>
      </c>
      <c r="G442" s="13" t="s">
        <v>46</v>
      </c>
      <c r="H442" s="13">
        <v>24.7</v>
      </c>
      <c r="I442" s="13">
        <v>1318</v>
      </c>
      <c r="K442" s="13" t="s">
        <v>845</v>
      </c>
      <c r="L442" s="13" t="s">
        <v>846</v>
      </c>
      <c r="N442" s="13" t="s">
        <v>639</v>
      </c>
      <c r="O442" s="13" t="s">
        <v>54</v>
      </c>
      <c r="P442" s="13" t="s">
        <v>483</v>
      </c>
      <c r="Q442" s="13" t="s">
        <v>48</v>
      </c>
      <c r="R442" s="4">
        <v>3</v>
      </c>
      <c r="S442" s="13" t="s">
        <v>594</v>
      </c>
      <c r="T442" s="13">
        <v>120</v>
      </c>
      <c r="U442" s="4" t="s">
        <v>173</v>
      </c>
      <c r="V442" s="4">
        <v>350</v>
      </c>
      <c r="W442" s="4" t="s">
        <v>42</v>
      </c>
      <c r="X442" s="4">
        <v>511.3</v>
      </c>
      <c r="Y442" s="4">
        <v>6</v>
      </c>
      <c r="AA442" s="4" t="s">
        <v>50</v>
      </c>
      <c r="AB442" s="4">
        <v>60</v>
      </c>
      <c r="AC442" s="4" t="s">
        <v>49</v>
      </c>
      <c r="AD442" s="4">
        <v>0</v>
      </c>
      <c r="AE442" s="4" t="s">
        <v>49</v>
      </c>
      <c r="AF442" s="4">
        <v>0</v>
      </c>
      <c r="AG442" s="4" t="s">
        <v>774</v>
      </c>
      <c r="AH442" s="4" t="s">
        <v>773</v>
      </c>
      <c r="AI442" s="4" t="s">
        <v>64</v>
      </c>
      <c r="AJ442" s="13">
        <v>10</v>
      </c>
      <c r="AK442" s="13">
        <v>20</v>
      </c>
      <c r="AP442" s="13" t="s">
        <v>49</v>
      </c>
      <c r="AQ442" s="13" t="s">
        <v>49</v>
      </c>
      <c r="AR442" s="13" t="s">
        <v>49</v>
      </c>
      <c r="AS442" s="13" t="s">
        <v>50</v>
      </c>
      <c r="AT442" s="13" t="s">
        <v>992</v>
      </c>
      <c r="AU442" s="4" t="s">
        <v>1000</v>
      </c>
      <c r="AV442" s="14">
        <f>1.76/1000</f>
        <v>1.7600000000000001E-3</v>
      </c>
      <c r="AW442" s="14">
        <f t="shared" si="17"/>
        <v>1.7800000000000001E-3</v>
      </c>
      <c r="AX442" s="14">
        <f>Table1347456[[#This Row],[treatment_mean]]/Table1347456[[#This Row],[control_mean]]</f>
        <v>0.9887640449438202</v>
      </c>
      <c r="AY442" s="14">
        <f>LN(Table1347456[[#This Row],[rr]])</f>
        <v>-1.1299555253933394E-2</v>
      </c>
      <c r="AZ442" s="13">
        <v>18</v>
      </c>
      <c r="BA442" s="13">
        <v>18</v>
      </c>
      <c r="BB442" s="14" t="s">
        <v>46</v>
      </c>
      <c r="BC442" s="14" t="s">
        <v>46</v>
      </c>
      <c r="BD442" s="15" t="s">
        <v>46</v>
      </c>
      <c r="BE442" s="14" t="s">
        <v>46</v>
      </c>
      <c r="BF44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42" s="17" t="s">
        <v>46</v>
      </c>
      <c r="BH442" s="13" t="s">
        <v>50</v>
      </c>
      <c r="BI442" s="13">
        <v>2.5000000000000001E-2</v>
      </c>
      <c r="BJ442" s="18">
        <f>ABS(_xlfn.NORM.S.INV(Table1347456[[#This Row],[p_value]]/2))</f>
        <v>2.2414027276049446</v>
      </c>
      <c r="BK442" s="19">
        <f>(Table1347456[[#This Row],[lnrr]]/Table1347456[[#This Row],[z_from_p]])^2</f>
        <v>2.5414578311722228E-5</v>
      </c>
      <c r="BL442" s="16">
        <f>Table1347456[[#This Row],[v_from_z_from_p]]</f>
        <v>2.5414578311722228E-5</v>
      </c>
      <c r="BM442" s="20">
        <f>SQRT(Table1347456[[#This Row],[v]])</f>
        <v>5.0412873665088989E-3</v>
      </c>
      <c r="BN442" s="20">
        <f>Table1347456[[#This Row],[lnrr]]-(1.96*Table1347456[[#This Row],[se]])</f>
        <v>-2.1180478492290836E-2</v>
      </c>
      <c r="BO442" s="20">
        <f>Table1347456[[#This Row],[lnrr]]+(1.96 * Table1347456[[#This Row],[se]])</f>
        <v>-1.4186320155759533E-3</v>
      </c>
    </row>
    <row r="443" spans="1:67">
      <c r="A443" s="13" t="s">
        <v>171</v>
      </c>
      <c r="B443" s="13" t="s">
        <v>172</v>
      </c>
      <c r="C443" s="13" t="s">
        <v>43</v>
      </c>
      <c r="D443" s="13" t="s">
        <v>174</v>
      </c>
      <c r="E443" s="13" t="s">
        <v>97</v>
      </c>
      <c r="F443" s="13" t="s">
        <v>588</v>
      </c>
      <c r="G443" s="13" t="s">
        <v>46</v>
      </c>
      <c r="H443" s="13">
        <v>24.7</v>
      </c>
      <c r="I443" s="13">
        <v>1318</v>
      </c>
      <c r="K443" s="13" t="s">
        <v>845</v>
      </c>
      <c r="L443" s="13" t="s">
        <v>846</v>
      </c>
      <c r="N443" s="13" t="s">
        <v>639</v>
      </c>
      <c r="O443" s="13" t="s">
        <v>54</v>
      </c>
      <c r="P443" s="13" t="s">
        <v>483</v>
      </c>
      <c r="Q443" s="13" t="s">
        <v>48</v>
      </c>
      <c r="R443" s="4">
        <v>3</v>
      </c>
      <c r="S443" s="13" t="s">
        <v>594</v>
      </c>
      <c r="T443" s="13">
        <v>120</v>
      </c>
      <c r="U443" s="4" t="s">
        <v>173</v>
      </c>
      <c r="V443" s="4">
        <v>350</v>
      </c>
      <c r="W443" s="4" t="s">
        <v>42</v>
      </c>
      <c r="X443" s="4">
        <v>511.3</v>
      </c>
      <c r="Y443" s="4">
        <v>12</v>
      </c>
      <c r="AA443" s="4" t="s">
        <v>50</v>
      </c>
      <c r="AB443" s="4">
        <v>90</v>
      </c>
      <c r="AC443" s="4" t="s">
        <v>49</v>
      </c>
      <c r="AD443" s="4">
        <v>0</v>
      </c>
      <c r="AE443" s="4" t="s">
        <v>49</v>
      </c>
      <c r="AF443" s="4">
        <v>0</v>
      </c>
      <c r="AG443" s="4" t="s">
        <v>774</v>
      </c>
      <c r="AH443" s="4" t="s">
        <v>773</v>
      </c>
      <c r="AI443" s="4" t="s">
        <v>64</v>
      </c>
      <c r="AJ443" s="13">
        <v>10</v>
      </c>
      <c r="AK443" s="13">
        <v>20</v>
      </c>
      <c r="AP443" s="13" t="s">
        <v>49</v>
      </c>
      <c r="AQ443" s="13" t="s">
        <v>49</v>
      </c>
      <c r="AR443" s="13" t="s">
        <v>49</v>
      </c>
      <c r="AS443" s="13" t="s">
        <v>50</v>
      </c>
      <c r="AT443" s="13" t="s">
        <v>992</v>
      </c>
      <c r="AU443" s="4" t="s">
        <v>1000</v>
      </c>
      <c r="AV443" s="14">
        <f>1.79/1000</f>
        <v>1.7900000000000001E-3</v>
      </c>
      <c r="AW443" s="14">
        <f t="shared" si="17"/>
        <v>1.7800000000000001E-3</v>
      </c>
      <c r="AX443" s="14">
        <f>Table1347456[[#This Row],[treatment_mean]]/Table1347456[[#This Row],[control_mean]]</f>
        <v>1.00561797752809</v>
      </c>
      <c r="AY443" s="14">
        <f>LN(Table1347456[[#This Row],[rr]])</f>
        <v>5.6022555486699727E-3</v>
      </c>
      <c r="AZ443" s="13">
        <v>18</v>
      </c>
      <c r="BA443" s="13">
        <v>18</v>
      </c>
      <c r="BB443" s="14" t="s">
        <v>46</v>
      </c>
      <c r="BC443" s="14" t="s">
        <v>46</v>
      </c>
      <c r="BD443" s="15" t="s">
        <v>46</v>
      </c>
      <c r="BE443" s="14" t="s">
        <v>46</v>
      </c>
      <c r="BF44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43" s="17" t="s">
        <v>46</v>
      </c>
      <c r="BH443" s="13" t="s">
        <v>50</v>
      </c>
      <c r="BI443" s="13">
        <v>2.5000000000000001E-2</v>
      </c>
      <c r="BJ443" s="18">
        <f>ABS(_xlfn.NORM.S.INV(Table1347456[[#This Row],[p_value]]/2))</f>
        <v>2.2414027276049446</v>
      </c>
      <c r="BK443" s="19">
        <f>(Table1347456[[#This Row],[lnrr]]/Table1347456[[#This Row],[z_from_p]])^2</f>
        <v>6.2472090454298224E-6</v>
      </c>
      <c r="BL443" s="16">
        <f>Table1347456[[#This Row],[v_from_z_from_p]]</f>
        <v>6.2472090454298224E-6</v>
      </c>
      <c r="BM443" s="20">
        <f>SQRT(Table1347456[[#This Row],[v]])</f>
        <v>2.4994417467566277E-3</v>
      </c>
      <c r="BN443" s="20">
        <f>Table1347456[[#This Row],[lnrr]]-(1.96*Table1347456[[#This Row],[se]])</f>
        <v>7.0334972502698271E-4</v>
      </c>
      <c r="BO443" s="20">
        <f>Table1347456[[#This Row],[lnrr]]+(1.96 * Table1347456[[#This Row],[se]])</f>
        <v>1.0501161372312964E-2</v>
      </c>
    </row>
    <row r="444" spans="1:67">
      <c r="A444" s="13" t="s">
        <v>175</v>
      </c>
      <c r="B444" s="13" t="s">
        <v>176</v>
      </c>
      <c r="C444" s="13" t="s">
        <v>43</v>
      </c>
      <c r="D444" s="13" t="s">
        <v>177</v>
      </c>
      <c r="E444" s="13" t="s">
        <v>178</v>
      </c>
      <c r="F444" s="13" t="s">
        <v>587</v>
      </c>
      <c r="G444" s="13" t="s">
        <v>179</v>
      </c>
      <c r="H444" s="13">
        <v>25.2</v>
      </c>
      <c r="I444" s="13">
        <v>187</v>
      </c>
      <c r="K444" s="13" t="s">
        <v>847</v>
      </c>
      <c r="L444" s="13" t="s">
        <v>848</v>
      </c>
      <c r="N444" s="13" t="s">
        <v>61</v>
      </c>
      <c r="O444" s="13" t="s">
        <v>642</v>
      </c>
      <c r="P444" s="13" t="s">
        <v>71</v>
      </c>
      <c r="Q444" s="13" t="s">
        <v>48</v>
      </c>
      <c r="R444" s="4">
        <v>3</v>
      </c>
      <c r="S444" s="13" t="s">
        <v>594</v>
      </c>
      <c r="T444" s="13">
        <v>730</v>
      </c>
      <c r="U444" s="4" t="s">
        <v>180</v>
      </c>
      <c r="V444" s="4">
        <v>450</v>
      </c>
      <c r="W444" s="4" t="s">
        <v>601</v>
      </c>
      <c r="X444" s="4" t="s">
        <v>46</v>
      </c>
      <c r="Y444" s="4">
        <v>10</v>
      </c>
      <c r="AA444" s="4" t="s">
        <v>49</v>
      </c>
      <c r="AB444" s="4">
        <v>0</v>
      </c>
      <c r="AC444" s="4" t="s">
        <v>49</v>
      </c>
      <c r="AD444" s="4">
        <v>0</v>
      </c>
      <c r="AE444" s="4" t="s">
        <v>49</v>
      </c>
      <c r="AF444" s="4">
        <v>0</v>
      </c>
      <c r="AG444" s="4" t="s">
        <v>768</v>
      </c>
      <c r="AH444" s="4" t="s">
        <v>691</v>
      </c>
      <c r="AI444" s="4" t="s">
        <v>64</v>
      </c>
      <c r="AJ444" s="13">
        <v>0</v>
      </c>
      <c r="AK444" s="13">
        <v>30</v>
      </c>
      <c r="AM444" s="13" t="s">
        <v>501</v>
      </c>
      <c r="AP444" s="13" t="s">
        <v>49</v>
      </c>
      <c r="AQ444" s="13" t="s">
        <v>49</v>
      </c>
      <c r="AR444" s="13" t="s">
        <v>49</v>
      </c>
      <c r="AS444" s="13" t="s">
        <v>50</v>
      </c>
      <c r="AT444" s="13" t="s">
        <v>990</v>
      </c>
      <c r="AU444" s="13" t="s">
        <v>998</v>
      </c>
      <c r="AV444" s="14">
        <f>(117.55*3)/1.2/1000</f>
        <v>0.293875</v>
      </c>
      <c r="AW444" s="14">
        <f>(92.02*3)/1.2/1000</f>
        <v>0.23005</v>
      </c>
      <c r="AX444" s="14">
        <f>Table1347456[[#This Row],[treatment_mean]]/Table1347456[[#This Row],[control_mean]]</f>
        <v>1.2774396870245599</v>
      </c>
      <c r="AY444" s="14">
        <f>LN(Table1347456[[#This Row],[rr]])</f>
        <v>0.24485783025875599</v>
      </c>
      <c r="AZ444" s="13">
        <v>3</v>
      </c>
      <c r="BA444" s="13">
        <v>3</v>
      </c>
      <c r="BB444" s="14">
        <f>(SQRT(12.03385)*3)/1.2/1000</f>
        <v>8.6724600027904431E-3</v>
      </c>
      <c r="BC444" s="14">
        <f>(SQRT(39.2233)*3)/1.2/1000</f>
        <v>1.5657126971446583E-2</v>
      </c>
      <c r="BD444" s="15">
        <f>Table1347456[[#This Row],[treatment_se]]*SQRT(Table1347456[[#This Row],[treatment_n]])</f>
        <v>1.5021141351441974E-2</v>
      </c>
      <c r="BE444" s="14">
        <f>Table1347456[[#This Row],[control_se]]*SQRT(Table1347456[[#This Row],[control_n]])</f>
        <v>2.7118939415102503E-2</v>
      </c>
      <c r="BF44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5.5030006393048314E-3</v>
      </c>
      <c r="BG444" s="17">
        <f>SQRT(Table1347456[[#This Row],[v_from_sd_and_n]])</f>
        <v>7.4182212418509266E-2</v>
      </c>
      <c r="BH444" s="13" t="s">
        <v>50</v>
      </c>
      <c r="BI444" s="13">
        <v>2.5000000000000001E-2</v>
      </c>
      <c r="BJ444" s="18">
        <f>ABS(_xlfn.NORM.S.INV(Table1347456[[#This Row],[p_value]]/2))</f>
        <v>2.2414027276049446</v>
      </c>
      <c r="BK444" s="19">
        <f>(Table1347456[[#This Row],[lnrr]]/Table1347456[[#This Row],[z_from_p]])^2</f>
        <v>1.1934059571335566E-2</v>
      </c>
      <c r="BL444" s="16">
        <f>Table1347456[[#This Row],[v_from_sd_and_n]]</f>
        <v>5.5030006393048314E-3</v>
      </c>
      <c r="BM444" s="20">
        <f>SQRT(Table1347456[[#This Row],[v]])</f>
        <v>7.4182212418509266E-2</v>
      </c>
      <c r="BN444" s="20">
        <f>Table1347456[[#This Row],[lnrr]]-(1.96*Table1347456[[#This Row],[se]])</f>
        <v>9.9460693918477838E-2</v>
      </c>
      <c r="BO444" s="20">
        <f>Table1347456[[#This Row],[lnrr]]+(1.96 * Table1347456[[#This Row],[se]])</f>
        <v>0.39025496659903414</v>
      </c>
    </row>
    <row r="445" spans="1:67">
      <c r="A445" s="13" t="s">
        <v>175</v>
      </c>
      <c r="B445" s="13" t="s">
        <v>176</v>
      </c>
      <c r="C445" s="13" t="s">
        <v>43</v>
      </c>
      <c r="D445" s="13" t="s">
        <v>177</v>
      </c>
      <c r="E445" s="13" t="s">
        <v>178</v>
      </c>
      <c r="F445" s="13" t="s">
        <v>587</v>
      </c>
      <c r="G445" s="13" t="s">
        <v>179</v>
      </c>
      <c r="H445" s="13">
        <v>25.2</v>
      </c>
      <c r="I445" s="13">
        <v>187</v>
      </c>
      <c r="K445" s="13" t="s">
        <v>847</v>
      </c>
      <c r="L445" s="13" t="s">
        <v>848</v>
      </c>
      <c r="N445" s="13" t="s">
        <v>61</v>
      </c>
      <c r="O445" s="13" t="s">
        <v>642</v>
      </c>
      <c r="P445" s="13" t="s">
        <v>71</v>
      </c>
      <c r="Q445" s="13" t="s">
        <v>48</v>
      </c>
      <c r="R445" s="4">
        <v>3</v>
      </c>
      <c r="S445" s="13" t="s">
        <v>594</v>
      </c>
      <c r="T445" s="13">
        <v>730</v>
      </c>
      <c r="U445" s="4" t="s">
        <v>120</v>
      </c>
      <c r="V445" s="4">
        <v>450</v>
      </c>
      <c r="W445" s="4" t="s">
        <v>601</v>
      </c>
      <c r="X445" s="4" t="s">
        <v>46</v>
      </c>
      <c r="Y445" s="4">
        <v>10</v>
      </c>
      <c r="AA445" s="4" t="s">
        <v>49</v>
      </c>
      <c r="AB445" s="4">
        <v>0</v>
      </c>
      <c r="AC445" s="4" t="s">
        <v>49</v>
      </c>
      <c r="AD445" s="4">
        <v>0</v>
      </c>
      <c r="AE445" s="4" t="s">
        <v>49</v>
      </c>
      <c r="AF445" s="4">
        <v>0</v>
      </c>
      <c r="AG445" s="4" t="s">
        <v>714</v>
      </c>
      <c r="AH445" s="4" t="s">
        <v>691</v>
      </c>
      <c r="AI445" s="4" t="s">
        <v>64</v>
      </c>
      <c r="AJ445" s="13">
        <v>0</v>
      </c>
      <c r="AK445" s="13">
        <v>30</v>
      </c>
      <c r="AM445" s="13" t="s">
        <v>501</v>
      </c>
      <c r="AP445" s="13" t="s">
        <v>49</v>
      </c>
      <c r="AQ445" s="13" t="s">
        <v>49</v>
      </c>
      <c r="AR445" s="13" t="s">
        <v>49</v>
      </c>
      <c r="AS445" s="13" t="s">
        <v>50</v>
      </c>
      <c r="AT445" s="13" t="s">
        <v>990</v>
      </c>
      <c r="AU445" s="13" t="s">
        <v>998</v>
      </c>
      <c r="AV445" s="14">
        <f>(153.19*3)/1.2/1000</f>
        <v>0.38297500000000001</v>
      </c>
      <c r="AW445" s="14">
        <f>(92.02*3)/1.2/1000</f>
        <v>0.23005</v>
      </c>
      <c r="AX445" s="14">
        <f>Table1347456[[#This Row],[treatment_mean]]/Table1347456[[#This Row],[control_mean]]</f>
        <v>1.6647467941751792</v>
      </c>
      <c r="AY445" s="14">
        <f>LN(Table1347456[[#This Row],[rr]])</f>
        <v>0.50967303629728222</v>
      </c>
      <c r="AZ445" s="13">
        <v>3</v>
      </c>
      <c r="BA445" s="13">
        <v>3</v>
      </c>
      <c r="BB445" s="14">
        <f>(SQRT(20.97785)*3)/1.2/1000</f>
        <v>1.1450395735519363E-2</v>
      </c>
      <c r="BC445" s="14">
        <f>(SQRT(39.2233)*3)/1.2/1000</f>
        <v>1.5657126971446583E-2</v>
      </c>
      <c r="BD445" s="15">
        <f>Table1347456[[#This Row],[treatment_se]]*SQRT(Table1347456[[#This Row],[treatment_n]])</f>
        <v>1.9832667180689541E-2</v>
      </c>
      <c r="BE445" s="14">
        <f>Table1347456[[#This Row],[control_se]]*SQRT(Table1347456[[#This Row],[control_n]])</f>
        <v>2.7118939415102503E-2</v>
      </c>
      <c r="BF44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5.5260416797952676E-3</v>
      </c>
      <c r="BG445" s="17">
        <f>SQRT(Table1347456[[#This Row],[v_from_sd_and_n]])</f>
        <v>7.4337350502928654E-2</v>
      </c>
      <c r="BH445" s="13" t="s">
        <v>50</v>
      </c>
      <c r="BI445" s="13">
        <v>2.5000000000000001E-2</v>
      </c>
      <c r="BJ445" s="18">
        <f>ABS(_xlfn.NORM.S.INV(Table1347456[[#This Row],[p_value]]/2))</f>
        <v>2.2414027276049446</v>
      </c>
      <c r="BK445" s="19">
        <f>(Table1347456[[#This Row],[lnrr]]/Table1347456[[#This Row],[z_from_p]])^2</f>
        <v>5.1706307476548974E-2</v>
      </c>
      <c r="BL445" s="16">
        <f>Table1347456[[#This Row],[v_from_sd_and_n]]</f>
        <v>5.5260416797952676E-3</v>
      </c>
      <c r="BM445" s="20">
        <f>SQRT(Table1347456[[#This Row],[v]])</f>
        <v>7.4337350502928654E-2</v>
      </c>
      <c r="BN445" s="20">
        <f>Table1347456[[#This Row],[lnrr]]-(1.96*Table1347456[[#This Row],[se]])</f>
        <v>0.36397182931154204</v>
      </c>
      <c r="BO445" s="20">
        <f>Table1347456[[#This Row],[lnrr]]+(1.96 * Table1347456[[#This Row],[se]])</f>
        <v>0.65537424328302241</v>
      </c>
    </row>
    <row r="446" spans="1:67">
      <c r="A446" s="13" t="s">
        <v>175</v>
      </c>
      <c r="B446" s="13" t="s">
        <v>176</v>
      </c>
      <c r="C446" s="13" t="s">
        <v>43</v>
      </c>
      <c r="D446" s="13" t="s">
        <v>177</v>
      </c>
      <c r="E446" s="13" t="s">
        <v>178</v>
      </c>
      <c r="F446" s="13" t="s">
        <v>587</v>
      </c>
      <c r="G446" s="13" t="s">
        <v>179</v>
      </c>
      <c r="H446" s="13">
        <v>25.2</v>
      </c>
      <c r="I446" s="13">
        <v>187</v>
      </c>
      <c r="K446" s="13" t="s">
        <v>847</v>
      </c>
      <c r="L446" s="13" t="s">
        <v>848</v>
      </c>
      <c r="N446" s="13" t="s">
        <v>139</v>
      </c>
      <c r="O446" s="13" t="s">
        <v>643</v>
      </c>
      <c r="P446" s="13" t="s">
        <v>502</v>
      </c>
      <c r="Q446" s="13" t="s">
        <v>422</v>
      </c>
      <c r="R446" s="4">
        <v>3</v>
      </c>
      <c r="S446" s="13" t="s">
        <v>594</v>
      </c>
      <c r="T446" s="13">
        <v>730</v>
      </c>
      <c r="U446" s="4" t="s">
        <v>180</v>
      </c>
      <c r="V446" s="4">
        <v>450</v>
      </c>
      <c r="W446" s="4" t="s">
        <v>601</v>
      </c>
      <c r="X446" s="4" t="s">
        <v>46</v>
      </c>
      <c r="Y446" s="4">
        <v>10</v>
      </c>
      <c r="AA446" s="4" t="s">
        <v>49</v>
      </c>
      <c r="AB446" s="4">
        <v>0</v>
      </c>
      <c r="AC446" s="4" t="s">
        <v>49</v>
      </c>
      <c r="AD446" s="4">
        <v>0</v>
      </c>
      <c r="AE446" s="4" t="s">
        <v>49</v>
      </c>
      <c r="AF446" s="4">
        <v>0</v>
      </c>
      <c r="AG446" s="4" t="s">
        <v>768</v>
      </c>
      <c r="AH446" s="4" t="s">
        <v>691</v>
      </c>
      <c r="AI446" s="4" t="s">
        <v>64</v>
      </c>
      <c r="AJ446" s="13">
        <v>0</v>
      </c>
      <c r="AK446" s="13">
        <v>30</v>
      </c>
      <c r="AM446" s="13" t="s">
        <v>501</v>
      </c>
      <c r="AP446" s="13" t="s">
        <v>49</v>
      </c>
      <c r="AQ446" s="13" t="s">
        <v>49</v>
      </c>
      <c r="AR446" s="13" t="s">
        <v>49</v>
      </c>
      <c r="AS446" s="13" t="s">
        <v>50</v>
      </c>
      <c r="AT446" s="13" t="s">
        <v>990</v>
      </c>
      <c r="AU446" s="13" t="s">
        <v>998</v>
      </c>
      <c r="AV446" s="14">
        <f>10.99/10</f>
        <v>1.099</v>
      </c>
      <c r="AW446" s="14">
        <f>10.21/10</f>
        <v>1.0210000000000001</v>
      </c>
      <c r="AX446" s="14">
        <f>Table1347456[[#This Row],[treatment_mean]]/Table1347456[[#This Row],[control_mean]]</f>
        <v>1.0763956904995102</v>
      </c>
      <c r="AY446" s="14">
        <f>LN(Table1347456[[#This Row],[rr]])</f>
        <v>7.3618136238955759E-2</v>
      </c>
      <c r="AZ446" s="13">
        <v>3</v>
      </c>
      <c r="BA446" s="13">
        <v>3</v>
      </c>
      <c r="BB446" s="14">
        <f>(SQRT(5.90585)*3)/1.2/1000</f>
        <v>6.0754886634739108E-3</v>
      </c>
      <c r="BC446" s="14">
        <f>(SQRT(2.3765)*3)/1.2/1000</f>
        <v>3.8539752204704166E-3</v>
      </c>
      <c r="BD446" s="15">
        <f>SQRT(11.8117)/10</f>
        <v>0.34368153863715173</v>
      </c>
      <c r="BE446" s="14">
        <f>SQRT(4.753)/10</f>
        <v>0.21801376103356412</v>
      </c>
      <c r="BF44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4.7796663454343025E-2</v>
      </c>
      <c r="BG446" s="17">
        <f>SQRT(Table1347456[[#This Row],[v_from_sd_and_n]])</f>
        <v>0.21862448045528438</v>
      </c>
      <c r="BH446" s="13" t="s">
        <v>50</v>
      </c>
      <c r="BI446" s="13">
        <v>2.5000000000000001E-2</v>
      </c>
      <c r="BJ446" s="18">
        <f>ABS(_xlfn.NORM.S.INV(Table1347456[[#This Row],[p_value]]/2))</f>
        <v>2.2414027276049446</v>
      </c>
      <c r="BK446" s="19">
        <f>(Table1347456[[#This Row],[lnrr]]/Table1347456[[#This Row],[z_from_p]])^2</f>
        <v>1.0787724445234855E-3</v>
      </c>
      <c r="BL446" s="16">
        <f>Table1347456[[#This Row],[v_from_sd_and_n]]</f>
        <v>4.7796663454343025E-2</v>
      </c>
      <c r="BM446" s="20">
        <f>SQRT(Table1347456[[#This Row],[v]])</f>
        <v>0.21862448045528438</v>
      </c>
      <c r="BN446" s="20">
        <f>Table1347456[[#This Row],[lnrr]]-(1.96*Table1347456[[#This Row],[se]])</f>
        <v>-0.35488584545340163</v>
      </c>
      <c r="BO446" s="20">
        <f>Table1347456[[#This Row],[lnrr]]+(1.96 * Table1347456[[#This Row],[se]])</f>
        <v>0.50212211793131312</v>
      </c>
    </row>
    <row r="447" spans="1:67">
      <c r="A447" s="13" t="s">
        <v>175</v>
      </c>
      <c r="B447" s="13" t="s">
        <v>176</v>
      </c>
      <c r="C447" s="13" t="s">
        <v>43</v>
      </c>
      <c r="D447" s="13" t="s">
        <v>177</v>
      </c>
      <c r="E447" s="13" t="s">
        <v>178</v>
      </c>
      <c r="F447" s="13" t="s">
        <v>587</v>
      </c>
      <c r="G447" s="13" t="s">
        <v>179</v>
      </c>
      <c r="H447" s="13">
        <v>25.2</v>
      </c>
      <c r="I447" s="13">
        <v>187</v>
      </c>
      <c r="K447" s="13" t="s">
        <v>847</v>
      </c>
      <c r="L447" s="13" t="s">
        <v>848</v>
      </c>
      <c r="N447" s="13" t="s">
        <v>139</v>
      </c>
      <c r="O447" s="13" t="s">
        <v>643</v>
      </c>
      <c r="P447" s="13" t="s">
        <v>502</v>
      </c>
      <c r="Q447" s="13" t="s">
        <v>422</v>
      </c>
      <c r="R447" s="4">
        <v>3</v>
      </c>
      <c r="S447" s="13" t="s">
        <v>594</v>
      </c>
      <c r="T447" s="13">
        <v>730</v>
      </c>
      <c r="U447" s="4" t="s">
        <v>120</v>
      </c>
      <c r="V447" s="4">
        <v>450</v>
      </c>
      <c r="W447" s="4" t="s">
        <v>601</v>
      </c>
      <c r="X447" s="4" t="s">
        <v>46</v>
      </c>
      <c r="Y447" s="4">
        <v>10</v>
      </c>
      <c r="AA447" s="4" t="s">
        <v>49</v>
      </c>
      <c r="AB447" s="4">
        <v>0</v>
      </c>
      <c r="AC447" s="4" t="s">
        <v>49</v>
      </c>
      <c r="AD447" s="4">
        <v>0</v>
      </c>
      <c r="AE447" s="4" t="s">
        <v>49</v>
      </c>
      <c r="AF447" s="4">
        <v>0</v>
      </c>
      <c r="AG447" s="4" t="s">
        <v>714</v>
      </c>
      <c r="AH447" s="4" t="s">
        <v>691</v>
      </c>
      <c r="AI447" s="4" t="s">
        <v>64</v>
      </c>
      <c r="AJ447" s="13">
        <v>0</v>
      </c>
      <c r="AK447" s="13">
        <v>30</v>
      </c>
      <c r="AM447" s="13" t="s">
        <v>501</v>
      </c>
      <c r="AP447" s="13" t="s">
        <v>49</v>
      </c>
      <c r="AQ447" s="13" t="s">
        <v>49</v>
      </c>
      <c r="AR447" s="13" t="s">
        <v>49</v>
      </c>
      <c r="AS447" s="13" t="s">
        <v>50</v>
      </c>
      <c r="AT447" s="13" t="s">
        <v>990</v>
      </c>
      <c r="AU447" s="13" t="s">
        <v>998</v>
      </c>
      <c r="AV447" s="14">
        <f>13.95/10</f>
        <v>1.395</v>
      </c>
      <c r="AW447" s="14">
        <f>10.21/10</f>
        <v>1.0210000000000001</v>
      </c>
      <c r="AX447" s="14">
        <f>Table1347456[[#This Row],[treatment_mean]]/Table1347456[[#This Row],[control_mean]]</f>
        <v>1.3663075416258568</v>
      </c>
      <c r="AY447" s="14">
        <f>LN(Table1347456[[#This Row],[rr]])</f>
        <v>0.31211187609080027</v>
      </c>
      <c r="AZ447" s="13">
        <v>3</v>
      </c>
      <c r="BA447" s="13">
        <v>3</v>
      </c>
      <c r="BB447" s="14">
        <f>(SQRT(2.92825)*3)/1.2/1000</f>
        <v>4.2780325501332967E-3</v>
      </c>
      <c r="BC447" s="14">
        <f>(SQRT(2.3765)*3)/1.2/1000</f>
        <v>3.8539752204704166E-3</v>
      </c>
      <c r="BD447" s="15">
        <f>SQRT(5.8565)/10</f>
        <v>0.24200206610688263</v>
      </c>
      <c r="BE447" s="14">
        <f>SQRT(4.753)/10</f>
        <v>0.21801376103356412</v>
      </c>
      <c r="BF44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2.5229862250549115E-2</v>
      </c>
      <c r="BG447" s="17">
        <f>SQRT(Table1347456[[#This Row],[v_from_sd_and_n]])</f>
        <v>0.15883910806394347</v>
      </c>
      <c r="BH447" s="13" t="s">
        <v>50</v>
      </c>
      <c r="BI447" s="13">
        <v>2.5000000000000001E-2</v>
      </c>
      <c r="BJ447" s="18">
        <f>ABS(_xlfn.NORM.S.INV(Table1347456[[#This Row],[p_value]]/2))</f>
        <v>2.2414027276049446</v>
      </c>
      <c r="BK447" s="19">
        <f>(Table1347456[[#This Row],[lnrr]]/Table1347456[[#This Row],[z_from_p]])^2</f>
        <v>1.9390133367846809E-2</v>
      </c>
      <c r="BL447" s="16">
        <f>Table1347456[[#This Row],[v_from_sd_and_n]]</f>
        <v>2.5229862250549115E-2</v>
      </c>
      <c r="BM447" s="20">
        <f>SQRT(Table1347456[[#This Row],[v]])</f>
        <v>0.15883910806394347</v>
      </c>
      <c r="BN447" s="20">
        <f>Table1347456[[#This Row],[lnrr]]-(1.96*Table1347456[[#This Row],[se]])</f>
        <v>7.8722428547106649E-4</v>
      </c>
      <c r="BO447" s="20">
        <f>Table1347456[[#This Row],[lnrr]]+(1.96 * Table1347456[[#This Row],[se]])</f>
        <v>0.62343652789612947</v>
      </c>
    </row>
    <row r="448" spans="1:67">
      <c r="A448" s="13" t="s">
        <v>175</v>
      </c>
      <c r="B448" s="13" t="s">
        <v>176</v>
      </c>
      <c r="C448" s="13" t="s">
        <v>43</v>
      </c>
      <c r="D448" s="13" t="s">
        <v>177</v>
      </c>
      <c r="E448" s="13" t="s">
        <v>178</v>
      </c>
      <c r="F448" s="13" t="s">
        <v>587</v>
      </c>
      <c r="G448" s="13" t="s">
        <v>179</v>
      </c>
      <c r="H448" s="13">
        <v>25.2</v>
      </c>
      <c r="I448" s="13">
        <v>187</v>
      </c>
      <c r="K448" s="13" t="s">
        <v>847</v>
      </c>
      <c r="L448" s="13" t="s">
        <v>848</v>
      </c>
      <c r="N448" s="13" t="s">
        <v>81</v>
      </c>
      <c r="O448" s="13" t="s">
        <v>82</v>
      </c>
      <c r="P448" s="13" t="s">
        <v>503</v>
      </c>
      <c r="Q448" s="13" t="s">
        <v>83</v>
      </c>
      <c r="R448" s="4">
        <v>3</v>
      </c>
      <c r="S448" s="13" t="s">
        <v>594</v>
      </c>
      <c r="T448" s="13">
        <v>730</v>
      </c>
      <c r="U448" s="4" t="s">
        <v>180</v>
      </c>
      <c r="V448" s="4">
        <v>450</v>
      </c>
      <c r="W448" s="4" t="s">
        <v>601</v>
      </c>
      <c r="X448" s="4" t="s">
        <v>46</v>
      </c>
      <c r="Y448" s="4">
        <v>10</v>
      </c>
      <c r="AA448" s="4" t="s">
        <v>49</v>
      </c>
      <c r="AB448" s="4">
        <v>0</v>
      </c>
      <c r="AC448" s="4" t="s">
        <v>49</v>
      </c>
      <c r="AD448" s="4">
        <v>0</v>
      </c>
      <c r="AE448" s="4" t="s">
        <v>49</v>
      </c>
      <c r="AF448" s="4">
        <v>0</v>
      </c>
      <c r="AG448" s="4" t="s">
        <v>768</v>
      </c>
      <c r="AH448" s="4" t="s">
        <v>691</v>
      </c>
      <c r="AI448" s="4" t="s">
        <v>64</v>
      </c>
      <c r="AJ448" s="13">
        <v>0</v>
      </c>
      <c r="AK448" s="13">
        <v>30</v>
      </c>
      <c r="AM448" s="13" t="s">
        <v>501</v>
      </c>
      <c r="AP448" s="13" t="s">
        <v>49</v>
      </c>
      <c r="AQ448" s="13" t="s">
        <v>49</v>
      </c>
      <c r="AR448" s="13" t="s">
        <v>49</v>
      </c>
      <c r="AS448" s="13" t="s">
        <v>50</v>
      </c>
      <c r="AT448" s="13" t="s">
        <v>990</v>
      </c>
      <c r="AU448" s="13" t="s">
        <v>998</v>
      </c>
      <c r="AV448" s="14">
        <v>3.46</v>
      </c>
      <c r="AW448" s="14">
        <v>3.26</v>
      </c>
      <c r="AX448" s="14">
        <f>Table1347456[[#This Row],[treatment_mean]]/Table1347456[[#This Row],[control_mean]]</f>
        <v>1.0613496932515338</v>
      </c>
      <c r="AY448" s="14">
        <f>LN(Table1347456[[#This Row],[rr]])</f>
        <v>5.95413936910167E-2</v>
      </c>
      <c r="AZ448" s="13">
        <v>3</v>
      </c>
      <c r="BA448" s="13">
        <v>3</v>
      </c>
      <c r="BB448" s="14">
        <f>SQRT(0.0068)</f>
        <v>8.2462112512353206E-2</v>
      </c>
      <c r="BC448" s="14">
        <f>SQRT(0.02125)</f>
        <v>0.14577379737113252</v>
      </c>
      <c r="BD448" s="15">
        <f>Table1347456[[#This Row],[treatment_se]]*SQRT(Table1347456[[#This Row],[treatment_n]])</f>
        <v>0.14282856857085699</v>
      </c>
      <c r="BE448" s="14">
        <f>Table1347456[[#This Row],[control_se]]*SQRT(Table1347456[[#This Row],[control_n]])</f>
        <v>0.25248762345905196</v>
      </c>
      <c r="BF44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2.5675216672382058E-3</v>
      </c>
      <c r="BG448" s="17">
        <f>SQRT(Table1347456[[#This Row],[v_from_sd_and_n]])</f>
        <v>5.0670718045417569E-2</v>
      </c>
      <c r="BH448" s="13" t="s">
        <v>50</v>
      </c>
      <c r="BI448" s="13">
        <v>2.5000000000000001E-2</v>
      </c>
      <c r="BJ448" s="18">
        <f>ABS(_xlfn.NORM.S.INV(Table1347456[[#This Row],[p_value]]/2))</f>
        <v>2.2414027276049446</v>
      </c>
      <c r="BK448" s="19">
        <f>(Table1347456[[#This Row],[lnrr]]/Table1347456[[#This Row],[z_from_p]])^2</f>
        <v>7.056643861917247E-4</v>
      </c>
      <c r="BL448" s="16">
        <f>Table1347456[[#This Row],[v_from_sd_and_n]]</f>
        <v>2.5675216672382058E-3</v>
      </c>
      <c r="BM448" s="20">
        <f>SQRT(Table1347456[[#This Row],[v]])</f>
        <v>5.0670718045417569E-2</v>
      </c>
      <c r="BN448" s="20">
        <f>Table1347456[[#This Row],[lnrr]]-(1.96*Table1347456[[#This Row],[se]])</f>
        <v>-3.977321367800174E-2</v>
      </c>
      <c r="BO448" s="20">
        <f>Table1347456[[#This Row],[lnrr]]+(1.96 * Table1347456[[#This Row],[se]])</f>
        <v>0.15885600106003514</v>
      </c>
    </row>
    <row r="449" spans="1:67">
      <c r="A449" s="13" t="s">
        <v>175</v>
      </c>
      <c r="B449" s="13" t="s">
        <v>176</v>
      </c>
      <c r="C449" s="13" t="s">
        <v>43</v>
      </c>
      <c r="D449" s="13" t="s">
        <v>177</v>
      </c>
      <c r="E449" s="13" t="s">
        <v>178</v>
      </c>
      <c r="F449" s="13" t="s">
        <v>587</v>
      </c>
      <c r="G449" s="13" t="s">
        <v>179</v>
      </c>
      <c r="H449" s="13">
        <v>25.2</v>
      </c>
      <c r="I449" s="13">
        <v>187</v>
      </c>
      <c r="K449" s="13" t="s">
        <v>847</v>
      </c>
      <c r="L449" s="13" t="s">
        <v>848</v>
      </c>
      <c r="N449" s="13" t="s">
        <v>81</v>
      </c>
      <c r="O449" s="13" t="s">
        <v>82</v>
      </c>
      <c r="P449" s="13" t="s">
        <v>503</v>
      </c>
      <c r="Q449" s="13" t="s">
        <v>83</v>
      </c>
      <c r="R449" s="4">
        <v>3</v>
      </c>
      <c r="S449" s="13" t="s">
        <v>594</v>
      </c>
      <c r="T449" s="13">
        <v>730</v>
      </c>
      <c r="U449" s="4" t="s">
        <v>120</v>
      </c>
      <c r="V449" s="4">
        <v>450</v>
      </c>
      <c r="W449" s="4" t="s">
        <v>601</v>
      </c>
      <c r="X449" s="4" t="s">
        <v>46</v>
      </c>
      <c r="Y449" s="4">
        <v>10</v>
      </c>
      <c r="AA449" s="4" t="s">
        <v>49</v>
      </c>
      <c r="AB449" s="4">
        <v>0</v>
      </c>
      <c r="AC449" s="4" t="s">
        <v>49</v>
      </c>
      <c r="AD449" s="4">
        <v>0</v>
      </c>
      <c r="AE449" s="4" t="s">
        <v>49</v>
      </c>
      <c r="AF449" s="4">
        <v>0</v>
      </c>
      <c r="AG449" s="4" t="s">
        <v>714</v>
      </c>
      <c r="AH449" s="4" t="s">
        <v>691</v>
      </c>
      <c r="AI449" s="4" t="s">
        <v>64</v>
      </c>
      <c r="AJ449" s="13">
        <v>0</v>
      </c>
      <c r="AK449" s="13">
        <v>30</v>
      </c>
      <c r="AM449" s="13" t="s">
        <v>501</v>
      </c>
      <c r="AP449" s="13" t="s">
        <v>49</v>
      </c>
      <c r="AQ449" s="13" t="s">
        <v>49</v>
      </c>
      <c r="AR449" s="13" t="s">
        <v>49</v>
      </c>
      <c r="AS449" s="13" t="s">
        <v>50</v>
      </c>
      <c r="AT449" s="13" t="s">
        <v>990</v>
      </c>
      <c r="AU449" s="13" t="s">
        <v>998</v>
      </c>
      <c r="AV449" s="14">
        <v>3.86</v>
      </c>
      <c r="AW449" s="14">
        <v>3.26</v>
      </c>
      <c r="AX449" s="14">
        <f>Table1347456[[#This Row],[treatment_mean]]/Table1347456[[#This Row],[control_mean]]</f>
        <v>1.1840490797546013</v>
      </c>
      <c r="AY449" s="14">
        <f>LN(Table1347456[[#This Row],[rr]])</f>
        <v>0.16893998809812324</v>
      </c>
      <c r="AZ449" s="13">
        <v>3</v>
      </c>
      <c r="BA449" s="13">
        <v>3</v>
      </c>
      <c r="BB449" s="14">
        <v>0.05</v>
      </c>
      <c r="BC449" s="14">
        <f>SQRT(0.02125)</f>
        <v>0.14577379737113252</v>
      </c>
      <c r="BD449" s="15">
        <f>Table1347456[[#This Row],[treatment_se]]*SQRT(Table1347456[[#This Row],[treatment_n]])</f>
        <v>8.6602540378443865E-2</v>
      </c>
      <c r="BE449" s="14">
        <f>Table1347456[[#This Row],[control_se]]*SQRT(Table1347456[[#This Row],[control_n]])</f>
        <v>0.25248762345905196</v>
      </c>
      <c r="BF44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2.1673004472897938E-3</v>
      </c>
      <c r="BG449" s="17">
        <f>SQRT(Table1347456[[#This Row],[v_from_sd_and_n]])</f>
        <v>4.6554274210750979E-2</v>
      </c>
      <c r="BH449" s="13" t="s">
        <v>50</v>
      </c>
      <c r="BI449" s="13">
        <v>2.5000000000000001E-2</v>
      </c>
      <c r="BJ449" s="18">
        <f>ABS(_xlfn.NORM.S.INV(Table1347456[[#This Row],[p_value]]/2))</f>
        <v>2.2414027276049446</v>
      </c>
      <c r="BK449" s="19">
        <f>(Table1347456[[#This Row],[lnrr]]/Table1347456[[#This Row],[z_from_p]])^2</f>
        <v>5.6810044086305564E-3</v>
      </c>
      <c r="BL449" s="16">
        <f>Table1347456[[#This Row],[v_from_sd_and_n]]</f>
        <v>2.1673004472897938E-3</v>
      </c>
      <c r="BM449" s="20">
        <f>SQRT(Table1347456[[#This Row],[v]])</f>
        <v>4.6554274210750979E-2</v>
      </c>
      <c r="BN449" s="20">
        <f>Table1347456[[#This Row],[lnrr]]-(1.96*Table1347456[[#This Row],[se]])</f>
        <v>7.7693610645051328E-2</v>
      </c>
      <c r="BO449" s="20">
        <f>Table1347456[[#This Row],[lnrr]]+(1.96 * Table1347456[[#This Row],[se]])</f>
        <v>0.26018636555119518</v>
      </c>
    </row>
    <row r="450" spans="1:67">
      <c r="A450" s="13" t="s">
        <v>181</v>
      </c>
      <c r="B450" s="13" t="s">
        <v>182</v>
      </c>
      <c r="C450" s="13" t="s">
        <v>43</v>
      </c>
      <c r="D450" s="13" t="s">
        <v>183</v>
      </c>
      <c r="E450" s="13" t="s">
        <v>184</v>
      </c>
      <c r="F450" s="13" t="s">
        <v>586</v>
      </c>
      <c r="G450" s="13" t="s">
        <v>185</v>
      </c>
      <c r="H450" s="13">
        <v>8.6999999999999993</v>
      </c>
      <c r="I450" s="13">
        <v>503</v>
      </c>
      <c r="K450" s="13" t="s">
        <v>849</v>
      </c>
      <c r="L450" s="13" t="s">
        <v>850</v>
      </c>
      <c r="N450" s="13" t="s">
        <v>616</v>
      </c>
      <c r="O450" s="13" t="s">
        <v>54</v>
      </c>
      <c r="P450" s="13" t="s">
        <v>85</v>
      </c>
      <c r="Q450" s="13" t="s">
        <v>48</v>
      </c>
      <c r="R450" s="4">
        <v>4</v>
      </c>
      <c r="S450" s="13" t="s">
        <v>594</v>
      </c>
      <c r="T450" s="13">
        <v>365</v>
      </c>
      <c r="U450" s="4" t="s">
        <v>186</v>
      </c>
      <c r="V450" s="4">
        <v>850</v>
      </c>
      <c r="W450" s="4" t="s">
        <v>602</v>
      </c>
      <c r="X450" s="4">
        <v>780</v>
      </c>
      <c r="Y450" s="4">
        <v>10</v>
      </c>
      <c r="AA450" s="4" t="s">
        <v>49</v>
      </c>
      <c r="AB450" s="4">
        <v>0</v>
      </c>
      <c r="AC450" s="4" t="s">
        <v>49</v>
      </c>
      <c r="AD450" s="4">
        <v>0</v>
      </c>
      <c r="AE450" s="4" t="s">
        <v>49</v>
      </c>
      <c r="AF450" s="4">
        <v>0</v>
      </c>
      <c r="AG450" s="4" t="s">
        <v>46</v>
      </c>
      <c r="AH450" s="4" t="s">
        <v>727</v>
      </c>
      <c r="AI450" s="4" t="s">
        <v>64</v>
      </c>
      <c r="AJ450" s="13">
        <v>0</v>
      </c>
      <c r="AK450" s="13">
        <v>30</v>
      </c>
      <c r="AP450" s="13" t="s">
        <v>49</v>
      </c>
      <c r="AQ450" s="13" t="s">
        <v>49</v>
      </c>
      <c r="AR450" s="13" t="s">
        <v>49</v>
      </c>
      <c r="AS450" s="13" t="s">
        <v>50</v>
      </c>
      <c r="AT450" s="13" t="s">
        <v>990</v>
      </c>
      <c r="AU450" s="13" t="s">
        <v>998</v>
      </c>
      <c r="AV450" s="14">
        <f>1.49/1000</f>
        <v>1.49E-3</v>
      </c>
      <c r="AW450" s="14">
        <f>0.79/1000</f>
        <v>7.9000000000000001E-4</v>
      </c>
      <c r="AX450" s="14">
        <f>Table1347456[[#This Row],[treatment_mean]]/Table1347456[[#This Row],[control_mean]]</f>
        <v>1.8860759493670887</v>
      </c>
      <c r="AY450" s="14">
        <f>LN(Table1347456[[#This Row],[rr]])</f>
        <v>0.6344984534784377</v>
      </c>
      <c r="AZ450" s="13">
        <v>4</v>
      </c>
      <c r="BA450" s="13">
        <v>4</v>
      </c>
      <c r="BB450" s="14">
        <f>0.19/1000</f>
        <v>1.9000000000000001E-4</v>
      </c>
      <c r="BC450" s="14">
        <f>0.2/1000</f>
        <v>2.0000000000000001E-4</v>
      </c>
      <c r="BD450" s="15">
        <f>Table1347456[[#This Row],[treatment_se]]*SQRT(Table1347456[[#This Row],[treatment_n]])</f>
        <v>3.8000000000000002E-4</v>
      </c>
      <c r="BE450" s="14">
        <f>Table1347456[[#This Row],[control_se]]*SQRT(Table1347456[[#This Row],[control_n]])</f>
        <v>4.0000000000000002E-4</v>
      </c>
      <c r="BF45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8.0352821706787342E-2</v>
      </c>
      <c r="BG450" s="17">
        <f>SQRT(Table1347456[[#This Row],[v_from_sd_and_n]])</f>
        <v>0.28346573286164123</v>
      </c>
      <c r="BH450" s="13" t="s">
        <v>50</v>
      </c>
      <c r="BI450" s="13">
        <v>2.5000000000000001E-2</v>
      </c>
      <c r="BJ450" s="18">
        <f>ABS(_xlfn.NORM.S.INV(Table1347456[[#This Row],[p_value]]/2))</f>
        <v>2.2414027276049446</v>
      </c>
      <c r="BK450" s="19">
        <f>(Table1347456[[#This Row],[lnrr]]/Table1347456[[#This Row],[z_from_p]])^2</f>
        <v>8.0134834360509333E-2</v>
      </c>
      <c r="BL450" s="16">
        <f>Table1347456[[#This Row],[v_from_sd_and_n]]</f>
        <v>8.0352821706787342E-2</v>
      </c>
      <c r="BM450" s="20">
        <f>SQRT(Table1347456[[#This Row],[v]])</f>
        <v>0.28346573286164123</v>
      </c>
      <c r="BN450" s="20">
        <f>Table1347456[[#This Row],[lnrr]]-(1.96*Table1347456[[#This Row],[se]])</f>
        <v>7.8905617069620848E-2</v>
      </c>
      <c r="BO450" s="20">
        <f>Table1347456[[#This Row],[lnrr]]+(1.96 * Table1347456[[#This Row],[se]])</f>
        <v>1.1900912898872544</v>
      </c>
    </row>
    <row r="451" spans="1:67">
      <c r="A451" s="13" t="s">
        <v>181</v>
      </c>
      <c r="B451" s="13" t="s">
        <v>182</v>
      </c>
      <c r="C451" s="13" t="s">
        <v>43</v>
      </c>
      <c r="D451" s="13" t="s">
        <v>183</v>
      </c>
      <c r="E451" s="13" t="s">
        <v>184</v>
      </c>
      <c r="F451" s="13" t="s">
        <v>586</v>
      </c>
      <c r="G451" s="13" t="s">
        <v>185</v>
      </c>
      <c r="H451" s="13">
        <v>8.6999999999999993</v>
      </c>
      <c r="I451" s="13">
        <v>503</v>
      </c>
      <c r="K451" s="13" t="s">
        <v>849</v>
      </c>
      <c r="L451" s="13" t="s">
        <v>850</v>
      </c>
      <c r="N451" s="13" t="s">
        <v>53</v>
      </c>
      <c r="O451" s="13" t="s">
        <v>54</v>
      </c>
      <c r="P451" s="13" t="s">
        <v>85</v>
      </c>
      <c r="Q451" s="13" t="s">
        <v>48</v>
      </c>
      <c r="R451" s="4">
        <v>4</v>
      </c>
      <c r="S451" s="13" t="s">
        <v>594</v>
      </c>
      <c r="T451" s="13">
        <v>365</v>
      </c>
      <c r="U451" s="4" t="s">
        <v>186</v>
      </c>
      <c r="V451" s="4">
        <v>850</v>
      </c>
      <c r="W451" s="4" t="s">
        <v>602</v>
      </c>
      <c r="X451" s="4">
        <v>780</v>
      </c>
      <c r="Y451" s="4">
        <v>10</v>
      </c>
      <c r="AA451" s="4" t="s">
        <v>49</v>
      </c>
      <c r="AB451" s="4">
        <v>0</v>
      </c>
      <c r="AC451" s="4" t="s">
        <v>49</v>
      </c>
      <c r="AD451" s="4">
        <v>0</v>
      </c>
      <c r="AE451" s="4" t="s">
        <v>49</v>
      </c>
      <c r="AF451" s="4">
        <v>0</v>
      </c>
      <c r="AG451" s="4" t="s">
        <v>46</v>
      </c>
      <c r="AH451" s="4" t="s">
        <v>727</v>
      </c>
      <c r="AI451" s="4" t="s">
        <v>64</v>
      </c>
      <c r="AJ451" s="13">
        <v>0</v>
      </c>
      <c r="AK451" s="13">
        <v>30</v>
      </c>
      <c r="AP451" s="13" t="s">
        <v>49</v>
      </c>
      <c r="AQ451" s="13" t="s">
        <v>49</v>
      </c>
      <c r="AR451" s="13" t="s">
        <v>49</v>
      </c>
      <c r="AS451" s="13" t="s">
        <v>50</v>
      </c>
      <c r="AT451" s="13" t="s">
        <v>990</v>
      </c>
      <c r="AU451" s="13" t="s">
        <v>998</v>
      </c>
      <c r="AV451" s="14">
        <f>1.49/1000</f>
        <v>1.49E-3</v>
      </c>
      <c r="AW451" s="14">
        <f>2.08/1000</f>
        <v>2.0800000000000003E-3</v>
      </c>
      <c r="AX451" s="14">
        <f>Table1347456[[#This Row],[treatment_mean]]/Table1347456[[#This Row],[control_mean]]</f>
        <v>0.71634615384615374</v>
      </c>
      <c r="AY451" s="14">
        <f>LN(Table1347456[[#This Row],[rr]])</f>
        <v>-0.33359177375585897</v>
      </c>
      <c r="AZ451" s="13">
        <v>4</v>
      </c>
      <c r="BA451" s="13">
        <v>4</v>
      </c>
      <c r="BB451" s="14">
        <f>0.29/1000</f>
        <v>2.9E-4</v>
      </c>
      <c r="BC451" s="14">
        <f>0.19/1000</f>
        <v>1.9000000000000001E-4</v>
      </c>
      <c r="BD451" s="15">
        <f>Table1347456[[#This Row],[treatment_se]]*SQRT(Table1347456[[#This Row],[treatment_n]])</f>
        <v>5.8E-4</v>
      </c>
      <c r="BE451" s="14">
        <f>Table1347456[[#This Row],[control_se]]*SQRT(Table1347456[[#This Row],[control_n]])</f>
        <v>3.8000000000000002E-4</v>
      </c>
      <c r="BF45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4.6225296346065231E-2</v>
      </c>
      <c r="BG451" s="17">
        <f>SQRT(Table1347456[[#This Row],[v_from_sd_and_n]])</f>
        <v>0.21500068917579132</v>
      </c>
      <c r="BH451" s="13" t="s">
        <v>50</v>
      </c>
      <c r="BI451" s="13">
        <v>2.5000000000000001E-2</v>
      </c>
      <c r="BJ451" s="18">
        <f>ABS(_xlfn.NORM.S.INV(Table1347456[[#This Row],[p_value]]/2))</f>
        <v>2.2414027276049446</v>
      </c>
      <c r="BK451" s="19">
        <f>(Table1347456[[#This Row],[lnrr]]/Table1347456[[#This Row],[z_from_p]])^2</f>
        <v>2.2150874316891684E-2</v>
      </c>
      <c r="BL451" s="16">
        <f>Table1347456[[#This Row],[v_from_sd_and_n]]</f>
        <v>4.6225296346065231E-2</v>
      </c>
      <c r="BM451" s="20">
        <f>SQRT(Table1347456[[#This Row],[v]])</f>
        <v>0.21500068917579132</v>
      </c>
      <c r="BN451" s="20">
        <f>Table1347456[[#This Row],[lnrr]]-(1.96*Table1347456[[#This Row],[se]])</f>
        <v>-0.75499312454041001</v>
      </c>
      <c r="BO451" s="20">
        <f>Table1347456[[#This Row],[lnrr]]+(1.96 * Table1347456[[#This Row],[se]])</f>
        <v>8.7809577028692021E-2</v>
      </c>
    </row>
    <row r="452" spans="1:67">
      <c r="A452" s="13" t="s">
        <v>181</v>
      </c>
      <c r="B452" s="13" t="s">
        <v>182</v>
      </c>
      <c r="C452" s="13" t="s">
        <v>43</v>
      </c>
      <c r="D452" s="13" t="s">
        <v>183</v>
      </c>
      <c r="E452" s="13" t="s">
        <v>184</v>
      </c>
      <c r="F452" s="13" t="s">
        <v>586</v>
      </c>
      <c r="G452" s="13" t="s">
        <v>185</v>
      </c>
      <c r="H452" s="13">
        <v>8.6999999999999993</v>
      </c>
      <c r="I452" s="13">
        <v>503</v>
      </c>
      <c r="K452" s="13" t="s">
        <v>849</v>
      </c>
      <c r="L452" s="13" t="s">
        <v>850</v>
      </c>
      <c r="N452" s="13" t="s">
        <v>616</v>
      </c>
      <c r="O452" s="13" t="s">
        <v>54</v>
      </c>
      <c r="P452" s="13" t="s">
        <v>85</v>
      </c>
      <c r="Q452" s="13" t="s">
        <v>48</v>
      </c>
      <c r="R452" s="4">
        <v>4</v>
      </c>
      <c r="S452" s="13" t="s">
        <v>594</v>
      </c>
      <c r="T452" s="13">
        <v>365</v>
      </c>
      <c r="U452" s="4" t="s">
        <v>186</v>
      </c>
      <c r="V452" s="4">
        <v>850</v>
      </c>
      <c r="W452" s="4" t="s">
        <v>602</v>
      </c>
      <c r="X452" s="4">
        <v>780</v>
      </c>
      <c r="Y452" s="4">
        <v>10</v>
      </c>
      <c r="AA452" s="4" t="s">
        <v>50</v>
      </c>
      <c r="AB452" s="4">
        <v>195</v>
      </c>
      <c r="AC452" s="4" t="s">
        <v>49</v>
      </c>
      <c r="AD452" s="4">
        <v>0</v>
      </c>
      <c r="AE452" s="4" t="s">
        <v>49</v>
      </c>
      <c r="AF452" s="4">
        <v>0</v>
      </c>
      <c r="AG452" s="4" t="s">
        <v>46</v>
      </c>
      <c r="AH452" s="4" t="s">
        <v>727</v>
      </c>
      <c r="AI452" s="4" t="s">
        <v>64</v>
      </c>
      <c r="AJ452" s="13">
        <v>0</v>
      </c>
      <c r="AK452" s="13">
        <v>30</v>
      </c>
      <c r="AP452" s="13" t="s">
        <v>49</v>
      </c>
      <c r="AQ452" s="13" t="s">
        <v>49</v>
      </c>
      <c r="AR452" s="13" t="s">
        <v>49</v>
      </c>
      <c r="AS452" s="13" t="s">
        <v>50</v>
      </c>
      <c r="AT452" s="13" t="s">
        <v>992</v>
      </c>
      <c r="AU452" s="4" t="s">
        <v>1000</v>
      </c>
      <c r="AV452" s="14">
        <f>0.49/1000</f>
        <v>4.8999999999999998E-4</v>
      </c>
      <c r="AW452" s="14">
        <f>0.34/1000</f>
        <v>3.4000000000000002E-4</v>
      </c>
      <c r="AX452" s="14">
        <f>Table1347456[[#This Row],[treatment_mean]]/Table1347456[[#This Row],[control_mean]]</f>
        <v>1.4411764705882351</v>
      </c>
      <c r="AY452" s="14">
        <f>LN(Table1347456[[#This Row],[rr]])</f>
        <v>0.36545977349446507</v>
      </c>
      <c r="AZ452" s="13">
        <v>4</v>
      </c>
      <c r="BA452" s="13">
        <v>4</v>
      </c>
      <c r="BB452" s="14">
        <f>0.26/1000</f>
        <v>2.6000000000000003E-4</v>
      </c>
      <c r="BC452" s="14">
        <f>0.2/1000</f>
        <v>2.0000000000000001E-4</v>
      </c>
      <c r="BD452" s="15">
        <f>Table1347456[[#This Row],[treatment_se]]*SQRT(Table1347456[[#This Row],[treatment_n]])</f>
        <v>5.2000000000000006E-4</v>
      </c>
      <c r="BE452" s="14">
        <f>Table1347456[[#This Row],[control_se]]*SQRT(Table1347456[[#This Row],[control_n]])</f>
        <v>4.0000000000000002E-4</v>
      </c>
      <c r="BF45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0.62757011568132659</v>
      </c>
      <c r="BG452" s="17">
        <f>SQRT(Table1347456[[#This Row],[v_from_sd_and_n]])</f>
        <v>0.79219323127714658</v>
      </c>
      <c r="BH452" s="13" t="s">
        <v>50</v>
      </c>
      <c r="BI452" s="13">
        <v>2.5000000000000001E-2</v>
      </c>
      <c r="BJ452" s="18">
        <f>ABS(_xlfn.NORM.S.INV(Table1347456[[#This Row],[p_value]]/2))</f>
        <v>2.2414027276049446</v>
      </c>
      <c r="BK452" s="19">
        <f>(Table1347456[[#This Row],[lnrr]]/Table1347456[[#This Row],[z_from_p]])^2</f>
        <v>2.6585165559654109E-2</v>
      </c>
      <c r="BL452" s="16">
        <f>Table1347456[[#This Row],[v_from_sd_and_n]]</f>
        <v>0.62757011568132659</v>
      </c>
      <c r="BM452" s="20">
        <f>SQRT(Table1347456[[#This Row],[v]])</f>
        <v>0.79219323127714658</v>
      </c>
      <c r="BN452" s="20">
        <f>Table1347456[[#This Row],[lnrr]]-(1.96*Table1347456[[#This Row],[se]])</f>
        <v>-1.1872389598087421</v>
      </c>
      <c r="BO452" s="20">
        <f>Table1347456[[#This Row],[lnrr]]+(1.96 * Table1347456[[#This Row],[se]])</f>
        <v>1.9181585067976723</v>
      </c>
    </row>
    <row r="453" spans="1:67">
      <c r="A453" s="13" t="s">
        <v>181</v>
      </c>
      <c r="B453" s="13" t="s">
        <v>182</v>
      </c>
      <c r="C453" s="13" t="s">
        <v>43</v>
      </c>
      <c r="D453" s="13" t="s">
        <v>183</v>
      </c>
      <c r="E453" s="13" t="s">
        <v>184</v>
      </c>
      <c r="F453" s="13" t="s">
        <v>586</v>
      </c>
      <c r="G453" s="13" t="s">
        <v>185</v>
      </c>
      <c r="H453" s="13">
        <v>8.6999999999999993</v>
      </c>
      <c r="I453" s="13">
        <v>503</v>
      </c>
      <c r="K453" s="13" t="s">
        <v>849</v>
      </c>
      <c r="L453" s="13" t="s">
        <v>850</v>
      </c>
      <c r="N453" s="13" t="s">
        <v>53</v>
      </c>
      <c r="O453" s="13" t="s">
        <v>54</v>
      </c>
      <c r="P453" s="13" t="s">
        <v>85</v>
      </c>
      <c r="Q453" s="13" t="s">
        <v>48</v>
      </c>
      <c r="R453" s="4">
        <v>4</v>
      </c>
      <c r="S453" s="13" t="s">
        <v>594</v>
      </c>
      <c r="T453" s="13">
        <v>365</v>
      </c>
      <c r="U453" s="4" t="s">
        <v>186</v>
      </c>
      <c r="V453" s="4">
        <v>850</v>
      </c>
      <c r="W453" s="4" t="s">
        <v>602</v>
      </c>
      <c r="X453" s="4">
        <v>780</v>
      </c>
      <c r="Y453" s="4">
        <v>10</v>
      </c>
      <c r="AA453" s="4" t="s">
        <v>50</v>
      </c>
      <c r="AB453" s="4">
        <v>195</v>
      </c>
      <c r="AC453" s="4" t="s">
        <v>49</v>
      </c>
      <c r="AD453" s="4">
        <v>0</v>
      </c>
      <c r="AE453" s="4" t="s">
        <v>49</v>
      </c>
      <c r="AF453" s="4">
        <v>0</v>
      </c>
      <c r="AG453" s="4" t="s">
        <v>46</v>
      </c>
      <c r="AH453" s="4" t="s">
        <v>727</v>
      </c>
      <c r="AI453" s="4" t="s">
        <v>64</v>
      </c>
      <c r="AJ453" s="13">
        <v>0</v>
      </c>
      <c r="AK453" s="13">
        <v>30</v>
      </c>
      <c r="AP453" s="13" t="s">
        <v>49</v>
      </c>
      <c r="AQ453" s="13" t="s">
        <v>49</v>
      </c>
      <c r="AR453" s="13" t="s">
        <v>49</v>
      </c>
      <c r="AS453" s="13" t="s">
        <v>50</v>
      </c>
      <c r="AT453" s="13" t="s">
        <v>992</v>
      </c>
      <c r="AU453" s="4" t="s">
        <v>1000</v>
      </c>
      <c r="AV453" s="14">
        <f>3.58/1000</f>
        <v>3.5800000000000003E-3</v>
      </c>
      <c r="AW453" s="14">
        <f>3.78/1000</f>
        <v>3.7799999999999999E-3</v>
      </c>
      <c r="AX453" s="14">
        <f>Table1347456[[#This Row],[treatment_mean]]/Table1347456[[#This Row],[control_mean]]</f>
        <v>0.9470899470899472</v>
      </c>
      <c r="AY453" s="14">
        <f>LN(Table1347456[[#This Row],[rr]])</f>
        <v>-5.4361209218887263E-2</v>
      </c>
      <c r="AZ453" s="13">
        <v>4</v>
      </c>
      <c r="BA453" s="13">
        <v>4</v>
      </c>
      <c r="BB453" s="14">
        <f>0.42/1000</f>
        <v>4.1999999999999996E-4</v>
      </c>
      <c r="BC453" s="14">
        <f>0.21/1000</f>
        <v>2.0999999999999998E-4</v>
      </c>
      <c r="BD453" s="15">
        <f>Table1347456[[#This Row],[treatment_se]]*SQRT(Table1347456[[#This Row],[treatment_n]])</f>
        <v>8.3999999999999993E-4</v>
      </c>
      <c r="BE453" s="14">
        <f>Table1347456[[#This Row],[control_se]]*SQRT(Table1347456[[#This Row],[control_n]])</f>
        <v>4.1999999999999996E-4</v>
      </c>
      <c r="BF45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1.6850035120896407E-2</v>
      </c>
      <c r="BG453" s="17">
        <f>SQRT(Table1347456[[#This Row],[v_from_sd_and_n]])</f>
        <v>0.12980768513803953</v>
      </c>
      <c r="BH453" s="13" t="s">
        <v>50</v>
      </c>
      <c r="BI453" s="13">
        <v>2.5000000000000001E-2</v>
      </c>
      <c r="BJ453" s="18">
        <f>ABS(_xlfn.NORM.S.INV(Table1347456[[#This Row],[p_value]]/2))</f>
        <v>2.2414027276049446</v>
      </c>
      <c r="BK453" s="19">
        <f>(Table1347456[[#This Row],[lnrr]]/Table1347456[[#This Row],[z_from_p]])^2</f>
        <v>5.8821815573793226E-4</v>
      </c>
      <c r="BL453" s="16">
        <f>Table1347456[[#This Row],[v_from_sd_and_n]]</f>
        <v>1.6850035120896407E-2</v>
      </c>
      <c r="BM453" s="20">
        <f>SQRT(Table1347456[[#This Row],[v]])</f>
        <v>0.12980768513803953</v>
      </c>
      <c r="BN453" s="20">
        <f>Table1347456[[#This Row],[lnrr]]-(1.96*Table1347456[[#This Row],[se]])</f>
        <v>-0.30878427208944476</v>
      </c>
      <c r="BO453" s="20">
        <f>Table1347456[[#This Row],[lnrr]]+(1.96 * Table1347456[[#This Row],[se]])</f>
        <v>0.20006185365167023</v>
      </c>
    </row>
    <row r="454" spans="1:67">
      <c r="A454" s="13" t="s">
        <v>181</v>
      </c>
      <c r="B454" s="13" t="s">
        <v>182</v>
      </c>
      <c r="C454" s="13" t="s">
        <v>43</v>
      </c>
      <c r="D454" s="13" t="s">
        <v>183</v>
      </c>
      <c r="E454" s="13" t="s">
        <v>184</v>
      </c>
      <c r="F454" s="13" t="s">
        <v>586</v>
      </c>
      <c r="G454" s="13" t="s">
        <v>185</v>
      </c>
      <c r="H454" s="13">
        <v>8.6999999999999993</v>
      </c>
      <c r="I454" s="13">
        <v>503</v>
      </c>
      <c r="K454" s="13" t="s">
        <v>849</v>
      </c>
      <c r="L454" s="13" t="s">
        <v>850</v>
      </c>
      <c r="N454" s="13" t="s">
        <v>69</v>
      </c>
      <c r="O454" s="13" t="s">
        <v>70</v>
      </c>
      <c r="P454" s="13" t="s">
        <v>482</v>
      </c>
      <c r="Q454" s="13" t="s">
        <v>71</v>
      </c>
      <c r="R454" s="4">
        <v>4</v>
      </c>
      <c r="S454" s="13" t="s">
        <v>594</v>
      </c>
      <c r="T454" s="13">
        <v>365</v>
      </c>
      <c r="U454" s="4" t="s">
        <v>186</v>
      </c>
      <c r="V454" s="4">
        <v>850</v>
      </c>
      <c r="W454" s="4" t="s">
        <v>602</v>
      </c>
      <c r="X454" s="4">
        <v>780</v>
      </c>
      <c r="Y454" s="4">
        <v>10</v>
      </c>
      <c r="AA454" s="4" t="s">
        <v>50</v>
      </c>
      <c r="AB454" s="4">
        <v>195</v>
      </c>
      <c r="AC454" s="4" t="s">
        <v>49</v>
      </c>
      <c r="AD454" s="4">
        <v>0</v>
      </c>
      <c r="AE454" s="4" t="s">
        <v>49</v>
      </c>
      <c r="AF454" s="4">
        <v>0</v>
      </c>
      <c r="AG454" s="4" t="s">
        <v>46</v>
      </c>
      <c r="AH454" s="4" t="s">
        <v>727</v>
      </c>
      <c r="AI454" s="4" t="s">
        <v>64</v>
      </c>
      <c r="AJ454" s="13">
        <v>0</v>
      </c>
      <c r="AK454" s="13">
        <v>30</v>
      </c>
      <c r="AP454" s="13" t="s">
        <v>49</v>
      </c>
      <c r="AQ454" s="13" t="s">
        <v>49</v>
      </c>
      <c r="AR454" s="13" t="s">
        <v>49</v>
      </c>
      <c r="AS454" s="13" t="s">
        <v>50</v>
      </c>
      <c r="AT454" s="13" t="s">
        <v>992</v>
      </c>
      <c r="AU454" s="4" t="s">
        <v>1000</v>
      </c>
      <c r="AV454" s="14">
        <f>73.85/100</f>
        <v>0.73849999999999993</v>
      </c>
      <c r="AW454" s="14">
        <f>113.7/100</f>
        <v>1.137</v>
      </c>
      <c r="AX454" s="14">
        <f>Table1347456[[#This Row],[treatment_mean]]/Table1347456[[#This Row],[control_mean]]</f>
        <v>0.64951627088830244</v>
      </c>
      <c r="AY454" s="14">
        <f>LN(Table1347456[[#This Row],[rr]])</f>
        <v>-0.43152739177910171</v>
      </c>
      <c r="AZ454" s="13">
        <v>4</v>
      </c>
      <c r="BA454" s="13">
        <v>4</v>
      </c>
      <c r="BB454" s="14">
        <f>10.5/100</f>
        <v>0.105</v>
      </c>
      <c r="BC454" s="14">
        <f>25.7/100</f>
        <v>0.25700000000000001</v>
      </c>
      <c r="BD454" s="15">
        <f>Table1347456[[#This Row],[treatment_se]]*SQRT(Table1347456[[#This Row],[treatment_n]])</f>
        <v>0.21</v>
      </c>
      <c r="BE454" s="14">
        <f>Table1347456[[#This Row],[control_se]]*SQRT(Table1347456[[#This Row],[control_n]])</f>
        <v>0.51400000000000001</v>
      </c>
      <c r="BF45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7.1306286890950282E-2</v>
      </c>
      <c r="BG454" s="17">
        <f>SQRT(Table1347456[[#This Row],[v_from_sd_and_n]])</f>
        <v>0.2670323704926994</v>
      </c>
      <c r="BH454" s="13" t="s">
        <v>50</v>
      </c>
      <c r="BI454" s="13">
        <v>2.5000000000000001E-2</v>
      </c>
      <c r="BJ454" s="18">
        <f>ABS(_xlfn.NORM.S.INV(Table1347456[[#This Row],[p_value]]/2))</f>
        <v>2.2414027276049446</v>
      </c>
      <c r="BK454" s="19">
        <f>(Table1347456[[#This Row],[lnrr]]/Table1347456[[#This Row],[z_from_p]])^2</f>
        <v>3.7066104388642822E-2</v>
      </c>
      <c r="BL454" s="16">
        <f>Table1347456[[#This Row],[v_from_sd_and_n]]</f>
        <v>7.1306286890950282E-2</v>
      </c>
      <c r="BM454" s="20">
        <f>SQRT(Table1347456[[#This Row],[v]])</f>
        <v>0.2670323704926994</v>
      </c>
      <c r="BN454" s="20">
        <f>Table1347456[[#This Row],[lnrr]]-(1.96*Table1347456[[#This Row],[se]])</f>
        <v>-0.95491083794479248</v>
      </c>
      <c r="BO454" s="20">
        <f>Table1347456[[#This Row],[lnrr]]+(1.96 * Table1347456[[#This Row],[se]])</f>
        <v>9.1856054386589059E-2</v>
      </c>
    </row>
    <row r="455" spans="1:67">
      <c r="A455" s="13" t="s">
        <v>181</v>
      </c>
      <c r="B455" s="13" t="s">
        <v>182</v>
      </c>
      <c r="C455" s="13" t="s">
        <v>43</v>
      </c>
      <c r="D455" s="13" t="s">
        <v>183</v>
      </c>
      <c r="E455" s="13" t="s">
        <v>184</v>
      </c>
      <c r="F455" s="13" t="s">
        <v>586</v>
      </c>
      <c r="G455" s="13" t="s">
        <v>185</v>
      </c>
      <c r="H455" s="13">
        <v>8.6999999999999993</v>
      </c>
      <c r="I455" s="13">
        <v>503</v>
      </c>
      <c r="K455" s="13" t="s">
        <v>849</v>
      </c>
      <c r="L455" s="13" t="s">
        <v>850</v>
      </c>
      <c r="N455" s="13" t="s">
        <v>69</v>
      </c>
      <c r="O455" s="13" t="s">
        <v>70</v>
      </c>
      <c r="P455" s="13" t="s">
        <v>482</v>
      </c>
      <c r="Q455" s="13" t="s">
        <v>71</v>
      </c>
      <c r="R455" s="4">
        <v>4</v>
      </c>
      <c r="S455" s="13" t="s">
        <v>594</v>
      </c>
      <c r="T455" s="13">
        <v>365</v>
      </c>
      <c r="U455" s="4" t="s">
        <v>186</v>
      </c>
      <c r="V455" s="4">
        <v>850</v>
      </c>
      <c r="W455" s="4" t="s">
        <v>602</v>
      </c>
      <c r="X455" s="4">
        <v>780</v>
      </c>
      <c r="Y455" s="4">
        <v>10</v>
      </c>
      <c r="AA455" s="4" t="s">
        <v>49</v>
      </c>
      <c r="AB455" s="4">
        <v>0</v>
      </c>
      <c r="AC455" s="4" t="s">
        <v>49</v>
      </c>
      <c r="AD455" s="4">
        <v>0</v>
      </c>
      <c r="AE455" s="4" t="s">
        <v>49</v>
      </c>
      <c r="AF455" s="4">
        <v>0</v>
      </c>
      <c r="AG455" s="4" t="s">
        <v>46</v>
      </c>
      <c r="AH455" s="4" t="s">
        <v>727</v>
      </c>
      <c r="AI455" s="4" t="s">
        <v>64</v>
      </c>
      <c r="AJ455" s="13">
        <v>0</v>
      </c>
      <c r="AK455" s="13">
        <v>30</v>
      </c>
      <c r="AP455" s="13" t="s">
        <v>49</v>
      </c>
      <c r="AQ455" s="13" t="s">
        <v>49</v>
      </c>
      <c r="AR455" s="13" t="s">
        <v>49</v>
      </c>
      <c r="AS455" s="13" t="s">
        <v>50</v>
      </c>
      <c r="AT455" s="13" t="s">
        <v>990</v>
      </c>
      <c r="AU455" s="13" t="s">
        <v>998</v>
      </c>
      <c r="AV455" s="14">
        <f>54.2/100</f>
        <v>0.54200000000000004</v>
      </c>
      <c r="AW455" s="14">
        <f>34.7/100</f>
        <v>0.34700000000000003</v>
      </c>
      <c r="AX455" s="14">
        <f>Table1347456[[#This Row],[treatment_mean]]/Table1347456[[#This Row],[control_mean]]</f>
        <v>1.5619596541786742</v>
      </c>
      <c r="AY455" s="14">
        <f>LN(Table1347456[[#This Row],[rr]])</f>
        <v>0.44594122149278692</v>
      </c>
      <c r="AZ455" s="13">
        <v>4</v>
      </c>
      <c r="BA455" s="13">
        <v>4</v>
      </c>
      <c r="BB455" s="14">
        <f>15.7/100</f>
        <v>0.157</v>
      </c>
      <c r="BC455" s="14">
        <f>7.5/100</f>
        <v>7.4999999999999997E-2</v>
      </c>
      <c r="BD455" s="15">
        <f>Table1347456[[#This Row],[treatment_se]]*SQRT(Table1347456[[#This Row],[treatment_n]])</f>
        <v>0.314</v>
      </c>
      <c r="BE455" s="14">
        <f>Table1347456[[#This Row],[control_se]]*SQRT(Table1347456[[#This Row],[control_n]])</f>
        <v>0.15</v>
      </c>
      <c r="BF45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0.13062326742627089</v>
      </c>
      <c r="BG455" s="17">
        <f>SQRT(Table1347456[[#This Row],[v_from_sd_and_n]])</f>
        <v>0.36141841046945977</v>
      </c>
      <c r="BH455" s="13" t="s">
        <v>50</v>
      </c>
      <c r="BI455" s="13">
        <v>2.5000000000000001E-2</v>
      </c>
      <c r="BJ455" s="18">
        <f>ABS(_xlfn.NORM.S.INV(Table1347456[[#This Row],[p_value]]/2))</f>
        <v>2.2414027276049446</v>
      </c>
      <c r="BK455" s="19">
        <f>(Table1347456[[#This Row],[lnrr]]/Table1347456[[#This Row],[z_from_p]])^2</f>
        <v>3.9583614280236185E-2</v>
      </c>
      <c r="BL455" s="16">
        <f>Table1347456[[#This Row],[v_from_sd_and_n]]</f>
        <v>0.13062326742627089</v>
      </c>
      <c r="BM455" s="20">
        <f>SQRT(Table1347456[[#This Row],[v]])</f>
        <v>0.36141841046945977</v>
      </c>
      <c r="BN455" s="20">
        <f>Table1347456[[#This Row],[lnrr]]-(1.96*Table1347456[[#This Row],[se]])</f>
        <v>-0.2624388630273542</v>
      </c>
      <c r="BO455" s="20">
        <f>Table1347456[[#This Row],[lnrr]]+(1.96 * Table1347456[[#This Row],[se]])</f>
        <v>1.154321306012928</v>
      </c>
    </row>
    <row r="456" spans="1:67">
      <c r="A456" s="13" t="s">
        <v>181</v>
      </c>
      <c r="B456" s="13" t="s">
        <v>182</v>
      </c>
      <c r="C456" s="13" t="s">
        <v>43</v>
      </c>
      <c r="D456" s="13" t="s">
        <v>183</v>
      </c>
      <c r="E456" s="13" t="s">
        <v>184</v>
      </c>
      <c r="F456" s="13" t="s">
        <v>586</v>
      </c>
      <c r="G456" s="13" t="s">
        <v>185</v>
      </c>
      <c r="H456" s="13">
        <v>8.6999999999999993</v>
      </c>
      <c r="I456" s="13">
        <v>503</v>
      </c>
      <c r="K456" s="13" t="s">
        <v>849</v>
      </c>
      <c r="L456" s="13" t="s">
        <v>850</v>
      </c>
      <c r="N456" s="13" t="s">
        <v>61</v>
      </c>
      <c r="O456" s="13" t="s">
        <v>642</v>
      </c>
      <c r="P456" s="13" t="s">
        <v>71</v>
      </c>
      <c r="Q456" s="13" t="s">
        <v>48</v>
      </c>
      <c r="R456" s="4">
        <v>4</v>
      </c>
      <c r="S456" s="13" t="s">
        <v>594</v>
      </c>
      <c r="T456" s="13">
        <v>365</v>
      </c>
      <c r="U456" s="4" t="s">
        <v>186</v>
      </c>
      <c r="V456" s="4">
        <v>850</v>
      </c>
      <c r="W456" s="4" t="s">
        <v>602</v>
      </c>
      <c r="X456" s="4">
        <v>780</v>
      </c>
      <c r="Y456" s="4">
        <v>10</v>
      </c>
      <c r="AA456" s="4" t="s">
        <v>49</v>
      </c>
      <c r="AB456" s="4">
        <v>0</v>
      </c>
      <c r="AC456" s="4" t="s">
        <v>49</v>
      </c>
      <c r="AD456" s="4">
        <v>0</v>
      </c>
      <c r="AE456" s="4" t="s">
        <v>49</v>
      </c>
      <c r="AF456" s="4">
        <v>0</v>
      </c>
      <c r="AG456" s="4" t="s">
        <v>46</v>
      </c>
      <c r="AH456" s="4" t="s">
        <v>727</v>
      </c>
      <c r="AI456" s="4" t="s">
        <v>64</v>
      </c>
      <c r="AJ456" s="13">
        <v>0</v>
      </c>
      <c r="AK456" s="13">
        <v>30</v>
      </c>
      <c r="AP456" s="13" t="s">
        <v>49</v>
      </c>
      <c r="AQ456" s="13" t="s">
        <v>49</v>
      </c>
      <c r="AR456" s="13" t="s">
        <v>49</v>
      </c>
      <c r="AS456" s="13" t="s">
        <v>50</v>
      </c>
      <c r="AT456" s="13" t="s">
        <v>990</v>
      </c>
      <c r="AU456" s="13" t="s">
        <v>998</v>
      </c>
      <c r="AV456" s="14">
        <f>(55.09*3)/1.4/1000</f>
        <v>0.11805000000000002</v>
      </c>
      <c r="AW456" s="14">
        <f>(39.75*3)/1.4/1000</f>
        <v>8.5178571428571437E-2</v>
      </c>
      <c r="AX456" s="14">
        <f>Table1347456[[#This Row],[treatment_mean]]/Table1347456[[#This Row],[control_mean]]</f>
        <v>1.3859119496855345</v>
      </c>
      <c r="AY456" s="14">
        <f>LN(Table1347456[[#This Row],[rr]])</f>
        <v>0.32635837038428422</v>
      </c>
      <c r="AZ456" s="13">
        <v>4</v>
      </c>
      <c r="BA456" s="13">
        <v>4</v>
      </c>
      <c r="BB456" s="14">
        <f>(5.79*3)/1.4/1000</f>
        <v>1.2407142857142858E-2</v>
      </c>
      <c r="BC456" s="14">
        <f>(5.77*3)/1.4/1000</f>
        <v>1.2364285714285713E-2</v>
      </c>
      <c r="BD456" s="15">
        <f>Table1347456[[#This Row],[treatment_se]]*SQRT(Table1347456[[#This Row],[treatment_n]])</f>
        <v>2.4814285714285716E-2</v>
      </c>
      <c r="BE456" s="14">
        <f>Table1347456[[#This Row],[control_se]]*SQRT(Table1347456[[#This Row],[control_n]])</f>
        <v>2.4728571428571426E-2</v>
      </c>
      <c r="BF45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3.2116788645509035E-2</v>
      </c>
      <c r="BG456" s="17">
        <f>SQRT(Table1347456[[#This Row],[v_from_sd_and_n]])</f>
        <v>0.1792115750879642</v>
      </c>
      <c r="BH456" s="13" t="s">
        <v>50</v>
      </c>
      <c r="BI456" s="13">
        <v>2.5000000000000001E-2</v>
      </c>
      <c r="BJ456" s="18">
        <f>ABS(_xlfn.NORM.S.INV(Table1347456[[#This Row],[p_value]]/2))</f>
        <v>2.2414027276049446</v>
      </c>
      <c r="BK456" s="19">
        <f>(Table1347456[[#This Row],[lnrr]]/Table1347456[[#This Row],[z_from_p]])^2</f>
        <v>2.1200676517875473E-2</v>
      </c>
      <c r="BL456" s="16">
        <f>Table1347456[[#This Row],[v_from_sd_and_n]]</f>
        <v>3.2116788645509035E-2</v>
      </c>
      <c r="BM456" s="20">
        <f>SQRT(Table1347456[[#This Row],[v]])</f>
        <v>0.1792115750879642</v>
      </c>
      <c r="BN456" s="20">
        <f>Table1347456[[#This Row],[lnrr]]-(1.96*Table1347456[[#This Row],[se]])</f>
        <v>-2.4896316788125594E-2</v>
      </c>
      <c r="BO456" s="20">
        <f>Table1347456[[#This Row],[lnrr]]+(1.96 * Table1347456[[#This Row],[se]])</f>
        <v>0.6776130575566941</v>
      </c>
    </row>
    <row r="457" spans="1:67">
      <c r="A457" s="13" t="s">
        <v>181</v>
      </c>
      <c r="B457" s="13" t="s">
        <v>182</v>
      </c>
      <c r="C457" s="13" t="s">
        <v>43</v>
      </c>
      <c r="D457" s="13" t="s">
        <v>183</v>
      </c>
      <c r="E457" s="13" t="s">
        <v>184</v>
      </c>
      <c r="F457" s="13" t="s">
        <v>586</v>
      </c>
      <c r="G457" s="13" t="s">
        <v>185</v>
      </c>
      <c r="H457" s="13">
        <v>8.6999999999999993</v>
      </c>
      <c r="I457" s="13">
        <v>503</v>
      </c>
      <c r="K457" s="13" t="s">
        <v>849</v>
      </c>
      <c r="L457" s="13" t="s">
        <v>850</v>
      </c>
      <c r="N457" s="13" t="s">
        <v>61</v>
      </c>
      <c r="O457" s="13" t="s">
        <v>642</v>
      </c>
      <c r="P457" s="13" t="s">
        <v>71</v>
      </c>
      <c r="Q457" s="13" t="s">
        <v>48</v>
      </c>
      <c r="R457" s="4">
        <v>4</v>
      </c>
      <c r="S457" s="13" t="s">
        <v>594</v>
      </c>
      <c r="T457" s="13">
        <v>365</v>
      </c>
      <c r="U457" s="4" t="s">
        <v>186</v>
      </c>
      <c r="V457" s="4">
        <v>850</v>
      </c>
      <c r="W457" s="4" t="s">
        <v>602</v>
      </c>
      <c r="X457" s="4">
        <v>780</v>
      </c>
      <c r="Y457" s="4">
        <v>10</v>
      </c>
      <c r="AA457" s="4" t="s">
        <v>50</v>
      </c>
      <c r="AB457" s="4">
        <v>75</v>
      </c>
      <c r="AC457" s="4" t="s">
        <v>49</v>
      </c>
      <c r="AD457" s="4">
        <v>0</v>
      </c>
      <c r="AE457" s="4" t="s">
        <v>49</v>
      </c>
      <c r="AF457" s="4">
        <v>0</v>
      </c>
      <c r="AG457" s="4" t="s">
        <v>46</v>
      </c>
      <c r="AH457" s="4" t="s">
        <v>727</v>
      </c>
      <c r="AI457" s="4" t="s">
        <v>64</v>
      </c>
      <c r="AJ457" s="13">
        <v>0</v>
      </c>
      <c r="AK457" s="13">
        <v>30</v>
      </c>
      <c r="AP457" s="13" t="s">
        <v>49</v>
      </c>
      <c r="AQ457" s="13" t="s">
        <v>49</v>
      </c>
      <c r="AR457" s="13" t="s">
        <v>49</v>
      </c>
      <c r="AS457" s="13" t="s">
        <v>50</v>
      </c>
      <c r="AT457" s="13" t="s">
        <v>992</v>
      </c>
      <c r="AU457" s="4" t="s">
        <v>1000</v>
      </c>
      <c r="AV457" s="14">
        <f>(47.3*3)/1.4/1000</f>
        <v>0.10135714285714284</v>
      </c>
      <c r="AW457" s="14">
        <f>(45.03*3)/1.4/1000</f>
        <v>9.6492857142857144E-2</v>
      </c>
      <c r="AX457" s="14">
        <f>Table1347456[[#This Row],[treatment_mean]]/Table1347456[[#This Row],[control_mean]]</f>
        <v>1.0504108372196312</v>
      </c>
      <c r="AY457" s="14">
        <f>LN(Table1347456[[#This Row],[rr]])</f>
        <v>4.9181361184406899E-2</v>
      </c>
      <c r="AZ457" s="13">
        <v>4</v>
      </c>
      <c r="BA457" s="13">
        <v>4</v>
      </c>
      <c r="BB457" s="14">
        <f>(2.26*3)/1.4/1000</f>
        <v>4.8428571428571427E-3</v>
      </c>
      <c r="BC457" s="14">
        <f>(1.76*3)/1.4/1000</f>
        <v>3.7714285714285718E-3</v>
      </c>
      <c r="BD457" s="15">
        <f>Table1347456[[#This Row],[treatment_se]]*SQRT(Table1347456[[#This Row],[treatment_n]])</f>
        <v>9.6857142857142853E-3</v>
      </c>
      <c r="BE457" s="14">
        <f>Table1347456[[#This Row],[control_se]]*SQRT(Table1347456[[#This Row],[control_n]])</f>
        <v>7.5428571428571437E-3</v>
      </c>
      <c r="BF45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3.8105819998817819E-3</v>
      </c>
      <c r="BG457" s="17">
        <f>SQRT(Table1347456[[#This Row],[v_from_sd_and_n]])</f>
        <v>6.1729911711274801E-2</v>
      </c>
      <c r="BH457" s="13" t="s">
        <v>50</v>
      </c>
      <c r="BI457" s="13">
        <v>2.5000000000000001E-2</v>
      </c>
      <c r="BJ457" s="18">
        <f>ABS(_xlfn.NORM.S.INV(Table1347456[[#This Row],[p_value]]/2))</f>
        <v>2.2414027276049446</v>
      </c>
      <c r="BK457" s="19">
        <f>(Table1347456[[#This Row],[lnrr]]/Table1347456[[#This Row],[z_from_p]])^2</f>
        <v>4.8146120309382721E-4</v>
      </c>
      <c r="BL457" s="16">
        <f>Table1347456[[#This Row],[v_from_sd_and_n]]</f>
        <v>3.8105819998817819E-3</v>
      </c>
      <c r="BM457" s="20">
        <f>SQRT(Table1347456[[#This Row],[v]])</f>
        <v>6.1729911711274801E-2</v>
      </c>
      <c r="BN457" s="20">
        <f>Table1347456[[#This Row],[lnrr]]-(1.96*Table1347456[[#This Row],[se]])</f>
        <v>-7.180926576969171E-2</v>
      </c>
      <c r="BO457" s="20">
        <f>Table1347456[[#This Row],[lnrr]]+(1.96 * Table1347456[[#This Row],[se]])</f>
        <v>0.17017198813850551</v>
      </c>
    </row>
    <row r="458" spans="1:67">
      <c r="A458" s="13" t="s">
        <v>181</v>
      </c>
      <c r="B458" s="13" t="s">
        <v>182</v>
      </c>
      <c r="C458" s="13" t="s">
        <v>43</v>
      </c>
      <c r="D458" s="13" t="s">
        <v>183</v>
      </c>
      <c r="E458" s="13" t="s">
        <v>184</v>
      </c>
      <c r="F458" s="13" t="s">
        <v>586</v>
      </c>
      <c r="G458" s="13" t="s">
        <v>185</v>
      </c>
      <c r="H458" s="13">
        <v>8.6999999999999993</v>
      </c>
      <c r="I458" s="13">
        <v>503</v>
      </c>
      <c r="K458" s="13" t="s">
        <v>849</v>
      </c>
      <c r="L458" s="13" t="s">
        <v>850</v>
      </c>
      <c r="N458" s="13" t="s">
        <v>61</v>
      </c>
      <c r="O458" s="13" t="s">
        <v>642</v>
      </c>
      <c r="P458" s="13" t="s">
        <v>71</v>
      </c>
      <c r="Q458" s="13" t="s">
        <v>48</v>
      </c>
      <c r="R458" s="4">
        <v>4</v>
      </c>
      <c r="S458" s="13" t="s">
        <v>594</v>
      </c>
      <c r="T458" s="13">
        <v>365</v>
      </c>
      <c r="U458" s="4" t="s">
        <v>186</v>
      </c>
      <c r="V458" s="4">
        <v>850</v>
      </c>
      <c r="W458" s="4" t="s">
        <v>602</v>
      </c>
      <c r="X458" s="4">
        <v>780</v>
      </c>
      <c r="Y458" s="4">
        <v>10</v>
      </c>
      <c r="AA458" s="4" t="s">
        <v>50</v>
      </c>
      <c r="AB458" s="4">
        <v>150</v>
      </c>
      <c r="AC458" s="4" t="s">
        <v>49</v>
      </c>
      <c r="AD458" s="4">
        <v>0</v>
      </c>
      <c r="AE458" s="4" t="s">
        <v>49</v>
      </c>
      <c r="AF458" s="4">
        <v>0</v>
      </c>
      <c r="AG458" s="4" t="s">
        <v>46</v>
      </c>
      <c r="AH458" s="4" t="s">
        <v>727</v>
      </c>
      <c r="AI458" s="4" t="s">
        <v>64</v>
      </c>
      <c r="AJ458" s="13">
        <v>0</v>
      </c>
      <c r="AK458" s="13">
        <v>30</v>
      </c>
      <c r="AP458" s="13" t="s">
        <v>49</v>
      </c>
      <c r="AQ458" s="13" t="s">
        <v>49</v>
      </c>
      <c r="AR458" s="13" t="s">
        <v>49</v>
      </c>
      <c r="AS458" s="13" t="s">
        <v>50</v>
      </c>
      <c r="AT458" s="13" t="s">
        <v>992</v>
      </c>
      <c r="AU458" s="4" t="s">
        <v>1000</v>
      </c>
      <c r="AV458" s="14">
        <f>(69.94*3)/1.4/1000</f>
        <v>0.14987142857142857</v>
      </c>
      <c r="AW458" s="14">
        <f>(70.19*3)/1.4/1000</f>
        <v>0.15040714285714288</v>
      </c>
      <c r="AX458" s="14">
        <f>Table1347456[[#This Row],[treatment_mean]]/Table1347456[[#This Row],[control_mean]]</f>
        <v>0.99643823906539375</v>
      </c>
      <c r="AY458" s="14">
        <f>LN(Table1347456[[#This Row],[rr]])</f>
        <v>-3.5681191071005119E-3</v>
      </c>
      <c r="AZ458" s="13">
        <v>4</v>
      </c>
      <c r="BA458" s="13">
        <v>4</v>
      </c>
      <c r="BB458" s="14">
        <f>(7.04*3)/1.4/1000</f>
        <v>1.5085714285714287E-2</v>
      </c>
      <c r="BC458" s="14">
        <f>(7.04*3)/1.4/1000</f>
        <v>1.5085714285714287E-2</v>
      </c>
      <c r="BD458" s="15">
        <f>Table1347456[[#This Row],[treatment_se]]*SQRT(Table1347456[[#This Row],[treatment_n]])</f>
        <v>3.0171428571428575E-2</v>
      </c>
      <c r="BE458" s="14">
        <f>Table1347456[[#This Row],[control_se]]*SQRT(Table1347456[[#This Row],[control_n]])</f>
        <v>3.0171428571428575E-2</v>
      </c>
      <c r="BF45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2.0191900996223495E-2</v>
      </c>
      <c r="BG458" s="17">
        <f>SQRT(Table1347456[[#This Row],[v_from_sd_and_n]])</f>
        <v>0.14209820898316591</v>
      </c>
      <c r="BH458" s="13" t="s">
        <v>50</v>
      </c>
      <c r="BI458" s="13">
        <v>2.5000000000000001E-2</v>
      </c>
      <c r="BJ458" s="18">
        <f>ABS(_xlfn.NORM.S.INV(Table1347456[[#This Row],[p_value]]/2))</f>
        <v>2.2414027276049446</v>
      </c>
      <c r="BK458" s="19">
        <f>(Table1347456[[#This Row],[lnrr]]/Table1347456[[#This Row],[z_from_p]])^2</f>
        <v>2.5341883728580922E-6</v>
      </c>
      <c r="BL458" s="16">
        <f>Table1347456[[#This Row],[v_from_sd_and_n]]</f>
        <v>2.0191900996223495E-2</v>
      </c>
      <c r="BM458" s="20">
        <f>SQRT(Table1347456[[#This Row],[v]])</f>
        <v>0.14209820898316591</v>
      </c>
      <c r="BN458" s="20">
        <f>Table1347456[[#This Row],[lnrr]]-(1.96*Table1347456[[#This Row],[se]])</f>
        <v>-0.28208060871410573</v>
      </c>
      <c r="BO458" s="20">
        <f>Table1347456[[#This Row],[lnrr]]+(1.96 * Table1347456[[#This Row],[se]])</f>
        <v>0.27494437049990467</v>
      </c>
    </row>
    <row r="459" spans="1:67">
      <c r="A459" s="13" t="s">
        <v>181</v>
      </c>
      <c r="B459" s="13" t="s">
        <v>182</v>
      </c>
      <c r="C459" s="13" t="s">
        <v>43</v>
      </c>
      <c r="D459" s="13" t="s">
        <v>183</v>
      </c>
      <c r="E459" s="13" t="s">
        <v>184</v>
      </c>
      <c r="F459" s="13" t="s">
        <v>586</v>
      </c>
      <c r="G459" s="13" t="s">
        <v>185</v>
      </c>
      <c r="H459" s="13">
        <v>8.6999999999999993</v>
      </c>
      <c r="I459" s="13">
        <v>503</v>
      </c>
      <c r="K459" s="13" t="s">
        <v>849</v>
      </c>
      <c r="L459" s="13" t="s">
        <v>850</v>
      </c>
      <c r="N459" s="13" t="s">
        <v>61</v>
      </c>
      <c r="O459" s="13" t="s">
        <v>642</v>
      </c>
      <c r="P459" s="13" t="s">
        <v>71</v>
      </c>
      <c r="Q459" s="13" t="s">
        <v>48</v>
      </c>
      <c r="R459" s="4">
        <v>4</v>
      </c>
      <c r="S459" s="13" t="s">
        <v>594</v>
      </c>
      <c r="T459" s="13">
        <v>365</v>
      </c>
      <c r="U459" s="4" t="s">
        <v>186</v>
      </c>
      <c r="V459" s="4">
        <v>850</v>
      </c>
      <c r="W459" s="4" t="s">
        <v>602</v>
      </c>
      <c r="X459" s="4">
        <v>780</v>
      </c>
      <c r="Y459" s="4">
        <v>10</v>
      </c>
      <c r="AA459" s="4" t="s">
        <v>50</v>
      </c>
      <c r="AB459" s="4">
        <v>195</v>
      </c>
      <c r="AC459" s="4" t="s">
        <v>49</v>
      </c>
      <c r="AD459" s="4">
        <v>0</v>
      </c>
      <c r="AE459" s="4" t="s">
        <v>49</v>
      </c>
      <c r="AF459" s="4">
        <v>0</v>
      </c>
      <c r="AG459" s="4" t="s">
        <v>46</v>
      </c>
      <c r="AH459" s="4" t="s">
        <v>727</v>
      </c>
      <c r="AI459" s="4" t="s">
        <v>64</v>
      </c>
      <c r="AJ459" s="13">
        <v>0</v>
      </c>
      <c r="AK459" s="13">
        <v>30</v>
      </c>
      <c r="AP459" s="13" t="s">
        <v>49</v>
      </c>
      <c r="AQ459" s="13" t="s">
        <v>49</v>
      </c>
      <c r="AR459" s="13" t="s">
        <v>49</v>
      </c>
      <c r="AS459" s="13" t="s">
        <v>50</v>
      </c>
      <c r="AT459" s="13" t="s">
        <v>992</v>
      </c>
      <c r="AU459" s="4" t="s">
        <v>1000</v>
      </c>
      <c r="AV459" s="14">
        <f>(86.29*3)/1.4/1000</f>
        <v>0.18490714285714288</v>
      </c>
      <c r="AW459" s="14">
        <f>(102.64*3)/1.4/1000</f>
        <v>0.21994285714285719</v>
      </c>
      <c r="AX459" s="14">
        <f>Table1347456[[#This Row],[treatment_mean]]/Table1347456[[#This Row],[control_mean]]</f>
        <v>0.8407053780202649</v>
      </c>
      <c r="AY459" s="14">
        <f>LN(Table1347456[[#This Row],[rr]])</f>
        <v>-0.17351400378716497</v>
      </c>
      <c r="AZ459" s="13">
        <v>4</v>
      </c>
      <c r="BA459" s="13">
        <v>4</v>
      </c>
      <c r="BB459" s="14">
        <f>(5.53*3)/1.4/1000</f>
        <v>1.1850000000000001E-2</v>
      </c>
      <c r="BC459" s="14">
        <f>(4.28*3)/1.4/1000</f>
        <v>9.1714285714285734E-3</v>
      </c>
      <c r="BD459" s="15">
        <f>Table1347456[[#This Row],[treatment_se]]*SQRT(Table1347456[[#This Row],[treatment_n]])</f>
        <v>2.3700000000000002E-2</v>
      </c>
      <c r="BE459" s="14">
        <f>Table1347456[[#This Row],[control_se]]*SQRT(Table1347456[[#This Row],[control_n]])</f>
        <v>1.8342857142857147E-2</v>
      </c>
      <c r="BF45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5.8458622035217206E-3</v>
      </c>
      <c r="BG459" s="17">
        <f>SQRT(Table1347456[[#This Row],[v_from_sd_and_n]])</f>
        <v>7.6458238297267361E-2</v>
      </c>
      <c r="BH459" s="13" t="s">
        <v>50</v>
      </c>
      <c r="BI459" s="13">
        <v>2.5000000000000001E-2</v>
      </c>
      <c r="BJ459" s="18">
        <f>ABS(_xlfn.NORM.S.INV(Table1347456[[#This Row],[p_value]]/2))</f>
        <v>2.2414027276049446</v>
      </c>
      <c r="BK459" s="19">
        <f>(Table1347456[[#This Row],[lnrr]]/Table1347456[[#This Row],[z_from_p]])^2</f>
        <v>5.9927929072660048E-3</v>
      </c>
      <c r="BL459" s="16">
        <f>Table1347456[[#This Row],[v_from_sd_and_n]]</f>
        <v>5.8458622035217206E-3</v>
      </c>
      <c r="BM459" s="20">
        <f>SQRT(Table1347456[[#This Row],[v]])</f>
        <v>7.6458238297267361E-2</v>
      </c>
      <c r="BN459" s="20">
        <f>Table1347456[[#This Row],[lnrr]]-(1.96*Table1347456[[#This Row],[se]])</f>
        <v>-0.32337215084980897</v>
      </c>
      <c r="BO459" s="20">
        <f>Table1347456[[#This Row],[lnrr]]+(1.96 * Table1347456[[#This Row],[se]])</f>
        <v>-2.3655856724520946E-2</v>
      </c>
    </row>
    <row r="460" spans="1:67">
      <c r="A460" s="13" t="s">
        <v>187</v>
      </c>
      <c r="B460" s="13" t="s">
        <v>188</v>
      </c>
      <c r="C460" s="13" t="s">
        <v>43</v>
      </c>
      <c r="D460" s="13" t="s">
        <v>189</v>
      </c>
      <c r="E460" s="13" t="s">
        <v>91</v>
      </c>
      <c r="F460" s="13" t="s">
        <v>587</v>
      </c>
      <c r="G460" s="13" t="s">
        <v>46</v>
      </c>
      <c r="H460" s="13">
        <v>23</v>
      </c>
      <c r="I460" s="13" t="s">
        <v>46</v>
      </c>
      <c r="K460" s="13" t="s">
        <v>851</v>
      </c>
      <c r="L460" s="13" t="s">
        <v>852</v>
      </c>
      <c r="N460" s="13" t="s">
        <v>668</v>
      </c>
      <c r="O460" s="13" t="s">
        <v>668</v>
      </c>
      <c r="P460" s="13" t="s">
        <v>87</v>
      </c>
      <c r="Q460" s="13" t="s">
        <v>87</v>
      </c>
      <c r="R460" s="4">
        <v>3</v>
      </c>
      <c r="S460" s="13" t="s">
        <v>595</v>
      </c>
      <c r="T460" s="13">
        <v>55</v>
      </c>
      <c r="U460" s="4" t="s">
        <v>93</v>
      </c>
      <c r="V460" s="4">
        <v>400</v>
      </c>
      <c r="W460" s="4" t="s">
        <v>42</v>
      </c>
      <c r="X460" s="4" t="s">
        <v>46</v>
      </c>
      <c r="Y460" s="4">
        <v>21</v>
      </c>
      <c r="Z460" s="4" t="s">
        <v>489</v>
      </c>
      <c r="AA460" s="4" t="s">
        <v>49</v>
      </c>
      <c r="AB460" s="4">
        <v>0</v>
      </c>
      <c r="AC460" s="4" t="s">
        <v>49</v>
      </c>
      <c r="AD460" s="4">
        <v>0</v>
      </c>
      <c r="AE460" s="4" t="s">
        <v>49</v>
      </c>
      <c r="AF460" s="4">
        <v>0</v>
      </c>
      <c r="AG460" s="4" t="s">
        <v>46</v>
      </c>
      <c r="AH460" s="4" t="s">
        <v>726</v>
      </c>
      <c r="AI460" s="4" t="s">
        <v>78</v>
      </c>
      <c r="AJ460" s="13">
        <v>0</v>
      </c>
      <c r="AK460" s="13">
        <v>15</v>
      </c>
      <c r="AP460" s="13" t="s">
        <v>49</v>
      </c>
      <c r="AQ460" s="13" t="s">
        <v>49</v>
      </c>
      <c r="AR460" s="13" t="s">
        <v>50</v>
      </c>
      <c r="AS460" s="13" t="s">
        <v>49</v>
      </c>
      <c r="AT460" s="13" t="s">
        <v>990</v>
      </c>
      <c r="AU460" s="13" t="s">
        <v>998</v>
      </c>
      <c r="AV460" s="14">
        <v>47.21</v>
      </c>
      <c r="AW460" s="14">
        <v>31.03</v>
      </c>
      <c r="AX460" s="14">
        <f>Table1347456[[#This Row],[treatment_mean]]/Table1347456[[#This Row],[control_mean]]</f>
        <v>1.5214308733483726</v>
      </c>
      <c r="AY460" s="14">
        <f>LN(Table1347456[[#This Row],[rr]])</f>
        <v>0.41965125609790654</v>
      </c>
      <c r="AZ460" s="13">
        <v>4</v>
      </c>
      <c r="BA460" s="13">
        <v>4</v>
      </c>
      <c r="BB460" s="14">
        <v>3.18</v>
      </c>
      <c r="BC460" s="14">
        <v>3.19</v>
      </c>
      <c r="BD460" s="15">
        <f>Table1347456[[#This Row],[treatment_se]]*SQRT(Table1347456[[#This Row],[treatment_n]])</f>
        <v>6.36</v>
      </c>
      <c r="BE460" s="14">
        <f>Table1347456[[#This Row],[control_se]]*SQRT(Table1347456[[#This Row],[control_n]])</f>
        <v>6.38</v>
      </c>
      <c r="BF46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1.5105791015731227E-2</v>
      </c>
      <c r="BG460" s="17">
        <f>SQRT(Table1347456[[#This Row],[v_from_sd_and_n]])</f>
        <v>0.12290561832451447</v>
      </c>
      <c r="BH460" s="13" t="s">
        <v>50</v>
      </c>
      <c r="BI460" s="13">
        <v>2.5000000000000001E-2</v>
      </c>
      <c r="BJ460" s="18">
        <f>ABS(_xlfn.NORM.S.INV(Table1347456[[#This Row],[p_value]]/2))</f>
        <v>2.2414027276049446</v>
      </c>
      <c r="BK460" s="19">
        <f>(Table1347456[[#This Row],[lnrr]]/Table1347456[[#This Row],[z_from_p]])^2</f>
        <v>3.505397419018258E-2</v>
      </c>
      <c r="BL460" s="16">
        <f>Table1347456[[#This Row],[v_from_sd_and_n]]</f>
        <v>1.5105791015731227E-2</v>
      </c>
      <c r="BM460" s="20">
        <f>SQRT(Table1347456[[#This Row],[v]])</f>
        <v>0.12290561832451447</v>
      </c>
      <c r="BN460" s="20">
        <f>Table1347456[[#This Row],[lnrr]]-(1.96*Table1347456[[#This Row],[se]])</f>
        <v>0.1787562441818582</v>
      </c>
      <c r="BO460" s="20">
        <f>Table1347456[[#This Row],[lnrr]]+(1.96 * Table1347456[[#This Row],[se]])</f>
        <v>0.66054626801395488</v>
      </c>
    </row>
    <row r="461" spans="1:67">
      <c r="A461" s="13" t="s">
        <v>187</v>
      </c>
      <c r="B461" s="13" t="s">
        <v>188</v>
      </c>
      <c r="C461" s="13" t="s">
        <v>43</v>
      </c>
      <c r="D461" s="13" t="s">
        <v>189</v>
      </c>
      <c r="E461" s="13" t="s">
        <v>91</v>
      </c>
      <c r="F461" s="13" t="s">
        <v>587</v>
      </c>
      <c r="G461" s="13" t="s">
        <v>46</v>
      </c>
      <c r="H461" s="13">
        <v>23</v>
      </c>
      <c r="I461" s="13" t="s">
        <v>46</v>
      </c>
      <c r="K461" s="13" t="s">
        <v>851</v>
      </c>
      <c r="L461" s="13" t="s">
        <v>852</v>
      </c>
      <c r="N461" s="13" t="s">
        <v>668</v>
      </c>
      <c r="O461" s="13" t="s">
        <v>668</v>
      </c>
      <c r="P461" s="13" t="s">
        <v>87</v>
      </c>
      <c r="Q461" s="13" t="s">
        <v>87</v>
      </c>
      <c r="R461" s="4">
        <v>3</v>
      </c>
      <c r="S461" s="13" t="s">
        <v>595</v>
      </c>
      <c r="T461" s="13">
        <v>55</v>
      </c>
      <c r="U461" s="4" t="s">
        <v>93</v>
      </c>
      <c r="V461" s="4">
        <v>400</v>
      </c>
      <c r="W461" s="4" t="s">
        <v>42</v>
      </c>
      <c r="X461" s="4" t="s">
        <v>46</v>
      </c>
      <c r="Y461" s="4">
        <v>63</v>
      </c>
      <c r="Z461" s="4" t="s">
        <v>504</v>
      </c>
      <c r="AA461" s="4" t="s">
        <v>49</v>
      </c>
      <c r="AB461" s="4">
        <v>0</v>
      </c>
      <c r="AC461" s="4" t="s">
        <v>49</v>
      </c>
      <c r="AD461" s="4">
        <v>0</v>
      </c>
      <c r="AE461" s="4" t="s">
        <v>49</v>
      </c>
      <c r="AF461" s="4">
        <v>0</v>
      </c>
      <c r="AG461" s="4" t="s">
        <v>46</v>
      </c>
      <c r="AH461" s="4" t="s">
        <v>726</v>
      </c>
      <c r="AI461" s="4" t="s">
        <v>78</v>
      </c>
      <c r="AJ461" s="13">
        <v>0</v>
      </c>
      <c r="AK461" s="13">
        <v>15</v>
      </c>
      <c r="AP461" s="13" t="s">
        <v>49</v>
      </c>
      <c r="AQ461" s="13" t="s">
        <v>49</v>
      </c>
      <c r="AR461" s="13" t="s">
        <v>50</v>
      </c>
      <c r="AS461" s="13" t="s">
        <v>49</v>
      </c>
      <c r="AT461" s="13" t="s">
        <v>990</v>
      </c>
      <c r="AU461" s="13" t="s">
        <v>998</v>
      </c>
      <c r="AV461" s="14">
        <v>48.81</v>
      </c>
      <c r="AW461" s="14">
        <v>31.03</v>
      </c>
      <c r="AX461" s="14">
        <f>Table1347456[[#This Row],[treatment_mean]]/Table1347456[[#This Row],[control_mean]]</f>
        <v>1.5729938768933291</v>
      </c>
      <c r="AY461" s="14">
        <f>LN(Table1347456[[#This Row],[rr]])</f>
        <v>0.45298073143876738</v>
      </c>
      <c r="AZ461" s="13">
        <v>4</v>
      </c>
      <c r="BA461" s="13">
        <v>4</v>
      </c>
      <c r="BB461" s="14">
        <v>2.91</v>
      </c>
      <c r="BC461" s="14">
        <v>3.19</v>
      </c>
      <c r="BD461" s="15">
        <f>Table1347456[[#This Row],[treatment_se]]*SQRT(Table1347456[[#This Row],[treatment_n]])</f>
        <v>5.82</v>
      </c>
      <c r="BE461" s="14">
        <f>Table1347456[[#This Row],[control_se]]*SQRT(Table1347456[[#This Row],[control_n]])</f>
        <v>6.38</v>
      </c>
      <c r="BF46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1.4123025491676142E-2</v>
      </c>
      <c r="BG461" s="17">
        <f>SQRT(Table1347456[[#This Row],[v_from_sd_and_n]])</f>
        <v>0.11884033613077734</v>
      </c>
      <c r="BH461" s="13" t="s">
        <v>50</v>
      </c>
      <c r="BI461" s="13">
        <v>2.5000000000000001E-2</v>
      </c>
      <c r="BJ461" s="18">
        <f>ABS(_xlfn.NORM.S.INV(Table1347456[[#This Row],[p_value]]/2))</f>
        <v>2.2414027276049446</v>
      </c>
      <c r="BK461" s="19">
        <f>(Table1347456[[#This Row],[lnrr]]/Table1347456[[#This Row],[z_from_p]])^2</f>
        <v>4.084319098886062E-2</v>
      </c>
      <c r="BL461" s="16">
        <f>Table1347456[[#This Row],[v_from_sd_and_n]]</f>
        <v>1.4123025491676142E-2</v>
      </c>
      <c r="BM461" s="20">
        <f>SQRT(Table1347456[[#This Row],[v]])</f>
        <v>0.11884033613077734</v>
      </c>
      <c r="BN461" s="20">
        <f>Table1347456[[#This Row],[lnrr]]-(1.96*Table1347456[[#This Row],[se]])</f>
        <v>0.2200536726224438</v>
      </c>
      <c r="BO461" s="20">
        <f>Table1347456[[#This Row],[lnrr]]+(1.96 * Table1347456[[#This Row],[se]])</f>
        <v>0.68590779025509097</v>
      </c>
    </row>
    <row r="462" spans="1:67">
      <c r="A462" s="13" t="s">
        <v>187</v>
      </c>
      <c r="B462" s="13" t="s">
        <v>188</v>
      </c>
      <c r="C462" s="13" t="s">
        <v>43</v>
      </c>
      <c r="D462" s="13" t="s">
        <v>189</v>
      </c>
      <c r="E462" s="13" t="s">
        <v>91</v>
      </c>
      <c r="F462" s="13" t="s">
        <v>587</v>
      </c>
      <c r="G462" s="13" t="s">
        <v>46</v>
      </c>
      <c r="H462" s="13">
        <v>23</v>
      </c>
      <c r="I462" s="13" t="s">
        <v>46</v>
      </c>
      <c r="K462" s="13" t="s">
        <v>851</v>
      </c>
      <c r="L462" s="13" t="s">
        <v>852</v>
      </c>
      <c r="N462" s="13" t="s">
        <v>668</v>
      </c>
      <c r="O462" s="13" t="s">
        <v>668</v>
      </c>
      <c r="P462" s="13" t="s">
        <v>87</v>
      </c>
      <c r="Q462" s="13" t="s">
        <v>87</v>
      </c>
      <c r="R462" s="4">
        <v>3</v>
      </c>
      <c r="S462" s="13" t="s">
        <v>595</v>
      </c>
      <c r="T462" s="13">
        <v>55</v>
      </c>
      <c r="U462" s="4" t="s">
        <v>93</v>
      </c>
      <c r="V462" s="4">
        <v>400</v>
      </c>
      <c r="W462" s="4" t="s">
        <v>42</v>
      </c>
      <c r="X462" s="4" t="s">
        <v>46</v>
      </c>
      <c r="Y462" s="4">
        <v>105</v>
      </c>
      <c r="Z462" s="4" t="s">
        <v>505</v>
      </c>
      <c r="AA462" s="4" t="s">
        <v>49</v>
      </c>
      <c r="AB462" s="4">
        <v>0</v>
      </c>
      <c r="AC462" s="4" t="s">
        <v>49</v>
      </c>
      <c r="AD462" s="4">
        <v>0</v>
      </c>
      <c r="AE462" s="4" t="s">
        <v>49</v>
      </c>
      <c r="AF462" s="4">
        <v>0</v>
      </c>
      <c r="AG462" s="4" t="s">
        <v>46</v>
      </c>
      <c r="AH462" s="4" t="s">
        <v>726</v>
      </c>
      <c r="AI462" s="4" t="s">
        <v>78</v>
      </c>
      <c r="AJ462" s="13">
        <v>0</v>
      </c>
      <c r="AK462" s="13">
        <v>15</v>
      </c>
      <c r="AP462" s="13" t="s">
        <v>49</v>
      </c>
      <c r="AQ462" s="13" t="s">
        <v>49</v>
      </c>
      <c r="AR462" s="13" t="s">
        <v>50</v>
      </c>
      <c r="AS462" s="13" t="s">
        <v>49</v>
      </c>
      <c r="AT462" s="13" t="s">
        <v>990</v>
      </c>
      <c r="AU462" s="13" t="s">
        <v>998</v>
      </c>
      <c r="AV462" s="14">
        <v>44.03</v>
      </c>
      <c r="AW462" s="14">
        <v>31.03</v>
      </c>
      <c r="AX462" s="14">
        <f>Table1347456[[#This Row],[treatment_mean]]/Table1347456[[#This Row],[control_mean]]</f>
        <v>1.4189494038027715</v>
      </c>
      <c r="AY462" s="14">
        <f>LN(Table1347456[[#This Row],[rr]])</f>
        <v>0.3499167413073736</v>
      </c>
      <c r="AZ462" s="13">
        <v>4</v>
      </c>
      <c r="BA462" s="13">
        <v>4</v>
      </c>
      <c r="BB462" s="14">
        <v>2.92</v>
      </c>
      <c r="BC462" s="14">
        <v>3.19</v>
      </c>
      <c r="BD462" s="15">
        <f>Table1347456[[#This Row],[treatment_se]]*SQRT(Table1347456[[#This Row],[treatment_n]])</f>
        <v>5.84</v>
      </c>
      <c r="BE462" s="14">
        <f>Table1347456[[#This Row],[control_se]]*SQRT(Table1347456[[#This Row],[control_n]])</f>
        <v>6.38</v>
      </c>
      <c r="BF46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1.4966741345197378E-2</v>
      </c>
      <c r="BG462" s="17">
        <f>SQRT(Table1347456[[#This Row],[v_from_sd_and_n]])</f>
        <v>0.12233863390277569</v>
      </c>
      <c r="BH462" s="13" t="s">
        <v>50</v>
      </c>
      <c r="BI462" s="13">
        <v>2.5000000000000001E-2</v>
      </c>
      <c r="BJ462" s="18">
        <f>ABS(_xlfn.NORM.S.INV(Table1347456[[#This Row],[p_value]]/2))</f>
        <v>2.2414027276049446</v>
      </c>
      <c r="BK462" s="19">
        <f>(Table1347456[[#This Row],[lnrr]]/Table1347456[[#This Row],[z_from_p]])^2</f>
        <v>2.4371914745268706E-2</v>
      </c>
      <c r="BL462" s="16">
        <f>Table1347456[[#This Row],[v_from_sd_and_n]]</f>
        <v>1.4966741345197378E-2</v>
      </c>
      <c r="BM462" s="20">
        <f>SQRT(Table1347456[[#This Row],[v]])</f>
        <v>0.12233863390277569</v>
      </c>
      <c r="BN462" s="20">
        <f>Table1347456[[#This Row],[lnrr]]-(1.96*Table1347456[[#This Row],[se]])</f>
        <v>0.11013301885793325</v>
      </c>
      <c r="BO462" s="20">
        <f>Table1347456[[#This Row],[lnrr]]+(1.96 * Table1347456[[#This Row],[se]])</f>
        <v>0.58970046375681395</v>
      </c>
    </row>
    <row r="463" spans="1:67">
      <c r="A463" s="13" t="s">
        <v>187</v>
      </c>
      <c r="B463" s="13" t="s">
        <v>188</v>
      </c>
      <c r="C463" s="13" t="s">
        <v>43</v>
      </c>
      <c r="D463" s="13" t="s">
        <v>189</v>
      </c>
      <c r="E463" s="13" t="s">
        <v>91</v>
      </c>
      <c r="F463" s="13" t="s">
        <v>587</v>
      </c>
      <c r="G463" s="13" t="s">
        <v>46</v>
      </c>
      <c r="H463" s="13">
        <v>23</v>
      </c>
      <c r="I463" s="13" t="s">
        <v>46</v>
      </c>
      <c r="K463" s="13" t="s">
        <v>851</v>
      </c>
      <c r="L463" s="13" t="s">
        <v>852</v>
      </c>
      <c r="N463" s="13" t="s">
        <v>668</v>
      </c>
      <c r="O463" s="13" t="s">
        <v>668</v>
      </c>
      <c r="P463" s="13" t="s">
        <v>87</v>
      </c>
      <c r="Q463" s="13" t="s">
        <v>87</v>
      </c>
      <c r="R463" s="4">
        <v>3</v>
      </c>
      <c r="S463" s="13" t="s">
        <v>595</v>
      </c>
      <c r="T463" s="13">
        <v>55</v>
      </c>
      <c r="U463" s="4" t="s">
        <v>93</v>
      </c>
      <c r="V463" s="4">
        <v>400</v>
      </c>
      <c r="W463" s="4" t="s">
        <v>42</v>
      </c>
      <c r="X463" s="4" t="s">
        <v>46</v>
      </c>
      <c r="Y463" s="4">
        <v>210</v>
      </c>
      <c r="Z463" s="4" t="s">
        <v>506</v>
      </c>
      <c r="AA463" s="4" t="s">
        <v>49</v>
      </c>
      <c r="AB463" s="4">
        <v>0</v>
      </c>
      <c r="AC463" s="4" t="s">
        <v>49</v>
      </c>
      <c r="AD463" s="4">
        <v>0</v>
      </c>
      <c r="AE463" s="4" t="s">
        <v>49</v>
      </c>
      <c r="AF463" s="4">
        <v>0</v>
      </c>
      <c r="AG463" s="4" t="s">
        <v>46</v>
      </c>
      <c r="AH463" s="4" t="s">
        <v>726</v>
      </c>
      <c r="AI463" s="4" t="s">
        <v>78</v>
      </c>
      <c r="AJ463" s="13">
        <v>0</v>
      </c>
      <c r="AK463" s="13">
        <v>15</v>
      </c>
      <c r="AP463" s="13" t="s">
        <v>49</v>
      </c>
      <c r="AQ463" s="13" t="s">
        <v>49</v>
      </c>
      <c r="AR463" s="13" t="s">
        <v>50</v>
      </c>
      <c r="AS463" s="13" t="s">
        <v>49</v>
      </c>
      <c r="AT463" s="13" t="s">
        <v>990</v>
      </c>
      <c r="AU463" s="13" t="s">
        <v>998</v>
      </c>
      <c r="AV463" s="14">
        <v>3.18</v>
      </c>
      <c r="AW463" s="14">
        <v>31.03</v>
      </c>
      <c r="AX463" s="14">
        <f>Table1347456[[#This Row],[treatment_mean]]/Table1347456[[#This Row],[control_mean]]</f>
        <v>0.10248146954560103</v>
      </c>
      <c r="AY463" s="14">
        <f>LN(Table1347456[[#This Row],[rr]])</f>
        <v>-2.2780732816682034</v>
      </c>
      <c r="AZ463" s="13">
        <v>4</v>
      </c>
      <c r="BA463" s="13">
        <v>4</v>
      </c>
      <c r="BB463" s="14">
        <v>2.92</v>
      </c>
      <c r="BC463" s="14">
        <v>3.19</v>
      </c>
      <c r="BD463" s="15">
        <f>Table1347456[[#This Row],[treatment_se]]*SQRT(Table1347456[[#This Row],[treatment_n]])</f>
        <v>5.84</v>
      </c>
      <c r="BE463" s="14">
        <f>Table1347456[[#This Row],[control_se]]*SQRT(Table1347456[[#This Row],[control_n]])</f>
        <v>6.38</v>
      </c>
      <c r="BF46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0.85373145818292961</v>
      </c>
      <c r="BG463" s="17">
        <f>SQRT(Table1347456[[#This Row],[v_from_sd_and_n]])</f>
        <v>0.92397589697076499</v>
      </c>
      <c r="BH463" s="13" t="s">
        <v>50</v>
      </c>
      <c r="BI463" s="13">
        <v>2.5000000000000001E-2</v>
      </c>
      <c r="BJ463" s="18">
        <f>ABS(_xlfn.NORM.S.INV(Table1347456[[#This Row],[p_value]]/2))</f>
        <v>2.2414027276049446</v>
      </c>
      <c r="BK463" s="19">
        <f>(Table1347456[[#This Row],[lnrr]]/Table1347456[[#This Row],[z_from_p]])^2</f>
        <v>1.0329887428091262</v>
      </c>
      <c r="BL463" s="16">
        <f>Table1347456[[#This Row],[v_from_sd_and_n]]</f>
        <v>0.85373145818292961</v>
      </c>
      <c r="BM463" s="20">
        <f>SQRT(Table1347456[[#This Row],[v]])</f>
        <v>0.92397589697076499</v>
      </c>
      <c r="BN463" s="20">
        <f>Table1347456[[#This Row],[lnrr]]-(1.96*Table1347456[[#This Row],[se]])</f>
        <v>-4.0890660397309029</v>
      </c>
      <c r="BO463" s="20">
        <f>Table1347456[[#This Row],[lnrr]]+(1.96 * Table1347456[[#This Row],[se]])</f>
        <v>-0.46708052360550401</v>
      </c>
    </row>
    <row r="464" spans="1:67">
      <c r="A464" s="13" t="s">
        <v>190</v>
      </c>
      <c r="B464" s="13" t="s">
        <v>191</v>
      </c>
      <c r="C464" s="13" t="s">
        <v>43</v>
      </c>
      <c r="D464" s="13" t="s">
        <v>192</v>
      </c>
      <c r="E464" s="13" t="s">
        <v>97</v>
      </c>
      <c r="F464" s="13" t="s">
        <v>588</v>
      </c>
      <c r="G464" s="13" t="s">
        <v>46</v>
      </c>
      <c r="H464" s="13">
        <v>32</v>
      </c>
      <c r="I464" s="13">
        <v>1300</v>
      </c>
      <c r="K464" s="13" t="s">
        <v>853</v>
      </c>
      <c r="L464" s="13" t="s">
        <v>854</v>
      </c>
      <c r="N464" s="13" t="s">
        <v>47</v>
      </c>
      <c r="O464" s="13" t="s">
        <v>645</v>
      </c>
      <c r="P464" s="13" t="s">
        <v>422</v>
      </c>
      <c r="Q464" s="13" t="s">
        <v>48</v>
      </c>
      <c r="R464" s="4">
        <v>3</v>
      </c>
      <c r="S464" s="13" t="s">
        <v>594</v>
      </c>
      <c r="T464" s="13">
        <v>730</v>
      </c>
      <c r="U464" s="4" t="s">
        <v>147</v>
      </c>
      <c r="V464" s="4">
        <v>580</v>
      </c>
      <c r="W464" s="4" t="s">
        <v>601</v>
      </c>
      <c r="X464" s="4" t="s">
        <v>46</v>
      </c>
      <c r="Y464" s="4">
        <v>25</v>
      </c>
      <c r="AA464" s="4" t="s">
        <v>49</v>
      </c>
      <c r="AB464" s="4">
        <v>0</v>
      </c>
      <c r="AC464" s="4" t="s">
        <v>49</v>
      </c>
      <c r="AD464" s="4">
        <v>0</v>
      </c>
      <c r="AE464" s="4" t="s">
        <v>49</v>
      </c>
      <c r="AF464" s="4">
        <v>0</v>
      </c>
      <c r="AG464" s="4" t="s">
        <v>710</v>
      </c>
      <c r="AH464" s="4" t="s">
        <v>709</v>
      </c>
      <c r="AI464" s="4" t="s">
        <v>64</v>
      </c>
      <c r="AJ464" s="13">
        <v>0</v>
      </c>
      <c r="AK464" s="13">
        <v>10</v>
      </c>
      <c r="AM464" s="13" t="s">
        <v>507</v>
      </c>
      <c r="AP464" s="13" t="s">
        <v>49</v>
      </c>
      <c r="AQ464" s="13" t="s">
        <v>49</v>
      </c>
      <c r="AR464" s="13" t="s">
        <v>49</v>
      </c>
      <c r="AS464" s="13" t="s">
        <v>49</v>
      </c>
      <c r="AT464" s="13" t="s">
        <v>990</v>
      </c>
      <c r="AU464" s="13" t="s">
        <v>998</v>
      </c>
      <c r="AV464" s="14">
        <f>0.3*10</f>
        <v>3</v>
      </c>
      <c r="AW464" s="14">
        <f>0.27*10</f>
        <v>2.7</v>
      </c>
      <c r="AX464" s="14">
        <f>Table1347456[[#This Row],[treatment_mean]]/Table1347456[[#This Row],[control_mean]]</f>
        <v>1.1111111111111109</v>
      </c>
      <c r="AY464" s="14">
        <f>LN(Table1347456[[#This Row],[rr]])</f>
        <v>0.10536051565782614</v>
      </c>
      <c r="AZ464" s="13">
        <v>6</v>
      </c>
      <c r="BA464" s="13">
        <v>3</v>
      </c>
      <c r="BB464" s="14" t="s">
        <v>46</v>
      </c>
      <c r="BC464" s="14" t="s">
        <v>46</v>
      </c>
      <c r="BD464" s="15" t="s">
        <v>46</v>
      </c>
      <c r="BE464" s="14" t="s">
        <v>46</v>
      </c>
      <c r="BF46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64" s="17" t="s">
        <v>46</v>
      </c>
      <c r="BH464" s="13" t="s">
        <v>50</v>
      </c>
      <c r="BI464" s="13">
        <v>2.5000000000000001E-2</v>
      </c>
      <c r="BJ464" s="18">
        <f>ABS(_xlfn.NORM.S.INV(Table1347456[[#This Row],[p_value]]/2))</f>
        <v>2.2414027276049446</v>
      </c>
      <c r="BK464" s="19">
        <f>(Table1347456[[#This Row],[lnrr]]/Table1347456[[#This Row],[z_from_p]])^2</f>
        <v>2.2096118116115386E-3</v>
      </c>
      <c r="BL464" s="16">
        <f>Table1347456[[#This Row],[v_from_z_from_p]]</f>
        <v>2.2096118116115386E-3</v>
      </c>
      <c r="BM464" s="20">
        <f>SQRT(Table1347456[[#This Row],[v]])</f>
        <v>4.7006508183564735E-2</v>
      </c>
      <c r="BN464" s="20">
        <f>Table1347456[[#This Row],[lnrr]]-(1.96*Table1347456[[#This Row],[se]])</f>
        <v>1.3227759618039264E-2</v>
      </c>
      <c r="BO464" s="20">
        <f>Table1347456[[#This Row],[lnrr]]+(1.96 * Table1347456[[#This Row],[se]])</f>
        <v>0.19749327169761302</v>
      </c>
    </row>
    <row r="465" spans="1:67">
      <c r="A465" s="13" t="s">
        <v>190</v>
      </c>
      <c r="B465" s="13" t="s">
        <v>191</v>
      </c>
      <c r="C465" s="13" t="s">
        <v>43</v>
      </c>
      <c r="D465" s="13" t="s">
        <v>192</v>
      </c>
      <c r="E465" s="13" t="s">
        <v>97</v>
      </c>
      <c r="F465" s="13" t="s">
        <v>588</v>
      </c>
      <c r="G465" s="13" t="s">
        <v>46</v>
      </c>
      <c r="H465" s="13">
        <v>32</v>
      </c>
      <c r="I465" s="13">
        <v>1300</v>
      </c>
      <c r="K465" s="13" t="s">
        <v>853</v>
      </c>
      <c r="L465" s="13" t="s">
        <v>854</v>
      </c>
      <c r="N465" s="13" t="s">
        <v>47</v>
      </c>
      <c r="O465" s="13" t="s">
        <v>645</v>
      </c>
      <c r="P465" s="13" t="s">
        <v>422</v>
      </c>
      <c r="Q465" s="13" t="s">
        <v>48</v>
      </c>
      <c r="R465" s="4">
        <v>3</v>
      </c>
      <c r="S465" s="13" t="s">
        <v>594</v>
      </c>
      <c r="T465" s="13">
        <v>730</v>
      </c>
      <c r="U465" s="4" t="s">
        <v>147</v>
      </c>
      <c r="V465" s="4">
        <v>580</v>
      </c>
      <c r="W465" s="4" t="s">
        <v>601</v>
      </c>
      <c r="X465" s="4" t="s">
        <v>46</v>
      </c>
      <c r="Y465" s="4">
        <v>50</v>
      </c>
      <c r="AA465" s="4" t="s">
        <v>49</v>
      </c>
      <c r="AB465" s="4">
        <v>0</v>
      </c>
      <c r="AC465" s="4" t="s">
        <v>49</v>
      </c>
      <c r="AD465" s="4">
        <v>0</v>
      </c>
      <c r="AE465" s="4" t="s">
        <v>49</v>
      </c>
      <c r="AF465" s="4">
        <v>0</v>
      </c>
      <c r="AG465" s="4" t="s">
        <v>710</v>
      </c>
      <c r="AH465" s="4" t="s">
        <v>709</v>
      </c>
      <c r="AI465" s="4" t="s">
        <v>64</v>
      </c>
      <c r="AJ465" s="13">
        <v>0</v>
      </c>
      <c r="AK465" s="13">
        <v>10</v>
      </c>
      <c r="AM465" s="13" t="s">
        <v>507</v>
      </c>
      <c r="AP465" s="13" t="s">
        <v>49</v>
      </c>
      <c r="AQ465" s="13" t="s">
        <v>49</v>
      </c>
      <c r="AR465" s="13" t="s">
        <v>49</v>
      </c>
      <c r="AS465" s="13" t="s">
        <v>49</v>
      </c>
      <c r="AT465" s="13" t="s">
        <v>990</v>
      </c>
      <c r="AU465" s="13" t="s">
        <v>998</v>
      </c>
      <c r="AV465" s="14">
        <f>0.32*10</f>
        <v>3.2</v>
      </c>
      <c r="AW465" s="14">
        <f>0.27*10</f>
        <v>2.7</v>
      </c>
      <c r="AX465" s="14">
        <f>Table1347456[[#This Row],[treatment_mean]]/Table1347456[[#This Row],[control_mean]]</f>
        <v>1.1851851851851851</v>
      </c>
      <c r="AY465" s="14">
        <f>LN(Table1347456[[#This Row],[rr]])</f>
        <v>0.16989903679539742</v>
      </c>
      <c r="AZ465" s="13">
        <v>6</v>
      </c>
      <c r="BA465" s="13">
        <v>3</v>
      </c>
      <c r="BB465" s="14" t="s">
        <v>46</v>
      </c>
      <c r="BC465" s="14" t="s">
        <v>46</v>
      </c>
      <c r="BD465" s="15" t="s">
        <v>46</v>
      </c>
      <c r="BE465" s="14" t="s">
        <v>46</v>
      </c>
      <c r="BF46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65" s="17" t="s">
        <v>46</v>
      </c>
      <c r="BH465" s="13" t="s">
        <v>50</v>
      </c>
      <c r="BI465" s="13">
        <v>2.5000000000000001E-2</v>
      </c>
      <c r="BJ465" s="18">
        <f>ABS(_xlfn.NORM.S.INV(Table1347456[[#This Row],[p_value]]/2))</f>
        <v>2.2414027276049446</v>
      </c>
      <c r="BK465" s="19">
        <f>(Table1347456[[#This Row],[lnrr]]/Table1347456[[#This Row],[z_from_p]])^2</f>
        <v>5.7456880247184969E-3</v>
      </c>
      <c r="BL465" s="16">
        <f>Table1347456[[#This Row],[v_from_z_from_p]]</f>
        <v>5.7456880247184969E-3</v>
      </c>
      <c r="BM465" s="20">
        <f>SQRT(Table1347456[[#This Row],[v]])</f>
        <v>7.5800316785080105E-2</v>
      </c>
      <c r="BN465" s="20">
        <f>Table1347456[[#This Row],[lnrr]]-(1.96*Table1347456[[#This Row],[se]])</f>
        <v>2.133041589664042E-2</v>
      </c>
      <c r="BO465" s="20">
        <f>Table1347456[[#This Row],[lnrr]]+(1.96 * Table1347456[[#This Row],[se]])</f>
        <v>0.31846765769415442</v>
      </c>
    </row>
    <row r="466" spans="1:67">
      <c r="A466" s="13" t="s">
        <v>190</v>
      </c>
      <c r="B466" s="13" t="s">
        <v>191</v>
      </c>
      <c r="C466" s="13" t="s">
        <v>43</v>
      </c>
      <c r="D466" s="13" t="s">
        <v>192</v>
      </c>
      <c r="E466" s="13" t="s">
        <v>97</v>
      </c>
      <c r="F466" s="13" t="s">
        <v>588</v>
      </c>
      <c r="G466" s="13" t="s">
        <v>46</v>
      </c>
      <c r="H466" s="13">
        <v>32</v>
      </c>
      <c r="I466" s="13">
        <v>1300</v>
      </c>
      <c r="K466" s="13" t="s">
        <v>853</v>
      </c>
      <c r="L466" s="13" t="s">
        <v>854</v>
      </c>
      <c r="N466" s="13" t="s">
        <v>47</v>
      </c>
      <c r="O466" s="13" t="s">
        <v>645</v>
      </c>
      <c r="P466" s="13" t="s">
        <v>422</v>
      </c>
      <c r="Q466" s="13" t="s">
        <v>48</v>
      </c>
      <c r="R466" s="4">
        <v>3</v>
      </c>
      <c r="S466" s="13" t="s">
        <v>594</v>
      </c>
      <c r="T466" s="13">
        <v>730</v>
      </c>
      <c r="U466" s="4" t="s">
        <v>147</v>
      </c>
      <c r="V466" s="4">
        <v>580</v>
      </c>
      <c r="W466" s="4" t="s">
        <v>601</v>
      </c>
      <c r="X466" s="4" t="s">
        <v>46</v>
      </c>
      <c r="Y466" s="4">
        <v>25</v>
      </c>
      <c r="AA466" s="4" t="s">
        <v>49</v>
      </c>
      <c r="AB466" s="4">
        <v>0</v>
      </c>
      <c r="AC466" s="4" t="s">
        <v>50</v>
      </c>
      <c r="AD466" s="4">
        <v>2.5</v>
      </c>
      <c r="AE466" s="4" t="s">
        <v>49</v>
      </c>
      <c r="AF466" s="4">
        <v>0</v>
      </c>
      <c r="AG466" s="4" t="s">
        <v>710</v>
      </c>
      <c r="AH466" s="4" t="s">
        <v>709</v>
      </c>
      <c r="AI466" s="4" t="s">
        <v>64</v>
      </c>
      <c r="AJ466" s="13">
        <v>0</v>
      </c>
      <c r="AK466" s="13">
        <v>10</v>
      </c>
      <c r="AM466" s="13" t="s">
        <v>507</v>
      </c>
      <c r="AP466" s="13" t="s">
        <v>49</v>
      </c>
      <c r="AQ466" s="13" t="s">
        <v>49</v>
      </c>
      <c r="AR466" s="13" t="s">
        <v>49</v>
      </c>
      <c r="AS466" s="13" t="s">
        <v>49</v>
      </c>
      <c r="AT466" s="13" t="s">
        <v>993</v>
      </c>
      <c r="AU466" s="13" t="s">
        <v>1001</v>
      </c>
      <c r="AV466" s="14">
        <f>0.37*10</f>
        <v>3.7</v>
      </c>
      <c r="AW466" s="14">
        <f>0.33*10</f>
        <v>3.3000000000000003</v>
      </c>
      <c r="AX466" s="14">
        <f>Table1347456[[#This Row],[treatment_mean]]/Table1347456[[#This Row],[control_mean]]</f>
        <v>1.1212121212121211</v>
      </c>
      <c r="AY466" s="14">
        <f>LN(Table1347456[[#This Row],[rr]])</f>
        <v>0.11441035117774412</v>
      </c>
      <c r="AZ466" s="13">
        <v>6</v>
      </c>
      <c r="BA466" s="13">
        <v>3</v>
      </c>
      <c r="BB466" s="14" t="s">
        <v>46</v>
      </c>
      <c r="BC466" s="14" t="s">
        <v>46</v>
      </c>
      <c r="BD466" s="15" t="s">
        <v>46</v>
      </c>
      <c r="BE466" s="14" t="s">
        <v>46</v>
      </c>
      <c r="BF46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66" s="17" t="s">
        <v>46</v>
      </c>
      <c r="BH466" s="13" t="s">
        <v>50</v>
      </c>
      <c r="BI466" s="13">
        <v>2.5000000000000001E-2</v>
      </c>
      <c r="BJ466" s="18">
        <f>ABS(_xlfn.NORM.S.INV(Table1347456[[#This Row],[p_value]]/2))</f>
        <v>2.2414027276049446</v>
      </c>
      <c r="BK466" s="19">
        <f>(Table1347456[[#This Row],[lnrr]]/Table1347456[[#This Row],[z_from_p]])^2</f>
        <v>2.6054986057737098E-3</v>
      </c>
      <c r="BL466" s="16">
        <f>Table1347456[[#This Row],[v_from_z_from_p]]</f>
        <v>2.6054986057737098E-3</v>
      </c>
      <c r="BM466" s="20">
        <f>SQRT(Table1347456[[#This Row],[v]])</f>
        <v>5.1044084924442616E-2</v>
      </c>
      <c r="BN466" s="20">
        <f>Table1347456[[#This Row],[lnrr]]-(1.96*Table1347456[[#This Row],[se]])</f>
        <v>1.4363944725836589E-2</v>
      </c>
      <c r="BO466" s="20">
        <f>Table1347456[[#This Row],[lnrr]]+(1.96 * Table1347456[[#This Row],[se]])</f>
        <v>0.21445675762965166</v>
      </c>
    </row>
    <row r="467" spans="1:67">
      <c r="A467" s="13" t="s">
        <v>190</v>
      </c>
      <c r="B467" s="13" t="s">
        <v>191</v>
      </c>
      <c r="C467" s="13" t="s">
        <v>43</v>
      </c>
      <c r="D467" s="13" t="s">
        <v>192</v>
      </c>
      <c r="E467" s="13" t="s">
        <v>97</v>
      </c>
      <c r="F467" s="13" t="s">
        <v>588</v>
      </c>
      <c r="G467" s="13" t="s">
        <v>46</v>
      </c>
      <c r="H467" s="13">
        <v>32</v>
      </c>
      <c r="I467" s="13">
        <v>1300</v>
      </c>
      <c r="K467" s="13" t="s">
        <v>853</v>
      </c>
      <c r="L467" s="13" t="s">
        <v>854</v>
      </c>
      <c r="N467" s="13" t="s">
        <v>47</v>
      </c>
      <c r="O467" s="13" t="s">
        <v>645</v>
      </c>
      <c r="P467" s="13" t="s">
        <v>422</v>
      </c>
      <c r="Q467" s="13" t="s">
        <v>48</v>
      </c>
      <c r="R467" s="4">
        <v>3</v>
      </c>
      <c r="S467" s="13" t="s">
        <v>594</v>
      </c>
      <c r="T467" s="13">
        <v>730</v>
      </c>
      <c r="U467" s="4" t="s">
        <v>147</v>
      </c>
      <c r="V467" s="4">
        <v>580</v>
      </c>
      <c r="W467" s="4" t="s">
        <v>601</v>
      </c>
      <c r="X467" s="4" t="s">
        <v>46</v>
      </c>
      <c r="Y467" s="4">
        <v>50</v>
      </c>
      <c r="AA467" s="4" t="s">
        <v>49</v>
      </c>
      <c r="AB467" s="4">
        <v>0</v>
      </c>
      <c r="AC467" s="4" t="s">
        <v>50</v>
      </c>
      <c r="AD467" s="4">
        <v>2.5</v>
      </c>
      <c r="AE467" s="4" t="s">
        <v>49</v>
      </c>
      <c r="AF467" s="4">
        <v>0</v>
      </c>
      <c r="AG467" s="4" t="s">
        <v>710</v>
      </c>
      <c r="AH467" s="4" t="s">
        <v>709</v>
      </c>
      <c r="AI467" s="4" t="s">
        <v>64</v>
      </c>
      <c r="AJ467" s="13">
        <v>0</v>
      </c>
      <c r="AK467" s="13">
        <v>10</v>
      </c>
      <c r="AM467" s="13" t="s">
        <v>507</v>
      </c>
      <c r="AP467" s="13" t="s">
        <v>49</v>
      </c>
      <c r="AQ467" s="13" t="s">
        <v>49</v>
      </c>
      <c r="AR467" s="13" t="s">
        <v>49</v>
      </c>
      <c r="AS467" s="13" t="s">
        <v>49</v>
      </c>
      <c r="AT467" s="13" t="s">
        <v>993</v>
      </c>
      <c r="AU467" s="13" t="s">
        <v>1001</v>
      </c>
      <c r="AV467" s="14">
        <f>0.41*10</f>
        <v>4.0999999999999996</v>
      </c>
      <c r="AW467" s="14">
        <f>0.33*10</f>
        <v>3.3000000000000003</v>
      </c>
      <c r="AX467" s="14">
        <f>Table1347456[[#This Row],[treatment_mean]]/Table1347456[[#This Row],[control_mean]]</f>
        <v>1.2424242424242422</v>
      </c>
      <c r="AY467" s="14">
        <f>LN(Table1347456[[#This Row],[rr]])</f>
        <v>0.21706450523782739</v>
      </c>
      <c r="AZ467" s="13">
        <v>6</v>
      </c>
      <c r="BA467" s="13">
        <v>3</v>
      </c>
      <c r="BB467" s="14" t="s">
        <v>46</v>
      </c>
      <c r="BC467" s="14" t="s">
        <v>46</v>
      </c>
      <c r="BD467" s="15" t="s">
        <v>46</v>
      </c>
      <c r="BE467" s="14" t="s">
        <v>46</v>
      </c>
      <c r="BF46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67" s="17" t="s">
        <v>46</v>
      </c>
      <c r="BH467" s="13" t="s">
        <v>50</v>
      </c>
      <c r="BI467" s="13">
        <v>2.5000000000000001E-2</v>
      </c>
      <c r="BJ467" s="18">
        <f>ABS(_xlfn.NORM.S.INV(Table1347456[[#This Row],[p_value]]/2))</f>
        <v>2.2414027276049446</v>
      </c>
      <c r="BK467" s="19">
        <f>(Table1347456[[#This Row],[lnrr]]/Table1347456[[#This Row],[z_from_p]])^2</f>
        <v>9.3785961061600785E-3</v>
      </c>
      <c r="BL467" s="16">
        <f>Table1347456[[#This Row],[v_from_z_from_p]]</f>
        <v>9.3785961061600785E-3</v>
      </c>
      <c r="BM467" s="20">
        <f>SQRT(Table1347456[[#This Row],[v]])</f>
        <v>9.6843152087073656E-2</v>
      </c>
      <c r="BN467" s="20">
        <f>Table1347456[[#This Row],[lnrr]]-(1.96*Table1347456[[#This Row],[se]])</f>
        <v>2.7251927147163013E-2</v>
      </c>
      <c r="BO467" s="20">
        <f>Table1347456[[#This Row],[lnrr]]+(1.96 * Table1347456[[#This Row],[se]])</f>
        <v>0.40687708332849176</v>
      </c>
    </row>
    <row r="468" spans="1:67">
      <c r="A468" s="13" t="s">
        <v>190</v>
      </c>
      <c r="B468" s="13" t="s">
        <v>191</v>
      </c>
      <c r="C468" s="13" t="s">
        <v>43</v>
      </c>
      <c r="D468" s="13" t="s">
        <v>192</v>
      </c>
      <c r="E468" s="13" t="s">
        <v>97</v>
      </c>
      <c r="F468" s="13" t="s">
        <v>588</v>
      </c>
      <c r="G468" s="13" t="s">
        <v>46</v>
      </c>
      <c r="H468" s="13">
        <v>32</v>
      </c>
      <c r="I468" s="13">
        <v>1300</v>
      </c>
      <c r="K468" s="13" t="s">
        <v>853</v>
      </c>
      <c r="L468" s="13" t="s">
        <v>854</v>
      </c>
      <c r="N468" s="13" t="s">
        <v>47</v>
      </c>
      <c r="O468" s="13" t="s">
        <v>645</v>
      </c>
      <c r="P468" s="13" t="s">
        <v>422</v>
      </c>
      <c r="Q468" s="13" t="s">
        <v>48</v>
      </c>
      <c r="R468" s="4">
        <v>3</v>
      </c>
      <c r="S468" s="13" t="s">
        <v>594</v>
      </c>
      <c r="T468" s="13">
        <v>730</v>
      </c>
      <c r="U468" s="4" t="s">
        <v>147</v>
      </c>
      <c r="V468" s="4">
        <v>580</v>
      </c>
      <c r="W468" s="4" t="s">
        <v>601</v>
      </c>
      <c r="X468" s="4" t="s">
        <v>46</v>
      </c>
      <c r="Y468" s="4">
        <v>25</v>
      </c>
      <c r="AA468" s="4" t="s">
        <v>49</v>
      </c>
      <c r="AB468" s="4">
        <v>0</v>
      </c>
      <c r="AC468" s="4" t="s">
        <v>50</v>
      </c>
      <c r="AD468" s="4">
        <v>5</v>
      </c>
      <c r="AE468" s="4" t="s">
        <v>49</v>
      </c>
      <c r="AF468" s="4">
        <v>0</v>
      </c>
      <c r="AG468" s="4" t="s">
        <v>710</v>
      </c>
      <c r="AH468" s="4" t="s">
        <v>709</v>
      </c>
      <c r="AI468" s="4" t="s">
        <v>64</v>
      </c>
      <c r="AJ468" s="13">
        <v>0</v>
      </c>
      <c r="AK468" s="13">
        <v>10</v>
      </c>
      <c r="AM468" s="13" t="s">
        <v>507</v>
      </c>
      <c r="AP468" s="13" t="s">
        <v>49</v>
      </c>
      <c r="AQ468" s="13" t="s">
        <v>49</v>
      </c>
      <c r="AR468" s="13" t="s">
        <v>49</v>
      </c>
      <c r="AS468" s="13" t="s">
        <v>49</v>
      </c>
      <c r="AT468" s="13" t="s">
        <v>993</v>
      </c>
      <c r="AU468" s="13" t="s">
        <v>1001</v>
      </c>
      <c r="AV468" s="14">
        <f>0.42*10</f>
        <v>4.2</v>
      </c>
      <c r="AW468" s="14">
        <f>0.38*10</f>
        <v>3.8</v>
      </c>
      <c r="AX468" s="14">
        <f>Table1347456[[#This Row],[treatment_mean]]/Table1347456[[#This Row],[control_mean]]</f>
        <v>1.1052631578947369</v>
      </c>
      <c r="AY468" s="14">
        <f>LN(Table1347456[[#This Row],[rr]])</f>
        <v>0.10008345855698263</v>
      </c>
      <c r="AZ468" s="13">
        <v>6</v>
      </c>
      <c r="BA468" s="13">
        <v>3</v>
      </c>
      <c r="BB468" s="14" t="s">
        <v>46</v>
      </c>
      <c r="BC468" s="14" t="s">
        <v>46</v>
      </c>
      <c r="BD468" s="15" t="s">
        <v>46</v>
      </c>
      <c r="BE468" s="14" t="s">
        <v>46</v>
      </c>
      <c r="BF46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68" s="17" t="s">
        <v>46</v>
      </c>
      <c r="BH468" s="13" t="s">
        <v>50</v>
      </c>
      <c r="BI468" s="13">
        <v>2.5000000000000001E-2</v>
      </c>
      <c r="BJ468" s="18">
        <f>ABS(_xlfn.NORM.S.INV(Table1347456[[#This Row],[p_value]]/2))</f>
        <v>2.2414027276049446</v>
      </c>
      <c r="BK468" s="19">
        <f>(Table1347456[[#This Row],[lnrr]]/Table1347456[[#This Row],[z_from_p]])^2</f>
        <v>1.9938148085478185E-3</v>
      </c>
      <c r="BL468" s="16">
        <f>Table1347456[[#This Row],[v_from_z_from_p]]</f>
        <v>1.9938148085478185E-3</v>
      </c>
      <c r="BM468" s="20">
        <f>SQRT(Table1347456[[#This Row],[v]])</f>
        <v>4.4652153459243359E-2</v>
      </c>
      <c r="BN468" s="20">
        <f>Table1347456[[#This Row],[lnrr]]-(1.96*Table1347456[[#This Row],[se]])</f>
        <v>1.2565237776865648E-2</v>
      </c>
      <c r="BO468" s="20">
        <f>Table1347456[[#This Row],[lnrr]]+(1.96 * Table1347456[[#This Row],[se]])</f>
        <v>0.18760167933709959</v>
      </c>
    </row>
    <row r="469" spans="1:67">
      <c r="A469" s="13" t="s">
        <v>190</v>
      </c>
      <c r="B469" s="13" t="s">
        <v>191</v>
      </c>
      <c r="C469" s="13" t="s">
        <v>43</v>
      </c>
      <c r="D469" s="13" t="s">
        <v>192</v>
      </c>
      <c r="E469" s="13" t="s">
        <v>97</v>
      </c>
      <c r="F469" s="13" t="s">
        <v>588</v>
      </c>
      <c r="G469" s="13" t="s">
        <v>46</v>
      </c>
      <c r="H469" s="13">
        <v>32</v>
      </c>
      <c r="I469" s="13">
        <v>1300</v>
      </c>
      <c r="K469" s="13" t="s">
        <v>853</v>
      </c>
      <c r="L469" s="13" t="s">
        <v>854</v>
      </c>
      <c r="N469" s="13" t="s">
        <v>47</v>
      </c>
      <c r="O469" s="13" t="s">
        <v>645</v>
      </c>
      <c r="P469" s="13" t="s">
        <v>422</v>
      </c>
      <c r="Q469" s="13" t="s">
        <v>48</v>
      </c>
      <c r="R469" s="4">
        <v>3</v>
      </c>
      <c r="S469" s="13" t="s">
        <v>594</v>
      </c>
      <c r="T469" s="13">
        <v>730</v>
      </c>
      <c r="U469" s="4" t="s">
        <v>147</v>
      </c>
      <c r="V469" s="4">
        <v>580</v>
      </c>
      <c r="W469" s="4" t="s">
        <v>601</v>
      </c>
      <c r="X469" s="4" t="s">
        <v>46</v>
      </c>
      <c r="Y469" s="4">
        <v>50</v>
      </c>
      <c r="AA469" s="4" t="s">
        <v>49</v>
      </c>
      <c r="AB469" s="4">
        <v>0</v>
      </c>
      <c r="AC469" s="4" t="s">
        <v>50</v>
      </c>
      <c r="AD469" s="4">
        <v>5</v>
      </c>
      <c r="AE469" s="4" t="s">
        <v>49</v>
      </c>
      <c r="AF469" s="4">
        <v>0</v>
      </c>
      <c r="AG469" s="4" t="s">
        <v>710</v>
      </c>
      <c r="AH469" s="4" t="s">
        <v>709</v>
      </c>
      <c r="AI469" s="4" t="s">
        <v>64</v>
      </c>
      <c r="AJ469" s="13">
        <v>0</v>
      </c>
      <c r="AK469" s="13">
        <v>10</v>
      </c>
      <c r="AM469" s="13" t="s">
        <v>507</v>
      </c>
      <c r="AP469" s="13" t="s">
        <v>49</v>
      </c>
      <c r="AQ469" s="13" t="s">
        <v>49</v>
      </c>
      <c r="AR469" s="13" t="s">
        <v>49</v>
      </c>
      <c r="AS469" s="13" t="s">
        <v>49</v>
      </c>
      <c r="AT469" s="13" t="s">
        <v>993</v>
      </c>
      <c r="AU469" s="13" t="s">
        <v>1001</v>
      </c>
      <c r="AV469" s="14">
        <f>0.45*10</f>
        <v>4.5</v>
      </c>
      <c r="AW469" s="14">
        <f>0.38*10</f>
        <v>3.8</v>
      </c>
      <c r="AX469" s="14">
        <f>Table1347456[[#This Row],[treatment_mean]]/Table1347456[[#This Row],[control_mean]]</f>
        <v>1.1842105263157896</v>
      </c>
      <c r="AY469" s="14">
        <f>LN(Table1347456[[#This Row],[rr]])</f>
        <v>0.1690763300439341</v>
      </c>
      <c r="AZ469" s="13">
        <v>6</v>
      </c>
      <c r="BA469" s="13">
        <v>3</v>
      </c>
      <c r="BB469" s="14" t="s">
        <v>46</v>
      </c>
      <c r="BC469" s="14" t="s">
        <v>46</v>
      </c>
      <c r="BD469" s="15" t="s">
        <v>46</v>
      </c>
      <c r="BE469" s="14" t="s">
        <v>46</v>
      </c>
      <c r="BF46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69" s="17" t="s">
        <v>46</v>
      </c>
      <c r="BH469" s="13" t="s">
        <v>50</v>
      </c>
      <c r="BI469" s="13">
        <v>2.5000000000000001E-2</v>
      </c>
      <c r="BJ469" s="18">
        <f>ABS(_xlfn.NORM.S.INV(Table1347456[[#This Row],[p_value]]/2))</f>
        <v>2.2414027276049446</v>
      </c>
      <c r="BK469" s="19">
        <f>(Table1347456[[#This Row],[lnrr]]/Table1347456[[#This Row],[z_from_p]])^2</f>
        <v>5.6901777459262299E-3</v>
      </c>
      <c r="BL469" s="16">
        <f>Table1347456[[#This Row],[v_from_z_from_p]]</f>
        <v>5.6901777459262299E-3</v>
      </c>
      <c r="BM469" s="20">
        <f>SQRT(Table1347456[[#This Row],[v]])</f>
        <v>7.5433266838485988E-2</v>
      </c>
      <c r="BN469" s="20">
        <f>Table1347456[[#This Row],[lnrr]]-(1.96*Table1347456[[#This Row],[se]])</f>
        <v>2.1227127040501559E-2</v>
      </c>
      <c r="BO469" s="20">
        <f>Table1347456[[#This Row],[lnrr]]+(1.96 * Table1347456[[#This Row],[se]])</f>
        <v>0.31692553304736665</v>
      </c>
    </row>
    <row r="470" spans="1:67">
      <c r="A470" s="13" t="s">
        <v>190</v>
      </c>
      <c r="B470" s="13" t="s">
        <v>191</v>
      </c>
      <c r="C470" s="13" t="s">
        <v>43</v>
      </c>
      <c r="D470" s="13" t="s">
        <v>192</v>
      </c>
      <c r="E470" s="13" t="s">
        <v>97</v>
      </c>
      <c r="F470" s="13" t="s">
        <v>588</v>
      </c>
      <c r="G470" s="13" t="s">
        <v>46</v>
      </c>
      <c r="H470" s="13">
        <v>32</v>
      </c>
      <c r="I470" s="13">
        <v>1300</v>
      </c>
      <c r="J470" s="13" t="s">
        <v>654</v>
      </c>
      <c r="K470" s="13" t="s">
        <v>853</v>
      </c>
      <c r="L470" s="13" t="s">
        <v>854</v>
      </c>
      <c r="M470" s="13" t="s">
        <v>800</v>
      </c>
      <c r="N470" s="13" t="s">
        <v>84</v>
      </c>
      <c r="O470" s="13" t="s">
        <v>644</v>
      </c>
      <c r="P470" s="13" t="s">
        <v>85</v>
      </c>
      <c r="Q470" s="13" t="s">
        <v>48</v>
      </c>
      <c r="R470" s="4">
        <v>3</v>
      </c>
      <c r="S470" s="13" t="s">
        <v>594</v>
      </c>
      <c r="T470" s="13">
        <v>730</v>
      </c>
      <c r="U470" s="4" t="s">
        <v>147</v>
      </c>
      <c r="V470" s="4">
        <v>580</v>
      </c>
      <c r="W470" s="4" t="s">
        <v>601</v>
      </c>
      <c r="X470" s="4" t="s">
        <v>46</v>
      </c>
      <c r="Y470" s="4">
        <v>25</v>
      </c>
      <c r="AA470" s="4" t="s">
        <v>49</v>
      </c>
      <c r="AB470" s="4">
        <v>0</v>
      </c>
      <c r="AC470" s="4" t="s">
        <v>49</v>
      </c>
      <c r="AD470" s="4">
        <v>0</v>
      </c>
      <c r="AE470" s="4" t="s">
        <v>49</v>
      </c>
      <c r="AF470" s="4">
        <v>0</v>
      </c>
      <c r="AG470" s="4" t="s">
        <v>710</v>
      </c>
      <c r="AH470" s="4" t="s">
        <v>709</v>
      </c>
      <c r="AI470" s="4" t="s">
        <v>64</v>
      </c>
      <c r="AJ470" s="13">
        <v>0</v>
      </c>
      <c r="AK470" s="13">
        <v>10</v>
      </c>
      <c r="AM470" s="13" t="s">
        <v>507</v>
      </c>
      <c r="AP470" s="13" t="s">
        <v>49</v>
      </c>
      <c r="AQ470" s="13" t="s">
        <v>49</v>
      </c>
      <c r="AR470" s="13" t="s">
        <v>49</v>
      </c>
      <c r="AS470" s="13" t="s">
        <v>49</v>
      </c>
      <c r="AT470" s="13" t="s">
        <v>990</v>
      </c>
      <c r="AU470" s="13" t="s">
        <v>998</v>
      </c>
      <c r="AV470" s="23">
        <f>11.6/1000</f>
        <v>1.1599999999999999E-2</v>
      </c>
      <c r="AW470" s="23">
        <f>11.5/1000</f>
        <v>1.15E-2</v>
      </c>
      <c r="AX470" s="14">
        <f>Table1347456[[#This Row],[treatment_mean]]/Table1347456[[#This Row],[control_mean]]</f>
        <v>1.008695652173913</v>
      </c>
      <c r="AY470" s="14">
        <f>LN(Table1347456[[#This Row],[rr]])</f>
        <v>8.6580627431145311E-3</v>
      </c>
      <c r="AZ470" s="13">
        <v>6</v>
      </c>
      <c r="BA470" s="13">
        <v>3</v>
      </c>
      <c r="BB470" s="14" t="s">
        <v>46</v>
      </c>
      <c r="BC470" s="14" t="s">
        <v>46</v>
      </c>
      <c r="BD470" s="15" t="s">
        <v>46</v>
      </c>
      <c r="BE470" s="14" t="s">
        <v>46</v>
      </c>
      <c r="BF47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70" s="17" t="s">
        <v>46</v>
      </c>
      <c r="BH470" s="13" t="s">
        <v>50</v>
      </c>
      <c r="BI470" s="13">
        <v>2.5000000000000001E-2</v>
      </c>
      <c r="BJ470" s="18">
        <f>ABS(_xlfn.NORM.S.INV(Table1347456[[#This Row],[p_value]]/2))</f>
        <v>2.2414027276049446</v>
      </c>
      <c r="BK470" s="19">
        <f>(Table1347456[[#This Row],[lnrr]]/Table1347456[[#This Row],[z_from_p]])^2</f>
        <v>1.4921128319543572E-5</v>
      </c>
      <c r="BL470" s="16">
        <f>Table1347456[[#This Row],[v_from_z_from_p]]</f>
        <v>1.4921128319543572E-5</v>
      </c>
      <c r="BM470" s="20">
        <f>SQRT(Table1347456[[#This Row],[v]])</f>
        <v>3.8627876358329062E-3</v>
      </c>
      <c r="BN470" s="20">
        <f>Table1347456[[#This Row],[lnrr]]-(1.96*Table1347456[[#This Row],[se]])</f>
        <v>1.0869989768820349E-3</v>
      </c>
      <c r="BO470" s="20">
        <f>Table1347456[[#This Row],[lnrr]]+(1.96 * Table1347456[[#This Row],[se]])</f>
        <v>1.6229126509347026E-2</v>
      </c>
    </row>
    <row r="471" spans="1:67">
      <c r="A471" s="13" t="s">
        <v>190</v>
      </c>
      <c r="B471" s="13" t="s">
        <v>191</v>
      </c>
      <c r="C471" s="13" t="s">
        <v>43</v>
      </c>
      <c r="D471" s="13" t="s">
        <v>192</v>
      </c>
      <c r="E471" s="13" t="s">
        <v>97</v>
      </c>
      <c r="F471" s="13" t="s">
        <v>588</v>
      </c>
      <c r="G471" s="13" t="s">
        <v>46</v>
      </c>
      <c r="H471" s="13">
        <v>32</v>
      </c>
      <c r="I471" s="13">
        <v>1300</v>
      </c>
      <c r="J471" s="13" t="s">
        <v>654</v>
      </c>
      <c r="K471" s="13" t="s">
        <v>853</v>
      </c>
      <c r="L471" s="13" t="s">
        <v>854</v>
      </c>
      <c r="M471" s="13" t="s">
        <v>800</v>
      </c>
      <c r="N471" s="13" t="s">
        <v>84</v>
      </c>
      <c r="O471" s="13" t="s">
        <v>644</v>
      </c>
      <c r="P471" s="13" t="s">
        <v>85</v>
      </c>
      <c r="Q471" s="13" t="s">
        <v>48</v>
      </c>
      <c r="R471" s="4">
        <v>3</v>
      </c>
      <c r="S471" s="13" t="s">
        <v>594</v>
      </c>
      <c r="T471" s="13">
        <v>730</v>
      </c>
      <c r="U471" s="4" t="s">
        <v>147</v>
      </c>
      <c r="V471" s="4">
        <v>580</v>
      </c>
      <c r="W471" s="4" t="s">
        <v>601</v>
      </c>
      <c r="X471" s="4" t="s">
        <v>46</v>
      </c>
      <c r="Y471" s="4">
        <v>50</v>
      </c>
      <c r="AA471" s="4" t="s">
        <v>49</v>
      </c>
      <c r="AB471" s="4">
        <v>0</v>
      </c>
      <c r="AC471" s="4" t="s">
        <v>49</v>
      </c>
      <c r="AD471" s="4">
        <v>0</v>
      </c>
      <c r="AE471" s="4" t="s">
        <v>49</v>
      </c>
      <c r="AF471" s="4">
        <v>0</v>
      </c>
      <c r="AG471" s="4" t="s">
        <v>710</v>
      </c>
      <c r="AH471" s="4" t="s">
        <v>709</v>
      </c>
      <c r="AI471" s="4" t="s">
        <v>64</v>
      </c>
      <c r="AJ471" s="13">
        <v>0</v>
      </c>
      <c r="AK471" s="13">
        <v>10</v>
      </c>
      <c r="AM471" s="13" t="s">
        <v>507</v>
      </c>
      <c r="AP471" s="13" t="s">
        <v>49</v>
      </c>
      <c r="AQ471" s="13" t="s">
        <v>49</v>
      </c>
      <c r="AR471" s="13" t="s">
        <v>49</v>
      </c>
      <c r="AS471" s="13" t="s">
        <v>49</v>
      </c>
      <c r="AT471" s="13" t="s">
        <v>990</v>
      </c>
      <c r="AU471" s="13" t="s">
        <v>998</v>
      </c>
      <c r="AV471" s="23">
        <f>12.6/1000</f>
        <v>1.26E-2</v>
      </c>
      <c r="AW471" s="23">
        <f>11.5/1000</f>
        <v>1.15E-2</v>
      </c>
      <c r="AX471" s="14">
        <f>Table1347456[[#This Row],[treatment_mean]]/Table1347456[[#This Row],[control_mean]]</f>
        <v>1.0956521739130436</v>
      </c>
      <c r="AY471" s="14">
        <f>LN(Table1347456[[#This Row],[rr]])</f>
        <v>9.1349778588228042E-2</v>
      </c>
      <c r="AZ471" s="13">
        <v>6</v>
      </c>
      <c r="BA471" s="13">
        <v>3</v>
      </c>
      <c r="BB471" s="14" t="s">
        <v>46</v>
      </c>
      <c r="BC471" s="14" t="s">
        <v>46</v>
      </c>
      <c r="BD471" s="15" t="s">
        <v>46</v>
      </c>
      <c r="BE471" s="14" t="s">
        <v>46</v>
      </c>
      <c r="BF47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71" s="17" t="s">
        <v>46</v>
      </c>
      <c r="BH471" s="13" t="s">
        <v>50</v>
      </c>
      <c r="BI471" s="13">
        <v>2.5000000000000001E-2</v>
      </c>
      <c r="BJ471" s="18">
        <f>ABS(_xlfn.NORM.S.INV(Table1347456[[#This Row],[p_value]]/2))</f>
        <v>2.2414027276049446</v>
      </c>
      <c r="BK471" s="19">
        <f>(Table1347456[[#This Row],[lnrr]]/Table1347456[[#This Row],[z_from_p]])^2</f>
        <v>1.6610213163643181E-3</v>
      </c>
      <c r="BL471" s="16">
        <f>Table1347456[[#This Row],[v_from_z_from_p]]</f>
        <v>1.6610213163643181E-3</v>
      </c>
      <c r="BM471" s="20">
        <f>SQRT(Table1347456[[#This Row],[v]])</f>
        <v>4.0755629259825177E-2</v>
      </c>
      <c r="BN471" s="20">
        <f>Table1347456[[#This Row],[lnrr]]-(1.96*Table1347456[[#This Row],[se]])</f>
        <v>1.1468745238970693E-2</v>
      </c>
      <c r="BO471" s="20">
        <f>Table1347456[[#This Row],[lnrr]]+(1.96 * Table1347456[[#This Row],[se]])</f>
        <v>0.17123081193748541</v>
      </c>
    </row>
    <row r="472" spans="1:67">
      <c r="A472" s="13" t="s">
        <v>190</v>
      </c>
      <c r="B472" s="13" t="s">
        <v>191</v>
      </c>
      <c r="C472" s="13" t="s">
        <v>43</v>
      </c>
      <c r="D472" s="13" t="s">
        <v>192</v>
      </c>
      <c r="E472" s="13" t="s">
        <v>97</v>
      </c>
      <c r="F472" s="13" t="s">
        <v>588</v>
      </c>
      <c r="G472" s="13" t="s">
        <v>46</v>
      </c>
      <c r="H472" s="13">
        <v>32</v>
      </c>
      <c r="I472" s="13">
        <v>1300</v>
      </c>
      <c r="J472" s="13" t="s">
        <v>654</v>
      </c>
      <c r="K472" s="13" t="s">
        <v>853</v>
      </c>
      <c r="L472" s="13" t="s">
        <v>854</v>
      </c>
      <c r="M472" s="13" t="s">
        <v>800</v>
      </c>
      <c r="N472" s="13" t="s">
        <v>84</v>
      </c>
      <c r="O472" s="13" t="s">
        <v>644</v>
      </c>
      <c r="P472" s="13" t="s">
        <v>85</v>
      </c>
      <c r="Q472" s="13" t="s">
        <v>48</v>
      </c>
      <c r="R472" s="4">
        <v>3</v>
      </c>
      <c r="S472" s="13" t="s">
        <v>594</v>
      </c>
      <c r="T472" s="13">
        <v>730</v>
      </c>
      <c r="U472" s="4" t="s">
        <v>147</v>
      </c>
      <c r="V472" s="4">
        <v>580</v>
      </c>
      <c r="W472" s="4" t="s">
        <v>601</v>
      </c>
      <c r="X472" s="4" t="s">
        <v>46</v>
      </c>
      <c r="Y472" s="4">
        <v>25</v>
      </c>
      <c r="AA472" s="4" t="s">
        <v>49</v>
      </c>
      <c r="AB472" s="4">
        <v>0</v>
      </c>
      <c r="AC472" s="4" t="s">
        <v>50</v>
      </c>
      <c r="AD472" s="4">
        <v>2.5</v>
      </c>
      <c r="AE472" s="4" t="s">
        <v>49</v>
      </c>
      <c r="AF472" s="4">
        <v>0</v>
      </c>
      <c r="AG472" s="4" t="s">
        <v>710</v>
      </c>
      <c r="AH472" s="4" t="s">
        <v>709</v>
      </c>
      <c r="AI472" s="4" t="s">
        <v>64</v>
      </c>
      <c r="AJ472" s="13">
        <v>0</v>
      </c>
      <c r="AK472" s="13">
        <v>10</v>
      </c>
      <c r="AM472" s="13" t="s">
        <v>507</v>
      </c>
      <c r="AP472" s="13" t="s">
        <v>49</v>
      </c>
      <c r="AQ472" s="13" t="s">
        <v>49</v>
      </c>
      <c r="AR472" s="13" t="s">
        <v>49</v>
      </c>
      <c r="AS472" s="13" t="s">
        <v>49</v>
      </c>
      <c r="AT472" s="13" t="s">
        <v>993</v>
      </c>
      <c r="AU472" s="13" t="s">
        <v>1001</v>
      </c>
      <c r="AV472" s="23">
        <f>26.6/1000</f>
        <v>2.6600000000000002E-2</v>
      </c>
      <c r="AW472" s="23">
        <f>22/1000</f>
        <v>2.1999999999999999E-2</v>
      </c>
      <c r="AX472" s="14">
        <f>Table1347456[[#This Row],[treatment_mean]]/Table1347456[[#This Row],[control_mean]]</f>
        <v>1.2090909090909092</v>
      </c>
      <c r="AY472" s="14">
        <f>LN(Table1347456[[#This Row],[rr]])</f>
        <v>0.18986876242933765</v>
      </c>
      <c r="AZ472" s="13">
        <v>6</v>
      </c>
      <c r="BA472" s="13">
        <v>3</v>
      </c>
      <c r="BB472" s="14" t="s">
        <v>46</v>
      </c>
      <c r="BC472" s="14" t="s">
        <v>46</v>
      </c>
      <c r="BD472" s="15" t="s">
        <v>46</v>
      </c>
      <c r="BE472" s="14" t="s">
        <v>46</v>
      </c>
      <c r="BF47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72" s="17" t="s">
        <v>46</v>
      </c>
      <c r="BH472" s="13" t="s">
        <v>50</v>
      </c>
      <c r="BI472" s="13">
        <v>2.5000000000000001E-2</v>
      </c>
      <c r="BJ472" s="18">
        <f>ABS(_xlfn.NORM.S.INV(Table1347456[[#This Row],[p_value]]/2))</f>
        <v>2.2414027276049446</v>
      </c>
      <c r="BK472" s="19">
        <f>(Table1347456[[#This Row],[lnrr]]/Table1347456[[#This Row],[z_from_p]])^2</f>
        <v>7.1757491317127079E-3</v>
      </c>
      <c r="BL472" s="16">
        <f>Table1347456[[#This Row],[v_from_z_from_p]]</f>
        <v>7.1757491317127079E-3</v>
      </c>
      <c r="BM472" s="20">
        <f>SQRT(Table1347456[[#This Row],[v]])</f>
        <v>8.4709793599752725E-2</v>
      </c>
      <c r="BN472" s="20">
        <f>Table1347456[[#This Row],[lnrr]]-(1.96*Table1347456[[#This Row],[se]])</f>
        <v>2.3837566973822305E-2</v>
      </c>
      <c r="BO472" s="20">
        <f>Table1347456[[#This Row],[lnrr]]+(1.96 * Table1347456[[#This Row],[se]])</f>
        <v>0.35589995788485296</v>
      </c>
    </row>
    <row r="473" spans="1:67">
      <c r="A473" s="13" t="s">
        <v>190</v>
      </c>
      <c r="B473" s="13" t="s">
        <v>191</v>
      </c>
      <c r="C473" s="13" t="s">
        <v>43</v>
      </c>
      <c r="D473" s="13" t="s">
        <v>192</v>
      </c>
      <c r="E473" s="13" t="s">
        <v>97</v>
      </c>
      <c r="F473" s="13" t="s">
        <v>588</v>
      </c>
      <c r="G473" s="13" t="s">
        <v>46</v>
      </c>
      <c r="H473" s="13">
        <v>32</v>
      </c>
      <c r="I473" s="13">
        <v>1300</v>
      </c>
      <c r="J473" s="13" t="s">
        <v>654</v>
      </c>
      <c r="K473" s="13" t="s">
        <v>853</v>
      </c>
      <c r="L473" s="13" t="s">
        <v>854</v>
      </c>
      <c r="M473" s="13" t="s">
        <v>800</v>
      </c>
      <c r="N473" s="13" t="s">
        <v>84</v>
      </c>
      <c r="O473" s="13" t="s">
        <v>644</v>
      </c>
      <c r="P473" s="13" t="s">
        <v>85</v>
      </c>
      <c r="Q473" s="13" t="s">
        <v>48</v>
      </c>
      <c r="R473" s="4">
        <v>3</v>
      </c>
      <c r="S473" s="13" t="s">
        <v>594</v>
      </c>
      <c r="T473" s="13">
        <v>730</v>
      </c>
      <c r="U473" s="4" t="s">
        <v>147</v>
      </c>
      <c r="V473" s="4">
        <v>580</v>
      </c>
      <c r="W473" s="4" t="s">
        <v>601</v>
      </c>
      <c r="X473" s="4" t="s">
        <v>46</v>
      </c>
      <c r="Y473" s="4">
        <v>50</v>
      </c>
      <c r="AA473" s="4" t="s">
        <v>49</v>
      </c>
      <c r="AB473" s="4">
        <v>0</v>
      </c>
      <c r="AC473" s="4" t="s">
        <v>50</v>
      </c>
      <c r="AD473" s="4">
        <v>2.5</v>
      </c>
      <c r="AE473" s="4" t="s">
        <v>49</v>
      </c>
      <c r="AF473" s="4">
        <v>0</v>
      </c>
      <c r="AG473" s="4" t="s">
        <v>710</v>
      </c>
      <c r="AH473" s="4" t="s">
        <v>709</v>
      </c>
      <c r="AI473" s="4" t="s">
        <v>64</v>
      </c>
      <c r="AJ473" s="13">
        <v>0</v>
      </c>
      <c r="AK473" s="13">
        <v>10</v>
      </c>
      <c r="AM473" s="13" t="s">
        <v>507</v>
      </c>
      <c r="AP473" s="13" t="s">
        <v>49</v>
      </c>
      <c r="AQ473" s="13" t="s">
        <v>49</v>
      </c>
      <c r="AR473" s="13" t="s">
        <v>49</v>
      </c>
      <c r="AS473" s="13" t="s">
        <v>49</v>
      </c>
      <c r="AT473" s="13" t="s">
        <v>993</v>
      </c>
      <c r="AU473" s="13" t="s">
        <v>1001</v>
      </c>
      <c r="AV473" s="23">
        <f>31.2/1000</f>
        <v>3.1199999999999999E-2</v>
      </c>
      <c r="AW473" s="23">
        <f>22/1000</f>
        <v>2.1999999999999999E-2</v>
      </c>
      <c r="AX473" s="14">
        <f>Table1347456[[#This Row],[treatment_mean]]/Table1347456[[#This Row],[control_mean]]</f>
        <v>1.4181818181818182</v>
      </c>
      <c r="AY473" s="14">
        <f>LN(Table1347456[[#This Row],[rr]])</f>
        <v>0.34937564145712086</v>
      </c>
      <c r="AZ473" s="13">
        <v>6</v>
      </c>
      <c r="BA473" s="13">
        <v>3</v>
      </c>
      <c r="BB473" s="14" t="s">
        <v>46</v>
      </c>
      <c r="BC473" s="14" t="s">
        <v>46</v>
      </c>
      <c r="BD473" s="15" t="s">
        <v>46</v>
      </c>
      <c r="BE473" s="14" t="s">
        <v>46</v>
      </c>
      <c r="BF47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73" s="17" t="s">
        <v>46</v>
      </c>
      <c r="BH473" s="13" t="s">
        <v>50</v>
      </c>
      <c r="BI473" s="13">
        <v>2.5000000000000001E-2</v>
      </c>
      <c r="BJ473" s="18">
        <f>ABS(_xlfn.NORM.S.INV(Table1347456[[#This Row],[p_value]]/2))</f>
        <v>2.2414027276049446</v>
      </c>
      <c r="BK473" s="19">
        <f>(Table1347456[[#This Row],[lnrr]]/Table1347456[[#This Row],[z_from_p]])^2</f>
        <v>2.429659715456528E-2</v>
      </c>
      <c r="BL473" s="16">
        <f>Table1347456[[#This Row],[v_from_z_from_p]]</f>
        <v>2.429659715456528E-2</v>
      </c>
      <c r="BM473" s="20">
        <f>SQRT(Table1347456[[#This Row],[v]])</f>
        <v>0.15587365766724434</v>
      </c>
      <c r="BN473" s="20">
        <f>Table1347456[[#This Row],[lnrr]]-(1.96*Table1347456[[#This Row],[se]])</f>
        <v>4.3863272429321976E-2</v>
      </c>
      <c r="BO473" s="20">
        <f>Table1347456[[#This Row],[lnrr]]+(1.96 * Table1347456[[#This Row],[se]])</f>
        <v>0.65488801048491974</v>
      </c>
    </row>
    <row r="474" spans="1:67">
      <c r="A474" s="13" t="s">
        <v>190</v>
      </c>
      <c r="B474" s="13" t="s">
        <v>191</v>
      </c>
      <c r="C474" s="13" t="s">
        <v>43</v>
      </c>
      <c r="D474" s="13" t="s">
        <v>192</v>
      </c>
      <c r="E474" s="13" t="s">
        <v>97</v>
      </c>
      <c r="F474" s="13" t="s">
        <v>588</v>
      </c>
      <c r="G474" s="13" t="s">
        <v>46</v>
      </c>
      <c r="H474" s="13">
        <v>32</v>
      </c>
      <c r="I474" s="13">
        <v>1300</v>
      </c>
      <c r="J474" s="13" t="s">
        <v>654</v>
      </c>
      <c r="K474" s="13" t="s">
        <v>853</v>
      </c>
      <c r="L474" s="13" t="s">
        <v>854</v>
      </c>
      <c r="M474" s="13" t="s">
        <v>800</v>
      </c>
      <c r="N474" s="13" t="s">
        <v>84</v>
      </c>
      <c r="O474" s="13" t="s">
        <v>644</v>
      </c>
      <c r="P474" s="13" t="s">
        <v>85</v>
      </c>
      <c r="Q474" s="13" t="s">
        <v>48</v>
      </c>
      <c r="R474" s="4">
        <v>3</v>
      </c>
      <c r="S474" s="13" t="s">
        <v>594</v>
      </c>
      <c r="T474" s="13">
        <v>730</v>
      </c>
      <c r="U474" s="4" t="s">
        <v>147</v>
      </c>
      <c r="V474" s="4">
        <v>580</v>
      </c>
      <c r="W474" s="4" t="s">
        <v>601</v>
      </c>
      <c r="X474" s="4" t="s">
        <v>46</v>
      </c>
      <c r="Y474" s="4">
        <v>25</v>
      </c>
      <c r="AA474" s="4" t="s">
        <v>49</v>
      </c>
      <c r="AB474" s="4">
        <v>0</v>
      </c>
      <c r="AC474" s="4" t="s">
        <v>50</v>
      </c>
      <c r="AD474" s="4">
        <v>5</v>
      </c>
      <c r="AE474" s="4" t="s">
        <v>49</v>
      </c>
      <c r="AF474" s="4">
        <v>0</v>
      </c>
      <c r="AG474" s="4" t="s">
        <v>710</v>
      </c>
      <c r="AH474" s="4" t="s">
        <v>709</v>
      </c>
      <c r="AI474" s="4" t="s">
        <v>64</v>
      </c>
      <c r="AJ474" s="13">
        <v>0</v>
      </c>
      <c r="AK474" s="13">
        <v>10</v>
      </c>
      <c r="AM474" s="13" t="s">
        <v>507</v>
      </c>
      <c r="AP474" s="13" t="s">
        <v>49</v>
      </c>
      <c r="AQ474" s="13" t="s">
        <v>49</v>
      </c>
      <c r="AR474" s="13" t="s">
        <v>49</v>
      </c>
      <c r="AS474" s="13" t="s">
        <v>49</v>
      </c>
      <c r="AT474" s="13" t="s">
        <v>993</v>
      </c>
      <c r="AU474" s="13" t="s">
        <v>1001</v>
      </c>
      <c r="AV474" s="23">
        <f>30.5/1000</f>
        <v>3.0499999999999999E-2</v>
      </c>
      <c r="AW474" s="23">
        <f>28.3/1000</f>
        <v>2.8300000000000002E-2</v>
      </c>
      <c r="AX474" s="14">
        <f>Table1347456[[#This Row],[treatment_mean]]/Table1347456[[#This Row],[control_mean]]</f>
        <v>1.07773851590106</v>
      </c>
      <c r="AY474" s="14">
        <f>LN(Table1347456[[#This Row],[rr]])</f>
        <v>7.4864878964173889E-2</v>
      </c>
      <c r="AZ474" s="13">
        <v>6</v>
      </c>
      <c r="BA474" s="13">
        <v>3</v>
      </c>
      <c r="BB474" s="14" t="s">
        <v>46</v>
      </c>
      <c r="BC474" s="14" t="s">
        <v>46</v>
      </c>
      <c r="BD474" s="15" t="s">
        <v>46</v>
      </c>
      <c r="BE474" s="14" t="s">
        <v>46</v>
      </c>
      <c r="BF47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74" s="17" t="s">
        <v>46</v>
      </c>
      <c r="BH474" s="13" t="s">
        <v>50</v>
      </c>
      <c r="BI474" s="13">
        <v>2.5000000000000001E-2</v>
      </c>
      <c r="BJ474" s="18">
        <f>ABS(_xlfn.NORM.S.INV(Table1347456[[#This Row],[p_value]]/2))</f>
        <v>2.2414027276049446</v>
      </c>
      <c r="BK474" s="19">
        <f>(Table1347456[[#This Row],[lnrr]]/Table1347456[[#This Row],[z_from_p]])^2</f>
        <v>1.1156204367193229E-3</v>
      </c>
      <c r="BL474" s="16">
        <f>Table1347456[[#This Row],[v_from_z_from_p]]</f>
        <v>1.1156204367193229E-3</v>
      </c>
      <c r="BM474" s="20">
        <f>SQRT(Table1347456[[#This Row],[v]])</f>
        <v>3.3400904729053715E-2</v>
      </c>
      <c r="BN474" s="20">
        <f>Table1347456[[#This Row],[lnrr]]-(1.96*Table1347456[[#This Row],[se]])</f>
        <v>9.3991056952286017E-3</v>
      </c>
      <c r="BO474" s="20">
        <f>Table1347456[[#This Row],[lnrr]]+(1.96 * Table1347456[[#This Row],[se]])</f>
        <v>0.14033065223311919</v>
      </c>
    </row>
    <row r="475" spans="1:67">
      <c r="A475" s="13" t="s">
        <v>190</v>
      </c>
      <c r="B475" s="13" t="s">
        <v>191</v>
      </c>
      <c r="C475" s="13" t="s">
        <v>43</v>
      </c>
      <c r="D475" s="13" t="s">
        <v>192</v>
      </c>
      <c r="E475" s="13" t="s">
        <v>97</v>
      </c>
      <c r="F475" s="13" t="s">
        <v>588</v>
      </c>
      <c r="G475" s="13" t="s">
        <v>46</v>
      </c>
      <c r="H475" s="13">
        <v>32</v>
      </c>
      <c r="I475" s="13">
        <v>1300</v>
      </c>
      <c r="J475" s="13" t="s">
        <v>654</v>
      </c>
      <c r="K475" s="13" t="s">
        <v>853</v>
      </c>
      <c r="L475" s="13" t="s">
        <v>854</v>
      </c>
      <c r="M475" s="13" t="s">
        <v>800</v>
      </c>
      <c r="N475" s="13" t="s">
        <v>84</v>
      </c>
      <c r="O475" s="13" t="s">
        <v>644</v>
      </c>
      <c r="P475" s="13" t="s">
        <v>85</v>
      </c>
      <c r="Q475" s="13" t="s">
        <v>48</v>
      </c>
      <c r="R475" s="4">
        <v>3</v>
      </c>
      <c r="S475" s="13" t="s">
        <v>594</v>
      </c>
      <c r="T475" s="13">
        <v>730</v>
      </c>
      <c r="U475" s="4" t="s">
        <v>147</v>
      </c>
      <c r="V475" s="4">
        <v>580</v>
      </c>
      <c r="W475" s="4" t="s">
        <v>601</v>
      </c>
      <c r="X475" s="4" t="s">
        <v>46</v>
      </c>
      <c r="Y475" s="4">
        <v>50</v>
      </c>
      <c r="AA475" s="4" t="s">
        <v>49</v>
      </c>
      <c r="AB475" s="4">
        <v>0</v>
      </c>
      <c r="AC475" s="4" t="s">
        <v>50</v>
      </c>
      <c r="AD475" s="4">
        <v>5</v>
      </c>
      <c r="AE475" s="4" t="s">
        <v>49</v>
      </c>
      <c r="AF475" s="4">
        <v>0</v>
      </c>
      <c r="AG475" s="4" t="s">
        <v>710</v>
      </c>
      <c r="AH475" s="4" t="s">
        <v>709</v>
      </c>
      <c r="AI475" s="4" t="s">
        <v>64</v>
      </c>
      <c r="AJ475" s="13">
        <v>0</v>
      </c>
      <c r="AK475" s="13">
        <v>10</v>
      </c>
      <c r="AM475" s="13" t="s">
        <v>507</v>
      </c>
      <c r="AP475" s="13" t="s">
        <v>49</v>
      </c>
      <c r="AQ475" s="13" t="s">
        <v>49</v>
      </c>
      <c r="AR475" s="13" t="s">
        <v>49</v>
      </c>
      <c r="AS475" s="13" t="s">
        <v>49</v>
      </c>
      <c r="AT475" s="13" t="s">
        <v>993</v>
      </c>
      <c r="AU475" s="13" t="s">
        <v>1001</v>
      </c>
      <c r="AV475" s="23">
        <f>37.8/1000</f>
        <v>3.78E-2</v>
      </c>
      <c r="AW475" s="23">
        <f>28.3/1000</f>
        <v>2.8300000000000002E-2</v>
      </c>
      <c r="AX475" s="14">
        <f>Table1347456[[#This Row],[treatment_mean]]/Table1347456[[#This Row],[control_mean]]</f>
        <v>1.3356890459363957</v>
      </c>
      <c r="AY475" s="14">
        <f>LN(Table1347456[[#This Row],[rr]])</f>
        <v>0.28944729797635005</v>
      </c>
      <c r="AZ475" s="13">
        <v>6</v>
      </c>
      <c r="BA475" s="13">
        <v>3</v>
      </c>
      <c r="BB475" s="14" t="s">
        <v>46</v>
      </c>
      <c r="BC475" s="14" t="s">
        <v>46</v>
      </c>
      <c r="BD475" s="15" t="s">
        <v>46</v>
      </c>
      <c r="BE475" s="14" t="s">
        <v>46</v>
      </c>
      <c r="BF47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75" s="17" t="s">
        <v>46</v>
      </c>
      <c r="BH475" s="13" t="s">
        <v>50</v>
      </c>
      <c r="BI475" s="13">
        <v>2.5000000000000001E-2</v>
      </c>
      <c r="BJ475" s="18">
        <f>ABS(_xlfn.NORM.S.INV(Table1347456[[#This Row],[p_value]]/2))</f>
        <v>2.2414027276049446</v>
      </c>
      <c r="BK475" s="19">
        <f>(Table1347456[[#This Row],[lnrr]]/Table1347456[[#This Row],[z_from_p]])^2</f>
        <v>1.6676281106317754E-2</v>
      </c>
      <c r="BL475" s="16">
        <f>Table1347456[[#This Row],[v_from_z_from_p]]</f>
        <v>1.6676281106317754E-2</v>
      </c>
      <c r="BM475" s="20">
        <f>SQRT(Table1347456[[#This Row],[v]])</f>
        <v>0.12913667606965015</v>
      </c>
      <c r="BN475" s="20">
        <f>Table1347456[[#This Row],[lnrr]]-(1.96*Table1347456[[#This Row],[se]])</f>
        <v>3.6339412879835775E-2</v>
      </c>
      <c r="BO475" s="20">
        <f>Table1347456[[#This Row],[lnrr]]+(1.96 * Table1347456[[#This Row],[se]])</f>
        <v>0.54255518307286432</v>
      </c>
    </row>
    <row r="476" spans="1:67">
      <c r="A476" s="13" t="s">
        <v>190</v>
      </c>
      <c r="B476" s="13" t="s">
        <v>191</v>
      </c>
      <c r="C476" s="13" t="s">
        <v>43</v>
      </c>
      <c r="D476" s="13" t="s">
        <v>192</v>
      </c>
      <c r="E476" s="13" t="s">
        <v>97</v>
      </c>
      <c r="F476" s="13" t="s">
        <v>588</v>
      </c>
      <c r="G476" s="13" t="s">
        <v>46</v>
      </c>
      <c r="H476" s="13">
        <v>32</v>
      </c>
      <c r="I476" s="13">
        <v>1300</v>
      </c>
      <c r="K476" s="13" t="s">
        <v>853</v>
      </c>
      <c r="L476" s="13" t="s">
        <v>854</v>
      </c>
      <c r="N476" s="13" t="s">
        <v>86</v>
      </c>
      <c r="O476" s="13" t="s">
        <v>644</v>
      </c>
      <c r="P476" s="13" t="s">
        <v>87</v>
      </c>
      <c r="Q476" s="13" t="s">
        <v>48</v>
      </c>
      <c r="R476" s="4">
        <v>3</v>
      </c>
      <c r="S476" s="13" t="s">
        <v>594</v>
      </c>
      <c r="T476" s="13">
        <v>730</v>
      </c>
      <c r="U476" s="4" t="s">
        <v>147</v>
      </c>
      <c r="V476" s="4">
        <v>580</v>
      </c>
      <c r="W476" s="4" t="s">
        <v>601</v>
      </c>
      <c r="X476" s="4" t="s">
        <v>46</v>
      </c>
      <c r="Y476" s="4">
        <v>25</v>
      </c>
      <c r="AA476" s="4" t="s">
        <v>49</v>
      </c>
      <c r="AB476" s="4">
        <v>0</v>
      </c>
      <c r="AC476" s="4" t="s">
        <v>49</v>
      </c>
      <c r="AD476" s="4">
        <v>0</v>
      </c>
      <c r="AE476" s="4" t="s">
        <v>49</v>
      </c>
      <c r="AF476" s="4">
        <v>0</v>
      </c>
      <c r="AG476" s="4" t="s">
        <v>710</v>
      </c>
      <c r="AH476" s="4" t="s">
        <v>709</v>
      </c>
      <c r="AI476" s="4" t="s">
        <v>64</v>
      </c>
      <c r="AJ476" s="13">
        <v>0</v>
      </c>
      <c r="AK476" s="13">
        <v>10</v>
      </c>
      <c r="AM476" s="13" t="s">
        <v>507</v>
      </c>
      <c r="AP476" s="13" t="s">
        <v>49</v>
      </c>
      <c r="AQ476" s="13" t="s">
        <v>49</v>
      </c>
      <c r="AR476" s="13" t="s">
        <v>49</v>
      </c>
      <c r="AS476" s="13" t="s">
        <v>49</v>
      </c>
      <c r="AT476" s="13" t="s">
        <v>990</v>
      </c>
      <c r="AU476" s="13" t="s">
        <v>998</v>
      </c>
      <c r="AV476" s="14">
        <f>(0.27*39.1*10)/1000</f>
        <v>0.10557000000000001</v>
      </c>
      <c r="AW476" s="14">
        <f>(0.26*39.1*10)/1000</f>
        <v>0.10166</v>
      </c>
      <c r="AX476" s="14">
        <f>Table1347456[[#This Row],[treatment_mean]]/Table1347456[[#This Row],[control_mean]]</f>
        <v>1.0384615384615385</v>
      </c>
      <c r="AY476" s="14">
        <f>LN(Table1347456[[#This Row],[rr]])</f>
        <v>3.7740327982847113E-2</v>
      </c>
      <c r="AZ476" s="13">
        <v>6</v>
      </c>
      <c r="BA476" s="13">
        <v>3</v>
      </c>
      <c r="BB476" s="14" t="s">
        <v>46</v>
      </c>
      <c r="BC476" s="14" t="s">
        <v>46</v>
      </c>
      <c r="BD476" s="15" t="s">
        <v>46</v>
      </c>
      <c r="BE476" s="14" t="s">
        <v>46</v>
      </c>
      <c r="BF47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76" s="17" t="s">
        <v>46</v>
      </c>
      <c r="BH476" s="13" t="s">
        <v>50</v>
      </c>
      <c r="BI476" s="13">
        <v>2.5000000000000001E-2</v>
      </c>
      <c r="BJ476" s="18">
        <f>ABS(_xlfn.NORM.S.INV(Table1347456[[#This Row],[p_value]]/2))</f>
        <v>2.2414027276049446</v>
      </c>
      <c r="BK476" s="19">
        <f>(Table1347456[[#This Row],[lnrr]]/Table1347456[[#This Row],[z_from_p]])^2</f>
        <v>2.835120667839283E-4</v>
      </c>
      <c r="BL476" s="16">
        <f>Table1347456[[#This Row],[v_from_z_from_p]]</f>
        <v>2.835120667839283E-4</v>
      </c>
      <c r="BM476" s="20">
        <f>SQRT(Table1347456[[#This Row],[v]])</f>
        <v>1.6837816568187464E-2</v>
      </c>
      <c r="BN476" s="20">
        <f>Table1347456[[#This Row],[lnrr]]-(1.96*Table1347456[[#This Row],[se]])</f>
        <v>4.7382075091996836E-3</v>
      </c>
      <c r="BO476" s="20">
        <f>Table1347456[[#This Row],[lnrr]]+(1.96 * Table1347456[[#This Row],[se]])</f>
        <v>7.074244845649455E-2</v>
      </c>
    </row>
    <row r="477" spans="1:67">
      <c r="A477" s="13" t="s">
        <v>190</v>
      </c>
      <c r="B477" s="13" t="s">
        <v>191</v>
      </c>
      <c r="C477" s="13" t="s">
        <v>43</v>
      </c>
      <c r="D477" s="13" t="s">
        <v>192</v>
      </c>
      <c r="E477" s="13" t="s">
        <v>97</v>
      </c>
      <c r="F477" s="13" t="s">
        <v>588</v>
      </c>
      <c r="G477" s="13" t="s">
        <v>46</v>
      </c>
      <c r="H477" s="13">
        <v>32</v>
      </c>
      <c r="I477" s="13">
        <v>1300</v>
      </c>
      <c r="K477" s="13" t="s">
        <v>853</v>
      </c>
      <c r="L477" s="13" t="s">
        <v>854</v>
      </c>
      <c r="N477" s="13" t="s">
        <v>86</v>
      </c>
      <c r="O477" s="13" t="s">
        <v>644</v>
      </c>
      <c r="P477" s="13" t="s">
        <v>87</v>
      </c>
      <c r="Q477" s="13" t="s">
        <v>48</v>
      </c>
      <c r="R477" s="4">
        <v>3</v>
      </c>
      <c r="S477" s="13" t="s">
        <v>594</v>
      </c>
      <c r="T477" s="13">
        <v>730</v>
      </c>
      <c r="U477" s="4" t="s">
        <v>147</v>
      </c>
      <c r="V477" s="4">
        <v>580</v>
      </c>
      <c r="W477" s="4" t="s">
        <v>601</v>
      </c>
      <c r="X477" s="4" t="s">
        <v>46</v>
      </c>
      <c r="Y477" s="4">
        <v>50</v>
      </c>
      <c r="AA477" s="4" t="s">
        <v>49</v>
      </c>
      <c r="AB477" s="4">
        <v>0</v>
      </c>
      <c r="AC477" s="4" t="s">
        <v>49</v>
      </c>
      <c r="AD477" s="4">
        <v>0</v>
      </c>
      <c r="AE477" s="4" t="s">
        <v>49</v>
      </c>
      <c r="AF477" s="4">
        <v>0</v>
      </c>
      <c r="AG477" s="4" t="s">
        <v>710</v>
      </c>
      <c r="AH477" s="4" t="s">
        <v>709</v>
      </c>
      <c r="AI477" s="4" t="s">
        <v>64</v>
      </c>
      <c r="AJ477" s="13">
        <v>0</v>
      </c>
      <c r="AK477" s="13">
        <v>10</v>
      </c>
      <c r="AM477" s="13" t="s">
        <v>507</v>
      </c>
      <c r="AP477" s="13" t="s">
        <v>49</v>
      </c>
      <c r="AQ477" s="13" t="s">
        <v>49</v>
      </c>
      <c r="AR477" s="13" t="s">
        <v>49</v>
      </c>
      <c r="AS477" s="13" t="s">
        <v>49</v>
      </c>
      <c r="AT477" s="13" t="s">
        <v>990</v>
      </c>
      <c r="AU477" s="13" t="s">
        <v>998</v>
      </c>
      <c r="AV477" s="14">
        <f>(0.34*29.1*10)/1000</f>
        <v>9.8940000000000028E-2</v>
      </c>
      <c r="AW477" s="14">
        <f>(0.26*39.1*10)/1000</f>
        <v>0.10166</v>
      </c>
      <c r="AX477" s="14">
        <f>Table1347456[[#This Row],[treatment_mean]]/Table1347456[[#This Row],[control_mean]]</f>
        <v>0.97324414715719088</v>
      </c>
      <c r="AY477" s="14">
        <f>LN(Table1347456[[#This Row],[rr]])</f>
        <v>-2.7120306219193667E-2</v>
      </c>
      <c r="AZ477" s="13">
        <v>6</v>
      </c>
      <c r="BA477" s="13">
        <v>3</v>
      </c>
      <c r="BB477" s="14" t="s">
        <v>46</v>
      </c>
      <c r="BC477" s="14" t="s">
        <v>46</v>
      </c>
      <c r="BD477" s="15" t="s">
        <v>46</v>
      </c>
      <c r="BE477" s="14" t="s">
        <v>46</v>
      </c>
      <c r="BF47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77" s="17" t="s">
        <v>46</v>
      </c>
      <c r="BH477" s="13" t="s">
        <v>50</v>
      </c>
      <c r="BI477" s="13">
        <v>2.5000000000000001E-2</v>
      </c>
      <c r="BJ477" s="18">
        <f>ABS(_xlfn.NORM.S.INV(Table1347456[[#This Row],[p_value]]/2))</f>
        <v>2.2414027276049446</v>
      </c>
      <c r="BK477" s="19">
        <f>(Table1347456[[#This Row],[lnrr]]/Table1347456[[#This Row],[z_from_p]])^2</f>
        <v>1.4640280093923525E-4</v>
      </c>
      <c r="BL477" s="16">
        <f>Table1347456[[#This Row],[v_from_z_from_p]]</f>
        <v>1.4640280093923525E-4</v>
      </c>
      <c r="BM477" s="20">
        <f>SQRT(Table1347456[[#This Row],[v]])</f>
        <v>1.209970251449329E-2</v>
      </c>
      <c r="BN477" s="20">
        <f>Table1347456[[#This Row],[lnrr]]-(1.96*Table1347456[[#This Row],[se]])</f>
        <v>-5.0835723147600514E-2</v>
      </c>
      <c r="BO477" s="20">
        <f>Table1347456[[#This Row],[lnrr]]+(1.96 * Table1347456[[#This Row],[se]])</f>
        <v>-3.4048892907868195E-3</v>
      </c>
    </row>
    <row r="478" spans="1:67">
      <c r="A478" s="13" t="s">
        <v>190</v>
      </c>
      <c r="B478" s="13" t="s">
        <v>191</v>
      </c>
      <c r="C478" s="13" t="s">
        <v>43</v>
      </c>
      <c r="D478" s="13" t="s">
        <v>192</v>
      </c>
      <c r="E478" s="13" t="s">
        <v>97</v>
      </c>
      <c r="F478" s="13" t="s">
        <v>588</v>
      </c>
      <c r="G478" s="13" t="s">
        <v>46</v>
      </c>
      <c r="H478" s="13">
        <v>32</v>
      </c>
      <c r="I478" s="13">
        <v>1300</v>
      </c>
      <c r="K478" s="13" t="s">
        <v>853</v>
      </c>
      <c r="L478" s="13" t="s">
        <v>854</v>
      </c>
      <c r="N478" s="13" t="s">
        <v>86</v>
      </c>
      <c r="O478" s="13" t="s">
        <v>644</v>
      </c>
      <c r="P478" s="13" t="s">
        <v>87</v>
      </c>
      <c r="Q478" s="13" t="s">
        <v>48</v>
      </c>
      <c r="R478" s="4">
        <v>3</v>
      </c>
      <c r="S478" s="13" t="s">
        <v>594</v>
      </c>
      <c r="T478" s="13">
        <v>730</v>
      </c>
      <c r="U478" s="4" t="s">
        <v>147</v>
      </c>
      <c r="V478" s="4">
        <v>580</v>
      </c>
      <c r="W478" s="4" t="s">
        <v>601</v>
      </c>
      <c r="X478" s="4" t="s">
        <v>46</v>
      </c>
      <c r="Y478" s="4">
        <v>25</v>
      </c>
      <c r="AA478" s="4" t="s">
        <v>49</v>
      </c>
      <c r="AB478" s="4">
        <v>0</v>
      </c>
      <c r="AC478" s="4" t="s">
        <v>50</v>
      </c>
      <c r="AD478" s="4">
        <v>2.5</v>
      </c>
      <c r="AE478" s="4" t="s">
        <v>49</v>
      </c>
      <c r="AF478" s="4">
        <v>0</v>
      </c>
      <c r="AG478" s="4" t="s">
        <v>710</v>
      </c>
      <c r="AH478" s="4" t="s">
        <v>709</v>
      </c>
      <c r="AI478" s="4" t="s">
        <v>64</v>
      </c>
      <c r="AJ478" s="13">
        <v>0</v>
      </c>
      <c r="AK478" s="13">
        <v>10</v>
      </c>
      <c r="AM478" s="13" t="s">
        <v>507</v>
      </c>
      <c r="AP478" s="13" t="s">
        <v>49</v>
      </c>
      <c r="AQ478" s="13" t="s">
        <v>49</v>
      </c>
      <c r="AR478" s="13" t="s">
        <v>49</v>
      </c>
      <c r="AS478" s="13" t="s">
        <v>49</v>
      </c>
      <c r="AT478" s="13" t="s">
        <v>993</v>
      </c>
      <c r="AU478" s="13" t="s">
        <v>1001</v>
      </c>
      <c r="AV478" s="14">
        <f>(0.53*39.1*10)/1000</f>
        <v>0.20723000000000003</v>
      </c>
      <c r="AW478" s="14">
        <f>(0.45*39.1*10)/1000</f>
        <v>0.17595000000000002</v>
      </c>
      <c r="AX478" s="14">
        <f>Table1347456[[#This Row],[treatment_mean]]/Table1347456[[#This Row],[control_mean]]</f>
        <v>1.1777777777777778</v>
      </c>
      <c r="AY478" s="14">
        <f>LN(Table1347456[[#This Row],[rr]])</f>
        <v>0.16362942378180212</v>
      </c>
      <c r="AZ478" s="13">
        <v>6</v>
      </c>
      <c r="BA478" s="13">
        <v>3</v>
      </c>
      <c r="BB478" s="14" t="s">
        <v>46</v>
      </c>
      <c r="BC478" s="14" t="s">
        <v>46</v>
      </c>
      <c r="BD478" s="15" t="s">
        <v>46</v>
      </c>
      <c r="BE478" s="14" t="s">
        <v>46</v>
      </c>
      <c r="BF47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78" s="17" t="s">
        <v>46</v>
      </c>
      <c r="BH478" s="13" t="s">
        <v>50</v>
      </c>
      <c r="BI478" s="13">
        <v>2.5000000000000001E-2</v>
      </c>
      <c r="BJ478" s="18">
        <f>ABS(_xlfn.NORM.S.INV(Table1347456[[#This Row],[p_value]]/2))</f>
        <v>2.2414027276049446</v>
      </c>
      <c r="BK478" s="19">
        <f>(Table1347456[[#This Row],[lnrr]]/Table1347456[[#This Row],[z_from_p]])^2</f>
        <v>5.3294575810195251E-3</v>
      </c>
      <c r="BL478" s="16">
        <f>Table1347456[[#This Row],[v_from_z_from_p]]</f>
        <v>5.3294575810195251E-3</v>
      </c>
      <c r="BM478" s="20">
        <f>SQRT(Table1347456[[#This Row],[v]])</f>
        <v>7.30031340492963E-2</v>
      </c>
      <c r="BN478" s="20">
        <f>Table1347456[[#This Row],[lnrr]]-(1.96*Table1347456[[#This Row],[se]])</f>
        <v>2.0543281045181383E-2</v>
      </c>
      <c r="BO478" s="20">
        <f>Table1347456[[#This Row],[lnrr]]+(1.96 * Table1347456[[#This Row],[se]])</f>
        <v>0.30671556651842286</v>
      </c>
    </row>
    <row r="479" spans="1:67">
      <c r="A479" s="13" t="s">
        <v>190</v>
      </c>
      <c r="B479" s="13" t="s">
        <v>191</v>
      </c>
      <c r="C479" s="13" t="s">
        <v>43</v>
      </c>
      <c r="D479" s="13" t="s">
        <v>192</v>
      </c>
      <c r="E479" s="13" t="s">
        <v>97</v>
      </c>
      <c r="F479" s="13" t="s">
        <v>588</v>
      </c>
      <c r="G479" s="13" t="s">
        <v>46</v>
      </c>
      <c r="H479" s="13">
        <v>32</v>
      </c>
      <c r="I479" s="13">
        <v>1300</v>
      </c>
      <c r="K479" s="13" t="s">
        <v>853</v>
      </c>
      <c r="L479" s="13" t="s">
        <v>854</v>
      </c>
      <c r="N479" s="13" t="s">
        <v>86</v>
      </c>
      <c r="O479" s="13" t="s">
        <v>644</v>
      </c>
      <c r="P479" s="13" t="s">
        <v>87</v>
      </c>
      <c r="Q479" s="13" t="s">
        <v>48</v>
      </c>
      <c r="R479" s="4">
        <v>3</v>
      </c>
      <c r="S479" s="13" t="s">
        <v>594</v>
      </c>
      <c r="T479" s="13">
        <v>730</v>
      </c>
      <c r="U479" s="4" t="s">
        <v>147</v>
      </c>
      <c r="V479" s="4">
        <v>580</v>
      </c>
      <c r="W479" s="4" t="s">
        <v>601</v>
      </c>
      <c r="X479" s="4" t="s">
        <v>46</v>
      </c>
      <c r="Y479" s="4">
        <v>50</v>
      </c>
      <c r="AA479" s="4" t="s">
        <v>49</v>
      </c>
      <c r="AB479" s="4">
        <v>0</v>
      </c>
      <c r="AC479" s="4" t="s">
        <v>50</v>
      </c>
      <c r="AD479" s="4">
        <v>2.5</v>
      </c>
      <c r="AE479" s="4" t="s">
        <v>49</v>
      </c>
      <c r="AF479" s="4">
        <v>0</v>
      </c>
      <c r="AG479" s="4" t="s">
        <v>710</v>
      </c>
      <c r="AH479" s="4" t="s">
        <v>709</v>
      </c>
      <c r="AI479" s="4" t="s">
        <v>64</v>
      </c>
      <c r="AJ479" s="13">
        <v>0</v>
      </c>
      <c r="AK479" s="13">
        <v>10</v>
      </c>
      <c r="AM479" s="13" t="s">
        <v>507</v>
      </c>
      <c r="AP479" s="13" t="s">
        <v>49</v>
      </c>
      <c r="AQ479" s="13" t="s">
        <v>49</v>
      </c>
      <c r="AR479" s="13" t="s">
        <v>49</v>
      </c>
      <c r="AS479" s="13" t="s">
        <v>49</v>
      </c>
      <c r="AT479" s="13" t="s">
        <v>993</v>
      </c>
      <c r="AU479" s="13" t="s">
        <v>1001</v>
      </c>
      <c r="AV479" s="14">
        <f>(0.62*39.1*10)/1000</f>
        <v>0.24242000000000002</v>
      </c>
      <c r="AW479" s="14">
        <f>(0.45*39.1*10)/1000</f>
        <v>0.17595000000000002</v>
      </c>
      <c r="AX479" s="14">
        <f>Table1347456[[#This Row],[treatment_mean]]/Table1347456[[#This Row],[control_mean]]</f>
        <v>1.3777777777777778</v>
      </c>
      <c r="AY479" s="14">
        <f>LN(Table1347456[[#This Row],[rr]])</f>
        <v>0.32047189527477177</v>
      </c>
      <c r="AZ479" s="13">
        <v>6</v>
      </c>
      <c r="BA479" s="13">
        <v>3</v>
      </c>
      <c r="BB479" s="14" t="s">
        <v>46</v>
      </c>
      <c r="BC479" s="14" t="s">
        <v>46</v>
      </c>
      <c r="BD479" s="15" t="s">
        <v>46</v>
      </c>
      <c r="BE479" s="14" t="s">
        <v>46</v>
      </c>
      <c r="BF47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79" s="17" t="s">
        <v>46</v>
      </c>
      <c r="BH479" s="13" t="s">
        <v>50</v>
      </c>
      <c r="BI479" s="13">
        <v>2.5000000000000001E-2</v>
      </c>
      <c r="BJ479" s="18">
        <f>ABS(_xlfn.NORM.S.INV(Table1347456[[#This Row],[p_value]]/2))</f>
        <v>2.2414027276049446</v>
      </c>
      <c r="BK479" s="19">
        <f>(Table1347456[[#This Row],[lnrr]]/Table1347456[[#This Row],[z_from_p]])^2</f>
        <v>2.0442787083896002E-2</v>
      </c>
      <c r="BL479" s="16">
        <f>Table1347456[[#This Row],[v_from_z_from_p]]</f>
        <v>2.0442787083896002E-2</v>
      </c>
      <c r="BM479" s="20">
        <f>SQRT(Table1347456[[#This Row],[v]])</f>
        <v>0.14297827486683423</v>
      </c>
      <c r="BN479" s="20">
        <f>Table1347456[[#This Row],[lnrr]]-(1.96*Table1347456[[#This Row],[se]])</f>
        <v>4.0234476535776664E-2</v>
      </c>
      <c r="BO479" s="20">
        <f>Table1347456[[#This Row],[lnrr]]+(1.96 * Table1347456[[#This Row],[se]])</f>
        <v>0.60070931401376693</v>
      </c>
    </row>
    <row r="480" spans="1:67">
      <c r="A480" s="13" t="s">
        <v>190</v>
      </c>
      <c r="B480" s="13" t="s">
        <v>191</v>
      </c>
      <c r="C480" s="13" t="s">
        <v>43</v>
      </c>
      <c r="D480" s="13" t="s">
        <v>192</v>
      </c>
      <c r="E480" s="13" t="s">
        <v>97</v>
      </c>
      <c r="F480" s="13" t="s">
        <v>588</v>
      </c>
      <c r="G480" s="13" t="s">
        <v>46</v>
      </c>
      <c r="H480" s="13">
        <v>32</v>
      </c>
      <c r="I480" s="13">
        <v>1300</v>
      </c>
      <c r="K480" s="13" t="s">
        <v>853</v>
      </c>
      <c r="L480" s="13" t="s">
        <v>854</v>
      </c>
      <c r="N480" s="13" t="s">
        <v>86</v>
      </c>
      <c r="O480" s="13" t="s">
        <v>644</v>
      </c>
      <c r="P480" s="13" t="s">
        <v>87</v>
      </c>
      <c r="Q480" s="13" t="s">
        <v>48</v>
      </c>
      <c r="R480" s="4">
        <v>3</v>
      </c>
      <c r="S480" s="13" t="s">
        <v>594</v>
      </c>
      <c r="T480" s="13">
        <v>730</v>
      </c>
      <c r="U480" s="4" t="s">
        <v>147</v>
      </c>
      <c r="V480" s="4">
        <v>580</v>
      </c>
      <c r="W480" s="4" t="s">
        <v>601</v>
      </c>
      <c r="X480" s="4" t="s">
        <v>46</v>
      </c>
      <c r="Y480" s="4">
        <v>25</v>
      </c>
      <c r="AA480" s="4" t="s">
        <v>49</v>
      </c>
      <c r="AB480" s="4">
        <v>0</v>
      </c>
      <c r="AC480" s="4" t="s">
        <v>50</v>
      </c>
      <c r="AD480" s="4">
        <v>5</v>
      </c>
      <c r="AE480" s="4" t="s">
        <v>49</v>
      </c>
      <c r="AF480" s="4">
        <v>0</v>
      </c>
      <c r="AG480" s="4" t="s">
        <v>710</v>
      </c>
      <c r="AH480" s="4" t="s">
        <v>709</v>
      </c>
      <c r="AI480" s="4" t="s">
        <v>64</v>
      </c>
      <c r="AJ480" s="13">
        <v>0</v>
      </c>
      <c r="AK480" s="13">
        <v>10</v>
      </c>
      <c r="AM480" s="13" t="s">
        <v>507</v>
      </c>
      <c r="AP480" s="13" t="s">
        <v>49</v>
      </c>
      <c r="AQ480" s="13" t="s">
        <v>49</v>
      </c>
      <c r="AR480" s="13" t="s">
        <v>49</v>
      </c>
      <c r="AS480" s="13" t="s">
        <v>49</v>
      </c>
      <c r="AT480" s="13" t="s">
        <v>993</v>
      </c>
      <c r="AU480" s="13" t="s">
        <v>1001</v>
      </c>
      <c r="AV480" s="14">
        <f>(0.61*39.1*10)/1000</f>
        <v>0.23851</v>
      </c>
      <c r="AW480" s="14">
        <f>(0.54*39.1*10)/1000</f>
        <v>0.21114000000000002</v>
      </c>
      <c r="AX480" s="14">
        <f>Table1347456[[#This Row],[treatment_mean]]/Table1347456[[#This Row],[control_mean]]</f>
        <v>1.1296296296296295</v>
      </c>
      <c r="AY480" s="14">
        <f>LN(Table1347456[[#This Row],[rr]])</f>
        <v>0.12188981760903679</v>
      </c>
      <c r="AZ480" s="13">
        <v>6</v>
      </c>
      <c r="BA480" s="13">
        <v>3</v>
      </c>
      <c r="BB480" s="14" t="s">
        <v>46</v>
      </c>
      <c r="BC480" s="14" t="s">
        <v>46</v>
      </c>
      <c r="BD480" s="15" t="s">
        <v>46</v>
      </c>
      <c r="BE480" s="14" t="s">
        <v>46</v>
      </c>
      <c r="BF48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80" s="17" t="s">
        <v>46</v>
      </c>
      <c r="BH480" s="13" t="s">
        <v>50</v>
      </c>
      <c r="BI480" s="13">
        <v>2.5000000000000001E-2</v>
      </c>
      <c r="BJ480" s="18">
        <f>ABS(_xlfn.NORM.S.INV(Table1347456[[#This Row],[p_value]]/2))</f>
        <v>2.2414027276049446</v>
      </c>
      <c r="BK480" s="19">
        <f>(Table1347456[[#This Row],[lnrr]]/Table1347456[[#This Row],[z_from_p]])^2</f>
        <v>2.9572978134492604E-3</v>
      </c>
      <c r="BL480" s="16">
        <f>Table1347456[[#This Row],[v_from_z_from_p]]</f>
        <v>2.9572978134492604E-3</v>
      </c>
      <c r="BM480" s="20">
        <f>SQRT(Table1347456[[#This Row],[v]])</f>
        <v>5.4381042776405646E-2</v>
      </c>
      <c r="BN480" s="20">
        <f>Table1347456[[#This Row],[lnrr]]-(1.96*Table1347456[[#This Row],[se]])</f>
        <v>1.5302973767281722E-2</v>
      </c>
      <c r="BO480" s="20">
        <f>Table1347456[[#This Row],[lnrr]]+(1.96 * Table1347456[[#This Row],[se]])</f>
        <v>0.22847666145079187</v>
      </c>
    </row>
    <row r="481" spans="1:67">
      <c r="A481" s="13" t="s">
        <v>190</v>
      </c>
      <c r="B481" s="13" t="s">
        <v>191</v>
      </c>
      <c r="C481" s="13" t="s">
        <v>43</v>
      </c>
      <c r="D481" s="13" t="s">
        <v>192</v>
      </c>
      <c r="E481" s="13" t="s">
        <v>97</v>
      </c>
      <c r="F481" s="13" t="s">
        <v>588</v>
      </c>
      <c r="G481" s="13" t="s">
        <v>46</v>
      </c>
      <c r="H481" s="13">
        <v>32</v>
      </c>
      <c r="I481" s="13">
        <v>1300</v>
      </c>
      <c r="K481" s="13" t="s">
        <v>853</v>
      </c>
      <c r="L481" s="13" t="s">
        <v>854</v>
      </c>
      <c r="N481" s="13" t="s">
        <v>86</v>
      </c>
      <c r="O481" s="13" t="s">
        <v>644</v>
      </c>
      <c r="P481" s="13" t="s">
        <v>87</v>
      </c>
      <c r="Q481" s="13" t="s">
        <v>48</v>
      </c>
      <c r="R481" s="4">
        <v>3</v>
      </c>
      <c r="S481" s="13" t="s">
        <v>594</v>
      </c>
      <c r="T481" s="13">
        <v>730</v>
      </c>
      <c r="U481" s="4" t="s">
        <v>147</v>
      </c>
      <c r="V481" s="4">
        <v>580</v>
      </c>
      <c r="W481" s="4" t="s">
        <v>601</v>
      </c>
      <c r="X481" s="4" t="s">
        <v>46</v>
      </c>
      <c r="Y481" s="4">
        <v>50</v>
      </c>
      <c r="AA481" s="4" t="s">
        <v>49</v>
      </c>
      <c r="AB481" s="4">
        <v>0</v>
      </c>
      <c r="AC481" s="4" t="s">
        <v>50</v>
      </c>
      <c r="AD481" s="4">
        <v>5</v>
      </c>
      <c r="AE481" s="4" t="s">
        <v>49</v>
      </c>
      <c r="AF481" s="4">
        <v>0</v>
      </c>
      <c r="AG481" s="4" t="s">
        <v>710</v>
      </c>
      <c r="AH481" s="4" t="s">
        <v>709</v>
      </c>
      <c r="AI481" s="4" t="s">
        <v>64</v>
      </c>
      <c r="AJ481" s="13">
        <v>0</v>
      </c>
      <c r="AK481" s="13">
        <v>10</v>
      </c>
      <c r="AM481" s="13" t="s">
        <v>507</v>
      </c>
      <c r="AP481" s="13" t="s">
        <v>49</v>
      </c>
      <c r="AQ481" s="13" t="s">
        <v>49</v>
      </c>
      <c r="AR481" s="13" t="s">
        <v>49</v>
      </c>
      <c r="AS481" s="13" t="s">
        <v>49</v>
      </c>
      <c r="AT481" s="13" t="s">
        <v>993</v>
      </c>
      <c r="AU481" s="13" t="s">
        <v>1001</v>
      </c>
      <c r="AV481" s="14">
        <f>(0.76*39.1*10)/1000</f>
        <v>0.29716000000000004</v>
      </c>
      <c r="AW481" s="14">
        <f>(0.54*39.1*10)/1000</f>
        <v>0.21114000000000002</v>
      </c>
      <c r="AX481" s="14">
        <f>Table1347456[[#This Row],[treatment_mean]]/Table1347456[[#This Row],[control_mean]]</f>
        <v>1.4074074074074074</v>
      </c>
      <c r="AY481" s="14">
        <f>LN(Table1347456[[#This Row],[rr]])</f>
        <v>0.3417492937220567</v>
      </c>
      <c r="AZ481" s="13">
        <v>6</v>
      </c>
      <c r="BA481" s="13">
        <v>3</v>
      </c>
      <c r="BB481" s="14" t="s">
        <v>46</v>
      </c>
      <c r="BC481" s="14" t="s">
        <v>46</v>
      </c>
      <c r="BD481" s="15" t="s">
        <v>46</v>
      </c>
      <c r="BE481" s="14" t="s">
        <v>46</v>
      </c>
      <c r="BF48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81" s="17" t="s">
        <v>46</v>
      </c>
      <c r="BH481" s="13" t="s">
        <v>50</v>
      </c>
      <c r="BI481" s="13">
        <v>2.5000000000000001E-2</v>
      </c>
      <c r="BJ481" s="18">
        <f>ABS(_xlfn.NORM.S.INV(Table1347456[[#This Row],[p_value]]/2))</f>
        <v>2.2414027276049446</v>
      </c>
      <c r="BK481" s="19">
        <f>(Table1347456[[#This Row],[lnrr]]/Table1347456[[#This Row],[z_from_p]])^2</f>
        <v>2.3247457327839404E-2</v>
      </c>
      <c r="BL481" s="16">
        <f>Table1347456[[#This Row],[v_from_z_from_p]]</f>
        <v>2.3247457327839404E-2</v>
      </c>
      <c r="BM481" s="20">
        <f>SQRT(Table1347456[[#This Row],[v]])</f>
        <v>0.15247116884132358</v>
      </c>
      <c r="BN481" s="20">
        <f>Table1347456[[#This Row],[lnrr]]-(1.96*Table1347456[[#This Row],[se]])</f>
        <v>4.2905802793062497E-2</v>
      </c>
      <c r="BO481" s="20">
        <f>Table1347456[[#This Row],[lnrr]]+(1.96 * Table1347456[[#This Row],[se]])</f>
        <v>0.64059278465105085</v>
      </c>
    </row>
    <row r="482" spans="1:67">
      <c r="A482" s="13" t="s">
        <v>193</v>
      </c>
      <c r="B482" s="13" t="s">
        <v>194</v>
      </c>
      <c r="C482" s="13" t="s">
        <v>43</v>
      </c>
      <c r="D482" s="13" t="s">
        <v>195</v>
      </c>
      <c r="E482" s="13" t="s">
        <v>97</v>
      </c>
      <c r="F482" s="13" t="s">
        <v>588</v>
      </c>
      <c r="G482" s="13" t="s">
        <v>46</v>
      </c>
      <c r="H482" s="13">
        <v>27.5</v>
      </c>
      <c r="I482" s="13">
        <v>1293</v>
      </c>
      <c r="K482" s="13" t="s">
        <v>855</v>
      </c>
      <c r="L482" s="13" t="s">
        <v>856</v>
      </c>
      <c r="N482" s="13" t="s">
        <v>47</v>
      </c>
      <c r="O482" s="13" t="s">
        <v>645</v>
      </c>
      <c r="P482" s="13" t="s">
        <v>422</v>
      </c>
      <c r="Q482" s="13" t="s">
        <v>48</v>
      </c>
      <c r="R482" s="4">
        <v>3</v>
      </c>
      <c r="S482" s="13" t="s">
        <v>594</v>
      </c>
      <c r="T482" s="13">
        <v>730</v>
      </c>
      <c r="U482" s="4" t="s">
        <v>147</v>
      </c>
      <c r="V482" s="4">
        <v>580</v>
      </c>
      <c r="W482" s="4" t="s">
        <v>601</v>
      </c>
      <c r="X482" s="4">
        <v>587</v>
      </c>
      <c r="Y482" s="4">
        <v>15</v>
      </c>
      <c r="AA482" s="4" t="s">
        <v>49</v>
      </c>
      <c r="AB482" s="4">
        <v>0</v>
      </c>
      <c r="AC482" s="4" t="s">
        <v>49</v>
      </c>
      <c r="AD482" s="4">
        <v>0</v>
      </c>
      <c r="AE482" s="4" t="s">
        <v>49</v>
      </c>
      <c r="AF482" s="4">
        <v>0</v>
      </c>
      <c r="AG482" s="4" t="s">
        <v>729</v>
      </c>
      <c r="AH482" s="4" t="s">
        <v>728</v>
      </c>
      <c r="AI482" s="4" t="s">
        <v>64</v>
      </c>
      <c r="AJ482" s="13">
        <v>0</v>
      </c>
      <c r="AK482" s="13">
        <v>10</v>
      </c>
      <c r="AM482" s="13" t="s">
        <v>508</v>
      </c>
      <c r="AP482" s="13" t="s">
        <v>49</v>
      </c>
      <c r="AQ482" s="13" t="s">
        <v>49</v>
      </c>
      <c r="AR482" s="13" t="s">
        <v>49</v>
      </c>
      <c r="AS482" s="13" t="s">
        <v>49</v>
      </c>
      <c r="AT482" s="13" t="s">
        <v>990</v>
      </c>
      <c r="AU482" s="13" t="s">
        <v>998</v>
      </c>
      <c r="AV482" s="14">
        <f>0.35*10</f>
        <v>3.5</v>
      </c>
      <c r="AW482" s="14">
        <f>0.32*10</f>
        <v>3.2</v>
      </c>
      <c r="AX482" s="14">
        <f>Table1347456[[#This Row],[treatment_mean]]/Table1347456[[#This Row],[control_mean]]</f>
        <v>1.09375</v>
      </c>
      <c r="AY482" s="14">
        <f>LN(Table1347456[[#This Row],[rr]])</f>
        <v>8.9612158689687138E-2</v>
      </c>
      <c r="AZ482" s="13" t="s">
        <v>46</v>
      </c>
      <c r="BA482" s="13" t="s">
        <v>46</v>
      </c>
      <c r="BB482" s="14" t="s">
        <v>46</v>
      </c>
      <c r="BC482" s="14" t="s">
        <v>46</v>
      </c>
      <c r="BD482" s="15" t="s">
        <v>46</v>
      </c>
      <c r="BE482" s="14" t="s">
        <v>46</v>
      </c>
      <c r="BF48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82" s="17" t="s">
        <v>46</v>
      </c>
      <c r="BH482" s="13" t="s">
        <v>50</v>
      </c>
      <c r="BI482" s="13">
        <v>0.05</v>
      </c>
      <c r="BJ482" s="18">
        <f>ABS(_xlfn.NORM.S.INV(Table1347456[[#This Row],[p_value]]/2))</f>
        <v>1.9599639845400538</v>
      </c>
      <c r="BK482" s="19">
        <f>(Table1347456[[#This Row],[lnrr]]/Table1347456[[#This Row],[z_from_p]])^2</f>
        <v>2.0904399499913537E-3</v>
      </c>
      <c r="BL482" s="16">
        <f>Table1347456[[#This Row],[v_from_z_from_p]]</f>
        <v>2.0904399499913537E-3</v>
      </c>
      <c r="BM482" s="20">
        <f>SQRT(Table1347456[[#This Row],[v]])</f>
        <v>4.5721329267545949E-2</v>
      </c>
      <c r="BN482" s="20">
        <f>Table1347456[[#This Row],[lnrr]]-(1.96*Table1347456[[#This Row],[se]])</f>
        <v>-1.6466747029264539E-6</v>
      </c>
      <c r="BO482" s="20">
        <f>Table1347456[[#This Row],[lnrr]]+(1.96 * Table1347456[[#This Row],[se]])</f>
        <v>0.1792259640540772</v>
      </c>
    </row>
    <row r="483" spans="1:67">
      <c r="A483" s="13" t="s">
        <v>193</v>
      </c>
      <c r="B483" s="13" t="s">
        <v>194</v>
      </c>
      <c r="C483" s="13" t="s">
        <v>43</v>
      </c>
      <c r="D483" s="13" t="s">
        <v>195</v>
      </c>
      <c r="E483" s="13" t="s">
        <v>97</v>
      </c>
      <c r="F483" s="13" t="s">
        <v>588</v>
      </c>
      <c r="G483" s="13" t="s">
        <v>46</v>
      </c>
      <c r="H483" s="13">
        <v>27.5</v>
      </c>
      <c r="I483" s="13">
        <v>1293</v>
      </c>
      <c r="K483" s="13" t="s">
        <v>855</v>
      </c>
      <c r="L483" s="13" t="s">
        <v>856</v>
      </c>
      <c r="N483" s="13" t="s">
        <v>47</v>
      </c>
      <c r="O483" s="13" t="s">
        <v>645</v>
      </c>
      <c r="P483" s="13" t="s">
        <v>422</v>
      </c>
      <c r="Q483" s="13" t="s">
        <v>48</v>
      </c>
      <c r="R483" s="4">
        <v>3</v>
      </c>
      <c r="S483" s="13" t="s">
        <v>594</v>
      </c>
      <c r="T483" s="13">
        <v>730</v>
      </c>
      <c r="U483" s="4" t="s">
        <v>147</v>
      </c>
      <c r="V483" s="4">
        <v>580</v>
      </c>
      <c r="W483" s="4" t="s">
        <v>601</v>
      </c>
      <c r="X483" s="4">
        <v>587</v>
      </c>
      <c r="Y483" s="4">
        <v>15</v>
      </c>
      <c r="AA483" s="4" t="s">
        <v>49</v>
      </c>
      <c r="AB483" s="4">
        <v>0</v>
      </c>
      <c r="AC483" s="4" t="s">
        <v>50</v>
      </c>
      <c r="AD483" s="4">
        <v>15</v>
      </c>
      <c r="AE483" s="4" t="s">
        <v>49</v>
      </c>
      <c r="AF483" s="4">
        <v>0</v>
      </c>
      <c r="AG483" s="4" t="s">
        <v>729</v>
      </c>
      <c r="AH483" s="4" t="s">
        <v>728</v>
      </c>
      <c r="AI483" s="4" t="s">
        <v>64</v>
      </c>
      <c r="AJ483" s="13">
        <v>0</v>
      </c>
      <c r="AK483" s="13">
        <v>10</v>
      </c>
      <c r="AM483" s="13" t="s">
        <v>508</v>
      </c>
      <c r="AP483" s="13" t="s">
        <v>49</v>
      </c>
      <c r="AQ483" s="13" t="s">
        <v>49</v>
      </c>
      <c r="AR483" s="13" t="s">
        <v>49</v>
      </c>
      <c r="AS483" s="13" t="s">
        <v>49</v>
      </c>
      <c r="AT483" s="13" t="s">
        <v>993</v>
      </c>
      <c r="AU483" s="13" t="s">
        <v>1001</v>
      </c>
      <c r="AV483" s="14">
        <f>0.54*10</f>
        <v>5.4</v>
      </c>
      <c r="AW483" s="14">
        <f>0.45*10</f>
        <v>4.5</v>
      </c>
      <c r="AX483" s="14">
        <f>Table1347456[[#This Row],[treatment_mean]]/Table1347456[[#This Row],[control_mean]]</f>
        <v>1.2000000000000002</v>
      </c>
      <c r="AY483" s="14">
        <f>LN(Table1347456[[#This Row],[rr]])</f>
        <v>0.18232155679395479</v>
      </c>
      <c r="AZ483" s="13" t="s">
        <v>46</v>
      </c>
      <c r="BA483" s="13" t="s">
        <v>46</v>
      </c>
      <c r="BB483" s="14" t="s">
        <v>46</v>
      </c>
      <c r="BC483" s="14" t="s">
        <v>46</v>
      </c>
      <c r="BD483" s="15" t="s">
        <v>46</v>
      </c>
      <c r="BE483" s="14" t="s">
        <v>46</v>
      </c>
      <c r="BF48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83" s="17" t="s">
        <v>46</v>
      </c>
      <c r="BH483" s="13" t="s">
        <v>50</v>
      </c>
      <c r="BI483" s="13">
        <v>0.05</v>
      </c>
      <c r="BJ483" s="18">
        <f>ABS(_xlfn.NORM.S.INV(Table1347456[[#This Row],[p_value]]/2))</f>
        <v>1.9599639845400538</v>
      </c>
      <c r="BK483" s="19">
        <f>(Table1347456[[#This Row],[lnrr]]/Table1347456[[#This Row],[z_from_p]])^2</f>
        <v>8.6532621130023836E-3</v>
      </c>
      <c r="BL483" s="16">
        <f>Table1347456[[#This Row],[v_from_z_from_p]]</f>
        <v>8.6532621130023836E-3</v>
      </c>
      <c r="BM483" s="20">
        <f>SQRT(Table1347456[[#This Row],[v]])</f>
        <v>9.3022911763728316E-2</v>
      </c>
      <c r="BN483" s="20">
        <f>Table1347456[[#This Row],[lnrr]]-(1.96*Table1347456[[#This Row],[se]])</f>
        <v>-3.3502629527004668E-6</v>
      </c>
      <c r="BO483" s="20">
        <f>Table1347456[[#This Row],[lnrr]]+(1.96 * Table1347456[[#This Row],[se]])</f>
        <v>0.3646464638508623</v>
      </c>
    </row>
    <row r="484" spans="1:67">
      <c r="A484" s="13" t="s">
        <v>193</v>
      </c>
      <c r="B484" s="13" t="s">
        <v>194</v>
      </c>
      <c r="C484" s="13" t="s">
        <v>43</v>
      </c>
      <c r="D484" s="13" t="s">
        <v>195</v>
      </c>
      <c r="E484" s="13" t="s">
        <v>97</v>
      </c>
      <c r="F484" s="13" t="s">
        <v>588</v>
      </c>
      <c r="G484" s="13" t="s">
        <v>46</v>
      </c>
      <c r="H484" s="13">
        <v>27.5</v>
      </c>
      <c r="I484" s="13">
        <v>1293</v>
      </c>
      <c r="K484" s="13" t="s">
        <v>855</v>
      </c>
      <c r="L484" s="13" t="s">
        <v>856</v>
      </c>
      <c r="N484" s="13" t="s">
        <v>47</v>
      </c>
      <c r="O484" s="13" t="s">
        <v>645</v>
      </c>
      <c r="P484" s="13" t="s">
        <v>422</v>
      </c>
      <c r="Q484" s="13" t="s">
        <v>48</v>
      </c>
      <c r="R484" s="4">
        <v>3</v>
      </c>
      <c r="S484" s="13" t="s">
        <v>594</v>
      </c>
      <c r="T484" s="13">
        <v>730</v>
      </c>
      <c r="U484" s="4" t="s">
        <v>147</v>
      </c>
      <c r="V484" s="4">
        <v>580</v>
      </c>
      <c r="W484" s="4" t="s">
        <v>601</v>
      </c>
      <c r="X484" s="4">
        <v>587</v>
      </c>
      <c r="Y484" s="4">
        <v>15</v>
      </c>
      <c r="AA484" s="4" t="s">
        <v>50</v>
      </c>
      <c r="AB484" s="4">
        <v>200</v>
      </c>
      <c r="AC484" s="4" t="s">
        <v>49</v>
      </c>
      <c r="AD484" s="4">
        <v>0</v>
      </c>
      <c r="AE484" s="4" t="s">
        <v>49</v>
      </c>
      <c r="AF484" s="4">
        <v>0</v>
      </c>
      <c r="AG484" s="4" t="s">
        <v>729</v>
      </c>
      <c r="AH484" s="4" t="s">
        <v>728</v>
      </c>
      <c r="AI484" s="4" t="s">
        <v>64</v>
      </c>
      <c r="AJ484" s="13">
        <v>0</v>
      </c>
      <c r="AK484" s="13">
        <v>10</v>
      </c>
      <c r="AM484" s="13" t="s">
        <v>508</v>
      </c>
      <c r="AP484" s="13" t="s">
        <v>49</v>
      </c>
      <c r="AQ484" s="13" t="s">
        <v>49</v>
      </c>
      <c r="AR484" s="13" t="s">
        <v>49</v>
      </c>
      <c r="AS484" s="13" t="s">
        <v>49</v>
      </c>
      <c r="AT484" s="13" t="s">
        <v>992</v>
      </c>
      <c r="AU484" s="4" t="s">
        <v>1000</v>
      </c>
      <c r="AV484" s="14">
        <f>0.59*10</f>
        <v>5.8999999999999995</v>
      </c>
      <c r="AW484" s="14">
        <f>0.4*10</f>
        <v>4</v>
      </c>
      <c r="AX484" s="14">
        <f>Table1347456[[#This Row],[treatment_mean]]/Table1347456[[#This Row],[control_mean]]</f>
        <v>1.4749999999999999</v>
      </c>
      <c r="AY484" s="14">
        <f>LN(Table1347456[[#This Row],[rr]])</f>
        <v>0.38865798979178307</v>
      </c>
      <c r="AZ484" s="13" t="s">
        <v>46</v>
      </c>
      <c r="BA484" s="13" t="s">
        <v>46</v>
      </c>
      <c r="BB484" s="14" t="s">
        <v>46</v>
      </c>
      <c r="BC484" s="14" t="s">
        <v>46</v>
      </c>
      <c r="BD484" s="15" t="s">
        <v>46</v>
      </c>
      <c r="BE484" s="14" t="s">
        <v>46</v>
      </c>
      <c r="BF48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84" s="17" t="s">
        <v>46</v>
      </c>
      <c r="BH484" s="13" t="s">
        <v>50</v>
      </c>
      <c r="BI484" s="13">
        <v>0.05</v>
      </c>
      <c r="BJ484" s="18">
        <f>ABS(_xlfn.NORM.S.INV(Table1347456[[#This Row],[p_value]]/2))</f>
        <v>1.9599639845400538</v>
      </c>
      <c r="BK484" s="19">
        <f>(Table1347456[[#This Row],[lnrr]]/Table1347456[[#This Row],[z_from_p]])^2</f>
        <v>3.9322309591150365E-2</v>
      </c>
      <c r="BL484" s="16">
        <f>Table1347456[[#This Row],[v_from_z_from_p]]</f>
        <v>3.9322309591150365E-2</v>
      </c>
      <c r="BM484" s="20">
        <f>SQRT(Table1347456[[#This Row],[v]])</f>
        <v>0.19829853653305252</v>
      </c>
      <c r="BN484" s="20">
        <f>Table1347456[[#This Row],[lnrr]]-(1.96*Table1347456[[#This Row],[se]])</f>
        <v>-7.1418129998779278E-6</v>
      </c>
      <c r="BO484" s="20">
        <f>Table1347456[[#This Row],[lnrr]]+(1.96 * Table1347456[[#This Row],[se]])</f>
        <v>0.77732312139656601</v>
      </c>
    </row>
    <row r="485" spans="1:67">
      <c r="A485" s="13" t="s">
        <v>193</v>
      </c>
      <c r="B485" s="13" t="s">
        <v>194</v>
      </c>
      <c r="C485" s="13" t="s">
        <v>43</v>
      </c>
      <c r="D485" s="13" t="s">
        <v>195</v>
      </c>
      <c r="E485" s="13" t="s">
        <v>97</v>
      </c>
      <c r="F485" s="13" t="s">
        <v>588</v>
      </c>
      <c r="G485" s="13" t="s">
        <v>46</v>
      </c>
      <c r="H485" s="13">
        <v>27.5</v>
      </c>
      <c r="I485" s="13">
        <v>1293</v>
      </c>
      <c r="J485" s="13" t="s">
        <v>654</v>
      </c>
      <c r="K485" s="13" t="s">
        <v>855</v>
      </c>
      <c r="L485" s="13" t="s">
        <v>856</v>
      </c>
      <c r="M485" s="13" t="s">
        <v>800</v>
      </c>
      <c r="N485" s="13" t="s">
        <v>84</v>
      </c>
      <c r="O485" s="13" t="s">
        <v>644</v>
      </c>
      <c r="P485" s="13" t="s">
        <v>85</v>
      </c>
      <c r="Q485" s="13" t="s">
        <v>48</v>
      </c>
      <c r="R485" s="4">
        <v>3</v>
      </c>
      <c r="S485" s="13" t="s">
        <v>594</v>
      </c>
      <c r="T485" s="13">
        <v>730</v>
      </c>
      <c r="U485" s="4" t="s">
        <v>147</v>
      </c>
      <c r="V485" s="4">
        <v>580</v>
      </c>
      <c r="W485" s="4" t="s">
        <v>601</v>
      </c>
      <c r="X485" s="4">
        <v>587</v>
      </c>
      <c r="Y485" s="4">
        <v>15</v>
      </c>
      <c r="AA485" s="4" t="s">
        <v>49</v>
      </c>
      <c r="AB485" s="4">
        <v>0</v>
      </c>
      <c r="AC485" s="4" t="s">
        <v>49</v>
      </c>
      <c r="AD485" s="4">
        <v>0</v>
      </c>
      <c r="AE485" s="4" t="s">
        <v>49</v>
      </c>
      <c r="AF485" s="4">
        <v>0</v>
      </c>
      <c r="AG485" s="4" t="s">
        <v>729</v>
      </c>
      <c r="AH485" s="4" t="s">
        <v>728</v>
      </c>
      <c r="AI485" s="4" t="s">
        <v>64</v>
      </c>
      <c r="AJ485" s="13">
        <v>0</v>
      </c>
      <c r="AK485" s="13">
        <v>10</v>
      </c>
      <c r="AM485" s="13" t="s">
        <v>508</v>
      </c>
      <c r="AP485" s="13" t="s">
        <v>49</v>
      </c>
      <c r="AQ485" s="13" t="s">
        <v>49</v>
      </c>
      <c r="AR485" s="13" t="s">
        <v>49</v>
      </c>
      <c r="AS485" s="13" t="s">
        <v>49</v>
      </c>
      <c r="AT485" s="13" t="s">
        <v>990</v>
      </c>
      <c r="AU485" s="13" t="s">
        <v>998</v>
      </c>
      <c r="AV485" s="23">
        <f>18.1/1000</f>
        <v>1.8100000000000002E-2</v>
      </c>
      <c r="AW485" s="23">
        <f>17.6/1000</f>
        <v>1.7600000000000001E-2</v>
      </c>
      <c r="AX485" s="14">
        <f>Table1347456[[#This Row],[treatment_mean]]/Table1347456[[#This Row],[control_mean]]</f>
        <v>1.0284090909090908</v>
      </c>
      <c r="AY485" s="14">
        <f>LN(Table1347456[[#This Row],[rr]])</f>
        <v>2.8013036227673888E-2</v>
      </c>
      <c r="AZ485" s="13" t="s">
        <v>46</v>
      </c>
      <c r="BA485" s="13" t="s">
        <v>46</v>
      </c>
      <c r="BB485" s="14" t="s">
        <v>46</v>
      </c>
      <c r="BC485" s="14" t="s">
        <v>46</v>
      </c>
      <c r="BD485" s="15" t="s">
        <v>46</v>
      </c>
      <c r="BE485" s="14" t="s">
        <v>46</v>
      </c>
      <c r="BF48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85" s="17" t="s">
        <v>46</v>
      </c>
      <c r="BH485" s="13" t="s">
        <v>50</v>
      </c>
      <c r="BI485" s="13">
        <v>0.05</v>
      </c>
      <c r="BJ485" s="18">
        <f>ABS(_xlfn.NORM.S.INV(Table1347456[[#This Row],[p_value]]/2))</f>
        <v>1.9599639845400538</v>
      </c>
      <c r="BK485" s="19">
        <f>(Table1347456[[#This Row],[lnrr]]/Table1347456[[#This Row],[z_from_p]])^2</f>
        <v>2.0427921665217136E-4</v>
      </c>
      <c r="BL485" s="16">
        <f>Table1347456[[#This Row],[v_from_z_from_p]]</f>
        <v>2.0427921665217136E-4</v>
      </c>
      <c r="BM485" s="20">
        <f>SQRT(Table1347456[[#This Row],[v]])</f>
        <v>1.4292628052677064E-2</v>
      </c>
      <c r="BN485" s="20">
        <f>Table1347456[[#This Row],[lnrr]]-(1.96*Table1347456[[#This Row],[se]])</f>
        <v>-5.147555731561948E-7</v>
      </c>
      <c r="BO485" s="20">
        <f>Table1347456[[#This Row],[lnrr]]+(1.96 * Table1347456[[#This Row],[se]])</f>
        <v>5.6026587210920936E-2</v>
      </c>
    </row>
    <row r="486" spans="1:67">
      <c r="A486" s="13" t="s">
        <v>193</v>
      </c>
      <c r="B486" s="13" t="s">
        <v>194</v>
      </c>
      <c r="C486" s="13" t="s">
        <v>43</v>
      </c>
      <c r="D486" s="13" t="s">
        <v>195</v>
      </c>
      <c r="E486" s="13" t="s">
        <v>97</v>
      </c>
      <c r="F486" s="13" t="s">
        <v>588</v>
      </c>
      <c r="G486" s="13" t="s">
        <v>46</v>
      </c>
      <c r="H486" s="13">
        <v>27.5</v>
      </c>
      <c r="I486" s="13">
        <v>1293</v>
      </c>
      <c r="J486" s="13" t="s">
        <v>654</v>
      </c>
      <c r="K486" s="13" t="s">
        <v>855</v>
      </c>
      <c r="L486" s="13" t="s">
        <v>856</v>
      </c>
      <c r="M486" s="13" t="s">
        <v>800</v>
      </c>
      <c r="N486" s="13" t="s">
        <v>84</v>
      </c>
      <c r="O486" s="13" t="s">
        <v>644</v>
      </c>
      <c r="P486" s="13" t="s">
        <v>85</v>
      </c>
      <c r="Q486" s="13" t="s">
        <v>48</v>
      </c>
      <c r="R486" s="4">
        <v>3</v>
      </c>
      <c r="S486" s="13" t="s">
        <v>594</v>
      </c>
      <c r="T486" s="13">
        <v>730</v>
      </c>
      <c r="U486" s="4" t="s">
        <v>147</v>
      </c>
      <c r="V486" s="4">
        <v>580</v>
      </c>
      <c r="W486" s="4" t="s">
        <v>601</v>
      </c>
      <c r="X486" s="4">
        <v>587</v>
      </c>
      <c r="Y486" s="4">
        <v>15</v>
      </c>
      <c r="AA486" s="4" t="s">
        <v>49</v>
      </c>
      <c r="AB486" s="4">
        <v>0</v>
      </c>
      <c r="AC486" s="4" t="s">
        <v>50</v>
      </c>
      <c r="AD486" s="4">
        <v>15</v>
      </c>
      <c r="AE486" s="4" t="s">
        <v>49</v>
      </c>
      <c r="AF486" s="4">
        <v>0</v>
      </c>
      <c r="AG486" s="4" t="s">
        <v>729</v>
      </c>
      <c r="AH486" s="4" t="s">
        <v>728</v>
      </c>
      <c r="AI486" s="4" t="s">
        <v>64</v>
      </c>
      <c r="AJ486" s="13">
        <v>0</v>
      </c>
      <c r="AK486" s="13">
        <v>10</v>
      </c>
      <c r="AM486" s="13" t="s">
        <v>508</v>
      </c>
      <c r="AP486" s="13" t="s">
        <v>49</v>
      </c>
      <c r="AQ486" s="13" t="s">
        <v>49</v>
      </c>
      <c r="AR486" s="13" t="s">
        <v>49</v>
      </c>
      <c r="AS486" s="13" t="s">
        <v>49</v>
      </c>
      <c r="AT486" s="13" t="s">
        <v>993</v>
      </c>
      <c r="AU486" s="13" t="s">
        <v>1001</v>
      </c>
      <c r="AV486" s="23">
        <f>36.3/1000</f>
        <v>3.6299999999999999E-2</v>
      </c>
      <c r="AW486" s="23">
        <f>35.7/1000</f>
        <v>3.5700000000000003E-2</v>
      </c>
      <c r="AX486" s="14">
        <f>Table1347456[[#This Row],[treatment_mean]]/Table1347456[[#This Row],[control_mean]]</f>
        <v>1.0168067226890756</v>
      </c>
      <c r="AY486" s="14">
        <f>LN(Table1347456[[#This Row],[rr]])</f>
        <v>1.6667052485211643E-2</v>
      </c>
      <c r="AZ486" s="13" t="s">
        <v>46</v>
      </c>
      <c r="BA486" s="13" t="s">
        <v>46</v>
      </c>
      <c r="BB486" s="14" t="s">
        <v>46</v>
      </c>
      <c r="BC486" s="14" t="s">
        <v>46</v>
      </c>
      <c r="BD486" s="15" t="s">
        <v>46</v>
      </c>
      <c r="BE486" s="14" t="s">
        <v>46</v>
      </c>
      <c r="BF48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86" s="17" t="s">
        <v>46</v>
      </c>
      <c r="BH486" s="13" t="s">
        <v>50</v>
      </c>
      <c r="BI486" s="13">
        <v>0.05</v>
      </c>
      <c r="BJ486" s="18">
        <f>ABS(_xlfn.NORM.S.INV(Table1347456[[#This Row],[p_value]]/2))</f>
        <v>1.9599639845400538</v>
      </c>
      <c r="BK486" s="19">
        <f>(Table1347456[[#This Row],[lnrr]]/Table1347456[[#This Row],[z_from_p]])^2</f>
        <v>7.231384000482527E-5</v>
      </c>
      <c r="BL486" s="16">
        <f>Table1347456[[#This Row],[v_from_z_from_p]]</f>
        <v>7.231384000482527E-5</v>
      </c>
      <c r="BM486" s="20">
        <f>SQRT(Table1347456[[#This Row],[v]])</f>
        <v>8.5037544652244793E-3</v>
      </c>
      <c r="BN486" s="20">
        <f>Table1347456[[#This Row],[lnrr]]-(1.96*Table1347456[[#This Row],[se]])</f>
        <v>-3.0626662833599383E-7</v>
      </c>
      <c r="BO486" s="20">
        <f>Table1347456[[#This Row],[lnrr]]+(1.96 * Table1347456[[#This Row],[se]])</f>
        <v>3.3334411237051623E-2</v>
      </c>
    </row>
    <row r="487" spans="1:67">
      <c r="A487" s="13" t="s">
        <v>193</v>
      </c>
      <c r="B487" s="13" t="s">
        <v>194</v>
      </c>
      <c r="C487" s="13" t="s">
        <v>43</v>
      </c>
      <c r="D487" s="13" t="s">
        <v>195</v>
      </c>
      <c r="E487" s="13" t="s">
        <v>97</v>
      </c>
      <c r="F487" s="13" t="s">
        <v>588</v>
      </c>
      <c r="G487" s="13" t="s">
        <v>46</v>
      </c>
      <c r="H487" s="13">
        <v>27.5</v>
      </c>
      <c r="I487" s="13">
        <v>1293</v>
      </c>
      <c r="J487" s="13" t="s">
        <v>654</v>
      </c>
      <c r="K487" s="13" t="s">
        <v>855</v>
      </c>
      <c r="L487" s="13" t="s">
        <v>856</v>
      </c>
      <c r="M487" s="13" t="s">
        <v>800</v>
      </c>
      <c r="N487" s="13" t="s">
        <v>84</v>
      </c>
      <c r="O487" s="13" t="s">
        <v>644</v>
      </c>
      <c r="P487" s="13" t="s">
        <v>85</v>
      </c>
      <c r="Q487" s="13" t="s">
        <v>48</v>
      </c>
      <c r="R487" s="4">
        <v>3</v>
      </c>
      <c r="S487" s="13" t="s">
        <v>594</v>
      </c>
      <c r="T487" s="13">
        <v>730</v>
      </c>
      <c r="U487" s="4" t="s">
        <v>147</v>
      </c>
      <c r="V487" s="4">
        <v>580</v>
      </c>
      <c r="W487" s="4" t="s">
        <v>601</v>
      </c>
      <c r="X487" s="4">
        <v>587</v>
      </c>
      <c r="Y487" s="4">
        <v>15</v>
      </c>
      <c r="AA487" s="4" t="s">
        <v>50</v>
      </c>
      <c r="AB487" s="4">
        <v>200</v>
      </c>
      <c r="AC487" s="4" t="s">
        <v>49</v>
      </c>
      <c r="AD487" s="4">
        <v>0</v>
      </c>
      <c r="AE487" s="4" t="s">
        <v>49</v>
      </c>
      <c r="AF487" s="4">
        <v>0</v>
      </c>
      <c r="AG487" s="4" t="s">
        <v>729</v>
      </c>
      <c r="AH487" s="4" t="s">
        <v>728</v>
      </c>
      <c r="AI487" s="4" t="s">
        <v>64</v>
      </c>
      <c r="AJ487" s="13">
        <v>0</v>
      </c>
      <c r="AK487" s="13">
        <v>10</v>
      </c>
      <c r="AM487" s="13" t="s">
        <v>508</v>
      </c>
      <c r="AP487" s="13" t="s">
        <v>49</v>
      </c>
      <c r="AQ487" s="13" t="s">
        <v>49</v>
      </c>
      <c r="AR487" s="13" t="s">
        <v>49</v>
      </c>
      <c r="AS487" s="13" t="s">
        <v>49</v>
      </c>
      <c r="AT487" s="13" t="s">
        <v>992</v>
      </c>
      <c r="AU487" s="4" t="s">
        <v>1000</v>
      </c>
      <c r="AV487" s="23">
        <f>43.4/1000</f>
        <v>4.3400000000000001E-2</v>
      </c>
      <c r="AW487" s="23">
        <f>42.3/1000</f>
        <v>4.2299999999999997E-2</v>
      </c>
      <c r="AX487" s="14">
        <f>Table1347456[[#This Row],[treatment_mean]]/Table1347456[[#This Row],[control_mean]]</f>
        <v>1.0260047281323879</v>
      </c>
      <c r="AY487" s="14">
        <f>LN(Table1347456[[#This Row],[rr]])</f>
        <v>2.5672355054127037E-2</v>
      </c>
      <c r="AZ487" s="13" t="s">
        <v>46</v>
      </c>
      <c r="BA487" s="13" t="s">
        <v>46</v>
      </c>
      <c r="BB487" s="14" t="s">
        <v>46</v>
      </c>
      <c r="BC487" s="14" t="s">
        <v>46</v>
      </c>
      <c r="BD487" s="15" t="s">
        <v>46</v>
      </c>
      <c r="BE487" s="14" t="s">
        <v>46</v>
      </c>
      <c r="BF48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87" s="17" t="s">
        <v>46</v>
      </c>
      <c r="BH487" s="13" t="s">
        <v>50</v>
      </c>
      <c r="BI487" s="13">
        <v>0.05</v>
      </c>
      <c r="BJ487" s="18">
        <f>ABS(_xlfn.NORM.S.INV(Table1347456[[#This Row],[p_value]]/2))</f>
        <v>1.9599639845400538</v>
      </c>
      <c r="BK487" s="19">
        <f>(Table1347456[[#This Row],[lnrr]]/Table1347456[[#This Row],[z_from_p]])^2</f>
        <v>1.7156758533365529E-4</v>
      </c>
      <c r="BL487" s="16">
        <f>Table1347456[[#This Row],[v_from_z_from_p]]</f>
        <v>1.7156758533365529E-4</v>
      </c>
      <c r="BM487" s="20">
        <f>SQRT(Table1347456[[#This Row],[v]])</f>
        <v>1.3098381019563269E-2</v>
      </c>
      <c r="BN487" s="20">
        <f>Table1347456[[#This Row],[lnrr]]-(1.96*Table1347456[[#This Row],[se]])</f>
        <v>-4.7174421696771773E-7</v>
      </c>
      <c r="BO487" s="20">
        <f>Table1347456[[#This Row],[lnrr]]+(1.96 * Table1347456[[#This Row],[se]])</f>
        <v>5.1345181852471042E-2</v>
      </c>
    </row>
    <row r="488" spans="1:67">
      <c r="A488" s="13" t="s">
        <v>193</v>
      </c>
      <c r="B488" s="13" t="s">
        <v>194</v>
      </c>
      <c r="C488" s="13" t="s">
        <v>43</v>
      </c>
      <c r="D488" s="13" t="s">
        <v>195</v>
      </c>
      <c r="E488" s="13" t="s">
        <v>97</v>
      </c>
      <c r="F488" s="13" t="s">
        <v>588</v>
      </c>
      <c r="G488" s="13" t="s">
        <v>46</v>
      </c>
      <c r="H488" s="13">
        <v>27.5</v>
      </c>
      <c r="I488" s="13">
        <v>1293</v>
      </c>
      <c r="K488" s="13" t="s">
        <v>855</v>
      </c>
      <c r="L488" s="13" t="s">
        <v>856</v>
      </c>
      <c r="N488" s="13" t="s">
        <v>86</v>
      </c>
      <c r="O488" s="13" t="s">
        <v>644</v>
      </c>
      <c r="P488" s="13" t="s">
        <v>87</v>
      </c>
      <c r="Q488" s="13" t="s">
        <v>48</v>
      </c>
      <c r="R488" s="4">
        <v>3</v>
      </c>
      <c r="S488" s="13" t="s">
        <v>594</v>
      </c>
      <c r="T488" s="13">
        <v>730</v>
      </c>
      <c r="U488" s="4" t="s">
        <v>147</v>
      </c>
      <c r="V488" s="4">
        <v>580</v>
      </c>
      <c r="W488" s="4" t="s">
        <v>601</v>
      </c>
      <c r="X488" s="4">
        <v>587</v>
      </c>
      <c r="Y488" s="4">
        <v>15</v>
      </c>
      <c r="AA488" s="4" t="s">
        <v>49</v>
      </c>
      <c r="AB488" s="4">
        <v>0</v>
      </c>
      <c r="AC488" s="4" t="s">
        <v>49</v>
      </c>
      <c r="AD488" s="4">
        <v>0</v>
      </c>
      <c r="AE488" s="4" t="s">
        <v>49</v>
      </c>
      <c r="AF488" s="4">
        <v>0</v>
      </c>
      <c r="AG488" s="4" t="s">
        <v>729</v>
      </c>
      <c r="AH488" s="4" t="s">
        <v>728</v>
      </c>
      <c r="AI488" s="4" t="s">
        <v>64</v>
      </c>
      <c r="AJ488" s="13">
        <v>0</v>
      </c>
      <c r="AK488" s="13">
        <v>10</v>
      </c>
      <c r="AM488" s="13" t="s">
        <v>508</v>
      </c>
      <c r="AP488" s="13" t="s">
        <v>49</v>
      </c>
      <c r="AQ488" s="13" t="s">
        <v>49</v>
      </c>
      <c r="AR488" s="13" t="s">
        <v>49</v>
      </c>
      <c r="AS488" s="13" t="s">
        <v>49</v>
      </c>
      <c r="AT488" s="13" t="s">
        <v>990</v>
      </c>
      <c r="AU488" s="13" t="s">
        <v>998</v>
      </c>
      <c r="AV488" s="14">
        <f>(0.25*39.1*10)/1000</f>
        <v>9.7750000000000004E-2</v>
      </c>
      <c r="AW488" s="14">
        <f>(0.19*39.1*10)/1000</f>
        <v>7.4290000000000009E-2</v>
      </c>
      <c r="AX488" s="14">
        <f>Table1347456[[#This Row],[treatment_mean]]/Table1347456[[#This Row],[control_mean]]</f>
        <v>1.3157894736842104</v>
      </c>
      <c r="AY488" s="14">
        <f>LN(Table1347456[[#This Row],[rr]])</f>
        <v>0.27443684570176019</v>
      </c>
      <c r="AZ488" s="13" t="s">
        <v>46</v>
      </c>
      <c r="BA488" s="13" t="s">
        <v>46</v>
      </c>
      <c r="BB488" s="14" t="s">
        <v>46</v>
      </c>
      <c r="BC488" s="14" t="s">
        <v>46</v>
      </c>
      <c r="BD488" s="15" t="s">
        <v>46</v>
      </c>
      <c r="BE488" s="14" t="s">
        <v>46</v>
      </c>
      <c r="BF48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88" s="17" t="s">
        <v>46</v>
      </c>
      <c r="BH488" s="13" t="s">
        <v>50</v>
      </c>
      <c r="BI488" s="13">
        <v>0.05</v>
      </c>
      <c r="BJ488" s="18">
        <f>ABS(_xlfn.NORM.S.INV(Table1347456[[#This Row],[p_value]]/2))</f>
        <v>1.9599639845400538</v>
      </c>
      <c r="BK488" s="19">
        <f>(Table1347456[[#This Row],[lnrr]]/Table1347456[[#This Row],[z_from_p]])^2</f>
        <v>1.9605984547589852E-2</v>
      </c>
      <c r="BL488" s="16">
        <f>Table1347456[[#This Row],[v_from_z_from_p]]</f>
        <v>1.9605984547589852E-2</v>
      </c>
      <c r="BM488" s="20">
        <f>SQRT(Table1347456[[#This Row],[v]])</f>
        <v>0.14002137175299295</v>
      </c>
      <c r="BN488" s="20">
        <f>Table1347456[[#This Row],[lnrr]]-(1.96*Table1347456[[#This Row],[se]])</f>
        <v>-5.0429341059698984E-6</v>
      </c>
      <c r="BO488" s="20">
        <f>Table1347456[[#This Row],[lnrr]]+(1.96 * Table1347456[[#This Row],[se]])</f>
        <v>0.54887873433762635</v>
      </c>
    </row>
    <row r="489" spans="1:67">
      <c r="A489" s="13" t="s">
        <v>193</v>
      </c>
      <c r="B489" s="13" t="s">
        <v>194</v>
      </c>
      <c r="C489" s="13" t="s">
        <v>43</v>
      </c>
      <c r="D489" s="13" t="s">
        <v>195</v>
      </c>
      <c r="E489" s="13" t="s">
        <v>97</v>
      </c>
      <c r="F489" s="13" t="s">
        <v>588</v>
      </c>
      <c r="G489" s="13" t="s">
        <v>46</v>
      </c>
      <c r="H489" s="13">
        <v>27.5</v>
      </c>
      <c r="I489" s="13">
        <v>1293</v>
      </c>
      <c r="K489" s="13" t="s">
        <v>855</v>
      </c>
      <c r="L489" s="13" t="s">
        <v>856</v>
      </c>
      <c r="N489" s="13" t="s">
        <v>86</v>
      </c>
      <c r="O489" s="13" t="s">
        <v>644</v>
      </c>
      <c r="P489" s="13" t="s">
        <v>87</v>
      </c>
      <c r="Q489" s="13" t="s">
        <v>48</v>
      </c>
      <c r="R489" s="4">
        <v>3</v>
      </c>
      <c r="S489" s="13" t="s">
        <v>594</v>
      </c>
      <c r="T489" s="13">
        <v>730</v>
      </c>
      <c r="U489" s="4" t="s">
        <v>147</v>
      </c>
      <c r="V489" s="4">
        <v>580</v>
      </c>
      <c r="W489" s="4" t="s">
        <v>601</v>
      </c>
      <c r="X489" s="4">
        <v>587</v>
      </c>
      <c r="Y489" s="4">
        <v>15</v>
      </c>
      <c r="AA489" s="4" t="s">
        <v>49</v>
      </c>
      <c r="AB489" s="4">
        <v>0</v>
      </c>
      <c r="AC489" s="4" t="s">
        <v>50</v>
      </c>
      <c r="AD489" s="4">
        <v>15</v>
      </c>
      <c r="AE489" s="4" t="s">
        <v>49</v>
      </c>
      <c r="AF489" s="4">
        <v>0</v>
      </c>
      <c r="AG489" s="4" t="s">
        <v>729</v>
      </c>
      <c r="AH489" s="4" t="s">
        <v>728</v>
      </c>
      <c r="AI489" s="4" t="s">
        <v>64</v>
      </c>
      <c r="AJ489" s="13">
        <v>0</v>
      </c>
      <c r="AK489" s="13">
        <v>10</v>
      </c>
      <c r="AM489" s="13" t="s">
        <v>508</v>
      </c>
      <c r="AP489" s="13" t="s">
        <v>49</v>
      </c>
      <c r="AQ489" s="13" t="s">
        <v>49</v>
      </c>
      <c r="AR489" s="13" t="s">
        <v>49</v>
      </c>
      <c r="AS489" s="13" t="s">
        <v>49</v>
      </c>
      <c r="AT489" s="13" t="s">
        <v>993</v>
      </c>
      <c r="AU489" s="13" t="s">
        <v>1001</v>
      </c>
      <c r="AV489" s="14">
        <f>(0.69*39.1*10)/1000</f>
        <v>0.26978999999999997</v>
      </c>
      <c r="AW489" s="14">
        <f>(0.45*39.1*10)/1000</f>
        <v>0.17595000000000002</v>
      </c>
      <c r="AX489" s="14">
        <f>Table1347456[[#This Row],[treatment_mean]]/Table1347456[[#This Row],[control_mean]]</f>
        <v>1.533333333333333</v>
      </c>
      <c r="AY489" s="14">
        <f>LN(Table1347456[[#This Row],[rr]])</f>
        <v>0.42744401482693939</v>
      </c>
      <c r="AZ489" s="13" t="s">
        <v>46</v>
      </c>
      <c r="BA489" s="13" t="s">
        <v>46</v>
      </c>
      <c r="BB489" s="14" t="s">
        <v>46</v>
      </c>
      <c r="BC489" s="14" t="s">
        <v>46</v>
      </c>
      <c r="BD489" s="15" t="s">
        <v>46</v>
      </c>
      <c r="BE489" s="14" t="s">
        <v>46</v>
      </c>
      <c r="BF48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89" s="17" t="s">
        <v>46</v>
      </c>
      <c r="BH489" s="13" t="s">
        <v>50</v>
      </c>
      <c r="BI489" s="13">
        <v>0.05</v>
      </c>
      <c r="BJ489" s="18">
        <f>ABS(_xlfn.NORM.S.INV(Table1347456[[#This Row],[p_value]]/2))</f>
        <v>1.9599639845400538</v>
      </c>
      <c r="BK489" s="19">
        <f>(Table1347456[[#This Row],[lnrr]]/Table1347456[[#This Row],[z_from_p]])^2</f>
        <v>4.7562239851983802E-2</v>
      </c>
      <c r="BL489" s="16">
        <f>Table1347456[[#This Row],[v_from_z_from_p]]</f>
        <v>4.7562239851983802E-2</v>
      </c>
      <c r="BM489" s="20">
        <f>SQRT(Table1347456[[#This Row],[v]])</f>
        <v>0.21808768844660581</v>
      </c>
      <c r="BN489" s="20">
        <f>Table1347456[[#This Row],[lnrr]]-(1.96*Table1347456[[#This Row],[se]])</f>
        <v>-7.8545284080133726E-6</v>
      </c>
      <c r="BO489" s="20">
        <f>Table1347456[[#This Row],[lnrr]]+(1.96 * Table1347456[[#This Row],[se]])</f>
        <v>0.85489588418228679</v>
      </c>
    </row>
    <row r="490" spans="1:67">
      <c r="A490" s="13" t="s">
        <v>193</v>
      </c>
      <c r="B490" s="13" t="s">
        <v>194</v>
      </c>
      <c r="C490" s="13" t="s">
        <v>43</v>
      </c>
      <c r="D490" s="13" t="s">
        <v>195</v>
      </c>
      <c r="E490" s="13" t="s">
        <v>97</v>
      </c>
      <c r="F490" s="13" t="s">
        <v>588</v>
      </c>
      <c r="G490" s="13" t="s">
        <v>46</v>
      </c>
      <c r="H490" s="13">
        <v>27.5</v>
      </c>
      <c r="I490" s="13">
        <v>1293</v>
      </c>
      <c r="J490" s="13" t="s">
        <v>654</v>
      </c>
      <c r="K490" s="13" t="s">
        <v>855</v>
      </c>
      <c r="L490" s="13" t="s">
        <v>856</v>
      </c>
      <c r="M490" s="13" t="s">
        <v>800</v>
      </c>
      <c r="N490" s="13" t="s">
        <v>84</v>
      </c>
      <c r="O490" s="13" t="s">
        <v>644</v>
      </c>
      <c r="P490" s="13" t="s">
        <v>85</v>
      </c>
      <c r="Q490" s="13" t="s">
        <v>48</v>
      </c>
      <c r="R490" s="4">
        <v>3</v>
      </c>
      <c r="S490" s="13" t="s">
        <v>594</v>
      </c>
      <c r="T490" s="13">
        <v>730</v>
      </c>
      <c r="U490" s="4" t="s">
        <v>147</v>
      </c>
      <c r="V490" s="4">
        <v>580</v>
      </c>
      <c r="W490" s="4" t="s">
        <v>601</v>
      </c>
      <c r="X490" s="4">
        <v>587</v>
      </c>
      <c r="Y490" s="4">
        <v>15</v>
      </c>
      <c r="AA490" s="4" t="s">
        <v>50</v>
      </c>
      <c r="AB490" s="4">
        <v>200</v>
      </c>
      <c r="AC490" s="4" t="s">
        <v>49</v>
      </c>
      <c r="AD490" s="4">
        <v>0</v>
      </c>
      <c r="AE490" s="4" t="s">
        <v>49</v>
      </c>
      <c r="AF490" s="4">
        <v>0</v>
      </c>
      <c r="AG490" s="4" t="s">
        <v>729</v>
      </c>
      <c r="AH490" s="4" t="s">
        <v>728</v>
      </c>
      <c r="AI490" s="4" t="s">
        <v>64</v>
      </c>
      <c r="AJ490" s="13">
        <v>0</v>
      </c>
      <c r="AK490" s="13">
        <v>10</v>
      </c>
      <c r="AM490" s="13" t="s">
        <v>508</v>
      </c>
      <c r="AP490" s="13" t="s">
        <v>49</v>
      </c>
      <c r="AQ490" s="13" t="s">
        <v>49</v>
      </c>
      <c r="AR490" s="13" t="s">
        <v>49</v>
      </c>
      <c r="AS490" s="13" t="s">
        <v>49</v>
      </c>
      <c r="AT490" s="13" t="s">
        <v>992</v>
      </c>
      <c r="AU490" s="4" t="s">
        <v>1000</v>
      </c>
      <c r="AV490" s="23">
        <f>0.77/1000</f>
        <v>7.7000000000000007E-4</v>
      </c>
      <c r="AW490" s="23">
        <f>0.52/1000</f>
        <v>5.2000000000000006E-4</v>
      </c>
      <c r="AX490" s="14">
        <f>Table1347456[[#This Row],[treatment_mean]]/Table1347456[[#This Row],[control_mean]]</f>
        <v>1.4807692307692306</v>
      </c>
      <c r="AY490" s="14">
        <f>LN(Table1347456[[#This Row],[rr]])</f>
        <v>0.39256170327225637</v>
      </c>
      <c r="AZ490" s="13" t="s">
        <v>46</v>
      </c>
      <c r="BA490" s="13" t="s">
        <v>46</v>
      </c>
      <c r="BB490" s="14" t="s">
        <v>46</v>
      </c>
      <c r="BC490" s="14" t="s">
        <v>46</v>
      </c>
      <c r="BD490" s="15" t="s">
        <v>46</v>
      </c>
      <c r="BE490" s="14" t="s">
        <v>46</v>
      </c>
      <c r="BF49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90" s="17" t="s">
        <v>46</v>
      </c>
      <c r="BH490" s="13" t="s">
        <v>50</v>
      </c>
      <c r="BI490" s="13">
        <v>0.05</v>
      </c>
      <c r="BJ490" s="18">
        <f>ABS(_xlfn.NORM.S.INV(Table1347456[[#This Row],[p_value]]/2))</f>
        <v>1.9599639845400538</v>
      </c>
      <c r="BK490" s="19">
        <f>(Table1347456[[#This Row],[lnrr]]/Table1347456[[#This Row],[z_from_p]])^2</f>
        <v>4.0116189726112805E-2</v>
      </c>
      <c r="BL490" s="16">
        <f>Table1347456[[#This Row],[v_from_z_from_p]]</f>
        <v>4.0116189726112805E-2</v>
      </c>
      <c r="BM490" s="20">
        <f>SQRT(Table1347456[[#This Row],[v]])</f>
        <v>0.20029026368276817</v>
      </c>
      <c r="BN490" s="20">
        <f>Table1347456[[#This Row],[lnrr]]-(1.96*Table1347456[[#This Row],[se]])</f>
        <v>-7.213545969220192E-6</v>
      </c>
      <c r="BO490" s="20">
        <f>Table1347456[[#This Row],[lnrr]]+(1.96 * Table1347456[[#This Row],[se]])</f>
        <v>0.78513062009048196</v>
      </c>
    </row>
    <row r="491" spans="1:67">
      <c r="A491" s="13" t="s">
        <v>196</v>
      </c>
      <c r="B491" s="13" t="s">
        <v>197</v>
      </c>
      <c r="C491" s="13" t="s">
        <v>43</v>
      </c>
      <c r="D491" s="13" t="s">
        <v>198</v>
      </c>
      <c r="E491" s="13" t="s">
        <v>91</v>
      </c>
      <c r="F491" s="13" t="s">
        <v>587</v>
      </c>
      <c r="G491" s="13" t="s">
        <v>199</v>
      </c>
      <c r="H491" s="13">
        <v>28</v>
      </c>
      <c r="I491" s="13">
        <v>1073</v>
      </c>
      <c r="K491" s="13" t="s">
        <v>857</v>
      </c>
      <c r="L491" s="13" t="s">
        <v>858</v>
      </c>
      <c r="N491" s="13" t="s">
        <v>47</v>
      </c>
      <c r="O491" s="13" t="s">
        <v>645</v>
      </c>
      <c r="P491" s="13" t="s">
        <v>422</v>
      </c>
      <c r="Q491" s="13" t="s">
        <v>48</v>
      </c>
      <c r="R491" s="4">
        <v>3</v>
      </c>
      <c r="S491" s="13" t="s">
        <v>596</v>
      </c>
      <c r="T491" s="13">
        <v>730</v>
      </c>
      <c r="U491" s="4" t="s">
        <v>200</v>
      </c>
      <c r="V491" s="4">
        <v>450</v>
      </c>
      <c r="W491" s="4" t="s">
        <v>601</v>
      </c>
      <c r="X491" s="4">
        <v>467.2</v>
      </c>
      <c r="Y491" s="4">
        <v>25</v>
      </c>
      <c r="AA491" s="4" t="s">
        <v>49</v>
      </c>
      <c r="AB491" s="4">
        <v>0</v>
      </c>
      <c r="AC491" s="4" t="s">
        <v>49</v>
      </c>
      <c r="AD491" s="4">
        <v>0</v>
      </c>
      <c r="AE491" s="4" t="s">
        <v>49</v>
      </c>
      <c r="AF491" s="4">
        <v>0</v>
      </c>
      <c r="AG491" s="4" t="s">
        <v>686</v>
      </c>
      <c r="AH491" s="4" t="s">
        <v>750</v>
      </c>
      <c r="AI491" s="4" t="s">
        <v>988</v>
      </c>
      <c r="AJ491" s="13">
        <v>0</v>
      </c>
      <c r="AK491" s="13">
        <v>30</v>
      </c>
      <c r="AM491" s="13">
        <v>1.35</v>
      </c>
      <c r="AP491" s="13" t="s">
        <v>50</v>
      </c>
      <c r="AQ491" s="13" t="s">
        <v>49</v>
      </c>
      <c r="AR491" s="13" t="s">
        <v>50</v>
      </c>
      <c r="AS491" s="13" t="s">
        <v>49</v>
      </c>
      <c r="AT491" s="13" t="s">
        <v>990</v>
      </c>
      <c r="AU491" s="13" t="s">
        <v>998</v>
      </c>
      <c r="AV491" s="14">
        <f>0.47*10</f>
        <v>4.6999999999999993</v>
      </c>
      <c r="AW491" s="14">
        <f>0.36*10</f>
        <v>3.5999999999999996</v>
      </c>
      <c r="AX491" s="14">
        <f>Table1347456[[#This Row],[treatment_mean]]/Table1347456[[#This Row],[control_mean]]</f>
        <v>1.3055555555555556</v>
      </c>
      <c r="AY491" s="14">
        <f>LN(Table1347456[[#This Row],[rr]])</f>
        <v>0.26662866325394863</v>
      </c>
      <c r="AZ491" s="13">
        <v>3</v>
      </c>
      <c r="BA491" s="13">
        <v>3</v>
      </c>
      <c r="BB491" s="14" t="s">
        <v>46</v>
      </c>
      <c r="BC491" s="14" t="s">
        <v>46</v>
      </c>
      <c r="BD491" s="15" t="s">
        <v>46</v>
      </c>
      <c r="BE491" s="14" t="s">
        <v>46</v>
      </c>
      <c r="BF49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91" s="17" t="s">
        <v>46</v>
      </c>
      <c r="BH491" s="13" t="s">
        <v>50</v>
      </c>
      <c r="BI491" s="13">
        <v>2.5000000000000001E-2</v>
      </c>
      <c r="BJ491" s="18">
        <f>ABS(_xlfn.NORM.S.INV(Table1347456[[#This Row],[p_value]]/2))</f>
        <v>2.2414027276049446</v>
      </c>
      <c r="BK491" s="19">
        <f>(Table1347456[[#This Row],[lnrr]]/Table1347456[[#This Row],[z_from_p]])^2</f>
        <v>1.4150568189241449E-2</v>
      </c>
      <c r="BL491" s="16">
        <f>Table1347456[[#This Row],[v_from_z_from_p]]</f>
        <v>1.4150568189241449E-2</v>
      </c>
      <c r="BM491" s="20">
        <f>SQRT(Table1347456[[#This Row],[v]])</f>
        <v>0.11895616078724737</v>
      </c>
      <c r="BN491" s="20">
        <f>Table1347456[[#This Row],[lnrr]]-(1.96*Table1347456[[#This Row],[se]])</f>
        <v>3.3474588110943782E-2</v>
      </c>
      <c r="BO491" s="20">
        <f>Table1347456[[#This Row],[lnrr]]+(1.96 * Table1347456[[#This Row],[se]])</f>
        <v>0.49978273839695347</v>
      </c>
    </row>
    <row r="492" spans="1:67">
      <c r="A492" s="13" t="s">
        <v>196</v>
      </c>
      <c r="B492" s="13" t="s">
        <v>197</v>
      </c>
      <c r="C492" s="13" t="s">
        <v>43</v>
      </c>
      <c r="D492" s="13" t="s">
        <v>198</v>
      </c>
      <c r="E492" s="13" t="s">
        <v>91</v>
      </c>
      <c r="F492" s="13" t="s">
        <v>587</v>
      </c>
      <c r="G492" s="13" t="s">
        <v>199</v>
      </c>
      <c r="H492" s="13">
        <v>28</v>
      </c>
      <c r="I492" s="13">
        <v>1073</v>
      </c>
      <c r="K492" s="13" t="s">
        <v>857</v>
      </c>
      <c r="L492" s="13" t="s">
        <v>858</v>
      </c>
      <c r="N492" s="13" t="s">
        <v>47</v>
      </c>
      <c r="O492" s="13" t="s">
        <v>645</v>
      </c>
      <c r="P492" s="13" t="s">
        <v>422</v>
      </c>
      <c r="Q492" s="13" t="s">
        <v>48</v>
      </c>
      <c r="R492" s="4">
        <v>3</v>
      </c>
      <c r="S492" s="13" t="s">
        <v>596</v>
      </c>
      <c r="T492" s="13">
        <v>730</v>
      </c>
      <c r="U492" s="4" t="s">
        <v>200</v>
      </c>
      <c r="V492" s="4">
        <v>450</v>
      </c>
      <c r="W492" s="4" t="s">
        <v>601</v>
      </c>
      <c r="X492" s="4">
        <v>467.2</v>
      </c>
      <c r="Y492" s="4">
        <v>50</v>
      </c>
      <c r="AA492" s="4" t="s">
        <v>49</v>
      </c>
      <c r="AB492" s="4">
        <v>0</v>
      </c>
      <c r="AC492" s="4" t="s">
        <v>49</v>
      </c>
      <c r="AD492" s="4">
        <v>0</v>
      </c>
      <c r="AE492" s="4" t="s">
        <v>49</v>
      </c>
      <c r="AF492" s="4">
        <v>0</v>
      </c>
      <c r="AG492" s="4" t="s">
        <v>686</v>
      </c>
      <c r="AH492" s="4" t="s">
        <v>750</v>
      </c>
      <c r="AI492" s="4" t="s">
        <v>988</v>
      </c>
      <c r="AJ492" s="13">
        <v>0</v>
      </c>
      <c r="AK492" s="13">
        <v>30</v>
      </c>
      <c r="AM492" s="13">
        <v>1.35</v>
      </c>
      <c r="AP492" s="13" t="s">
        <v>50</v>
      </c>
      <c r="AQ492" s="13" t="s">
        <v>49</v>
      </c>
      <c r="AR492" s="13" t="s">
        <v>50</v>
      </c>
      <c r="AS492" s="13" t="s">
        <v>49</v>
      </c>
      <c r="AT492" s="13" t="s">
        <v>990</v>
      </c>
      <c r="AU492" s="13" t="s">
        <v>998</v>
      </c>
      <c r="AV492" s="14">
        <f>0.61*10</f>
        <v>6.1</v>
      </c>
      <c r="AW492" s="14">
        <f>0.36*10</f>
        <v>3.5999999999999996</v>
      </c>
      <c r="AX492" s="14">
        <f>Table1347456[[#This Row],[treatment_mean]]/Table1347456[[#This Row],[control_mean]]</f>
        <v>1.6944444444444444</v>
      </c>
      <c r="AY492" s="14">
        <f>LN(Table1347456[[#This Row],[rr]])</f>
        <v>0.52735492571720122</v>
      </c>
      <c r="AZ492" s="13">
        <v>3</v>
      </c>
      <c r="BA492" s="13">
        <v>3</v>
      </c>
      <c r="BB492" s="14" t="s">
        <v>46</v>
      </c>
      <c r="BC492" s="14" t="s">
        <v>46</v>
      </c>
      <c r="BD492" s="15" t="s">
        <v>46</v>
      </c>
      <c r="BE492" s="14" t="s">
        <v>46</v>
      </c>
      <c r="BF49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92" s="17" t="s">
        <v>46</v>
      </c>
      <c r="BH492" s="13" t="s">
        <v>50</v>
      </c>
      <c r="BI492" s="13">
        <v>2.5000000000000001E-2</v>
      </c>
      <c r="BJ492" s="18">
        <f>ABS(_xlfn.NORM.S.INV(Table1347456[[#This Row],[p_value]]/2))</f>
        <v>2.2414027276049446</v>
      </c>
      <c r="BK492" s="19">
        <f>(Table1347456[[#This Row],[lnrr]]/Table1347456[[#This Row],[z_from_p]])^2</f>
        <v>5.5356193852558702E-2</v>
      </c>
      <c r="BL492" s="16">
        <f>Table1347456[[#This Row],[v_from_z_from_p]]</f>
        <v>5.5356193852558702E-2</v>
      </c>
      <c r="BM492" s="20">
        <f>SQRT(Table1347456[[#This Row],[v]])</f>
        <v>0.23527897027265038</v>
      </c>
      <c r="BN492" s="20">
        <f>Table1347456[[#This Row],[lnrr]]-(1.96*Table1347456[[#This Row],[se]])</f>
        <v>6.62081439828065E-2</v>
      </c>
      <c r="BO492" s="20">
        <f>Table1347456[[#This Row],[lnrr]]+(1.96 * Table1347456[[#This Row],[se]])</f>
        <v>0.98850170745159593</v>
      </c>
    </row>
    <row r="493" spans="1:67">
      <c r="A493" s="13" t="s">
        <v>196</v>
      </c>
      <c r="B493" s="13" t="s">
        <v>197</v>
      </c>
      <c r="C493" s="13" t="s">
        <v>43</v>
      </c>
      <c r="D493" s="13" t="s">
        <v>198</v>
      </c>
      <c r="E493" s="13" t="s">
        <v>91</v>
      </c>
      <c r="F493" s="13" t="s">
        <v>587</v>
      </c>
      <c r="G493" s="13" t="s">
        <v>199</v>
      </c>
      <c r="H493" s="13">
        <v>28</v>
      </c>
      <c r="I493" s="13">
        <v>1073</v>
      </c>
      <c r="K493" s="13" t="s">
        <v>857</v>
      </c>
      <c r="L493" s="13" t="s">
        <v>858</v>
      </c>
      <c r="N493" s="13" t="s">
        <v>53</v>
      </c>
      <c r="O493" s="13" t="s">
        <v>54</v>
      </c>
      <c r="P493" s="13" t="s">
        <v>418</v>
      </c>
      <c r="Q493" s="13" t="s">
        <v>48</v>
      </c>
      <c r="R493" s="4">
        <v>3</v>
      </c>
      <c r="S493" s="13" t="s">
        <v>596</v>
      </c>
      <c r="T493" s="13">
        <v>730</v>
      </c>
      <c r="U493" s="4" t="s">
        <v>200</v>
      </c>
      <c r="V493" s="4">
        <v>450</v>
      </c>
      <c r="W493" s="4" t="s">
        <v>601</v>
      </c>
      <c r="X493" s="4">
        <v>467.2</v>
      </c>
      <c r="Y493" s="4">
        <v>25</v>
      </c>
      <c r="AA493" s="4" t="s">
        <v>49</v>
      </c>
      <c r="AB493" s="4">
        <v>0</v>
      </c>
      <c r="AC493" s="4" t="s">
        <v>49</v>
      </c>
      <c r="AD493" s="4">
        <v>0</v>
      </c>
      <c r="AE493" s="4" t="s">
        <v>49</v>
      </c>
      <c r="AF493" s="4">
        <v>0</v>
      </c>
      <c r="AG493" s="4" t="s">
        <v>686</v>
      </c>
      <c r="AH493" s="4" t="s">
        <v>750</v>
      </c>
      <c r="AI493" s="4" t="s">
        <v>988</v>
      </c>
      <c r="AJ493" s="13">
        <v>0</v>
      </c>
      <c r="AK493" s="13">
        <v>30</v>
      </c>
      <c r="AM493" s="13">
        <v>1.35</v>
      </c>
      <c r="AP493" s="13" t="s">
        <v>50</v>
      </c>
      <c r="AQ493" s="13" t="s">
        <v>49</v>
      </c>
      <c r="AR493" s="13" t="s">
        <v>50</v>
      </c>
      <c r="AS493" s="13" t="s">
        <v>49</v>
      </c>
      <c r="AT493" s="13" t="s">
        <v>990</v>
      </c>
      <c r="AU493" s="13" t="s">
        <v>998</v>
      </c>
      <c r="AV493" s="14">
        <v>1.48</v>
      </c>
      <c r="AW493" s="14">
        <v>1.83</v>
      </c>
      <c r="AX493" s="14">
        <f>Table1347456[[#This Row],[treatment_mean]]/Table1347456[[#This Row],[control_mean]]</f>
        <v>0.80874316939890711</v>
      </c>
      <c r="AY493" s="14">
        <f>LN(Table1347456[[#This Row],[rr]])</f>
        <v>-0.21227387907730585</v>
      </c>
      <c r="AZ493" s="13">
        <v>3</v>
      </c>
      <c r="BA493" s="13">
        <v>3</v>
      </c>
      <c r="BB493" s="14" t="s">
        <v>46</v>
      </c>
      <c r="BC493" s="14" t="s">
        <v>46</v>
      </c>
      <c r="BD493" s="15" t="s">
        <v>46</v>
      </c>
      <c r="BE493" s="14" t="s">
        <v>46</v>
      </c>
      <c r="BF49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93" s="17" t="s">
        <v>46</v>
      </c>
      <c r="BH493" s="13" t="s">
        <v>50</v>
      </c>
      <c r="BI493" s="13">
        <v>2.5000000000000001E-2</v>
      </c>
      <c r="BJ493" s="18">
        <f>ABS(_xlfn.NORM.S.INV(Table1347456[[#This Row],[p_value]]/2))</f>
        <v>2.2414027276049446</v>
      </c>
      <c r="BK493" s="19">
        <f>(Table1347456[[#This Row],[lnrr]]/Table1347456[[#This Row],[z_from_p]])^2</f>
        <v>8.9691919877289226E-3</v>
      </c>
      <c r="BL493" s="16">
        <f>Table1347456[[#This Row],[v_from_z_from_p]]</f>
        <v>8.9691919877289226E-3</v>
      </c>
      <c r="BM493" s="20">
        <f>SQRT(Table1347456[[#This Row],[v]])</f>
        <v>9.4705818130297159E-2</v>
      </c>
      <c r="BN493" s="20">
        <f>Table1347456[[#This Row],[lnrr]]-(1.96*Table1347456[[#This Row],[se]])</f>
        <v>-0.39789728261268831</v>
      </c>
      <c r="BO493" s="20">
        <f>Table1347456[[#This Row],[lnrr]]+(1.96 * Table1347456[[#This Row],[se]])</f>
        <v>-2.665047554192343E-2</v>
      </c>
    </row>
    <row r="494" spans="1:67">
      <c r="A494" s="13" t="s">
        <v>196</v>
      </c>
      <c r="B494" s="13" t="s">
        <v>197</v>
      </c>
      <c r="C494" s="13" t="s">
        <v>43</v>
      </c>
      <c r="D494" s="13" t="s">
        <v>198</v>
      </c>
      <c r="E494" s="13" t="s">
        <v>91</v>
      </c>
      <c r="F494" s="13" t="s">
        <v>587</v>
      </c>
      <c r="G494" s="13" t="s">
        <v>199</v>
      </c>
      <c r="H494" s="13">
        <v>28</v>
      </c>
      <c r="I494" s="13">
        <v>1073</v>
      </c>
      <c r="K494" s="13" t="s">
        <v>857</v>
      </c>
      <c r="L494" s="13" t="s">
        <v>858</v>
      </c>
      <c r="N494" s="13" t="s">
        <v>53</v>
      </c>
      <c r="O494" s="13" t="s">
        <v>54</v>
      </c>
      <c r="P494" s="13" t="s">
        <v>418</v>
      </c>
      <c r="Q494" s="13" t="s">
        <v>48</v>
      </c>
      <c r="R494" s="4">
        <v>3</v>
      </c>
      <c r="S494" s="13" t="s">
        <v>596</v>
      </c>
      <c r="T494" s="13">
        <v>730</v>
      </c>
      <c r="U494" s="4" t="s">
        <v>200</v>
      </c>
      <c r="V494" s="4">
        <v>450</v>
      </c>
      <c r="W494" s="4" t="s">
        <v>601</v>
      </c>
      <c r="X494" s="4">
        <v>467.2</v>
      </c>
      <c r="Y494" s="4">
        <v>50</v>
      </c>
      <c r="AA494" s="4" t="s">
        <v>49</v>
      </c>
      <c r="AB494" s="4">
        <v>0</v>
      </c>
      <c r="AC494" s="4" t="s">
        <v>49</v>
      </c>
      <c r="AD494" s="4">
        <v>0</v>
      </c>
      <c r="AE494" s="4" t="s">
        <v>49</v>
      </c>
      <c r="AF494" s="4">
        <v>0</v>
      </c>
      <c r="AG494" s="4" t="s">
        <v>686</v>
      </c>
      <c r="AH494" s="4" t="s">
        <v>750</v>
      </c>
      <c r="AI494" s="4" t="s">
        <v>988</v>
      </c>
      <c r="AJ494" s="13">
        <v>0</v>
      </c>
      <c r="AK494" s="13">
        <v>30</v>
      </c>
      <c r="AM494" s="13">
        <v>1.35</v>
      </c>
      <c r="AP494" s="13" t="s">
        <v>50</v>
      </c>
      <c r="AQ494" s="13" t="s">
        <v>49</v>
      </c>
      <c r="AR494" s="13" t="s">
        <v>50</v>
      </c>
      <c r="AS494" s="13" t="s">
        <v>49</v>
      </c>
      <c r="AT494" s="13" t="s">
        <v>990</v>
      </c>
      <c r="AU494" s="13" t="s">
        <v>998</v>
      </c>
      <c r="AV494" s="14">
        <v>0.6</v>
      </c>
      <c r="AW494" s="14">
        <v>1.83</v>
      </c>
      <c r="AX494" s="14">
        <f>Table1347456[[#This Row],[treatment_mean]]/Table1347456[[#This Row],[control_mean]]</f>
        <v>0.32786885245901637</v>
      </c>
      <c r="AY494" s="14">
        <f>LN(Table1347456[[#This Row],[rr]])</f>
        <v>-1.1151415906193203</v>
      </c>
      <c r="AZ494" s="13">
        <v>3</v>
      </c>
      <c r="BA494" s="13">
        <v>3</v>
      </c>
      <c r="BB494" s="14" t="s">
        <v>46</v>
      </c>
      <c r="BC494" s="14" t="s">
        <v>46</v>
      </c>
      <c r="BD494" s="15" t="s">
        <v>46</v>
      </c>
      <c r="BE494" s="14" t="s">
        <v>46</v>
      </c>
      <c r="BF49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94" s="17" t="s">
        <v>46</v>
      </c>
      <c r="BH494" s="13" t="s">
        <v>50</v>
      </c>
      <c r="BI494" s="13">
        <v>2.5000000000000001E-2</v>
      </c>
      <c r="BJ494" s="18">
        <f>ABS(_xlfn.NORM.S.INV(Table1347456[[#This Row],[p_value]]/2))</f>
        <v>2.2414027276049446</v>
      </c>
      <c r="BK494" s="19">
        <f>(Table1347456[[#This Row],[lnrr]]/Table1347456[[#This Row],[z_from_p]])^2</f>
        <v>0.24752566454807018</v>
      </c>
      <c r="BL494" s="16">
        <f>Table1347456[[#This Row],[v_from_z_from_p]]</f>
        <v>0.24752566454807018</v>
      </c>
      <c r="BM494" s="20">
        <f>SQRT(Table1347456[[#This Row],[v]])</f>
        <v>0.49751951172599268</v>
      </c>
      <c r="BN494" s="20">
        <f>Table1347456[[#This Row],[lnrr]]-(1.96*Table1347456[[#This Row],[se]])</f>
        <v>-2.0902798336022661</v>
      </c>
      <c r="BO494" s="20">
        <f>Table1347456[[#This Row],[lnrr]]+(1.96 * Table1347456[[#This Row],[se]])</f>
        <v>-0.14000334763637468</v>
      </c>
    </row>
    <row r="495" spans="1:67">
      <c r="A495" s="13" t="s">
        <v>196</v>
      </c>
      <c r="B495" s="13" t="s">
        <v>197</v>
      </c>
      <c r="C495" s="13" t="s">
        <v>43</v>
      </c>
      <c r="D495" s="13" t="s">
        <v>198</v>
      </c>
      <c r="E495" s="13" t="s">
        <v>91</v>
      </c>
      <c r="F495" s="13" t="s">
        <v>587</v>
      </c>
      <c r="G495" s="13" t="s">
        <v>199</v>
      </c>
      <c r="H495" s="13">
        <v>28</v>
      </c>
      <c r="I495" s="13">
        <v>1073</v>
      </c>
      <c r="K495" s="13" t="s">
        <v>857</v>
      </c>
      <c r="L495" s="13" t="s">
        <v>858</v>
      </c>
      <c r="N495" s="13" t="s">
        <v>617</v>
      </c>
      <c r="O495" s="13" t="s">
        <v>54</v>
      </c>
      <c r="P495" s="13" t="s">
        <v>418</v>
      </c>
      <c r="Q495" s="13" t="s">
        <v>48</v>
      </c>
      <c r="R495" s="4">
        <v>3</v>
      </c>
      <c r="S495" s="13" t="s">
        <v>596</v>
      </c>
      <c r="T495" s="13">
        <v>730</v>
      </c>
      <c r="U495" s="4" t="s">
        <v>200</v>
      </c>
      <c r="V495" s="4">
        <v>450</v>
      </c>
      <c r="W495" s="4" t="s">
        <v>601</v>
      </c>
      <c r="X495" s="4">
        <v>467.2</v>
      </c>
      <c r="Y495" s="4">
        <v>25</v>
      </c>
      <c r="AA495" s="4" t="s">
        <v>49</v>
      </c>
      <c r="AB495" s="4">
        <v>0</v>
      </c>
      <c r="AC495" s="4" t="s">
        <v>49</v>
      </c>
      <c r="AD495" s="4">
        <v>0</v>
      </c>
      <c r="AE495" s="4" t="s">
        <v>49</v>
      </c>
      <c r="AF495" s="4">
        <v>0</v>
      </c>
      <c r="AG495" s="4" t="s">
        <v>686</v>
      </c>
      <c r="AH495" s="4" t="s">
        <v>750</v>
      </c>
      <c r="AI495" s="4" t="s">
        <v>988</v>
      </c>
      <c r="AJ495" s="13">
        <v>0</v>
      </c>
      <c r="AK495" s="13">
        <v>30</v>
      </c>
      <c r="AM495" s="13">
        <v>1.35</v>
      </c>
      <c r="AP495" s="13" t="s">
        <v>50</v>
      </c>
      <c r="AQ495" s="13" t="s">
        <v>49</v>
      </c>
      <c r="AR495" s="13" t="s">
        <v>50</v>
      </c>
      <c r="AS495" s="13" t="s">
        <v>49</v>
      </c>
      <c r="AT495" s="13" t="s">
        <v>990</v>
      </c>
      <c r="AU495" s="13" t="s">
        <v>998</v>
      </c>
      <c r="AV495" s="14">
        <v>3.3000000000000002E-2</v>
      </c>
      <c r="AW495" s="14">
        <v>4.4999999999999998E-2</v>
      </c>
      <c r="AX495" s="14">
        <f>Table1347456[[#This Row],[treatment_mean]]/Table1347456[[#This Row],[control_mean]]</f>
        <v>0.73333333333333339</v>
      </c>
      <c r="AY495" s="14">
        <f>LN(Table1347456[[#This Row],[rr]])</f>
        <v>-0.31015492830383945</v>
      </c>
      <c r="AZ495" s="13">
        <v>3</v>
      </c>
      <c r="BA495" s="13">
        <v>3</v>
      </c>
      <c r="BB495" s="14" t="s">
        <v>46</v>
      </c>
      <c r="BC495" s="14" t="s">
        <v>46</v>
      </c>
      <c r="BD495" s="15" t="s">
        <v>46</v>
      </c>
      <c r="BE495" s="14" t="s">
        <v>46</v>
      </c>
      <c r="BF49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95" s="17" t="s">
        <v>46</v>
      </c>
      <c r="BH495" s="13" t="s">
        <v>50</v>
      </c>
      <c r="BI495" s="13">
        <v>2.5000000000000001E-2</v>
      </c>
      <c r="BJ495" s="18">
        <f>ABS(_xlfn.NORM.S.INV(Table1347456[[#This Row],[p_value]]/2))</f>
        <v>2.2414027276049446</v>
      </c>
      <c r="BK495" s="19">
        <f>(Table1347456[[#This Row],[lnrr]]/Table1347456[[#This Row],[z_from_p]])^2</f>
        <v>1.9147742596966288E-2</v>
      </c>
      <c r="BL495" s="16">
        <f>Table1347456[[#This Row],[v_from_z_from_p]]</f>
        <v>1.9147742596966288E-2</v>
      </c>
      <c r="BM495" s="20">
        <f>SQRT(Table1347456[[#This Row],[v]])</f>
        <v>0.13837536846189891</v>
      </c>
      <c r="BN495" s="20">
        <f>Table1347456[[#This Row],[lnrr]]-(1.96*Table1347456[[#This Row],[se]])</f>
        <v>-0.58137065048916137</v>
      </c>
      <c r="BO495" s="20">
        <f>Table1347456[[#This Row],[lnrr]]+(1.96 * Table1347456[[#This Row],[se]])</f>
        <v>-3.8939206118517589E-2</v>
      </c>
    </row>
    <row r="496" spans="1:67">
      <c r="A496" s="13" t="s">
        <v>196</v>
      </c>
      <c r="B496" s="13" t="s">
        <v>197</v>
      </c>
      <c r="C496" s="13" t="s">
        <v>43</v>
      </c>
      <c r="D496" s="13" t="s">
        <v>198</v>
      </c>
      <c r="E496" s="13" t="s">
        <v>91</v>
      </c>
      <c r="F496" s="13" t="s">
        <v>587</v>
      </c>
      <c r="G496" s="13" t="s">
        <v>199</v>
      </c>
      <c r="H496" s="13">
        <v>28</v>
      </c>
      <c r="I496" s="13">
        <v>1073</v>
      </c>
      <c r="K496" s="13" t="s">
        <v>857</v>
      </c>
      <c r="L496" s="13" t="s">
        <v>858</v>
      </c>
      <c r="N496" s="13" t="s">
        <v>617</v>
      </c>
      <c r="O496" s="13" t="s">
        <v>54</v>
      </c>
      <c r="P496" s="13" t="s">
        <v>418</v>
      </c>
      <c r="Q496" s="13" t="s">
        <v>48</v>
      </c>
      <c r="R496" s="4">
        <v>3</v>
      </c>
      <c r="S496" s="13" t="s">
        <v>596</v>
      </c>
      <c r="T496" s="13">
        <v>730</v>
      </c>
      <c r="U496" s="4" t="s">
        <v>200</v>
      </c>
      <c r="V496" s="4">
        <v>450</v>
      </c>
      <c r="W496" s="4" t="s">
        <v>601</v>
      </c>
      <c r="X496" s="4">
        <v>467.2</v>
      </c>
      <c r="Y496" s="4">
        <v>50</v>
      </c>
      <c r="AA496" s="4" t="s">
        <v>49</v>
      </c>
      <c r="AB496" s="4">
        <v>0</v>
      </c>
      <c r="AC496" s="4" t="s">
        <v>49</v>
      </c>
      <c r="AD496" s="4">
        <v>0</v>
      </c>
      <c r="AE496" s="4" t="s">
        <v>49</v>
      </c>
      <c r="AF496" s="4">
        <v>0</v>
      </c>
      <c r="AG496" s="4" t="s">
        <v>686</v>
      </c>
      <c r="AH496" s="4" t="s">
        <v>750</v>
      </c>
      <c r="AI496" s="4" t="s">
        <v>988</v>
      </c>
      <c r="AJ496" s="13">
        <v>0</v>
      </c>
      <c r="AK496" s="13">
        <v>30</v>
      </c>
      <c r="AM496" s="13">
        <v>1.35</v>
      </c>
      <c r="AP496" s="13" t="s">
        <v>50</v>
      </c>
      <c r="AQ496" s="13" t="s">
        <v>49</v>
      </c>
      <c r="AR496" s="13" t="s">
        <v>50</v>
      </c>
      <c r="AS496" s="13" t="s">
        <v>49</v>
      </c>
      <c r="AT496" s="13" t="s">
        <v>990</v>
      </c>
      <c r="AU496" s="13" t="s">
        <v>998</v>
      </c>
      <c r="AV496" s="14">
        <v>2.4E-2</v>
      </c>
      <c r="AW496" s="14">
        <v>4.4999999999999998E-2</v>
      </c>
      <c r="AX496" s="14">
        <f>Table1347456[[#This Row],[treatment_mean]]/Table1347456[[#This Row],[control_mean]]</f>
        <v>0.53333333333333333</v>
      </c>
      <c r="AY496" s="14">
        <f>LN(Table1347456[[#This Row],[rr]])</f>
        <v>-0.62860865942237421</v>
      </c>
      <c r="AZ496" s="13">
        <v>3</v>
      </c>
      <c r="BA496" s="13">
        <v>3</v>
      </c>
      <c r="BB496" s="14" t="s">
        <v>46</v>
      </c>
      <c r="BC496" s="14" t="s">
        <v>46</v>
      </c>
      <c r="BD496" s="15" t="s">
        <v>46</v>
      </c>
      <c r="BE496" s="14" t="s">
        <v>46</v>
      </c>
      <c r="BF49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96" s="17" t="s">
        <v>46</v>
      </c>
      <c r="BH496" s="13" t="s">
        <v>50</v>
      </c>
      <c r="BI496" s="13">
        <v>2.5000000000000001E-2</v>
      </c>
      <c r="BJ496" s="18">
        <f>ABS(_xlfn.NORM.S.INV(Table1347456[[#This Row],[p_value]]/2))</f>
        <v>2.2414027276049446</v>
      </c>
      <c r="BK496" s="19">
        <f>(Table1347456[[#This Row],[lnrr]]/Table1347456[[#This Row],[z_from_p]])^2</f>
        <v>7.8654020407255582E-2</v>
      </c>
      <c r="BL496" s="16">
        <f>Table1347456[[#This Row],[v_from_z_from_p]]</f>
        <v>7.8654020407255582E-2</v>
      </c>
      <c r="BM496" s="20">
        <f>SQRT(Table1347456[[#This Row],[v]])</f>
        <v>0.28045324103539182</v>
      </c>
      <c r="BN496" s="20">
        <f>Table1347456[[#This Row],[lnrr]]-(1.96*Table1347456[[#This Row],[se]])</f>
        <v>-1.1782970118517422</v>
      </c>
      <c r="BO496" s="20">
        <f>Table1347456[[#This Row],[lnrr]]+(1.96 * Table1347456[[#This Row],[se]])</f>
        <v>-7.8920306993006228E-2</v>
      </c>
    </row>
    <row r="497" spans="1:67">
      <c r="A497" s="13" t="s">
        <v>196</v>
      </c>
      <c r="B497" s="13" t="s">
        <v>197</v>
      </c>
      <c r="C497" s="13" t="s">
        <v>43</v>
      </c>
      <c r="D497" s="13" t="s">
        <v>198</v>
      </c>
      <c r="E497" s="13" t="s">
        <v>91</v>
      </c>
      <c r="F497" s="13" t="s">
        <v>587</v>
      </c>
      <c r="G497" s="13" t="s">
        <v>199</v>
      </c>
      <c r="H497" s="13">
        <v>28</v>
      </c>
      <c r="I497" s="13">
        <v>1073</v>
      </c>
      <c r="K497" s="13" t="s">
        <v>857</v>
      </c>
      <c r="L497" s="13" t="s">
        <v>858</v>
      </c>
      <c r="N497" s="13" t="s">
        <v>81</v>
      </c>
      <c r="O497" s="13" t="s">
        <v>82</v>
      </c>
      <c r="P497" s="13" t="s">
        <v>83</v>
      </c>
      <c r="Q497" s="13" t="s">
        <v>83</v>
      </c>
      <c r="R497" s="4">
        <v>3</v>
      </c>
      <c r="S497" s="13" t="s">
        <v>596</v>
      </c>
      <c r="T497" s="13">
        <v>730</v>
      </c>
      <c r="U497" s="4" t="s">
        <v>200</v>
      </c>
      <c r="V497" s="4">
        <v>450</v>
      </c>
      <c r="W497" s="4" t="s">
        <v>601</v>
      </c>
      <c r="X497" s="4">
        <v>467.2</v>
      </c>
      <c r="Y497" s="4">
        <v>25</v>
      </c>
      <c r="AA497" s="4" t="s">
        <v>49</v>
      </c>
      <c r="AB497" s="4">
        <v>0</v>
      </c>
      <c r="AC497" s="4" t="s">
        <v>49</v>
      </c>
      <c r="AD497" s="4">
        <v>0</v>
      </c>
      <c r="AE497" s="4" t="s">
        <v>49</v>
      </c>
      <c r="AF497" s="4">
        <v>0</v>
      </c>
      <c r="AG497" s="4" t="s">
        <v>686</v>
      </c>
      <c r="AH497" s="4" t="s">
        <v>750</v>
      </c>
      <c r="AI497" s="4" t="s">
        <v>988</v>
      </c>
      <c r="AJ497" s="13">
        <v>0</v>
      </c>
      <c r="AK497" s="13">
        <v>30</v>
      </c>
      <c r="AM497" s="13">
        <v>1.35</v>
      </c>
      <c r="AP497" s="13" t="s">
        <v>50</v>
      </c>
      <c r="AQ497" s="13" t="s">
        <v>49</v>
      </c>
      <c r="AR497" s="13" t="s">
        <v>50</v>
      </c>
      <c r="AS497" s="13" t="s">
        <v>49</v>
      </c>
      <c r="AT497" s="13" t="s">
        <v>990</v>
      </c>
      <c r="AU497" s="13" t="s">
        <v>998</v>
      </c>
      <c r="AV497" s="14">
        <v>35.5</v>
      </c>
      <c r="AW497" s="14">
        <v>29.21</v>
      </c>
      <c r="AX497" s="14">
        <f>Table1347456[[#This Row],[treatment_mean]]/Table1347456[[#This Row],[control_mean]]</f>
        <v>1.2153372132831222</v>
      </c>
      <c r="AY497" s="14">
        <f>LN(Table1347456[[#This Row],[rr]])</f>
        <v>0.19502158008172046</v>
      </c>
      <c r="AZ497" s="13">
        <v>3</v>
      </c>
      <c r="BA497" s="13">
        <v>3</v>
      </c>
      <c r="BB497" s="14" t="s">
        <v>46</v>
      </c>
      <c r="BC497" s="14" t="s">
        <v>46</v>
      </c>
      <c r="BD497" s="15" t="s">
        <v>46</v>
      </c>
      <c r="BE497" s="14" t="s">
        <v>46</v>
      </c>
      <c r="BF49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97" s="17" t="s">
        <v>46</v>
      </c>
      <c r="BH497" s="13" t="s">
        <v>50</v>
      </c>
      <c r="BI497" s="13">
        <v>2.5000000000000001E-2</v>
      </c>
      <c r="BJ497" s="18">
        <f>ABS(_xlfn.NORM.S.INV(Table1347456[[#This Row],[p_value]]/2))</f>
        <v>2.2414027276049446</v>
      </c>
      <c r="BK497" s="19">
        <f>(Table1347456[[#This Row],[lnrr]]/Table1347456[[#This Row],[z_from_p]])^2</f>
        <v>7.5705171812219365E-3</v>
      </c>
      <c r="BL497" s="16">
        <f>Table1347456[[#This Row],[v_from_z_from_p]]</f>
        <v>7.5705171812219365E-3</v>
      </c>
      <c r="BM497" s="20">
        <f>SQRT(Table1347456[[#This Row],[v]])</f>
        <v>8.7008718995408366E-2</v>
      </c>
      <c r="BN497" s="20">
        <f>Table1347456[[#This Row],[lnrr]]-(1.96*Table1347456[[#This Row],[se]])</f>
        <v>2.4484490850720075E-2</v>
      </c>
      <c r="BO497" s="20">
        <f>Table1347456[[#This Row],[lnrr]]+(1.96 * Table1347456[[#This Row],[se]])</f>
        <v>0.36555866931272085</v>
      </c>
    </row>
    <row r="498" spans="1:67">
      <c r="A498" s="13" t="s">
        <v>196</v>
      </c>
      <c r="B498" s="13" t="s">
        <v>197</v>
      </c>
      <c r="C498" s="13" t="s">
        <v>43</v>
      </c>
      <c r="D498" s="13" t="s">
        <v>198</v>
      </c>
      <c r="E498" s="13" t="s">
        <v>91</v>
      </c>
      <c r="F498" s="13" t="s">
        <v>587</v>
      </c>
      <c r="G498" s="13" t="s">
        <v>199</v>
      </c>
      <c r="H498" s="13">
        <v>28</v>
      </c>
      <c r="I498" s="13">
        <v>1073</v>
      </c>
      <c r="K498" s="13" t="s">
        <v>857</v>
      </c>
      <c r="L498" s="13" t="s">
        <v>858</v>
      </c>
      <c r="N498" s="13" t="s">
        <v>81</v>
      </c>
      <c r="O498" s="13" t="s">
        <v>82</v>
      </c>
      <c r="P498" s="13" t="s">
        <v>83</v>
      </c>
      <c r="Q498" s="13" t="s">
        <v>83</v>
      </c>
      <c r="R498" s="4">
        <v>3</v>
      </c>
      <c r="S498" s="13" t="s">
        <v>596</v>
      </c>
      <c r="T498" s="13">
        <v>730</v>
      </c>
      <c r="U498" s="4" t="s">
        <v>200</v>
      </c>
      <c r="V498" s="4">
        <v>450</v>
      </c>
      <c r="W498" s="4" t="s">
        <v>601</v>
      </c>
      <c r="X498" s="4">
        <v>467.2</v>
      </c>
      <c r="Y498" s="4">
        <v>50</v>
      </c>
      <c r="AA498" s="4" t="s">
        <v>49</v>
      </c>
      <c r="AB498" s="4">
        <v>0</v>
      </c>
      <c r="AC498" s="4" t="s">
        <v>49</v>
      </c>
      <c r="AD498" s="4">
        <v>0</v>
      </c>
      <c r="AE498" s="4" t="s">
        <v>49</v>
      </c>
      <c r="AF498" s="4">
        <v>0</v>
      </c>
      <c r="AG498" s="4" t="s">
        <v>686</v>
      </c>
      <c r="AH498" s="4" t="s">
        <v>750</v>
      </c>
      <c r="AI498" s="4" t="s">
        <v>988</v>
      </c>
      <c r="AJ498" s="13">
        <v>0</v>
      </c>
      <c r="AK498" s="13">
        <v>30</v>
      </c>
      <c r="AM498" s="13">
        <v>1.35</v>
      </c>
      <c r="AP498" s="13" t="s">
        <v>50</v>
      </c>
      <c r="AQ498" s="13" t="s">
        <v>49</v>
      </c>
      <c r="AR498" s="13" t="s">
        <v>50</v>
      </c>
      <c r="AS498" s="13" t="s">
        <v>49</v>
      </c>
      <c r="AT498" s="13" t="s">
        <v>990</v>
      </c>
      <c r="AU498" s="13" t="s">
        <v>998</v>
      </c>
      <c r="AV498" s="14">
        <v>37.65</v>
      </c>
      <c r="AW498" s="14">
        <v>29.21</v>
      </c>
      <c r="AX498" s="14">
        <f>Table1347456[[#This Row],[treatment_mean]]/Table1347456[[#This Row],[control_mean]]</f>
        <v>1.2889421431016774</v>
      </c>
      <c r="AY498" s="14">
        <f>LN(Table1347456[[#This Row],[rr]])</f>
        <v>0.25382183784625295</v>
      </c>
      <c r="AZ498" s="13">
        <v>3</v>
      </c>
      <c r="BA498" s="13">
        <v>3</v>
      </c>
      <c r="BB498" s="14" t="s">
        <v>46</v>
      </c>
      <c r="BC498" s="14" t="s">
        <v>46</v>
      </c>
      <c r="BD498" s="15" t="s">
        <v>46</v>
      </c>
      <c r="BE498" s="14" t="s">
        <v>46</v>
      </c>
      <c r="BF49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98" s="17" t="s">
        <v>46</v>
      </c>
      <c r="BH498" s="13" t="s">
        <v>50</v>
      </c>
      <c r="BI498" s="13">
        <v>2.5000000000000001E-2</v>
      </c>
      <c r="BJ498" s="18">
        <f>ABS(_xlfn.NORM.S.INV(Table1347456[[#This Row],[p_value]]/2))</f>
        <v>2.2414027276049446</v>
      </c>
      <c r="BK498" s="19">
        <f>(Table1347456[[#This Row],[lnrr]]/Table1347456[[#This Row],[z_from_p]])^2</f>
        <v>1.2823842532564023E-2</v>
      </c>
      <c r="BL498" s="16">
        <f>Table1347456[[#This Row],[v_from_z_from_p]]</f>
        <v>1.2823842532564023E-2</v>
      </c>
      <c r="BM498" s="20">
        <f>SQRT(Table1347456[[#This Row],[v]])</f>
        <v>0.11324240607018213</v>
      </c>
      <c r="BN498" s="20">
        <f>Table1347456[[#This Row],[lnrr]]-(1.96*Table1347456[[#This Row],[se]])</f>
        <v>3.1866721948695997E-2</v>
      </c>
      <c r="BO498" s="20">
        <f>Table1347456[[#This Row],[lnrr]]+(1.96 * Table1347456[[#This Row],[se]])</f>
        <v>0.47577695374380991</v>
      </c>
    </row>
    <row r="499" spans="1:67">
      <c r="A499" s="13" t="s">
        <v>193</v>
      </c>
      <c r="B499" s="13" t="s">
        <v>201</v>
      </c>
      <c r="C499" s="13" t="s">
        <v>43</v>
      </c>
      <c r="D499" s="13" t="s">
        <v>195</v>
      </c>
      <c r="E499" s="13" t="s">
        <v>97</v>
      </c>
      <c r="F499" s="13" t="s">
        <v>588</v>
      </c>
      <c r="G499" s="13" t="s">
        <v>46</v>
      </c>
      <c r="H499" s="13">
        <v>32</v>
      </c>
      <c r="I499" s="13">
        <v>1350</v>
      </c>
      <c r="K499" s="13" t="s">
        <v>859</v>
      </c>
      <c r="L499" s="13" t="s">
        <v>860</v>
      </c>
      <c r="N499" s="13" t="s">
        <v>47</v>
      </c>
      <c r="O499" s="13" t="s">
        <v>645</v>
      </c>
      <c r="P499" s="13" t="s">
        <v>422</v>
      </c>
      <c r="Q499" s="13" t="s">
        <v>48</v>
      </c>
      <c r="R499" s="4">
        <v>3</v>
      </c>
      <c r="S499" s="13" t="s">
        <v>594</v>
      </c>
      <c r="T499" s="13">
        <v>730</v>
      </c>
      <c r="U499" s="4" t="s">
        <v>147</v>
      </c>
      <c r="V499" s="4">
        <v>500</v>
      </c>
      <c r="W499" s="4" t="s">
        <v>601</v>
      </c>
      <c r="X499" s="4">
        <v>520</v>
      </c>
      <c r="Y499" s="4">
        <v>10</v>
      </c>
      <c r="AA499" s="4" t="s">
        <v>49</v>
      </c>
      <c r="AB499" s="4">
        <v>0</v>
      </c>
      <c r="AC499" s="4" t="s">
        <v>49</v>
      </c>
      <c r="AD499" s="4">
        <v>0</v>
      </c>
      <c r="AE499" s="4" t="s">
        <v>49</v>
      </c>
      <c r="AF499" s="4">
        <v>0</v>
      </c>
      <c r="AG499" s="4" t="s">
        <v>739</v>
      </c>
      <c r="AH499" s="4" t="s">
        <v>728</v>
      </c>
      <c r="AI499" s="4" t="s">
        <v>64</v>
      </c>
      <c r="AJ499" s="13">
        <v>0</v>
      </c>
      <c r="AK499" s="13">
        <v>10</v>
      </c>
      <c r="AM499" s="13" t="s">
        <v>509</v>
      </c>
      <c r="AP499" s="13" t="s">
        <v>49</v>
      </c>
      <c r="AQ499" s="13" t="s">
        <v>49</v>
      </c>
      <c r="AR499" s="13" t="s">
        <v>49</v>
      </c>
      <c r="AS499" s="13" t="s">
        <v>49</v>
      </c>
      <c r="AT499" s="13" t="s">
        <v>990</v>
      </c>
      <c r="AU499" s="13" t="s">
        <v>998</v>
      </c>
      <c r="AV499" s="14">
        <f>0.35*10</f>
        <v>3.5</v>
      </c>
      <c r="AW499" s="14">
        <f>0.31*10</f>
        <v>3.1</v>
      </c>
      <c r="AX499" s="14">
        <f>Table1347456[[#This Row],[treatment_mean]]/Table1347456[[#This Row],[control_mean]]</f>
        <v>1.129032258064516</v>
      </c>
      <c r="AY499" s="14">
        <f>LN(Table1347456[[#This Row],[rr]])</f>
        <v>0.12136085700426734</v>
      </c>
      <c r="AZ499" s="13">
        <v>3</v>
      </c>
      <c r="BA499" s="13">
        <v>3</v>
      </c>
      <c r="BB499" s="14" t="s">
        <v>46</v>
      </c>
      <c r="BC499" s="14" t="s">
        <v>46</v>
      </c>
      <c r="BD499" s="15" t="s">
        <v>46</v>
      </c>
      <c r="BE499" s="14" t="s">
        <v>46</v>
      </c>
      <c r="BF49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499" s="17" t="s">
        <v>46</v>
      </c>
      <c r="BH499" s="13" t="s">
        <v>50</v>
      </c>
      <c r="BI499" s="13">
        <v>0.05</v>
      </c>
      <c r="BJ499" s="18">
        <f>ABS(_xlfn.NORM.S.INV(Table1347456[[#This Row],[p_value]]/2))</f>
        <v>1.9599639845400538</v>
      </c>
      <c r="BK499" s="19">
        <f>(Table1347456[[#This Row],[lnrr]]/Table1347456[[#This Row],[z_from_p]])^2</f>
        <v>3.8340792652695665E-3</v>
      </c>
      <c r="BL499" s="16">
        <f>Table1347456[[#This Row],[v_from_z_from_p]]</f>
        <v>3.8340792652695665E-3</v>
      </c>
      <c r="BM499" s="20">
        <f>SQRT(Table1347456[[#This Row],[v]])</f>
        <v>6.1919942387485848E-2</v>
      </c>
      <c r="BN499" s="20">
        <f>Table1347456[[#This Row],[lnrr]]-(1.96*Table1347456[[#This Row],[se]])</f>
        <v>-2.2300752049175809E-6</v>
      </c>
      <c r="BO499" s="20">
        <f>Table1347456[[#This Row],[lnrr]]+(1.96 * Table1347456[[#This Row],[se]])</f>
        <v>0.2427239440837396</v>
      </c>
    </row>
    <row r="500" spans="1:67">
      <c r="A500" s="13" t="s">
        <v>193</v>
      </c>
      <c r="B500" s="13" t="s">
        <v>201</v>
      </c>
      <c r="C500" s="13" t="s">
        <v>43</v>
      </c>
      <c r="D500" s="13" t="s">
        <v>195</v>
      </c>
      <c r="E500" s="13" t="s">
        <v>97</v>
      </c>
      <c r="F500" s="13" t="s">
        <v>588</v>
      </c>
      <c r="G500" s="13" t="s">
        <v>46</v>
      </c>
      <c r="H500" s="13">
        <v>32</v>
      </c>
      <c r="I500" s="13">
        <v>1350</v>
      </c>
      <c r="K500" s="13" t="s">
        <v>859</v>
      </c>
      <c r="L500" s="13" t="s">
        <v>860</v>
      </c>
      <c r="N500" s="13" t="s">
        <v>47</v>
      </c>
      <c r="O500" s="13" t="s">
        <v>645</v>
      </c>
      <c r="P500" s="13" t="s">
        <v>422</v>
      </c>
      <c r="Q500" s="13" t="s">
        <v>48</v>
      </c>
      <c r="R500" s="4">
        <v>3</v>
      </c>
      <c r="S500" s="13" t="s">
        <v>594</v>
      </c>
      <c r="T500" s="13">
        <v>730</v>
      </c>
      <c r="U500" s="4" t="s">
        <v>147</v>
      </c>
      <c r="V500" s="4">
        <v>500</v>
      </c>
      <c r="W500" s="4" t="s">
        <v>601</v>
      </c>
      <c r="X500" s="4">
        <v>520</v>
      </c>
      <c r="Y500" s="4">
        <v>20</v>
      </c>
      <c r="AA500" s="4" t="s">
        <v>49</v>
      </c>
      <c r="AB500" s="4">
        <v>0</v>
      </c>
      <c r="AC500" s="4" t="s">
        <v>49</v>
      </c>
      <c r="AD500" s="4">
        <v>0</v>
      </c>
      <c r="AE500" s="4" t="s">
        <v>49</v>
      </c>
      <c r="AF500" s="4">
        <v>0</v>
      </c>
      <c r="AG500" s="4" t="s">
        <v>739</v>
      </c>
      <c r="AH500" s="4" t="s">
        <v>728</v>
      </c>
      <c r="AI500" s="4" t="s">
        <v>64</v>
      </c>
      <c r="AJ500" s="13">
        <v>0</v>
      </c>
      <c r="AK500" s="13">
        <v>10</v>
      </c>
      <c r="AM500" s="13" t="s">
        <v>509</v>
      </c>
      <c r="AP500" s="13" t="s">
        <v>49</v>
      </c>
      <c r="AQ500" s="13" t="s">
        <v>49</v>
      </c>
      <c r="AR500" s="13" t="s">
        <v>49</v>
      </c>
      <c r="AS500" s="13" t="s">
        <v>49</v>
      </c>
      <c r="AT500" s="13" t="s">
        <v>990</v>
      </c>
      <c r="AU500" s="13" t="s">
        <v>998</v>
      </c>
      <c r="AV500" s="14">
        <f>0.36*10</f>
        <v>3.5999999999999996</v>
      </c>
      <c r="AW500" s="14">
        <f>0.31*10</f>
        <v>3.1</v>
      </c>
      <c r="AX500" s="14">
        <f>Table1347456[[#This Row],[treatment_mean]]/Table1347456[[#This Row],[control_mean]]</f>
        <v>1.161290322580645</v>
      </c>
      <c r="AY500" s="14">
        <f>LN(Table1347456[[#This Row],[rr]])</f>
        <v>0.14953173397096364</v>
      </c>
      <c r="AZ500" s="13">
        <v>3</v>
      </c>
      <c r="BA500" s="13">
        <v>3</v>
      </c>
      <c r="BB500" s="14" t="s">
        <v>46</v>
      </c>
      <c r="BC500" s="14" t="s">
        <v>46</v>
      </c>
      <c r="BD500" s="15" t="s">
        <v>46</v>
      </c>
      <c r="BE500" s="14" t="s">
        <v>46</v>
      </c>
      <c r="BF50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00" s="17" t="s">
        <v>46</v>
      </c>
      <c r="BH500" s="13" t="s">
        <v>50</v>
      </c>
      <c r="BI500" s="13">
        <v>0.05</v>
      </c>
      <c r="BJ500" s="18">
        <f>ABS(_xlfn.NORM.S.INV(Table1347456[[#This Row],[p_value]]/2))</f>
        <v>1.9599639845400538</v>
      </c>
      <c r="BK500" s="19">
        <f>(Table1347456[[#This Row],[lnrr]]/Table1347456[[#This Row],[z_from_p]])^2</f>
        <v>5.8206375515234068E-3</v>
      </c>
      <c r="BL500" s="16">
        <f>Table1347456[[#This Row],[v_from_z_from_p]]</f>
        <v>5.8206375515234068E-3</v>
      </c>
      <c r="BM500" s="20">
        <f>SQRT(Table1347456[[#This Row],[v]])</f>
        <v>7.6293102909263083E-2</v>
      </c>
      <c r="BN500" s="20">
        <f>Table1347456[[#This Row],[lnrr]]-(1.96*Table1347456[[#This Row],[se]])</f>
        <v>-2.7477311919932301E-6</v>
      </c>
      <c r="BO500" s="20">
        <f>Table1347456[[#This Row],[lnrr]]+(1.96 * Table1347456[[#This Row],[se]])</f>
        <v>0.29906621567311931</v>
      </c>
    </row>
    <row r="501" spans="1:67">
      <c r="A501" s="13" t="s">
        <v>193</v>
      </c>
      <c r="B501" s="13" t="s">
        <v>201</v>
      </c>
      <c r="C501" s="13" t="s">
        <v>43</v>
      </c>
      <c r="D501" s="13" t="s">
        <v>195</v>
      </c>
      <c r="E501" s="13" t="s">
        <v>97</v>
      </c>
      <c r="F501" s="13" t="s">
        <v>588</v>
      </c>
      <c r="G501" s="13" t="s">
        <v>46</v>
      </c>
      <c r="H501" s="13">
        <v>32</v>
      </c>
      <c r="I501" s="13">
        <v>1350</v>
      </c>
      <c r="K501" s="13" t="s">
        <v>859</v>
      </c>
      <c r="L501" s="13" t="s">
        <v>860</v>
      </c>
      <c r="N501" s="13" t="s">
        <v>47</v>
      </c>
      <c r="O501" s="13" t="s">
        <v>645</v>
      </c>
      <c r="P501" s="13" t="s">
        <v>422</v>
      </c>
      <c r="Q501" s="13" t="s">
        <v>48</v>
      </c>
      <c r="R501" s="4">
        <v>3</v>
      </c>
      <c r="S501" s="13" t="s">
        <v>594</v>
      </c>
      <c r="T501" s="13">
        <v>730</v>
      </c>
      <c r="U501" s="4" t="s">
        <v>147</v>
      </c>
      <c r="V501" s="4">
        <v>500</v>
      </c>
      <c r="W501" s="4" t="s">
        <v>601</v>
      </c>
      <c r="X501" s="4">
        <v>520</v>
      </c>
      <c r="Y501" s="4">
        <v>30</v>
      </c>
      <c r="AA501" s="4" t="s">
        <v>49</v>
      </c>
      <c r="AB501" s="4">
        <v>0</v>
      </c>
      <c r="AC501" s="4" t="s">
        <v>49</v>
      </c>
      <c r="AD501" s="4">
        <v>0</v>
      </c>
      <c r="AE501" s="4" t="s">
        <v>49</v>
      </c>
      <c r="AF501" s="4">
        <v>0</v>
      </c>
      <c r="AG501" s="4" t="s">
        <v>739</v>
      </c>
      <c r="AH501" s="4" t="s">
        <v>728</v>
      </c>
      <c r="AI501" s="4" t="s">
        <v>64</v>
      </c>
      <c r="AJ501" s="13">
        <v>0</v>
      </c>
      <c r="AK501" s="13">
        <v>10</v>
      </c>
      <c r="AM501" s="13" t="s">
        <v>509</v>
      </c>
      <c r="AP501" s="13" t="s">
        <v>49</v>
      </c>
      <c r="AQ501" s="13" t="s">
        <v>49</v>
      </c>
      <c r="AR501" s="13" t="s">
        <v>49</v>
      </c>
      <c r="AS501" s="13" t="s">
        <v>49</v>
      </c>
      <c r="AT501" s="13" t="s">
        <v>990</v>
      </c>
      <c r="AU501" s="13" t="s">
        <v>998</v>
      </c>
      <c r="AV501" s="14">
        <f>0.39*10</f>
        <v>3.9000000000000004</v>
      </c>
      <c r="AW501" s="14">
        <f>0.31*10</f>
        <v>3.1</v>
      </c>
      <c r="AX501" s="14">
        <f>Table1347456[[#This Row],[treatment_mean]]/Table1347456[[#This Row],[control_mean]]</f>
        <v>1.2580645161290323</v>
      </c>
      <c r="AY501" s="14">
        <f>LN(Table1347456[[#This Row],[rr]])</f>
        <v>0.22957444164450017</v>
      </c>
      <c r="AZ501" s="13">
        <v>3</v>
      </c>
      <c r="BA501" s="13">
        <v>3</v>
      </c>
      <c r="BB501" s="14" t="s">
        <v>46</v>
      </c>
      <c r="BC501" s="14" t="s">
        <v>46</v>
      </c>
      <c r="BD501" s="15" t="s">
        <v>46</v>
      </c>
      <c r="BE501" s="14" t="s">
        <v>46</v>
      </c>
      <c r="BF50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01" s="17" t="s">
        <v>46</v>
      </c>
      <c r="BH501" s="13" t="s">
        <v>50</v>
      </c>
      <c r="BI501" s="13">
        <v>0.05</v>
      </c>
      <c r="BJ501" s="18">
        <f>ABS(_xlfn.NORM.S.INV(Table1347456[[#This Row],[p_value]]/2))</f>
        <v>1.9599639845400538</v>
      </c>
      <c r="BK501" s="19">
        <f>(Table1347456[[#This Row],[lnrr]]/Table1347456[[#This Row],[z_from_p]])^2</f>
        <v>1.3719898277306197E-2</v>
      </c>
      <c r="BL501" s="16">
        <f>Table1347456[[#This Row],[v_from_z_from_p]]</f>
        <v>1.3719898277306197E-2</v>
      </c>
      <c r="BM501" s="20">
        <f>SQRT(Table1347456[[#This Row],[v]])</f>
        <v>0.11713196949298768</v>
      </c>
      <c r="BN501" s="20">
        <f>Table1347456[[#This Row],[lnrr]]-(1.96*Table1347456[[#This Row],[se]])</f>
        <v>-4.2185617556977917E-6</v>
      </c>
      <c r="BO501" s="20">
        <f>Table1347456[[#This Row],[lnrr]]+(1.96 * Table1347456[[#This Row],[se]])</f>
        <v>0.45915310185075603</v>
      </c>
    </row>
    <row r="502" spans="1:67">
      <c r="A502" s="13" t="s">
        <v>193</v>
      </c>
      <c r="B502" s="13" t="s">
        <v>201</v>
      </c>
      <c r="C502" s="13" t="s">
        <v>43</v>
      </c>
      <c r="D502" s="13" t="s">
        <v>195</v>
      </c>
      <c r="E502" s="13" t="s">
        <v>97</v>
      </c>
      <c r="F502" s="13" t="s">
        <v>588</v>
      </c>
      <c r="G502" s="13" t="s">
        <v>46</v>
      </c>
      <c r="H502" s="13">
        <v>32</v>
      </c>
      <c r="I502" s="13">
        <v>1350</v>
      </c>
      <c r="J502" s="13" t="s">
        <v>654</v>
      </c>
      <c r="K502" s="13" t="s">
        <v>859</v>
      </c>
      <c r="L502" s="13" t="s">
        <v>860</v>
      </c>
      <c r="M502" s="13" t="s">
        <v>800</v>
      </c>
      <c r="N502" s="13" t="s">
        <v>119</v>
      </c>
      <c r="O502" s="13" t="s">
        <v>645</v>
      </c>
      <c r="P502" s="13" t="s">
        <v>85</v>
      </c>
      <c r="Q502" s="13" t="s">
        <v>48</v>
      </c>
      <c r="R502" s="4">
        <v>3</v>
      </c>
      <c r="S502" s="13" t="s">
        <v>594</v>
      </c>
      <c r="T502" s="13">
        <v>730</v>
      </c>
      <c r="U502" s="4" t="s">
        <v>147</v>
      </c>
      <c r="V502" s="4">
        <v>500</v>
      </c>
      <c r="W502" s="4" t="s">
        <v>601</v>
      </c>
      <c r="X502" s="4">
        <v>520</v>
      </c>
      <c r="Y502" s="4">
        <v>10</v>
      </c>
      <c r="AA502" s="4" t="s">
        <v>49</v>
      </c>
      <c r="AB502" s="4">
        <v>0</v>
      </c>
      <c r="AC502" s="4" t="s">
        <v>49</v>
      </c>
      <c r="AD502" s="4">
        <v>0</v>
      </c>
      <c r="AE502" s="4" t="s">
        <v>49</v>
      </c>
      <c r="AF502" s="4">
        <v>0</v>
      </c>
      <c r="AG502" s="4" t="s">
        <v>739</v>
      </c>
      <c r="AH502" s="4" t="s">
        <v>728</v>
      </c>
      <c r="AI502" s="4" t="s">
        <v>64</v>
      </c>
      <c r="AJ502" s="13">
        <v>0</v>
      </c>
      <c r="AK502" s="13">
        <v>10</v>
      </c>
      <c r="AM502" s="13" t="s">
        <v>509</v>
      </c>
      <c r="AP502" s="13" t="s">
        <v>49</v>
      </c>
      <c r="AQ502" s="13" t="s">
        <v>49</v>
      </c>
      <c r="AR502" s="13" t="s">
        <v>49</v>
      </c>
      <c r="AS502" s="13" t="s">
        <v>49</v>
      </c>
      <c r="AT502" s="13" t="s">
        <v>990</v>
      </c>
      <c r="AU502" s="13" t="s">
        <v>998</v>
      </c>
      <c r="AV502" s="23">
        <f>22.7/1000</f>
        <v>2.2699999999999998E-2</v>
      </c>
      <c r="AW502" s="23">
        <f>15.7/1000</f>
        <v>1.5699999999999999E-2</v>
      </c>
      <c r="AX502" s="14">
        <f>Table1347456[[#This Row],[treatment_mean]]/Table1347456[[#This Row],[control_mean]]</f>
        <v>1.4458598726114649</v>
      </c>
      <c r="AY502" s="14">
        <f>LN(Table1347456[[#This Row],[rr]])</f>
        <v>0.36870421213309457</v>
      </c>
      <c r="AZ502" s="13">
        <v>3</v>
      </c>
      <c r="BA502" s="13">
        <v>3</v>
      </c>
      <c r="BB502" s="14" t="s">
        <v>46</v>
      </c>
      <c r="BC502" s="14" t="s">
        <v>46</v>
      </c>
      <c r="BD502" s="15" t="s">
        <v>46</v>
      </c>
      <c r="BE502" s="14" t="s">
        <v>46</v>
      </c>
      <c r="BF50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02" s="17" t="s">
        <v>46</v>
      </c>
      <c r="BH502" s="13" t="s">
        <v>50</v>
      </c>
      <c r="BI502" s="13">
        <v>0.05</v>
      </c>
      <c r="BJ502" s="18">
        <f>ABS(_xlfn.NORM.S.INV(Table1347456[[#This Row],[p_value]]/2))</f>
        <v>1.9599639845400538</v>
      </c>
      <c r="BK502" s="19">
        <f>(Table1347456[[#This Row],[lnrr]]/Table1347456[[#This Row],[z_from_p]])^2</f>
        <v>3.5388325735097197E-2</v>
      </c>
      <c r="BL502" s="16">
        <f>Table1347456[[#This Row],[v_from_z_from_p]]</f>
        <v>3.5388325735097197E-2</v>
      </c>
      <c r="BM502" s="20">
        <f>SQRT(Table1347456[[#This Row],[v]])</f>
        <v>0.18811785065510714</v>
      </c>
      <c r="BN502" s="20">
        <f>Table1347456[[#This Row],[lnrr]]-(1.96*Table1347456[[#This Row],[se]])</f>
        <v>-6.7751509154057032E-6</v>
      </c>
      <c r="BO502" s="20">
        <f>Table1347456[[#This Row],[lnrr]]+(1.96 * Table1347456[[#This Row],[se]])</f>
        <v>0.73741519941710454</v>
      </c>
    </row>
    <row r="503" spans="1:67">
      <c r="A503" s="13" t="s">
        <v>193</v>
      </c>
      <c r="B503" s="13" t="s">
        <v>201</v>
      </c>
      <c r="C503" s="13" t="s">
        <v>43</v>
      </c>
      <c r="D503" s="13" t="s">
        <v>195</v>
      </c>
      <c r="E503" s="13" t="s">
        <v>97</v>
      </c>
      <c r="F503" s="13" t="s">
        <v>588</v>
      </c>
      <c r="G503" s="13" t="s">
        <v>46</v>
      </c>
      <c r="H503" s="13">
        <v>32</v>
      </c>
      <c r="I503" s="13">
        <v>1350</v>
      </c>
      <c r="J503" s="13" t="s">
        <v>654</v>
      </c>
      <c r="K503" s="13" t="s">
        <v>859</v>
      </c>
      <c r="L503" s="13" t="s">
        <v>860</v>
      </c>
      <c r="M503" s="13" t="s">
        <v>800</v>
      </c>
      <c r="N503" s="13" t="s">
        <v>119</v>
      </c>
      <c r="O503" s="13" t="s">
        <v>645</v>
      </c>
      <c r="P503" s="13" t="s">
        <v>85</v>
      </c>
      <c r="Q503" s="13" t="s">
        <v>48</v>
      </c>
      <c r="R503" s="4">
        <v>3</v>
      </c>
      <c r="S503" s="13" t="s">
        <v>594</v>
      </c>
      <c r="T503" s="13">
        <v>730</v>
      </c>
      <c r="U503" s="4" t="s">
        <v>147</v>
      </c>
      <c r="V503" s="4">
        <v>500</v>
      </c>
      <c r="W503" s="4" t="s">
        <v>601</v>
      </c>
      <c r="X503" s="4">
        <v>520</v>
      </c>
      <c r="Y503" s="4">
        <v>20</v>
      </c>
      <c r="AA503" s="4" t="s">
        <v>49</v>
      </c>
      <c r="AB503" s="4">
        <v>0</v>
      </c>
      <c r="AC503" s="4" t="s">
        <v>49</v>
      </c>
      <c r="AD503" s="4">
        <v>0</v>
      </c>
      <c r="AE503" s="4" t="s">
        <v>49</v>
      </c>
      <c r="AF503" s="4">
        <v>0</v>
      </c>
      <c r="AG503" s="4" t="s">
        <v>739</v>
      </c>
      <c r="AH503" s="4" t="s">
        <v>728</v>
      </c>
      <c r="AI503" s="4" t="s">
        <v>64</v>
      </c>
      <c r="AJ503" s="13">
        <v>0</v>
      </c>
      <c r="AK503" s="13">
        <v>10</v>
      </c>
      <c r="AM503" s="13" t="s">
        <v>509</v>
      </c>
      <c r="AP503" s="13" t="s">
        <v>49</v>
      </c>
      <c r="AQ503" s="13" t="s">
        <v>49</v>
      </c>
      <c r="AR503" s="13" t="s">
        <v>49</v>
      </c>
      <c r="AS503" s="13" t="s">
        <v>49</v>
      </c>
      <c r="AT503" s="13" t="s">
        <v>990</v>
      </c>
      <c r="AU503" s="13" t="s">
        <v>998</v>
      </c>
      <c r="AV503" s="23">
        <f>25.5/1000</f>
        <v>2.5499999999999998E-2</v>
      </c>
      <c r="AW503" s="23">
        <f>15.7/1000</f>
        <v>1.5699999999999999E-2</v>
      </c>
      <c r="AX503" s="14">
        <f>Table1347456[[#This Row],[treatment_mean]]/Table1347456[[#This Row],[control_mean]]</f>
        <v>1.624203821656051</v>
      </c>
      <c r="AY503" s="14">
        <f>LN(Table1347456[[#This Row],[rr]])</f>
        <v>0.48501773981011814</v>
      </c>
      <c r="AZ503" s="13">
        <v>3</v>
      </c>
      <c r="BA503" s="13">
        <v>3</v>
      </c>
      <c r="BB503" s="14" t="s">
        <v>46</v>
      </c>
      <c r="BC503" s="14" t="s">
        <v>46</v>
      </c>
      <c r="BD503" s="15" t="s">
        <v>46</v>
      </c>
      <c r="BE503" s="14" t="s">
        <v>46</v>
      </c>
      <c r="BF50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03" s="17" t="s">
        <v>46</v>
      </c>
      <c r="BH503" s="13" t="s">
        <v>50</v>
      </c>
      <c r="BI503" s="13">
        <v>0.05</v>
      </c>
      <c r="BJ503" s="18">
        <f>ABS(_xlfn.NORM.S.INV(Table1347456[[#This Row],[p_value]]/2))</f>
        <v>1.9599639845400538</v>
      </c>
      <c r="BK503" s="19">
        <f>(Table1347456[[#This Row],[lnrr]]/Table1347456[[#This Row],[z_from_p]])^2</f>
        <v>6.1237727361088533E-2</v>
      </c>
      <c r="BL503" s="16">
        <f>Table1347456[[#This Row],[v_from_z_from_p]]</f>
        <v>6.1237727361088533E-2</v>
      </c>
      <c r="BM503" s="20">
        <f>SQRT(Table1347456[[#This Row],[v]])</f>
        <v>0.24746257769830277</v>
      </c>
      <c r="BN503" s="20">
        <f>Table1347456[[#This Row],[lnrr]]-(1.96*Table1347456[[#This Row],[se]])</f>
        <v>-8.9124785552785468E-6</v>
      </c>
      <c r="BO503" s="20">
        <f>Table1347456[[#This Row],[lnrr]]+(1.96 * Table1347456[[#This Row],[se]])</f>
        <v>0.97004439209879156</v>
      </c>
    </row>
    <row r="504" spans="1:67">
      <c r="A504" s="13" t="s">
        <v>193</v>
      </c>
      <c r="B504" s="13" t="s">
        <v>201</v>
      </c>
      <c r="C504" s="13" t="s">
        <v>43</v>
      </c>
      <c r="D504" s="13" t="s">
        <v>195</v>
      </c>
      <c r="E504" s="13" t="s">
        <v>97</v>
      </c>
      <c r="F504" s="13" t="s">
        <v>588</v>
      </c>
      <c r="G504" s="13" t="s">
        <v>46</v>
      </c>
      <c r="H504" s="13">
        <v>32</v>
      </c>
      <c r="I504" s="13">
        <v>1350</v>
      </c>
      <c r="J504" s="13" t="s">
        <v>654</v>
      </c>
      <c r="K504" s="13" t="s">
        <v>859</v>
      </c>
      <c r="L504" s="13" t="s">
        <v>860</v>
      </c>
      <c r="M504" s="13" t="s">
        <v>800</v>
      </c>
      <c r="N504" s="13" t="s">
        <v>119</v>
      </c>
      <c r="O504" s="13" t="s">
        <v>645</v>
      </c>
      <c r="P504" s="13" t="s">
        <v>85</v>
      </c>
      <c r="Q504" s="13" t="s">
        <v>48</v>
      </c>
      <c r="R504" s="4">
        <v>3</v>
      </c>
      <c r="S504" s="13" t="s">
        <v>594</v>
      </c>
      <c r="T504" s="13">
        <v>730</v>
      </c>
      <c r="U504" s="4" t="s">
        <v>147</v>
      </c>
      <c r="V504" s="4">
        <v>500</v>
      </c>
      <c r="W504" s="4" t="s">
        <v>601</v>
      </c>
      <c r="X504" s="4">
        <v>520</v>
      </c>
      <c r="Y504" s="4">
        <v>30</v>
      </c>
      <c r="AA504" s="4" t="s">
        <v>49</v>
      </c>
      <c r="AB504" s="4">
        <v>0</v>
      </c>
      <c r="AC504" s="4" t="s">
        <v>49</v>
      </c>
      <c r="AD504" s="4">
        <v>0</v>
      </c>
      <c r="AE504" s="4" t="s">
        <v>49</v>
      </c>
      <c r="AF504" s="4">
        <v>0</v>
      </c>
      <c r="AG504" s="4" t="s">
        <v>739</v>
      </c>
      <c r="AH504" s="4" t="s">
        <v>728</v>
      </c>
      <c r="AI504" s="4" t="s">
        <v>64</v>
      </c>
      <c r="AJ504" s="13">
        <v>0</v>
      </c>
      <c r="AK504" s="13">
        <v>10</v>
      </c>
      <c r="AM504" s="13" t="s">
        <v>509</v>
      </c>
      <c r="AP504" s="13" t="s">
        <v>49</v>
      </c>
      <c r="AQ504" s="13" t="s">
        <v>49</v>
      </c>
      <c r="AR504" s="13" t="s">
        <v>49</v>
      </c>
      <c r="AS504" s="13" t="s">
        <v>49</v>
      </c>
      <c r="AT504" s="13" t="s">
        <v>990</v>
      </c>
      <c r="AU504" s="13" t="s">
        <v>998</v>
      </c>
      <c r="AV504" s="23">
        <f>32.3/1000</f>
        <v>3.2299999999999995E-2</v>
      </c>
      <c r="AW504" s="23">
        <f>15.7/1000</f>
        <v>1.5699999999999999E-2</v>
      </c>
      <c r="AX504" s="14">
        <f>Table1347456[[#This Row],[treatment_mean]]/Table1347456[[#This Row],[control_mean]]</f>
        <v>2.057324840764331</v>
      </c>
      <c r="AY504" s="14">
        <f>LN(Table1347456[[#This Row],[rr]])</f>
        <v>0.7214065178743484</v>
      </c>
      <c r="AZ504" s="13">
        <v>3</v>
      </c>
      <c r="BA504" s="13">
        <v>3</v>
      </c>
      <c r="BB504" s="14" t="s">
        <v>46</v>
      </c>
      <c r="BC504" s="14" t="s">
        <v>46</v>
      </c>
      <c r="BD504" s="15" t="s">
        <v>46</v>
      </c>
      <c r="BE504" s="14" t="s">
        <v>46</v>
      </c>
      <c r="BF50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04" s="17" t="s">
        <v>46</v>
      </c>
      <c r="BH504" s="13" t="s">
        <v>50</v>
      </c>
      <c r="BI504" s="13">
        <v>0.05</v>
      </c>
      <c r="BJ504" s="18">
        <f>ABS(_xlfn.NORM.S.INV(Table1347456[[#This Row],[p_value]]/2))</f>
        <v>1.9599639845400538</v>
      </c>
      <c r="BK504" s="19">
        <f>(Table1347456[[#This Row],[lnrr]]/Table1347456[[#This Row],[z_from_p]])^2</f>
        <v>0.13547649169842069</v>
      </c>
      <c r="BL504" s="16">
        <f>Table1347456[[#This Row],[v_from_z_from_p]]</f>
        <v>0.13547649169842069</v>
      </c>
      <c r="BM504" s="20">
        <f>SQRT(Table1347456[[#This Row],[v]])</f>
        <v>0.36807131333264848</v>
      </c>
      <c r="BN504" s="20">
        <f>Table1347456[[#This Row],[lnrr]]-(1.96*Table1347456[[#This Row],[se]])</f>
        <v>-1.3256257642590974E-5</v>
      </c>
      <c r="BO504" s="20">
        <f>Table1347456[[#This Row],[lnrr]]+(1.96 * Table1347456[[#This Row],[se]])</f>
        <v>1.4428262920063393</v>
      </c>
    </row>
    <row r="505" spans="1:67">
      <c r="A505" s="13" t="s">
        <v>193</v>
      </c>
      <c r="B505" s="13" t="s">
        <v>201</v>
      </c>
      <c r="C505" s="13" t="s">
        <v>43</v>
      </c>
      <c r="D505" s="13" t="s">
        <v>195</v>
      </c>
      <c r="E505" s="13" t="s">
        <v>97</v>
      </c>
      <c r="F505" s="13" t="s">
        <v>588</v>
      </c>
      <c r="G505" s="13" t="s">
        <v>46</v>
      </c>
      <c r="H505" s="13">
        <v>32</v>
      </c>
      <c r="I505" s="13">
        <v>1350</v>
      </c>
      <c r="K505" s="13" t="s">
        <v>859</v>
      </c>
      <c r="L505" s="13" t="s">
        <v>860</v>
      </c>
      <c r="N505" s="13" t="s">
        <v>121</v>
      </c>
      <c r="O505" s="13" t="s">
        <v>645</v>
      </c>
      <c r="P505" s="13" t="s">
        <v>87</v>
      </c>
      <c r="Q505" s="13" t="s">
        <v>48</v>
      </c>
      <c r="R505" s="4">
        <v>3</v>
      </c>
      <c r="S505" s="13" t="s">
        <v>594</v>
      </c>
      <c r="T505" s="13">
        <v>730</v>
      </c>
      <c r="U505" s="4" t="s">
        <v>147</v>
      </c>
      <c r="V505" s="4">
        <v>500</v>
      </c>
      <c r="W505" s="4" t="s">
        <v>601</v>
      </c>
      <c r="X505" s="4">
        <v>520</v>
      </c>
      <c r="Y505" s="4">
        <v>10</v>
      </c>
      <c r="AA505" s="4" t="s">
        <v>49</v>
      </c>
      <c r="AB505" s="4">
        <v>0</v>
      </c>
      <c r="AC505" s="4" t="s">
        <v>49</v>
      </c>
      <c r="AD505" s="4">
        <v>0</v>
      </c>
      <c r="AE505" s="4" t="s">
        <v>49</v>
      </c>
      <c r="AF505" s="4">
        <v>0</v>
      </c>
      <c r="AG505" s="4" t="s">
        <v>739</v>
      </c>
      <c r="AH505" s="4" t="s">
        <v>728</v>
      </c>
      <c r="AI505" s="4" t="s">
        <v>64</v>
      </c>
      <c r="AJ505" s="13">
        <v>0</v>
      </c>
      <c r="AK505" s="13">
        <v>10</v>
      </c>
      <c r="AM505" s="13" t="s">
        <v>509</v>
      </c>
      <c r="AP505" s="13" t="s">
        <v>49</v>
      </c>
      <c r="AQ505" s="13" t="s">
        <v>49</v>
      </c>
      <c r="AR505" s="13" t="s">
        <v>49</v>
      </c>
      <c r="AS505" s="13" t="s">
        <v>49</v>
      </c>
      <c r="AT505" s="13" t="s">
        <v>990</v>
      </c>
      <c r="AU505" s="13" t="s">
        <v>998</v>
      </c>
      <c r="AV505" s="14">
        <f>(0.25*39.1*10)/1000</f>
        <v>9.7750000000000004E-2</v>
      </c>
      <c r="AW505" s="14">
        <f>(0.16*39.1*10)/1000</f>
        <v>6.2560000000000004E-2</v>
      </c>
      <c r="AX505" s="14">
        <f>Table1347456[[#This Row],[treatment_mean]]/Table1347456[[#This Row],[control_mean]]</f>
        <v>1.5625</v>
      </c>
      <c r="AY505" s="14">
        <f>LN(Table1347456[[#This Row],[rr]])</f>
        <v>0.44628710262841953</v>
      </c>
      <c r="AZ505" s="13">
        <v>3</v>
      </c>
      <c r="BA505" s="13">
        <v>3</v>
      </c>
      <c r="BB505" s="14" t="s">
        <v>46</v>
      </c>
      <c r="BC505" s="14" t="s">
        <v>46</v>
      </c>
      <c r="BD505" s="15" t="s">
        <v>46</v>
      </c>
      <c r="BE505" s="14" t="s">
        <v>46</v>
      </c>
      <c r="BF50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05" s="17" t="s">
        <v>46</v>
      </c>
      <c r="BH505" s="13" t="s">
        <v>50</v>
      </c>
      <c r="BI505" s="13">
        <v>0.05</v>
      </c>
      <c r="BJ505" s="18">
        <f>ABS(_xlfn.NORM.S.INV(Table1347456[[#This Row],[p_value]]/2))</f>
        <v>1.9599639845400538</v>
      </c>
      <c r="BK505" s="19">
        <f>(Table1347456[[#This Row],[lnrr]]/Table1347456[[#This Row],[z_from_p]])^2</f>
        <v>5.1848057539890663E-2</v>
      </c>
      <c r="BL505" s="16">
        <f>Table1347456[[#This Row],[v_from_z_from_p]]</f>
        <v>5.1848057539890663E-2</v>
      </c>
      <c r="BM505" s="20">
        <f>SQRT(Table1347456[[#This Row],[v]])</f>
        <v>0.22770168541293379</v>
      </c>
      <c r="BN505" s="20">
        <f>Table1347456[[#This Row],[lnrr]]-(1.96*Table1347456[[#This Row],[se]])</f>
        <v>-8.2007809306672286E-6</v>
      </c>
      <c r="BO505" s="20">
        <f>Table1347456[[#This Row],[lnrr]]+(1.96 * Table1347456[[#This Row],[se]])</f>
        <v>0.89258240603776973</v>
      </c>
    </row>
    <row r="506" spans="1:67">
      <c r="A506" s="13" t="s">
        <v>193</v>
      </c>
      <c r="B506" s="13" t="s">
        <v>201</v>
      </c>
      <c r="C506" s="13" t="s">
        <v>43</v>
      </c>
      <c r="D506" s="13" t="s">
        <v>195</v>
      </c>
      <c r="E506" s="13" t="s">
        <v>97</v>
      </c>
      <c r="F506" s="13" t="s">
        <v>588</v>
      </c>
      <c r="G506" s="13" t="s">
        <v>46</v>
      </c>
      <c r="H506" s="13">
        <v>32</v>
      </c>
      <c r="I506" s="13">
        <v>1350</v>
      </c>
      <c r="K506" s="13" t="s">
        <v>859</v>
      </c>
      <c r="L506" s="13" t="s">
        <v>860</v>
      </c>
      <c r="N506" s="13" t="s">
        <v>121</v>
      </c>
      <c r="O506" s="13" t="s">
        <v>645</v>
      </c>
      <c r="P506" s="13" t="s">
        <v>87</v>
      </c>
      <c r="Q506" s="13" t="s">
        <v>48</v>
      </c>
      <c r="R506" s="4">
        <v>3</v>
      </c>
      <c r="S506" s="13" t="s">
        <v>594</v>
      </c>
      <c r="T506" s="13">
        <v>730</v>
      </c>
      <c r="U506" s="4" t="s">
        <v>147</v>
      </c>
      <c r="V506" s="4">
        <v>500</v>
      </c>
      <c r="W506" s="4" t="s">
        <v>601</v>
      </c>
      <c r="X506" s="4">
        <v>520</v>
      </c>
      <c r="Y506" s="4">
        <v>20</v>
      </c>
      <c r="AA506" s="4" t="s">
        <v>49</v>
      </c>
      <c r="AB506" s="4">
        <v>0</v>
      </c>
      <c r="AC506" s="4" t="s">
        <v>49</v>
      </c>
      <c r="AD506" s="4">
        <v>0</v>
      </c>
      <c r="AE506" s="4" t="s">
        <v>49</v>
      </c>
      <c r="AF506" s="4">
        <v>0</v>
      </c>
      <c r="AG506" s="4" t="s">
        <v>739</v>
      </c>
      <c r="AH506" s="4" t="s">
        <v>728</v>
      </c>
      <c r="AI506" s="4" t="s">
        <v>64</v>
      </c>
      <c r="AJ506" s="13">
        <v>0</v>
      </c>
      <c r="AK506" s="13">
        <v>10</v>
      </c>
      <c r="AM506" s="13" t="s">
        <v>509</v>
      </c>
      <c r="AP506" s="13" t="s">
        <v>49</v>
      </c>
      <c r="AQ506" s="13" t="s">
        <v>49</v>
      </c>
      <c r="AR506" s="13" t="s">
        <v>49</v>
      </c>
      <c r="AS506" s="13" t="s">
        <v>49</v>
      </c>
      <c r="AT506" s="13" t="s">
        <v>990</v>
      </c>
      <c r="AU506" s="13" t="s">
        <v>998</v>
      </c>
      <c r="AV506" s="14">
        <f>(0.28*39.1*10)/1000</f>
        <v>0.10948000000000002</v>
      </c>
      <c r="AW506" s="14">
        <f>(0.16*39.1*10)/1000</f>
        <v>6.2560000000000004E-2</v>
      </c>
      <c r="AX506" s="14">
        <f>Table1347456[[#This Row],[treatment_mean]]/Table1347456[[#This Row],[control_mean]]</f>
        <v>1.7500000000000002</v>
      </c>
      <c r="AY506" s="14">
        <f>LN(Table1347456[[#This Row],[rr]])</f>
        <v>0.55961578793542277</v>
      </c>
      <c r="AZ506" s="13">
        <v>3</v>
      </c>
      <c r="BA506" s="13">
        <v>3</v>
      </c>
      <c r="BB506" s="14" t="s">
        <v>46</v>
      </c>
      <c r="BC506" s="14" t="s">
        <v>46</v>
      </c>
      <c r="BD506" s="15" t="s">
        <v>46</v>
      </c>
      <c r="BE506" s="14" t="s">
        <v>46</v>
      </c>
      <c r="BF50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06" s="17" t="s">
        <v>46</v>
      </c>
      <c r="BH506" s="13" t="s">
        <v>50</v>
      </c>
      <c r="BI506" s="13">
        <v>0.05</v>
      </c>
      <c r="BJ506" s="18">
        <f>ABS(_xlfn.NORM.S.INV(Table1347456[[#This Row],[p_value]]/2))</f>
        <v>1.9599639845400538</v>
      </c>
      <c r="BK506" s="19">
        <f>(Table1347456[[#This Row],[lnrr]]/Table1347456[[#This Row],[z_from_p]])^2</f>
        <v>8.1523672314153944E-2</v>
      </c>
      <c r="BL506" s="16">
        <f>Table1347456[[#This Row],[v_from_z_from_p]]</f>
        <v>8.1523672314153944E-2</v>
      </c>
      <c r="BM506" s="20">
        <f>SQRT(Table1347456[[#This Row],[v]])</f>
        <v>0.28552350571214613</v>
      </c>
      <c r="BN506" s="20">
        <f>Table1347456[[#This Row],[lnrr]]-(1.96*Table1347456[[#This Row],[se]])</f>
        <v>-1.0283260383658899E-5</v>
      </c>
      <c r="BO506" s="20">
        <f>Table1347456[[#This Row],[lnrr]]+(1.96 * Table1347456[[#This Row],[se]])</f>
        <v>1.1192418591312292</v>
      </c>
    </row>
    <row r="507" spans="1:67">
      <c r="A507" s="13" t="s">
        <v>193</v>
      </c>
      <c r="B507" s="13" t="s">
        <v>201</v>
      </c>
      <c r="C507" s="13" t="s">
        <v>43</v>
      </c>
      <c r="D507" s="13" t="s">
        <v>195</v>
      </c>
      <c r="E507" s="13" t="s">
        <v>97</v>
      </c>
      <c r="F507" s="13" t="s">
        <v>588</v>
      </c>
      <c r="G507" s="13" t="s">
        <v>46</v>
      </c>
      <c r="H507" s="13">
        <v>32</v>
      </c>
      <c r="I507" s="13">
        <v>1350</v>
      </c>
      <c r="K507" s="13" t="s">
        <v>859</v>
      </c>
      <c r="L507" s="13" t="s">
        <v>860</v>
      </c>
      <c r="N507" s="13" t="s">
        <v>121</v>
      </c>
      <c r="O507" s="13" t="s">
        <v>645</v>
      </c>
      <c r="P507" s="13" t="s">
        <v>87</v>
      </c>
      <c r="Q507" s="13" t="s">
        <v>48</v>
      </c>
      <c r="R507" s="4">
        <v>3</v>
      </c>
      <c r="S507" s="13" t="s">
        <v>594</v>
      </c>
      <c r="T507" s="13">
        <v>730</v>
      </c>
      <c r="U507" s="4" t="s">
        <v>147</v>
      </c>
      <c r="V507" s="4">
        <v>500</v>
      </c>
      <c r="W507" s="4" t="s">
        <v>601</v>
      </c>
      <c r="X507" s="4">
        <v>520</v>
      </c>
      <c r="Y507" s="4">
        <v>30</v>
      </c>
      <c r="AA507" s="4" t="s">
        <v>49</v>
      </c>
      <c r="AB507" s="4">
        <v>0</v>
      </c>
      <c r="AC507" s="4" t="s">
        <v>49</v>
      </c>
      <c r="AD507" s="4">
        <v>0</v>
      </c>
      <c r="AE507" s="4" t="s">
        <v>49</v>
      </c>
      <c r="AF507" s="4">
        <v>0</v>
      </c>
      <c r="AG507" s="4" t="s">
        <v>739</v>
      </c>
      <c r="AH507" s="4" t="s">
        <v>728</v>
      </c>
      <c r="AI507" s="4" t="s">
        <v>64</v>
      </c>
      <c r="AJ507" s="13">
        <v>0</v>
      </c>
      <c r="AK507" s="13">
        <v>10</v>
      </c>
      <c r="AM507" s="13" t="s">
        <v>509</v>
      </c>
      <c r="AP507" s="13" t="s">
        <v>49</v>
      </c>
      <c r="AQ507" s="13" t="s">
        <v>49</v>
      </c>
      <c r="AR507" s="13" t="s">
        <v>49</v>
      </c>
      <c r="AS507" s="13" t="s">
        <v>49</v>
      </c>
      <c r="AT507" s="13" t="s">
        <v>990</v>
      </c>
      <c r="AU507" s="13" t="s">
        <v>998</v>
      </c>
      <c r="AV507" s="14">
        <f>(0.31*39.1*10)/1000</f>
        <v>0.12121000000000001</v>
      </c>
      <c r="AW507" s="14">
        <f>(0.16*39.1*10)/1000</f>
        <v>6.2560000000000004E-2</v>
      </c>
      <c r="AX507" s="14">
        <f>Table1347456[[#This Row],[treatment_mean]]/Table1347456[[#This Row],[control_mean]]</f>
        <v>1.9375</v>
      </c>
      <c r="AY507" s="14">
        <f>LN(Table1347456[[#This Row],[rr]])</f>
        <v>0.66139848224536502</v>
      </c>
      <c r="AZ507" s="13">
        <v>3</v>
      </c>
      <c r="BA507" s="13">
        <v>3</v>
      </c>
      <c r="BB507" s="14" t="s">
        <v>46</v>
      </c>
      <c r="BC507" s="14" t="s">
        <v>46</v>
      </c>
      <c r="BD507" s="15" t="s">
        <v>46</v>
      </c>
      <c r="BE507" s="14" t="s">
        <v>46</v>
      </c>
      <c r="BF50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07" s="17" t="s">
        <v>46</v>
      </c>
      <c r="BH507" s="13" t="s">
        <v>50</v>
      </c>
      <c r="BI507" s="13">
        <v>0.05</v>
      </c>
      <c r="BJ507" s="18">
        <f>ABS(_xlfn.NORM.S.INV(Table1347456[[#This Row],[p_value]]/2))</f>
        <v>1.9599639845400538</v>
      </c>
      <c r="BK507" s="19">
        <f>(Table1347456[[#This Row],[lnrr]]/Table1347456[[#This Row],[z_from_p]])^2</f>
        <v>0.11387547614982078</v>
      </c>
      <c r="BL507" s="16">
        <f>Table1347456[[#This Row],[v_from_z_from_p]]</f>
        <v>0.11387547614982078</v>
      </c>
      <c r="BM507" s="20">
        <f>SQRT(Table1347456[[#This Row],[v]])</f>
        <v>0.33745440603112709</v>
      </c>
      <c r="BN507" s="20">
        <f>Table1347456[[#This Row],[lnrr]]-(1.96*Table1347456[[#This Row],[se]])</f>
        <v>-1.2153575644102688E-5</v>
      </c>
      <c r="BO507" s="20">
        <f>Table1347456[[#This Row],[lnrr]]+(1.96 * Table1347456[[#This Row],[se]])</f>
        <v>1.3228091180663741</v>
      </c>
    </row>
    <row r="508" spans="1:67">
      <c r="A508" s="13" t="s">
        <v>193</v>
      </c>
      <c r="B508" s="13" t="s">
        <v>201</v>
      </c>
      <c r="C508" s="13" t="s">
        <v>43</v>
      </c>
      <c r="D508" s="13" t="s">
        <v>195</v>
      </c>
      <c r="E508" s="13" t="s">
        <v>97</v>
      </c>
      <c r="F508" s="13" t="s">
        <v>588</v>
      </c>
      <c r="G508" s="13" t="s">
        <v>46</v>
      </c>
      <c r="H508" s="13">
        <v>32</v>
      </c>
      <c r="I508" s="13">
        <v>1350</v>
      </c>
      <c r="K508" s="13" t="s">
        <v>859</v>
      </c>
      <c r="L508" s="13" t="s">
        <v>860</v>
      </c>
      <c r="N508" s="13" t="s">
        <v>668</v>
      </c>
      <c r="O508" s="13" t="s">
        <v>668</v>
      </c>
      <c r="P508" s="13" t="s">
        <v>87</v>
      </c>
      <c r="Q508" s="13" t="s">
        <v>87</v>
      </c>
      <c r="R508" s="4">
        <v>3</v>
      </c>
      <c r="S508" s="13" t="s">
        <v>594</v>
      </c>
      <c r="T508" s="13">
        <v>730</v>
      </c>
      <c r="U508" s="4" t="s">
        <v>147</v>
      </c>
      <c r="V508" s="4">
        <v>500</v>
      </c>
      <c r="W508" s="4" t="s">
        <v>601</v>
      </c>
      <c r="X508" s="4">
        <v>520</v>
      </c>
      <c r="Y508" s="4">
        <v>10</v>
      </c>
      <c r="AA508" s="4" t="s">
        <v>49</v>
      </c>
      <c r="AB508" s="4">
        <v>0</v>
      </c>
      <c r="AC508" s="4" t="s">
        <v>49</v>
      </c>
      <c r="AD508" s="4">
        <v>0</v>
      </c>
      <c r="AE508" s="4" t="s">
        <v>49</v>
      </c>
      <c r="AF508" s="4">
        <v>0</v>
      </c>
      <c r="AG508" s="4" t="s">
        <v>739</v>
      </c>
      <c r="AH508" s="4" t="s">
        <v>728</v>
      </c>
      <c r="AI508" s="4" t="s">
        <v>64</v>
      </c>
      <c r="AJ508" s="13">
        <v>0</v>
      </c>
      <c r="AK508" s="13">
        <v>10</v>
      </c>
      <c r="AM508" s="13" t="s">
        <v>509</v>
      </c>
      <c r="AP508" s="13" t="s">
        <v>49</v>
      </c>
      <c r="AQ508" s="13" t="s">
        <v>49</v>
      </c>
      <c r="AR508" s="13" t="s">
        <v>49</v>
      </c>
      <c r="AS508" s="13" t="s">
        <v>49</v>
      </c>
      <c r="AT508" s="13" t="s">
        <v>990</v>
      </c>
      <c r="AU508" s="13" t="s">
        <v>998</v>
      </c>
      <c r="AV508" s="14">
        <v>9</v>
      </c>
      <c r="AW508" s="14">
        <v>2.1</v>
      </c>
      <c r="AX508" s="14">
        <f>Table1347456[[#This Row],[treatment_mean]]/Table1347456[[#This Row],[control_mean]]</f>
        <v>4.2857142857142856</v>
      </c>
      <c r="AY508" s="14">
        <f>LN(Table1347456[[#This Row],[rr]])</f>
        <v>1.455287232606842</v>
      </c>
      <c r="AZ508" s="13">
        <v>3</v>
      </c>
      <c r="BA508" s="13">
        <v>3</v>
      </c>
      <c r="BB508" s="14" t="s">
        <v>46</v>
      </c>
      <c r="BC508" s="14" t="s">
        <v>46</v>
      </c>
      <c r="BD508" s="15" t="s">
        <v>46</v>
      </c>
      <c r="BE508" s="14" t="s">
        <v>46</v>
      </c>
      <c r="BF50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08" s="17" t="s">
        <v>46</v>
      </c>
      <c r="BH508" s="13" t="s">
        <v>50</v>
      </c>
      <c r="BI508" s="13">
        <v>0.05</v>
      </c>
      <c r="BJ508" s="18">
        <f>ABS(_xlfn.NORM.S.INV(Table1347456[[#This Row],[p_value]]/2))</f>
        <v>1.9599639845400538</v>
      </c>
      <c r="BK508" s="19">
        <f>(Table1347456[[#This Row],[lnrr]]/Table1347456[[#This Row],[z_from_p]])^2</f>
        <v>0.55131683775430862</v>
      </c>
      <c r="BL508" s="16">
        <f>Table1347456[[#This Row],[v_from_z_from_p]]</f>
        <v>0.55131683775430862</v>
      </c>
      <c r="BM508" s="20">
        <f>SQRT(Table1347456[[#This Row],[v]])</f>
        <v>0.7425071297666499</v>
      </c>
      <c r="BN508" s="20">
        <f>Table1347456[[#This Row],[lnrr]]-(1.96*Table1347456[[#This Row],[se]])</f>
        <v>-2.6741735791757648E-5</v>
      </c>
      <c r="BO508" s="20">
        <f>Table1347456[[#This Row],[lnrr]]+(1.96 * Table1347456[[#This Row],[se]])</f>
        <v>2.910601206949476</v>
      </c>
    </row>
    <row r="509" spans="1:67">
      <c r="A509" s="13" t="s">
        <v>193</v>
      </c>
      <c r="B509" s="13" t="s">
        <v>201</v>
      </c>
      <c r="C509" s="13" t="s">
        <v>43</v>
      </c>
      <c r="D509" s="13" t="s">
        <v>195</v>
      </c>
      <c r="E509" s="13" t="s">
        <v>97</v>
      </c>
      <c r="F509" s="13" t="s">
        <v>588</v>
      </c>
      <c r="G509" s="13" t="s">
        <v>46</v>
      </c>
      <c r="H509" s="13">
        <v>32</v>
      </c>
      <c r="I509" s="13">
        <v>1350</v>
      </c>
      <c r="K509" s="13" t="s">
        <v>859</v>
      </c>
      <c r="L509" s="13" t="s">
        <v>860</v>
      </c>
      <c r="N509" s="13" t="s">
        <v>668</v>
      </c>
      <c r="O509" s="13" t="s">
        <v>668</v>
      </c>
      <c r="P509" s="13" t="s">
        <v>87</v>
      </c>
      <c r="Q509" s="13" t="s">
        <v>87</v>
      </c>
      <c r="R509" s="4">
        <v>3</v>
      </c>
      <c r="S509" s="13" t="s">
        <v>594</v>
      </c>
      <c r="T509" s="13">
        <v>730</v>
      </c>
      <c r="U509" s="4" t="s">
        <v>147</v>
      </c>
      <c r="V509" s="4">
        <v>500</v>
      </c>
      <c r="W509" s="4" t="s">
        <v>601</v>
      </c>
      <c r="X509" s="4">
        <v>520</v>
      </c>
      <c r="Y509" s="4">
        <v>20</v>
      </c>
      <c r="AA509" s="4" t="s">
        <v>49</v>
      </c>
      <c r="AB509" s="4">
        <v>0</v>
      </c>
      <c r="AC509" s="4" t="s">
        <v>49</v>
      </c>
      <c r="AD509" s="4">
        <v>0</v>
      </c>
      <c r="AE509" s="4" t="s">
        <v>49</v>
      </c>
      <c r="AF509" s="4">
        <v>0</v>
      </c>
      <c r="AG509" s="4" t="s">
        <v>739</v>
      </c>
      <c r="AH509" s="4" t="s">
        <v>728</v>
      </c>
      <c r="AI509" s="4" t="s">
        <v>64</v>
      </c>
      <c r="AJ509" s="13">
        <v>0</v>
      </c>
      <c r="AK509" s="13">
        <v>10</v>
      </c>
      <c r="AM509" s="13" t="s">
        <v>509</v>
      </c>
      <c r="AP509" s="13" t="s">
        <v>49</v>
      </c>
      <c r="AQ509" s="13" t="s">
        <v>49</v>
      </c>
      <c r="AR509" s="13" t="s">
        <v>49</v>
      </c>
      <c r="AS509" s="13" t="s">
        <v>49</v>
      </c>
      <c r="AT509" s="13" t="s">
        <v>990</v>
      </c>
      <c r="AU509" s="13" t="s">
        <v>998</v>
      </c>
      <c r="AV509" s="14">
        <v>13.8</v>
      </c>
      <c r="AW509" s="14">
        <v>2.1</v>
      </c>
      <c r="AX509" s="14">
        <f>Table1347456[[#This Row],[treatment_mean]]/Table1347456[[#This Row],[control_mean]]</f>
        <v>6.5714285714285712</v>
      </c>
      <c r="AY509" s="14">
        <f>LN(Table1347456[[#This Row],[rr]])</f>
        <v>1.8827312474337816</v>
      </c>
      <c r="AZ509" s="13">
        <v>3</v>
      </c>
      <c r="BA509" s="13">
        <v>3</v>
      </c>
      <c r="BB509" s="14" t="s">
        <v>46</v>
      </c>
      <c r="BC509" s="14" t="s">
        <v>46</v>
      </c>
      <c r="BD509" s="15" t="s">
        <v>46</v>
      </c>
      <c r="BE509" s="14" t="s">
        <v>46</v>
      </c>
      <c r="BF50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09" s="17" t="s">
        <v>46</v>
      </c>
      <c r="BH509" s="13" t="s">
        <v>50</v>
      </c>
      <c r="BI509" s="13">
        <v>0.05</v>
      </c>
      <c r="BJ509" s="18">
        <f>ABS(_xlfn.NORM.S.INV(Table1347456[[#This Row],[p_value]]/2))</f>
        <v>1.9599639845400538</v>
      </c>
      <c r="BK509" s="19">
        <f>(Table1347456[[#This Row],[lnrr]]/Table1347456[[#This Row],[z_from_p]])^2</f>
        <v>0.92274240477815805</v>
      </c>
      <c r="BL509" s="16">
        <f>Table1347456[[#This Row],[v_from_z_from_p]]</f>
        <v>0.92274240477815805</v>
      </c>
      <c r="BM509" s="20">
        <f>SQRT(Table1347456[[#This Row],[v]])</f>
        <v>0.96059481821325587</v>
      </c>
      <c r="BN509" s="20">
        <f>Table1347456[[#This Row],[lnrr]]-(1.96*Table1347456[[#This Row],[se]])</f>
        <v>-3.4596264199882043E-5</v>
      </c>
      <c r="BO509" s="20">
        <f>Table1347456[[#This Row],[lnrr]]+(1.96 * Table1347456[[#This Row],[se]])</f>
        <v>3.7654970911317633</v>
      </c>
    </row>
    <row r="510" spans="1:67">
      <c r="A510" s="13" t="s">
        <v>193</v>
      </c>
      <c r="B510" s="13" t="s">
        <v>201</v>
      </c>
      <c r="C510" s="13" t="s">
        <v>43</v>
      </c>
      <c r="D510" s="13" t="s">
        <v>195</v>
      </c>
      <c r="E510" s="13" t="s">
        <v>97</v>
      </c>
      <c r="F510" s="13" t="s">
        <v>588</v>
      </c>
      <c r="G510" s="13" t="s">
        <v>46</v>
      </c>
      <c r="H510" s="13">
        <v>32</v>
      </c>
      <c r="I510" s="13">
        <v>1350</v>
      </c>
      <c r="K510" s="13" t="s">
        <v>859</v>
      </c>
      <c r="L510" s="13" t="s">
        <v>860</v>
      </c>
      <c r="N510" s="13" t="s">
        <v>668</v>
      </c>
      <c r="O510" s="13" t="s">
        <v>668</v>
      </c>
      <c r="P510" s="13" t="s">
        <v>87</v>
      </c>
      <c r="Q510" s="13" t="s">
        <v>87</v>
      </c>
      <c r="R510" s="4">
        <v>3</v>
      </c>
      <c r="S510" s="13" t="s">
        <v>594</v>
      </c>
      <c r="T510" s="13">
        <v>730</v>
      </c>
      <c r="U510" s="4" t="s">
        <v>147</v>
      </c>
      <c r="V510" s="4">
        <v>500</v>
      </c>
      <c r="W510" s="4" t="s">
        <v>601</v>
      </c>
      <c r="X510" s="4">
        <v>520</v>
      </c>
      <c r="Y510" s="4">
        <v>30</v>
      </c>
      <c r="AA510" s="4" t="s">
        <v>49</v>
      </c>
      <c r="AB510" s="4">
        <v>0</v>
      </c>
      <c r="AC510" s="4" t="s">
        <v>49</v>
      </c>
      <c r="AD510" s="4">
        <v>0</v>
      </c>
      <c r="AE510" s="4" t="s">
        <v>49</v>
      </c>
      <c r="AF510" s="4">
        <v>0</v>
      </c>
      <c r="AG510" s="4" t="s">
        <v>739</v>
      </c>
      <c r="AH510" s="4" t="s">
        <v>728</v>
      </c>
      <c r="AI510" s="4" t="s">
        <v>64</v>
      </c>
      <c r="AJ510" s="13">
        <v>0</v>
      </c>
      <c r="AK510" s="13">
        <v>10</v>
      </c>
      <c r="AM510" s="13" t="s">
        <v>509</v>
      </c>
      <c r="AP510" s="13" t="s">
        <v>49</v>
      </c>
      <c r="AQ510" s="13" t="s">
        <v>49</v>
      </c>
      <c r="AR510" s="13" t="s">
        <v>49</v>
      </c>
      <c r="AS510" s="13" t="s">
        <v>49</v>
      </c>
      <c r="AT510" s="13" t="s">
        <v>990</v>
      </c>
      <c r="AU510" s="13" t="s">
        <v>998</v>
      </c>
      <c r="AV510" s="14">
        <v>20.399999999999999</v>
      </c>
      <c r="AW510" s="14">
        <v>2.1</v>
      </c>
      <c r="AX510" s="14">
        <f>Table1347456[[#This Row],[treatment_mean]]/Table1347456[[#This Row],[control_mean]]</f>
        <v>9.7142857142857135</v>
      </c>
      <c r="AY510" s="14">
        <f>LN(Table1347456[[#This Row],[rr]])</f>
        <v>2.2735975561207935</v>
      </c>
      <c r="AZ510" s="13">
        <v>3</v>
      </c>
      <c r="BA510" s="13">
        <v>3</v>
      </c>
      <c r="BB510" s="14" t="s">
        <v>46</v>
      </c>
      <c r="BC510" s="14" t="s">
        <v>46</v>
      </c>
      <c r="BD510" s="15" t="s">
        <v>46</v>
      </c>
      <c r="BE510" s="14" t="s">
        <v>46</v>
      </c>
      <c r="BF51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10" s="17" t="s">
        <v>46</v>
      </c>
      <c r="BH510" s="13" t="s">
        <v>50</v>
      </c>
      <c r="BI510" s="13">
        <v>0.05</v>
      </c>
      <c r="BJ510" s="18">
        <f>ABS(_xlfn.NORM.S.INV(Table1347456[[#This Row],[p_value]]/2))</f>
        <v>1.9599639845400538</v>
      </c>
      <c r="BK510" s="19">
        <f>(Table1347456[[#This Row],[lnrr]]/Table1347456[[#This Row],[z_from_p]])^2</f>
        <v>1.3456465599348528</v>
      </c>
      <c r="BL510" s="16">
        <f>Table1347456[[#This Row],[v_from_z_from_p]]</f>
        <v>1.3456465599348528</v>
      </c>
      <c r="BM510" s="20">
        <f>SQRT(Table1347456[[#This Row],[v]])</f>
        <v>1.1600200687638351</v>
      </c>
      <c r="BN510" s="20">
        <f>Table1347456[[#This Row],[lnrr]]-(1.96*Table1347456[[#This Row],[se]])</f>
        <v>-4.177865632337685E-5</v>
      </c>
      <c r="BO510" s="20">
        <f>Table1347456[[#This Row],[lnrr]]+(1.96 * Table1347456[[#This Row],[se]])</f>
        <v>4.5472368908979099</v>
      </c>
    </row>
    <row r="511" spans="1:67">
      <c r="A511" s="13" t="s">
        <v>193</v>
      </c>
      <c r="B511" s="13" t="s">
        <v>201</v>
      </c>
      <c r="C511" s="13" t="s">
        <v>43</v>
      </c>
      <c r="D511" s="13" t="s">
        <v>195</v>
      </c>
      <c r="E511" s="13" t="s">
        <v>97</v>
      </c>
      <c r="F511" s="13" t="s">
        <v>588</v>
      </c>
      <c r="G511" s="13" t="s">
        <v>46</v>
      </c>
      <c r="H511" s="13">
        <v>32</v>
      </c>
      <c r="I511" s="13">
        <v>1350</v>
      </c>
      <c r="K511" s="13" t="s">
        <v>859</v>
      </c>
      <c r="L511" s="13" t="s">
        <v>860</v>
      </c>
      <c r="N511" s="13" t="s">
        <v>81</v>
      </c>
      <c r="O511" s="13" t="s">
        <v>82</v>
      </c>
      <c r="P511" s="13" t="s">
        <v>83</v>
      </c>
      <c r="Q511" s="13" t="s">
        <v>83</v>
      </c>
      <c r="R511" s="4">
        <v>3</v>
      </c>
      <c r="S511" s="13" t="s">
        <v>594</v>
      </c>
      <c r="T511" s="13">
        <v>730</v>
      </c>
      <c r="U511" s="4" t="s">
        <v>147</v>
      </c>
      <c r="V511" s="4">
        <v>500</v>
      </c>
      <c r="W511" s="4" t="s">
        <v>601</v>
      </c>
      <c r="X511" s="4">
        <v>520</v>
      </c>
      <c r="Y511" s="4">
        <v>10</v>
      </c>
      <c r="AA511" s="4" t="s">
        <v>49</v>
      </c>
      <c r="AB511" s="4">
        <v>0</v>
      </c>
      <c r="AC511" s="4" t="s">
        <v>49</v>
      </c>
      <c r="AD511" s="4">
        <v>0</v>
      </c>
      <c r="AE511" s="4" t="s">
        <v>49</v>
      </c>
      <c r="AF511" s="4">
        <v>0</v>
      </c>
      <c r="AG511" s="4" t="s">
        <v>739</v>
      </c>
      <c r="AH511" s="4" t="s">
        <v>728</v>
      </c>
      <c r="AI511" s="4" t="s">
        <v>64</v>
      </c>
      <c r="AJ511" s="13">
        <v>0</v>
      </c>
      <c r="AK511" s="13">
        <v>10</v>
      </c>
      <c r="AM511" s="13" t="s">
        <v>509</v>
      </c>
      <c r="AP511" s="13" t="s">
        <v>49</v>
      </c>
      <c r="AQ511" s="13" t="s">
        <v>49</v>
      </c>
      <c r="AR511" s="13" t="s">
        <v>49</v>
      </c>
      <c r="AS511" s="13" t="s">
        <v>49</v>
      </c>
      <c r="AT511" s="13" t="s">
        <v>990</v>
      </c>
      <c r="AU511" s="13" t="s">
        <v>998</v>
      </c>
      <c r="AV511" s="14">
        <v>20.9</v>
      </c>
      <c r="AW511" s="14">
        <v>14.81</v>
      </c>
      <c r="AX511" s="14">
        <f>Table1347456[[#This Row],[treatment_mean]]/Table1347456[[#This Row],[control_mean]]</f>
        <v>1.4112086428089128</v>
      </c>
      <c r="AY511" s="14">
        <f>LN(Table1347456[[#This Row],[rr]])</f>
        <v>0.34444653069105785</v>
      </c>
      <c r="AZ511" s="13">
        <v>3</v>
      </c>
      <c r="BA511" s="13">
        <v>3</v>
      </c>
      <c r="BB511" s="14" t="s">
        <v>46</v>
      </c>
      <c r="BC511" s="14" t="s">
        <v>46</v>
      </c>
      <c r="BD511" s="15" t="s">
        <v>46</v>
      </c>
      <c r="BE511" s="14" t="s">
        <v>46</v>
      </c>
      <c r="BF51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11" s="17" t="s">
        <v>46</v>
      </c>
      <c r="BH511" s="13" t="s">
        <v>50</v>
      </c>
      <c r="BI511" s="13">
        <v>0.05</v>
      </c>
      <c r="BJ511" s="18">
        <f>ABS(_xlfn.NORM.S.INV(Table1347456[[#This Row],[p_value]]/2))</f>
        <v>1.9599639845400538</v>
      </c>
      <c r="BK511" s="19">
        <f>(Table1347456[[#This Row],[lnrr]]/Table1347456[[#This Row],[z_from_p]])^2</f>
        <v>3.0884988761552785E-2</v>
      </c>
      <c r="BL511" s="16">
        <f>Table1347456[[#This Row],[v_from_z_from_p]]</f>
        <v>3.0884988761552785E-2</v>
      </c>
      <c r="BM511" s="20">
        <f>SQRT(Table1347456[[#This Row],[v]])</f>
        <v>0.17574125514958855</v>
      </c>
      <c r="BN511" s="20">
        <f>Table1347456[[#This Row],[lnrr]]-(1.96*Table1347456[[#This Row],[se]])</f>
        <v>-6.3294021356852248E-6</v>
      </c>
      <c r="BO511" s="20">
        <f>Table1347456[[#This Row],[lnrr]]+(1.96 * Table1347456[[#This Row],[se]])</f>
        <v>0.68889939078425133</v>
      </c>
    </row>
    <row r="512" spans="1:67">
      <c r="A512" s="13" t="s">
        <v>193</v>
      </c>
      <c r="B512" s="13" t="s">
        <v>201</v>
      </c>
      <c r="C512" s="13" t="s">
        <v>43</v>
      </c>
      <c r="D512" s="13" t="s">
        <v>195</v>
      </c>
      <c r="E512" s="13" t="s">
        <v>97</v>
      </c>
      <c r="F512" s="13" t="s">
        <v>588</v>
      </c>
      <c r="G512" s="13" t="s">
        <v>46</v>
      </c>
      <c r="H512" s="13">
        <v>32</v>
      </c>
      <c r="I512" s="13">
        <v>1350</v>
      </c>
      <c r="K512" s="13" t="s">
        <v>859</v>
      </c>
      <c r="L512" s="13" t="s">
        <v>860</v>
      </c>
      <c r="N512" s="13" t="s">
        <v>81</v>
      </c>
      <c r="O512" s="13" t="s">
        <v>82</v>
      </c>
      <c r="P512" s="13" t="s">
        <v>83</v>
      </c>
      <c r="Q512" s="13" t="s">
        <v>83</v>
      </c>
      <c r="R512" s="4">
        <v>3</v>
      </c>
      <c r="S512" s="13" t="s">
        <v>594</v>
      </c>
      <c r="T512" s="13">
        <v>730</v>
      </c>
      <c r="U512" s="4" t="s">
        <v>147</v>
      </c>
      <c r="V512" s="4">
        <v>500</v>
      </c>
      <c r="W512" s="4" t="s">
        <v>601</v>
      </c>
      <c r="X512" s="4">
        <v>520</v>
      </c>
      <c r="Y512" s="4">
        <v>20</v>
      </c>
      <c r="AA512" s="4" t="s">
        <v>49</v>
      </c>
      <c r="AB512" s="4">
        <v>0</v>
      </c>
      <c r="AC512" s="4" t="s">
        <v>49</v>
      </c>
      <c r="AD512" s="4">
        <v>0</v>
      </c>
      <c r="AE512" s="4" t="s">
        <v>49</v>
      </c>
      <c r="AF512" s="4">
        <v>0</v>
      </c>
      <c r="AG512" s="4" t="s">
        <v>739</v>
      </c>
      <c r="AH512" s="4" t="s">
        <v>728</v>
      </c>
      <c r="AI512" s="4" t="s">
        <v>64</v>
      </c>
      <c r="AJ512" s="13">
        <v>0</v>
      </c>
      <c r="AK512" s="13">
        <v>10</v>
      </c>
      <c r="AM512" s="13" t="s">
        <v>509</v>
      </c>
      <c r="AP512" s="13" t="s">
        <v>49</v>
      </c>
      <c r="AQ512" s="13" t="s">
        <v>49</v>
      </c>
      <c r="AR512" s="13" t="s">
        <v>49</v>
      </c>
      <c r="AS512" s="13" t="s">
        <v>49</v>
      </c>
      <c r="AT512" s="13" t="s">
        <v>990</v>
      </c>
      <c r="AU512" s="13" t="s">
        <v>998</v>
      </c>
      <c r="AV512" s="14">
        <v>24.22</v>
      </c>
      <c r="AW512" s="14">
        <v>14.81</v>
      </c>
      <c r="AX512" s="14">
        <f>Table1347456[[#This Row],[treatment_mean]]/Table1347456[[#This Row],[control_mean]]</f>
        <v>1.6353814989871707</v>
      </c>
      <c r="AY512" s="14">
        <f>LN(Table1347456[[#This Row],[rr]])</f>
        <v>0.49187610984523866</v>
      </c>
      <c r="AZ512" s="13">
        <v>3</v>
      </c>
      <c r="BA512" s="13">
        <v>3</v>
      </c>
      <c r="BB512" s="14" t="s">
        <v>46</v>
      </c>
      <c r="BC512" s="14" t="s">
        <v>46</v>
      </c>
      <c r="BD512" s="15" t="s">
        <v>46</v>
      </c>
      <c r="BE512" s="14" t="s">
        <v>46</v>
      </c>
      <c r="BF51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12" s="17" t="s">
        <v>46</v>
      </c>
      <c r="BH512" s="13" t="s">
        <v>50</v>
      </c>
      <c r="BI512" s="13">
        <v>0.05</v>
      </c>
      <c r="BJ512" s="18">
        <f>ABS(_xlfn.NORM.S.INV(Table1347456[[#This Row],[p_value]]/2))</f>
        <v>1.9599639845400538</v>
      </c>
      <c r="BK512" s="19">
        <f>(Table1347456[[#This Row],[lnrr]]/Table1347456[[#This Row],[z_from_p]])^2</f>
        <v>6.2981830270607483E-2</v>
      </c>
      <c r="BL512" s="16">
        <f>Table1347456[[#This Row],[v_from_z_from_p]]</f>
        <v>6.2981830270607483E-2</v>
      </c>
      <c r="BM512" s="20">
        <f>SQRT(Table1347456[[#This Row],[v]])</f>
        <v>0.25096181038279008</v>
      </c>
      <c r="BN512" s="20">
        <f>Table1347456[[#This Row],[lnrr]]-(1.96*Table1347456[[#This Row],[se]])</f>
        <v>-9.038505029868027E-6</v>
      </c>
      <c r="BO512" s="20">
        <f>Table1347456[[#This Row],[lnrr]]+(1.96 * Table1347456[[#This Row],[se]])</f>
        <v>0.98376125819550719</v>
      </c>
    </row>
    <row r="513" spans="1:67">
      <c r="A513" s="13" t="s">
        <v>193</v>
      </c>
      <c r="B513" s="13" t="s">
        <v>201</v>
      </c>
      <c r="C513" s="13" t="s">
        <v>43</v>
      </c>
      <c r="D513" s="13" t="s">
        <v>195</v>
      </c>
      <c r="E513" s="13" t="s">
        <v>97</v>
      </c>
      <c r="F513" s="13" t="s">
        <v>588</v>
      </c>
      <c r="G513" s="13" t="s">
        <v>46</v>
      </c>
      <c r="H513" s="13">
        <v>32</v>
      </c>
      <c r="I513" s="13">
        <v>1350</v>
      </c>
      <c r="K513" s="13" t="s">
        <v>859</v>
      </c>
      <c r="L513" s="13" t="s">
        <v>860</v>
      </c>
      <c r="N513" s="13" t="s">
        <v>81</v>
      </c>
      <c r="O513" s="13" t="s">
        <v>82</v>
      </c>
      <c r="P513" s="13" t="s">
        <v>83</v>
      </c>
      <c r="Q513" s="13" t="s">
        <v>83</v>
      </c>
      <c r="R513" s="4">
        <v>3</v>
      </c>
      <c r="S513" s="13" t="s">
        <v>594</v>
      </c>
      <c r="T513" s="13">
        <v>730</v>
      </c>
      <c r="U513" s="4" t="s">
        <v>147</v>
      </c>
      <c r="V513" s="4">
        <v>500</v>
      </c>
      <c r="W513" s="4" t="s">
        <v>601</v>
      </c>
      <c r="X513" s="4">
        <v>520</v>
      </c>
      <c r="Y513" s="4">
        <v>30</v>
      </c>
      <c r="AA513" s="4" t="s">
        <v>49</v>
      </c>
      <c r="AB513" s="4">
        <v>0</v>
      </c>
      <c r="AC513" s="4" t="s">
        <v>49</v>
      </c>
      <c r="AD513" s="4">
        <v>0</v>
      </c>
      <c r="AE513" s="4" t="s">
        <v>49</v>
      </c>
      <c r="AF513" s="4">
        <v>0</v>
      </c>
      <c r="AG513" s="4" t="s">
        <v>739</v>
      </c>
      <c r="AH513" s="4" t="s">
        <v>728</v>
      </c>
      <c r="AI513" s="4" t="s">
        <v>64</v>
      </c>
      <c r="AJ513" s="13">
        <v>0</v>
      </c>
      <c r="AK513" s="13">
        <v>10</v>
      </c>
      <c r="AM513" s="13" t="s">
        <v>509</v>
      </c>
      <c r="AP513" s="13" t="s">
        <v>49</v>
      </c>
      <c r="AQ513" s="13" t="s">
        <v>49</v>
      </c>
      <c r="AR513" s="13" t="s">
        <v>49</v>
      </c>
      <c r="AS513" s="13" t="s">
        <v>49</v>
      </c>
      <c r="AT513" s="13" t="s">
        <v>990</v>
      </c>
      <c r="AU513" s="13" t="s">
        <v>998</v>
      </c>
      <c r="AV513" s="14">
        <v>26.17</v>
      </c>
      <c r="AW513" s="14">
        <v>14.81</v>
      </c>
      <c r="AX513" s="14">
        <f>Table1347456[[#This Row],[treatment_mean]]/Table1347456[[#This Row],[control_mean]]</f>
        <v>1.7670492910195814</v>
      </c>
      <c r="AY513" s="14">
        <f>LN(Table1347456[[#This Row],[rr]])</f>
        <v>0.56931108826234711</v>
      </c>
      <c r="AZ513" s="13">
        <v>3</v>
      </c>
      <c r="BA513" s="13">
        <v>3</v>
      </c>
      <c r="BB513" s="14" t="s">
        <v>46</v>
      </c>
      <c r="BC513" s="14" t="s">
        <v>46</v>
      </c>
      <c r="BD513" s="15" t="s">
        <v>46</v>
      </c>
      <c r="BE513" s="14" t="s">
        <v>46</v>
      </c>
      <c r="BF51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13" s="17" t="s">
        <v>46</v>
      </c>
      <c r="BH513" s="13" t="s">
        <v>50</v>
      </c>
      <c r="BI513" s="13">
        <v>0.05</v>
      </c>
      <c r="BJ513" s="18">
        <f>ABS(_xlfn.NORM.S.INV(Table1347456[[#This Row],[p_value]]/2))</f>
        <v>1.9599639845400538</v>
      </c>
      <c r="BK513" s="19">
        <f>(Table1347456[[#This Row],[lnrr]]/Table1347456[[#This Row],[z_from_p]])^2</f>
        <v>8.4372924544299205E-2</v>
      </c>
      <c r="BL513" s="16">
        <f>Table1347456[[#This Row],[v_from_z_from_p]]</f>
        <v>8.4372924544299205E-2</v>
      </c>
      <c r="BM513" s="20">
        <f>SQRT(Table1347456[[#This Row],[v]])</f>
        <v>0.29047017840786893</v>
      </c>
      <c r="BN513" s="20">
        <f>Table1347456[[#This Row],[lnrr]]-(1.96*Table1347456[[#This Row],[se]])</f>
        <v>-1.04614170759465E-5</v>
      </c>
      <c r="BO513" s="20">
        <f>Table1347456[[#This Row],[lnrr]]+(1.96 * Table1347456[[#This Row],[se]])</f>
        <v>1.1386326379417702</v>
      </c>
    </row>
    <row r="514" spans="1:67">
      <c r="A514" s="13" t="s">
        <v>202</v>
      </c>
      <c r="B514" s="13" t="s">
        <v>203</v>
      </c>
      <c r="C514" s="13" t="s">
        <v>43</v>
      </c>
      <c r="D514" s="13" t="s">
        <v>204</v>
      </c>
      <c r="E514" s="13" t="s">
        <v>205</v>
      </c>
      <c r="F514" s="13" t="s">
        <v>587</v>
      </c>
      <c r="G514" s="13" t="s">
        <v>46</v>
      </c>
      <c r="H514" s="13">
        <v>30.5</v>
      </c>
      <c r="I514" s="13" t="s">
        <v>46</v>
      </c>
      <c r="K514" s="13" t="s">
        <v>861</v>
      </c>
      <c r="L514" s="13" t="s">
        <v>862</v>
      </c>
      <c r="N514" s="13" t="s">
        <v>47</v>
      </c>
      <c r="O514" s="13" t="s">
        <v>645</v>
      </c>
      <c r="P514" s="13" t="s">
        <v>422</v>
      </c>
      <c r="Q514" s="13" t="s">
        <v>48</v>
      </c>
      <c r="R514" s="4">
        <v>6</v>
      </c>
      <c r="S514" s="13" t="s">
        <v>596</v>
      </c>
      <c r="T514" s="13">
        <v>120</v>
      </c>
      <c r="U514" s="4" t="s">
        <v>206</v>
      </c>
      <c r="V514" s="4" t="s">
        <v>46</v>
      </c>
      <c r="W514" s="4" t="s">
        <v>46</v>
      </c>
      <c r="X514" s="4" t="s">
        <v>46</v>
      </c>
      <c r="Y514" s="4">
        <f>1000/1000</f>
        <v>1</v>
      </c>
      <c r="AA514" s="4" t="s">
        <v>49</v>
      </c>
      <c r="AB514" s="4">
        <v>0</v>
      </c>
      <c r="AC514" s="4" t="s">
        <v>49</v>
      </c>
      <c r="AD514" s="4">
        <v>0</v>
      </c>
      <c r="AE514" s="4" t="s">
        <v>49</v>
      </c>
      <c r="AF514" s="4">
        <v>0</v>
      </c>
      <c r="AG514" s="4" t="s">
        <v>46</v>
      </c>
      <c r="AH514" s="4" t="s">
        <v>753</v>
      </c>
      <c r="AI514" s="4" t="s">
        <v>78</v>
      </c>
      <c r="AJ514" s="13">
        <v>0</v>
      </c>
      <c r="AK514" s="13">
        <v>15</v>
      </c>
      <c r="AL514" s="13" t="s">
        <v>510</v>
      </c>
      <c r="AO514" s="13" t="s">
        <v>511</v>
      </c>
      <c r="AP514" s="13" t="s">
        <v>50</v>
      </c>
      <c r="AQ514" s="13" t="s">
        <v>49</v>
      </c>
      <c r="AR514" s="13" t="s">
        <v>49</v>
      </c>
      <c r="AS514" s="13" t="s">
        <v>49</v>
      </c>
      <c r="AT514" s="13" t="s">
        <v>990</v>
      </c>
      <c r="AU514" s="13" t="s">
        <v>998</v>
      </c>
      <c r="AV514" s="14">
        <f>0.067*10</f>
        <v>0.67</v>
      </c>
      <c r="AW514" s="14">
        <f>0.031*10</f>
        <v>0.31</v>
      </c>
      <c r="AX514" s="14">
        <f>Table1347456[[#This Row],[treatment_mean]]/Table1347456[[#This Row],[control_mean]]</f>
        <v>2.1612903225806455</v>
      </c>
      <c r="AY514" s="14">
        <f>LN(Table1347456[[#This Row],[rr]])</f>
        <v>0.77070541490582001</v>
      </c>
      <c r="AZ514" s="13">
        <v>6</v>
      </c>
      <c r="BA514" s="13">
        <v>6</v>
      </c>
      <c r="BB514" s="14" t="s">
        <v>46</v>
      </c>
      <c r="BC514" s="14" t="s">
        <v>46</v>
      </c>
      <c r="BD514" s="15" t="s">
        <v>46</v>
      </c>
      <c r="BE514" s="14" t="s">
        <v>46</v>
      </c>
      <c r="BF51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14" s="17" t="s">
        <v>46</v>
      </c>
      <c r="BH514" s="13" t="s">
        <v>50</v>
      </c>
      <c r="BI514" s="13">
        <v>2.5000000000000001E-2</v>
      </c>
      <c r="BJ514" s="18">
        <f>ABS(_xlfn.NORM.S.INV(Table1347456[[#This Row],[p_value]]/2))</f>
        <v>2.2414027276049446</v>
      </c>
      <c r="BK514" s="19">
        <f>(Table1347456[[#This Row],[lnrr]]/Table1347456[[#This Row],[z_from_p]])^2</f>
        <v>0.11823254238221906</v>
      </c>
      <c r="BL514" s="16">
        <f>Table1347456[[#This Row],[v_from_z_from_p]]</f>
        <v>0.11823254238221906</v>
      </c>
      <c r="BM514" s="20">
        <f>SQRT(Table1347456[[#This Row],[v]])</f>
        <v>0.34384959267420845</v>
      </c>
      <c r="BN514" s="20">
        <f>Table1347456[[#This Row],[lnrr]]-(1.96*Table1347456[[#This Row],[se]])</f>
        <v>9.6760213264371453E-2</v>
      </c>
      <c r="BO514" s="20">
        <f>Table1347456[[#This Row],[lnrr]]+(1.96 * Table1347456[[#This Row],[se]])</f>
        <v>1.4446506165472686</v>
      </c>
    </row>
    <row r="515" spans="1:67">
      <c r="A515" s="13" t="s">
        <v>202</v>
      </c>
      <c r="B515" s="13" t="s">
        <v>203</v>
      </c>
      <c r="C515" s="13" t="s">
        <v>43</v>
      </c>
      <c r="D515" s="13" t="s">
        <v>204</v>
      </c>
      <c r="E515" s="13" t="s">
        <v>205</v>
      </c>
      <c r="F515" s="13" t="s">
        <v>587</v>
      </c>
      <c r="G515" s="13" t="s">
        <v>46</v>
      </c>
      <c r="H515" s="13">
        <v>30.5</v>
      </c>
      <c r="I515" s="13" t="s">
        <v>46</v>
      </c>
      <c r="K515" s="13" t="s">
        <v>861</v>
      </c>
      <c r="L515" s="13" t="s">
        <v>862</v>
      </c>
      <c r="N515" s="13" t="s">
        <v>47</v>
      </c>
      <c r="O515" s="13" t="s">
        <v>645</v>
      </c>
      <c r="P515" s="13" t="s">
        <v>422</v>
      </c>
      <c r="Q515" s="13" t="s">
        <v>48</v>
      </c>
      <c r="R515" s="4">
        <v>6</v>
      </c>
      <c r="S515" s="13" t="s">
        <v>596</v>
      </c>
      <c r="T515" s="13">
        <v>120</v>
      </c>
      <c r="U515" s="4" t="s">
        <v>206</v>
      </c>
      <c r="V515" s="4" t="s">
        <v>46</v>
      </c>
      <c r="W515" s="4" t="s">
        <v>46</v>
      </c>
      <c r="X515" s="4" t="s">
        <v>46</v>
      </c>
      <c r="Y515" s="4">
        <f t="shared" ref="Y515:Y537" si="18">1000/1000</f>
        <v>1</v>
      </c>
      <c r="AA515" s="4" t="s">
        <v>50</v>
      </c>
      <c r="AB515" s="4">
        <v>300</v>
      </c>
      <c r="AC515" s="4" t="s">
        <v>49</v>
      </c>
      <c r="AD515" s="4">
        <v>0</v>
      </c>
      <c r="AE515" s="4" t="s">
        <v>49</v>
      </c>
      <c r="AF515" s="4">
        <v>0</v>
      </c>
      <c r="AG515" s="4" t="s">
        <v>46</v>
      </c>
      <c r="AH515" s="4" t="s">
        <v>753</v>
      </c>
      <c r="AI515" s="4" t="s">
        <v>78</v>
      </c>
      <c r="AJ515" s="13">
        <v>0</v>
      </c>
      <c r="AK515" s="13">
        <v>15</v>
      </c>
      <c r="AL515" s="13" t="s">
        <v>510</v>
      </c>
      <c r="AO515" s="13" t="s">
        <v>511</v>
      </c>
      <c r="AP515" s="13" t="s">
        <v>50</v>
      </c>
      <c r="AQ515" s="13" t="s">
        <v>49</v>
      </c>
      <c r="AR515" s="13" t="s">
        <v>49</v>
      </c>
      <c r="AS515" s="13" t="s">
        <v>49</v>
      </c>
      <c r="AT515" s="13" t="s">
        <v>992</v>
      </c>
      <c r="AU515" s="4" t="s">
        <v>1000</v>
      </c>
      <c r="AV515" s="14">
        <f>0.141*10</f>
        <v>1.41</v>
      </c>
      <c r="AW515" s="14">
        <f>0.093*10</f>
        <v>0.92999999999999994</v>
      </c>
      <c r="AX515" s="14">
        <f>Table1347456[[#This Row],[treatment_mean]]/Table1347456[[#This Row],[control_mean]]</f>
        <v>1.5161290322580645</v>
      </c>
      <c r="AY515" s="14">
        <f>LN(Table1347456[[#This Row],[rr]])</f>
        <v>0.41616039722491233</v>
      </c>
      <c r="AZ515" s="13">
        <v>6</v>
      </c>
      <c r="BA515" s="13">
        <v>6</v>
      </c>
      <c r="BB515" s="14" t="s">
        <v>46</v>
      </c>
      <c r="BC515" s="14" t="s">
        <v>46</v>
      </c>
      <c r="BD515" s="15" t="s">
        <v>46</v>
      </c>
      <c r="BE515" s="14" t="s">
        <v>46</v>
      </c>
      <c r="BF51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15" s="17" t="s">
        <v>46</v>
      </c>
      <c r="BH515" s="13" t="s">
        <v>50</v>
      </c>
      <c r="BI515" s="13">
        <v>2.5000000000000001E-2</v>
      </c>
      <c r="BJ515" s="18">
        <f>ABS(_xlfn.NORM.S.INV(Table1347456[[#This Row],[p_value]]/2))</f>
        <v>2.2414027276049446</v>
      </c>
      <c r="BK515" s="19">
        <f>(Table1347456[[#This Row],[lnrr]]/Table1347456[[#This Row],[z_from_p]])^2</f>
        <v>3.4473208540371281E-2</v>
      </c>
      <c r="BL515" s="16">
        <f>Table1347456[[#This Row],[v_from_z_from_p]]</f>
        <v>3.4473208540371281E-2</v>
      </c>
      <c r="BM515" s="20">
        <f>SQRT(Table1347456[[#This Row],[v]])</f>
        <v>0.18566962201817314</v>
      </c>
      <c r="BN515" s="20">
        <f>Table1347456[[#This Row],[lnrr]]-(1.96*Table1347456[[#This Row],[se]])</f>
        <v>5.224793806929301E-2</v>
      </c>
      <c r="BO515" s="20">
        <f>Table1347456[[#This Row],[lnrr]]+(1.96 * Table1347456[[#This Row],[se]])</f>
        <v>0.7800728563805317</v>
      </c>
    </row>
    <row r="516" spans="1:67">
      <c r="A516" s="13" t="s">
        <v>202</v>
      </c>
      <c r="B516" s="13" t="s">
        <v>203</v>
      </c>
      <c r="C516" s="13" t="s">
        <v>43</v>
      </c>
      <c r="D516" s="13" t="s">
        <v>204</v>
      </c>
      <c r="E516" s="13" t="s">
        <v>205</v>
      </c>
      <c r="F516" s="13" t="s">
        <v>587</v>
      </c>
      <c r="G516" s="13" t="s">
        <v>46</v>
      </c>
      <c r="H516" s="13">
        <v>30.5</v>
      </c>
      <c r="I516" s="13" t="s">
        <v>46</v>
      </c>
      <c r="K516" s="13" t="s">
        <v>861</v>
      </c>
      <c r="L516" s="13" t="s">
        <v>862</v>
      </c>
      <c r="N516" s="13" t="s">
        <v>47</v>
      </c>
      <c r="O516" s="13" t="s">
        <v>645</v>
      </c>
      <c r="P516" s="13" t="s">
        <v>422</v>
      </c>
      <c r="Q516" s="13" t="s">
        <v>48</v>
      </c>
      <c r="R516" s="4">
        <v>6</v>
      </c>
      <c r="S516" s="13" t="s">
        <v>596</v>
      </c>
      <c r="T516" s="13">
        <v>120</v>
      </c>
      <c r="U516" s="4" t="s">
        <v>206</v>
      </c>
      <c r="V516" s="4" t="s">
        <v>46</v>
      </c>
      <c r="W516" s="4" t="s">
        <v>46</v>
      </c>
      <c r="X516" s="4" t="s">
        <v>46</v>
      </c>
      <c r="Y516" s="4">
        <f t="shared" si="18"/>
        <v>1</v>
      </c>
      <c r="AA516" s="4" t="s">
        <v>49</v>
      </c>
      <c r="AB516" s="4">
        <v>0</v>
      </c>
      <c r="AC516" s="4" t="s">
        <v>50</v>
      </c>
      <c r="AD516" s="4">
        <v>1</v>
      </c>
      <c r="AE516" s="4" t="s">
        <v>49</v>
      </c>
      <c r="AF516" s="4">
        <v>0</v>
      </c>
      <c r="AG516" s="4" t="s">
        <v>46</v>
      </c>
      <c r="AH516" s="4" t="s">
        <v>753</v>
      </c>
      <c r="AI516" s="4" t="s">
        <v>78</v>
      </c>
      <c r="AJ516" s="13">
        <v>0</v>
      </c>
      <c r="AK516" s="13">
        <v>15</v>
      </c>
      <c r="AL516" s="13" t="s">
        <v>510</v>
      </c>
      <c r="AO516" s="13" t="s">
        <v>511</v>
      </c>
      <c r="AP516" s="13" t="s">
        <v>50</v>
      </c>
      <c r="AQ516" s="13" t="s">
        <v>49</v>
      </c>
      <c r="AR516" s="13" t="s">
        <v>49</v>
      </c>
      <c r="AS516" s="13" t="s">
        <v>49</v>
      </c>
      <c r="AT516" s="13" t="s">
        <v>993</v>
      </c>
      <c r="AU516" s="13" t="s">
        <v>1001</v>
      </c>
      <c r="AV516" s="14">
        <f>0.069*10</f>
        <v>0.69000000000000006</v>
      </c>
      <c r="AW516" s="14">
        <v>8.8999999999999996E-2</v>
      </c>
      <c r="AX516" s="14">
        <f>Table1347456[[#This Row],[treatment_mean]]/Table1347456[[#This Row],[control_mean]]</f>
        <v>7.7528089887640457</v>
      </c>
      <c r="AY516" s="14">
        <f>LN(Table1347456[[#This Row],[rr]])</f>
        <v>2.0480552278591655</v>
      </c>
      <c r="AZ516" s="13">
        <v>6</v>
      </c>
      <c r="BA516" s="13">
        <v>6</v>
      </c>
      <c r="BB516" s="14" t="s">
        <v>46</v>
      </c>
      <c r="BC516" s="14" t="s">
        <v>46</v>
      </c>
      <c r="BD516" s="15" t="s">
        <v>46</v>
      </c>
      <c r="BE516" s="14" t="s">
        <v>46</v>
      </c>
      <c r="BF51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16" s="17" t="s">
        <v>46</v>
      </c>
      <c r="BH516" s="13" t="s">
        <v>50</v>
      </c>
      <c r="BI516" s="13">
        <v>2.5000000000000001E-2</v>
      </c>
      <c r="BJ516" s="18">
        <f>ABS(_xlfn.NORM.S.INV(Table1347456[[#This Row],[p_value]]/2))</f>
        <v>2.2414027276049446</v>
      </c>
      <c r="BK516" s="19">
        <f>(Table1347456[[#This Row],[lnrr]]/Table1347456[[#This Row],[z_from_p]])^2</f>
        <v>0.83491744437847359</v>
      </c>
      <c r="BL516" s="16">
        <f>Table1347456[[#This Row],[v_from_z_from_p]]</f>
        <v>0.83491744437847359</v>
      </c>
      <c r="BM516" s="20">
        <f>SQRT(Table1347456[[#This Row],[v]])</f>
        <v>0.9137381705819636</v>
      </c>
      <c r="BN516" s="20">
        <f>Table1347456[[#This Row],[lnrr]]-(1.96*Table1347456[[#This Row],[se]])</f>
        <v>0.25712841351851679</v>
      </c>
      <c r="BO516" s="20">
        <f>Table1347456[[#This Row],[lnrr]]+(1.96 * Table1347456[[#This Row],[se]])</f>
        <v>3.838982042199814</v>
      </c>
    </row>
    <row r="517" spans="1:67">
      <c r="A517" s="13" t="s">
        <v>202</v>
      </c>
      <c r="B517" s="13" t="s">
        <v>203</v>
      </c>
      <c r="C517" s="13" t="s">
        <v>43</v>
      </c>
      <c r="D517" s="13" t="s">
        <v>204</v>
      </c>
      <c r="E517" s="13" t="s">
        <v>205</v>
      </c>
      <c r="F517" s="13" t="s">
        <v>587</v>
      </c>
      <c r="G517" s="13" t="s">
        <v>46</v>
      </c>
      <c r="H517" s="13">
        <v>30.5</v>
      </c>
      <c r="I517" s="13" t="s">
        <v>46</v>
      </c>
      <c r="K517" s="13" t="s">
        <v>861</v>
      </c>
      <c r="L517" s="13" t="s">
        <v>862</v>
      </c>
      <c r="N517" s="13" t="s">
        <v>47</v>
      </c>
      <c r="O517" s="13" t="s">
        <v>645</v>
      </c>
      <c r="P517" s="13" t="s">
        <v>422</v>
      </c>
      <c r="Q517" s="13" t="s">
        <v>48</v>
      </c>
      <c r="R517" s="4">
        <v>6</v>
      </c>
      <c r="S517" s="13" t="s">
        <v>596</v>
      </c>
      <c r="T517" s="13">
        <v>120</v>
      </c>
      <c r="U517" s="4" t="s">
        <v>206</v>
      </c>
      <c r="V517" s="4" t="s">
        <v>46</v>
      </c>
      <c r="W517" s="4" t="s">
        <v>46</v>
      </c>
      <c r="X517" s="4" t="s">
        <v>46</v>
      </c>
      <c r="Y517" s="4">
        <f t="shared" si="18"/>
        <v>1</v>
      </c>
      <c r="AA517" s="4" t="s">
        <v>50</v>
      </c>
      <c r="AB517" s="4">
        <v>300</v>
      </c>
      <c r="AC517" s="4" t="s">
        <v>50</v>
      </c>
      <c r="AD517" s="4">
        <v>1</v>
      </c>
      <c r="AE517" s="4" t="s">
        <v>49</v>
      </c>
      <c r="AF517" s="4">
        <v>0</v>
      </c>
      <c r="AG517" s="4" t="s">
        <v>46</v>
      </c>
      <c r="AH517" s="4" t="s">
        <v>753</v>
      </c>
      <c r="AI517" s="4" t="s">
        <v>78</v>
      </c>
      <c r="AJ517" s="13">
        <v>0</v>
      </c>
      <c r="AK517" s="13">
        <v>15</v>
      </c>
      <c r="AL517" s="13" t="s">
        <v>510</v>
      </c>
      <c r="AO517" s="13" t="s">
        <v>511</v>
      </c>
      <c r="AP517" s="13" t="s">
        <v>50</v>
      </c>
      <c r="AQ517" s="13" t="s">
        <v>49</v>
      </c>
      <c r="AR517" s="13" t="s">
        <v>49</v>
      </c>
      <c r="AS517" s="13" t="s">
        <v>49</v>
      </c>
      <c r="AT517" s="13" t="s">
        <v>991</v>
      </c>
      <c r="AU517" s="13" t="s">
        <v>997</v>
      </c>
      <c r="AV517" s="14">
        <f>0.132*10</f>
        <v>1.32</v>
      </c>
      <c r="AW517" s="14">
        <f>0.136*10</f>
        <v>1.36</v>
      </c>
      <c r="AX517" s="14">
        <f>Table1347456[[#This Row],[treatment_mean]]/Table1347456[[#This Row],[control_mean]]</f>
        <v>0.97058823529411764</v>
      </c>
      <c r="AY517" s="14">
        <f>LN(Table1347456[[#This Row],[rr]])</f>
        <v>-2.985296314968116E-2</v>
      </c>
      <c r="AZ517" s="13">
        <v>6</v>
      </c>
      <c r="BA517" s="13">
        <v>6</v>
      </c>
      <c r="BB517" s="14" t="s">
        <v>46</v>
      </c>
      <c r="BC517" s="14" t="s">
        <v>46</v>
      </c>
      <c r="BD517" s="15" t="s">
        <v>46</v>
      </c>
      <c r="BE517" s="14" t="s">
        <v>46</v>
      </c>
      <c r="BF51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17" s="17" t="s">
        <v>46</v>
      </c>
      <c r="BH517" s="13" t="s">
        <v>50</v>
      </c>
      <c r="BI517" s="13">
        <v>2.5000000000000001E-2</v>
      </c>
      <c r="BJ517" s="18">
        <f>ABS(_xlfn.NORM.S.INV(Table1347456[[#This Row],[p_value]]/2))</f>
        <v>2.2414027276049446</v>
      </c>
      <c r="BK517" s="19">
        <f>(Table1347456[[#This Row],[lnrr]]/Table1347456[[#This Row],[z_from_p]])^2</f>
        <v>1.773924359724678E-4</v>
      </c>
      <c r="BL517" s="16">
        <f>Table1347456[[#This Row],[v_from_z_from_p]]</f>
        <v>1.773924359724678E-4</v>
      </c>
      <c r="BM517" s="20">
        <f>SQRT(Table1347456[[#This Row],[v]])</f>
        <v>1.3318875176698211E-2</v>
      </c>
      <c r="BN517" s="20">
        <f>Table1347456[[#This Row],[lnrr]]-(1.96*Table1347456[[#This Row],[se]])</f>
        <v>-5.5957958496009652E-2</v>
      </c>
      <c r="BO517" s="20">
        <f>Table1347456[[#This Row],[lnrr]]+(1.96 * Table1347456[[#This Row],[se]])</f>
        <v>-3.747967803352667E-3</v>
      </c>
    </row>
    <row r="518" spans="1:67">
      <c r="A518" s="13" t="s">
        <v>202</v>
      </c>
      <c r="B518" s="13" t="s">
        <v>203</v>
      </c>
      <c r="C518" s="13" t="s">
        <v>43</v>
      </c>
      <c r="D518" s="13" t="s">
        <v>204</v>
      </c>
      <c r="E518" s="13" t="s">
        <v>205</v>
      </c>
      <c r="F518" s="13" t="s">
        <v>587</v>
      </c>
      <c r="G518" s="13" t="s">
        <v>46</v>
      </c>
      <c r="H518" s="13">
        <v>30.5</v>
      </c>
      <c r="I518" s="13" t="s">
        <v>46</v>
      </c>
      <c r="K518" s="13" t="s">
        <v>861</v>
      </c>
      <c r="L518" s="13" t="s">
        <v>862</v>
      </c>
      <c r="N518" s="13" t="s">
        <v>614</v>
      </c>
      <c r="O518" s="13" t="s">
        <v>614</v>
      </c>
      <c r="P518" s="13" t="s">
        <v>87</v>
      </c>
      <c r="Q518" s="13" t="s">
        <v>87</v>
      </c>
      <c r="R518" s="4">
        <v>6</v>
      </c>
      <c r="S518" s="13" t="s">
        <v>596</v>
      </c>
      <c r="T518" s="13">
        <v>120</v>
      </c>
      <c r="U518" s="4" t="s">
        <v>206</v>
      </c>
      <c r="V518" s="4" t="s">
        <v>46</v>
      </c>
      <c r="W518" s="4" t="s">
        <v>46</v>
      </c>
      <c r="X518" s="4" t="s">
        <v>46</v>
      </c>
      <c r="Y518" s="4">
        <f t="shared" si="18"/>
        <v>1</v>
      </c>
      <c r="AA518" s="4" t="s">
        <v>49</v>
      </c>
      <c r="AB518" s="4">
        <v>0</v>
      </c>
      <c r="AC518" s="4" t="s">
        <v>49</v>
      </c>
      <c r="AD518" s="4">
        <v>0</v>
      </c>
      <c r="AE518" s="4" t="s">
        <v>49</v>
      </c>
      <c r="AF518" s="4">
        <v>0</v>
      </c>
      <c r="AG518" s="4" t="s">
        <v>46</v>
      </c>
      <c r="AH518" s="4" t="s">
        <v>753</v>
      </c>
      <c r="AI518" s="4" t="s">
        <v>78</v>
      </c>
      <c r="AJ518" s="13">
        <v>0</v>
      </c>
      <c r="AK518" s="13">
        <v>15</v>
      </c>
      <c r="AL518" s="13" t="s">
        <v>510</v>
      </c>
      <c r="AO518" s="13" t="s">
        <v>511</v>
      </c>
      <c r="AP518" s="13" t="s">
        <v>50</v>
      </c>
      <c r="AQ518" s="13" t="s">
        <v>49</v>
      </c>
      <c r="AR518" s="13" t="s">
        <v>49</v>
      </c>
      <c r="AS518" s="13" t="s">
        <v>49</v>
      </c>
      <c r="AT518" s="13" t="s">
        <v>990</v>
      </c>
      <c r="AU518" s="13" t="s">
        <v>998</v>
      </c>
      <c r="AV518" s="14">
        <v>5.6</v>
      </c>
      <c r="AW518" s="14">
        <v>2.64</v>
      </c>
      <c r="AX518" s="14">
        <f>Table1347456[[#This Row],[treatment_mean]]/Table1347456[[#This Row],[control_mean]]</f>
        <v>2.1212121212121211</v>
      </c>
      <c r="AY518" s="14">
        <f>LN(Table1347456[[#This Row],[rr]])</f>
        <v>0.75198768058287868</v>
      </c>
      <c r="AZ518" s="13">
        <v>6</v>
      </c>
      <c r="BA518" s="13">
        <v>6</v>
      </c>
      <c r="BB518" s="14" t="s">
        <v>46</v>
      </c>
      <c r="BC518" s="14" t="s">
        <v>46</v>
      </c>
      <c r="BD518" s="15" t="s">
        <v>46</v>
      </c>
      <c r="BE518" s="14" t="s">
        <v>46</v>
      </c>
      <c r="BF51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18" s="17" t="s">
        <v>46</v>
      </c>
      <c r="BH518" s="13" t="s">
        <v>50</v>
      </c>
      <c r="BI518" s="13">
        <v>2.5000000000000001E-2</v>
      </c>
      <c r="BJ518" s="18">
        <f>ABS(_xlfn.NORM.S.INV(Table1347456[[#This Row],[p_value]]/2))</f>
        <v>2.2414027276049446</v>
      </c>
      <c r="BK518" s="19">
        <f>(Table1347456[[#This Row],[lnrr]]/Table1347456[[#This Row],[z_from_p]])^2</f>
        <v>0.11255937150332866</v>
      </c>
      <c r="BL518" s="16">
        <f>Table1347456[[#This Row],[v_from_z_from_p]]</f>
        <v>0.11255937150332866</v>
      </c>
      <c r="BM518" s="20">
        <f>SQRT(Table1347456[[#This Row],[v]])</f>
        <v>0.3354986907624658</v>
      </c>
      <c r="BN518" s="20">
        <f>Table1347456[[#This Row],[lnrr]]-(1.96*Table1347456[[#This Row],[se]])</f>
        <v>9.4410246688445776E-2</v>
      </c>
      <c r="BO518" s="20">
        <f>Table1347456[[#This Row],[lnrr]]+(1.96 * Table1347456[[#This Row],[se]])</f>
        <v>1.4095651144773116</v>
      </c>
    </row>
    <row r="519" spans="1:67">
      <c r="A519" s="13" t="s">
        <v>202</v>
      </c>
      <c r="B519" s="13" t="s">
        <v>203</v>
      </c>
      <c r="C519" s="13" t="s">
        <v>43</v>
      </c>
      <c r="D519" s="13" t="s">
        <v>204</v>
      </c>
      <c r="E519" s="13" t="s">
        <v>205</v>
      </c>
      <c r="F519" s="13" t="s">
        <v>587</v>
      </c>
      <c r="G519" s="13" t="s">
        <v>46</v>
      </c>
      <c r="H519" s="13">
        <v>30.5</v>
      </c>
      <c r="I519" s="13" t="s">
        <v>46</v>
      </c>
      <c r="K519" s="13" t="s">
        <v>861</v>
      </c>
      <c r="L519" s="13" t="s">
        <v>862</v>
      </c>
      <c r="N519" s="13" t="s">
        <v>614</v>
      </c>
      <c r="O519" s="13" t="s">
        <v>614</v>
      </c>
      <c r="P519" s="13" t="s">
        <v>87</v>
      </c>
      <c r="Q519" s="13" t="s">
        <v>87</v>
      </c>
      <c r="R519" s="4">
        <v>6</v>
      </c>
      <c r="S519" s="13" t="s">
        <v>596</v>
      </c>
      <c r="T519" s="13">
        <v>120</v>
      </c>
      <c r="U519" s="4" t="s">
        <v>206</v>
      </c>
      <c r="V519" s="4" t="s">
        <v>46</v>
      </c>
      <c r="W519" s="4" t="s">
        <v>46</v>
      </c>
      <c r="X519" s="4" t="s">
        <v>46</v>
      </c>
      <c r="Y519" s="4">
        <f t="shared" si="18"/>
        <v>1</v>
      </c>
      <c r="AA519" s="4" t="s">
        <v>50</v>
      </c>
      <c r="AB519" s="4">
        <v>300</v>
      </c>
      <c r="AC519" s="4" t="s">
        <v>49</v>
      </c>
      <c r="AD519" s="4">
        <v>0</v>
      </c>
      <c r="AE519" s="4" t="s">
        <v>49</v>
      </c>
      <c r="AF519" s="4">
        <v>0</v>
      </c>
      <c r="AG519" s="4" t="s">
        <v>46</v>
      </c>
      <c r="AH519" s="4" t="s">
        <v>753</v>
      </c>
      <c r="AI519" s="4" t="s">
        <v>78</v>
      </c>
      <c r="AJ519" s="13">
        <v>0</v>
      </c>
      <c r="AK519" s="13">
        <v>15</v>
      </c>
      <c r="AL519" s="13" t="s">
        <v>510</v>
      </c>
      <c r="AO519" s="13" t="s">
        <v>511</v>
      </c>
      <c r="AP519" s="13" t="s">
        <v>50</v>
      </c>
      <c r="AQ519" s="13" t="s">
        <v>49</v>
      </c>
      <c r="AR519" s="13" t="s">
        <v>49</v>
      </c>
      <c r="AS519" s="13" t="s">
        <v>49</v>
      </c>
      <c r="AT519" s="13" t="s">
        <v>992</v>
      </c>
      <c r="AU519" s="4" t="s">
        <v>1000</v>
      </c>
      <c r="AV519" s="14">
        <v>6.51</v>
      </c>
      <c r="AW519" s="14">
        <v>15.8</v>
      </c>
      <c r="AX519" s="14">
        <f>Table1347456[[#This Row],[treatment_mean]]/Table1347456[[#This Row],[control_mean]]</f>
        <v>0.41202531645569618</v>
      </c>
      <c r="AY519" s="14">
        <f>LN(Table1347456[[#This Row],[rr]])</f>
        <v>-0.88667048381244329</v>
      </c>
      <c r="AZ519" s="13">
        <v>6</v>
      </c>
      <c r="BA519" s="13">
        <v>6</v>
      </c>
      <c r="BB519" s="14" t="s">
        <v>46</v>
      </c>
      <c r="BC519" s="14" t="s">
        <v>46</v>
      </c>
      <c r="BD519" s="15" t="s">
        <v>46</v>
      </c>
      <c r="BE519" s="14" t="s">
        <v>46</v>
      </c>
      <c r="BF51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19" s="17" t="s">
        <v>46</v>
      </c>
      <c r="BH519" s="13" t="s">
        <v>50</v>
      </c>
      <c r="BI519" s="13">
        <v>2.5000000000000001E-2</v>
      </c>
      <c r="BJ519" s="18">
        <f>ABS(_xlfn.NORM.S.INV(Table1347456[[#This Row],[p_value]]/2))</f>
        <v>2.2414027276049446</v>
      </c>
      <c r="BK519" s="19">
        <f>(Table1347456[[#This Row],[lnrr]]/Table1347456[[#This Row],[z_from_p]])^2</f>
        <v>0.15648932271779509</v>
      </c>
      <c r="BL519" s="16">
        <f>Table1347456[[#This Row],[v_from_z_from_p]]</f>
        <v>0.15648932271779509</v>
      </c>
      <c r="BM519" s="20">
        <f>SQRT(Table1347456[[#This Row],[v]])</f>
        <v>0.39558731364617228</v>
      </c>
      <c r="BN519" s="20">
        <f>Table1347456[[#This Row],[lnrr]]-(1.96*Table1347456[[#This Row],[se]])</f>
        <v>-1.6620216185589409</v>
      </c>
      <c r="BO519" s="20">
        <f>Table1347456[[#This Row],[lnrr]]+(1.96 * Table1347456[[#This Row],[se]])</f>
        <v>-0.11131934906594565</v>
      </c>
    </row>
    <row r="520" spans="1:67">
      <c r="A520" s="13" t="s">
        <v>202</v>
      </c>
      <c r="B520" s="13" t="s">
        <v>203</v>
      </c>
      <c r="C520" s="13" t="s">
        <v>43</v>
      </c>
      <c r="D520" s="13" t="s">
        <v>204</v>
      </c>
      <c r="E520" s="13" t="s">
        <v>205</v>
      </c>
      <c r="F520" s="13" t="s">
        <v>587</v>
      </c>
      <c r="G520" s="13" t="s">
        <v>46</v>
      </c>
      <c r="H520" s="13">
        <v>30.5</v>
      </c>
      <c r="I520" s="13" t="s">
        <v>46</v>
      </c>
      <c r="K520" s="13" t="s">
        <v>861</v>
      </c>
      <c r="L520" s="13" t="s">
        <v>862</v>
      </c>
      <c r="N520" s="13" t="s">
        <v>614</v>
      </c>
      <c r="O520" s="13" t="s">
        <v>614</v>
      </c>
      <c r="P520" s="13" t="s">
        <v>87</v>
      </c>
      <c r="Q520" s="13" t="s">
        <v>87</v>
      </c>
      <c r="R520" s="4">
        <v>6</v>
      </c>
      <c r="S520" s="13" t="s">
        <v>596</v>
      </c>
      <c r="T520" s="13">
        <v>120</v>
      </c>
      <c r="U520" s="4" t="s">
        <v>206</v>
      </c>
      <c r="V520" s="4" t="s">
        <v>46</v>
      </c>
      <c r="W520" s="4" t="s">
        <v>46</v>
      </c>
      <c r="X520" s="4" t="s">
        <v>46</v>
      </c>
      <c r="Y520" s="4">
        <f t="shared" si="18"/>
        <v>1</v>
      </c>
      <c r="AA520" s="4" t="s">
        <v>49</v>
      </c>
      <c r="AB520" s="4">
        <v>0</v>
      </c>
      <c r="AC520" s="4" t="s">
        <v>50</v>
      </c>
      <c r="AD520" s="4">
        <v>1</v>
      </c>
      <c r="AE520" s="4" t="s">
        <v>49</v>
      </c>
      <c r="AF520" s="4">
        <v>0</v>
      </c>
      <c r="AG520" s="4" t="s">
        <v>46</v>
      </c>
      <c r="AH520" s="4" t="s">
        <v>753</v>
      </c>
      <c r="AI520" s="4" t="s">
        <v>78</v>
      </c>
      <c r="AJ520" s="13">
        <v>0</v>
      </c>
      <c r="AK520" s="13">
        <v>15</v>
      </c>
      <c r="AL520" s="13" t="s">
        <v>510</v>
      </c>
      <c r="AO520" s="13" t="s">
        <v>511</v>
      </c>
      <c r="AP520" s="13" t="s">
        <v>50</v>
      </c>
      <c r="AQ520" s="13" t="s">
        <v>49</v>
      </c>
      <c r="AR520" s="13" t="s">
        <v>49</v>
      </c>
      <c r="AS520" s="13" t="s">
        <v>49</v>
      </c>
      <c r="AT520" s="13" t="s">
        <v>993</v>
      </c>
      <c r="AU520" s="13" t="s">
        <v>1001</v>
      </c>
      <c r="AV520" s="14">
        <v>9.93</v>
      </c>
      <c r="AW520" s="14">
        <v>7.2</v>
      </c>
      <c r="AX520" s="14">
        <f>Table1347456[[#This Row],[treatment_mean]]/Table1347456[[#This Row],[control_mean]]</f>
        <v>1.3791666666666667</v>
      </c>
      <c r="AY520" s="14">
        <f>LN(Table1347456[[#This Row],[rr]])</f>
        <v>0.32147945203507161</v>
      </c>
      <c r="AZ520" s="13">
        <v>6</v>
      </c>
      <c r="BA520" s="13">
        <v>6</v>
      </c>
      <c r="BB520" s="14" t="s">
        <v>46</v>
      </c>
      <c r="BC520" s="14" t="s">
        <v>46</v>
      </c>
      <c r="BD520" s="15" t="s">
        <v>46</v>
      </c>
      <c r="BE520" s="14" t="s">
        <v>46</v>
      </c>
      <c r="BF52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20" s="17" t="s">
        <v>46</v>
      </c>
      <c r="BH520" s="13" t="s">
        <v>50</v>
      </c>
      <c r="BI520" s="13">
        <v>2.5000000000000001E-2</v>
      </c>
      <c r="BJ520" s="18">
        <f>ABS(_xlfn.NORM.S.INV(Table1347456[[#This Row],[p_value]]/2))</f>
        <v>2.2414027276049446</v>
      </c>
      <c r="BK520" s="19">
        <f>(Table1347456[[#This Row],[lnrr]]/Table1347456[[#This Row],[z_from_p]])^2</f>
        <v>2.0571532520327025E-2</v>
      </c>
      <c r="BL520" s="16">
        <f>Table1347456[[#This Row],[v_from_z_from_p]]</f>
        <v>2.0571532520327025E-2</v>
      </c>
      <c r="BM520" s="20">
        <f>SQRT(Table1347456[[#This Row],[v]])</f>
        <v>0.14342779549420337</v>
      </c>
      <c r="BN520" s="20">
        <f>Table1347456[[#This Row],[lnrr]]-(1.96*Table1347456[[#This Row],[se]])</f>
        <v>4.0360972866433031E-2</v>
      </c>
      <c r="BO520" s="20">
        <f>Table1347456[[#This Row],[lnrr]]+(1.96 * Table1347456[[#This Row],[se]])</f>
        <v>0.60259793120371019</v>
      </c>
    </row>
    <row r="521" spans="1:67">
      <c r="A521" s="13" t="s">
        <v>202</v>
      </c>
      <c r="B521" s="13" t="s">
        <v>203</v>
      </c>
      <c r="C521" s="13" t="s">
        <v>43</v>
      </c>
      <c r="D521" s="13" t="s">
        <v>204</v>
      </c>
      <c r="E521" s="13" t="s">
        <v>205</v>
      </c>
      <c r="F521" s="13" t="s">
        <v>587</v>
      </c>
      <c r="G521" s="13" t="s">
        <v>46</v>
      </c>
      <c r="H521" s="13">
        <v>30.5</v>
      </c>
      <c r="I521" s="13" t="s">
        <v>46</v>
      </c>
      <c r="K521" s="13" t="s">
        <v>861</v>
      </c>
      <c r="L521" s="13" t="s">
        <v>862</v>
      </c>
      <c r="N521" s="13" t="s">
        <v>614</v>
      </c>
      <c r="O521" s="13" t="s">
        <v>614</v>
      </c>
      <c r="P521" s="13" t="s">
        <v>87</v>
      </c>
      <c r="Q521" s="13" t="s">
        <v>87</v>
      </c>
      <c r="R521" s="4">
        <v>6</v>
      </c>
      <c r="S521" s="13" t="s">
        <v>596</v>
      </c>
      <c r="T521" s="13">
        <v>120</v>
      </c>
      <c r="U521" s="4" t="s">
        <v>206</v>
      </c>
      <c r="V521" s="4" t="s">
        <v>46</v>
      </c>
      <c r="W521" s="4" t="s">
        <v>46</v>
      </c>
      <c r="X521" s="4" t="s">
        <v>46</v>
      </c>
      <c r="Y521" s="4">
        <f t="shared" si="18"/>
        <v>1</v>
      </c>
      <c r="AA521" s="4" t="s">
        <v>50</v>
      </c>
      <c r="AB521" s="4">
        <v>300</v>
      </c>
      <c r="AC521" s="4" t="s">
        <v>50</v>
      </c>
      <c r="AD521" s="4">
        <v>1</v>
      </c>
      <c r="AE521" s="4" t="s">
        <v>49</v>
      </c>
      <c r="AF521" s="4">
        <v>0</v>
      </c>
      <c r="AG521" s="4" t="s">
        <v>46</v>
      </c>
      <c r="AH521" s="4" t="s">
        <v>753</v>
      </c>
      <c r="AI521" s="4" t="s">
        <v>78</v>
      </c>
      <c r="AJ521" s="13">
        <v>0</v>
      </c>
      <c r="AK521" s="13">
        <v>15</v>
      </c>
      <c r="AL521" s="13" t="s">
        <v>510</v>
      </c>
      <c r="AO521" s="13" t="s">
        <v>511</v>
      </c>
      <c r="AP521" s="13" t="s">
        <v>50</v>
      </c>
      <c r="AQ521" s="13" t="s">
        <v>49</v>
      </c>
      <c r="AR521" s="13" t="s">
        <v>49</v>
      </c>
      <c r="AS521" s="13" t="s">
        <v>49</v>
      </c>
      <c r="AT521" s="13" t="s">
        <v>991</v>
      </c>
      <c r="AU521" s="13" t="s">
        <v>997</v>
      </c>
      <c r="AV521" s="14">
        <v>7.46</v>
      </c>
      <c r="AW521" s="14">
        <v>10.4</v>
      </c>
      <c r="AX521" s="14">
        <f>Table1347456[[#This Row],[treatment_mean]]/Table1347456[[#This Row],[control_mean]]</f>
        <v>0.71730769230769231</v>
      </c>
      <c r="AY521" s="14">
        <f>LN(Table1347456[[#This Row],[rr]])</f>
        <v>-0.33225039193165751</v>
      </c>
      <c r="AZ521" s="13">
        <v>6</v>
      </c>
      <c r="BA521" s="13">
        <v>6</v>
      </c>
      <c r="BB521" s="14" t="s">
        <v>46</v>
      </c>
      <c r="BC521" s="14" t="s">
        <v>46</v>
      </c>
      <c r="BD521" s="15" t="s">
        <v>46</v>
      </c>
      <c r="BE521" s="14" t="s">
        <v>46</v>
      </c>
      <c r="BF52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21" s="17" t="s">
        <v>46</v>
      </c>
      <c r="BH521" s="13" t="s">
        <v>50</v>
      </c>
      <c r="BI521" s="13">
        <v>2.5000000000000001E-2</v>
      </c>
      <c r="BJ521" s="18">
        <f>ABS(_xlfn.NORM.S.INV(Table1347456[[#This Row],[p_value]]/2))</f>
        <v>2.2414027276049446</v>
      </c>
      <c r="BK521" s="19">
        <f>(Table1347456[[#This Row],[lnrr]]/Table1347456[[#This Row],[z_from_p]])^2</f>
        <v>2.1973093900389554E-2</v>
      </c>
      <c r="BL521" s="16">
        <f>Table1347456[[#This Row],[v_from_z_from_p]]</f>
        <v>2.1973093900389554E-2</v>
      </c>
      <c r="BM521" s="20">
        <f>SQRT(Table1347456[[#This Row],[v]])</f>
        <v>0.14823324154989512</v>
      </c>
      <c r="BN521" s="20">
        <f>Table1347456[[#This Row],[lnrr]]-(1.96*Table1347456[[#This Row],[se]])</f>
        <v>-0.62278754536945191</v>
      </c>
      <c r="BO521" s="20">
        <f>Table1347456[[#This Row],[lnrr]]+(1.96 * Table1347456[[#This Row],[se]])</f>
        <v>-4.1713238493863103E-2</v>
      </c>
    </row>
    <row r="522" spans="1:67">
      <c r="A522" s="13" t="s">
        <v>202</v>
      </c>
      <c r="B522" s="13" t="s">
        <v>203</v>
      </c>
      <c r="C522" s="13" t="s">
        <v>43</v>
      </c>
      <c r="D522" s="13" t="s">
        <v>204</v>
      </c>
      <c r="E522" s="13" t="s">
        <v>205</v>
      </c>
      <c r="F522" s="13" t="s">
        <v>587</v>
      </c>
      <c r="G522" s="13" t="s">
        <v>46</v>
      </c>
      <c r="H522" s="13">
        <v>30.5</v>
      </c>
      <c r="I522" s="13" t="s">
        <v>46</v>
      </c>
      <c r="K522" s="13" t="s">
        <v>861</v>
      </c>
      <c r="L522" s="13" t="s">
        <v>862</v>
      </c>
      <c r="N522" s="13" t="s">
        <v>121</v>
      </c>
      <c r="O522" s="13" t="s">
        <v>645</v>
      </c>
      <c r="P522" s="13" t="s">
        <v>87</v>
      </c>
      <c r="Q522" s="13" t="s">
        <v>48</v>
      </c>
      <c r="R522" s="4">
        <v>6</v>
      </c>
      <c r="S522" s="13" t="s">
        <v>596</v>
      </c>
      <c r="T522" s="13">
        <v>120</v>
      </c>
      <c r="U522" s="4" t="s">
        <v>206</v>
      </c>
      <c r="V522" s="4" t="s">
        <v>46</v>
      </c>
      <c r="W522" s="4" t="s">
        <v>46</v>
      </c>
      <c r="X522" s="4" t="s">
        <v>46</v>
      </c>
      <c r="Y522" s="4">
        <f t="shared" si="18"/>
        <v>1</v>
      </c>
      <c r="AA522" s="4" t="s">
        <v>49</v>
      </c>
      <c r="AB522" s="4">
        <v>0</v>
      </c>
      <c r="AC522" s="4" t="s">
        <v>49</v>
      </c>
      <c r="AD522" s="4">
        <v>0</v>
      </c>
      <c r="AE522" s="4" t="s">
        <v>49</v>
      </c>
      <c r="AF522" s="4">
        <v>0</v>
      </c>
      <c r="AG522" s="4" t="s">
        <v>46</v>
      </c>
      <c r="AH522" s="4" t="s">
        <v>753</v>
      </c>
      <c r="AI522" s="4" t="s">
        <v>78</v>
      </c>
      <c r="AJ522" s="13">
        <v>0</v>
      </c>
      <c r="AK522" s="13">
        <v>15</v>
      </c>
      <c r="AL522" s="13" t="s">
        <v>510</v>
      </c>
      <c r="AO522" s="13" t="s">
        <v>511</v>
      </c>
      <c r="AP522" s="13" t="s">
        <v>50</v>
      </c>
      <c r="AQ522" s="13" t="s">
        <v>49</v>
      </c>
      <c r="AR522" s="13" t="s">
        <v>49</v>
      </c>
      <c r="AS522" s="13" t="s">
        <v>49</v>
      </c>
      <c r="AT522" s="13" t="s">
        <v>990</v>
      </c>
      <c r="AU522" s="13" t="s">
        <v>998</v>
      </c>
      <c r="AV522" s="14">
        <f>(0.33*39.1*10)/1000</f>
        <v>0.12903000000000001</v>
      </c>
      <c r="AW522" s="14">
        <f>(0.03*39.1*10)/1000</f>
        <v>1.1730000000000001E-2</v>
      </c>
      <c r="AX522" s="14">
        <f>Table1347456[[#This Row],[treatment_mean]]/Table1347456[[#This Row],[control_mean]]</f>
        <v>11</v>
      </c>
      <c r="AY522" s="14">
        <f>LN(Table1347456[[#This Row],[rr]])</f>
        <v>2.3978952727983707</v>
      </c>
      <c r="AZ522" s="13">
        <v>6</v>
      </c>
      <c r="BA522" s="13">
        <v>6</v>
      </c>
      <c r="BB522" s="14" t="s">
        <v>46</v>
      </c>
      <c r="BC522" s="14" t="s">
        <v>46</v>
      </c>
      <c r="BD522" s="15" t="s">
        <v>46</v>
      </c>
      <c r="BE522" s="14" t="s">
        <v>46</v>
      </c>
      <c r="BF52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22" s="17" t="s">
        <v>46</v>
      </c>
      <c r="BH522" s="13" t="s">
        <v>50</v>
      </c>
      <c r="BI522" s="13">
        <v>2.5000000000000001E-2</v>
      </c>
      <c r="BJ522" s="18">
        <f>ABS(_xlfn.NORM.S.INV(Table1347456[[#This Row],[p_value]]/2))</f>
        <v>2.2414027276049446</v>
      </c>
      <c r="BK522" s="19">
        <f>(Table1347456[[#This Row],[lnrr]]/Table1347456[[#This Row],[z_from_p]])^2</f>
        <v>1.1445127387294416</v>
      </c>
      <c r="BL522" s="16">
        <f>Table1347456[[#This Row],[v_from_z_from_p]]</f>
        <v>1.1445127387294416</v>
      </c>
      <c r="BM522" s="20">
        <f>SQRT(Table1347456[[#This Row],[v]])</f>
        <v>1.0698190214842143</v>
      </c>
      <c r="BN522" s="20">
        <f>Table1347456[[#This Row],[lnrr]]-(1.96*Table1347456[[#This Row],[se]])</f>
        <v>0.30104999068931093</v>
      </c>
      <c r="BO522" s="20">
        <f>Table1347456[[#This Row],[lnrr]]+(1.96 * Table1347456[[#This Row],[se]])</f>
        <v>4.4947405549074304</v>
      </c>
    </row>
    <row r="523" spans="1:67">
      <c r="A523" s="13" t="s">
        <v>202</v>
      </c>
      <c r="B523" s="13" t="s">
        <v>203</v>
      </c>
      <c r="C523" s="13" t="s">
        <v>43</v>
      </c>
      <c r="D523" s="13" t="s">
        <v>204</v>
      </c>
      <c r="E523" s="13" t="s">
        <v>205</v>
      </c>
      <c r="F523" s="13" t="s">
        <v>587</v>
      </c>
      <c r="G523" s="13" t="s">
        <v>46</v>
      </c>
      <c r="H523" s="13">
        <v>30.5</v>
      </c>
      <c r="I523" s="13" t="s">
        <v>46</v>
      </c>
      <c r="K523" s="13" t="s">
        <v>861</v>
      </c>
      <c r="L523" s="13" t="s">
        <v>862</v>
      </c>
      <c r="N523" s="13" t="s">
        <v>121</v>
      </c>
      <c r="O523" s="13" t="s">
        <v>645</v>
      </c>
      <c r="P523" s="13" t="s">
        <v>87</v>
      </c>
      <c r="Q523" s="13" t="s">
        <v>48</v>
      </c>
      <c r="R523" s="4">
        <v>6</v>
      </c>
      <c r="S523" s="13" t="s">
        <v>596</v>
      </c>
      <c r="T523" s="13">
        <v>120</v>
      </c>
      <c r="U523" s="4" t="s">
        <v>206</v>
      </c>
      <c r="V523" s="4" t="s">
        <v>46</v>
      </c>
      <c r="W523" s="4" t="s">
        <v>46</v>
      </c>
      <c r="X523" s="4" t="s">
        <v>46</v>
      </c>
      <c r="Y523" s="4">
        <f t="shared" si="18"/>
        <v>1</v>
      </c>
      <c r="AA523" s="4" t="s">
        <v>50</v>
      </c>
      <c r="AB523" s="4">
        <v>300</v>
      </c>
      <c r="AC523" s="4" t="s">
        <v>49</v>
      </c>
      <c r="AD523" s="4">
        <v>0</v>
      </c>
      <c r="AE523" s="4" t="s">
        <v>49</v>
      </c>
      <c r="AF523" s="4">
        <v>0</v>
      </c>
      <c r="AG523" s="4" t="s">
        <v>46</v>
      </c>
      <c r="AH523" s="4" t="s">
        <v>753</v>
      </c>
      <c r="AI523" s="4" t="s">
        <v>78</v>
      </c>
      <c r="AJ523" s="13">
        <v>0</v>
      </c>
      <c r="AK523" s="13">
        <v>15</v>
      </c>
      <c r="AL523" s="13" t="s">
        <v>510</v>
      </c>
      <c r="AO523" s="13" t="s">
        <v>511</v>
      </c>
      <c r="AP523" s="13" t="s">
        <v>50</v>
      </c>
      <c r="AQ523" s="13" t="s">
        <v>49</v>
      </c>
      <c r="AR523" s="13" t="s">
        <v>49</v>
      </c>
      <c r="AS523" s="13" t="s">
        <v>49</v>
      </c>
      <c r="AT523" s="13" t="s">
        <v>992</v>
      </c>
      <c r="AU523" s="4" t="s">
        <v>1000</v>
      </c>
      <c r="AV523" s="14">
        <f>(0.82*39.1*10)/1000</f>
        <v>0.32062000000000002</v>
      </c>
      <c r="AW523" s="14">
        <f>(0.37*39.1*10)/1000</f>
        <v>0.14467000000000002</v>
      </c>
      <c r="AX523" s="14">
        <f>Table1347456[[#This Row],[treatment_mean]]/Table1347456[[#This Row],[control_mean]]</f>
        <v>2.2162162162162162</v>
      </c>
      <c r="AY523" s="14">
        <f>LN(Table1347456[[#This Row],[rr]])</f>
        <v>0.79580133462002867</v>
      </c>
      <c r="AZ523" s="13">
        <v>6</v>
      </c>
      <c r="BA523" s="13">
        <v>6</v>
      </c>
      <c r="BB523" s="14" t="s">
        <v>46</v>
      </c>
      <c r="BC523" s="14" t="s">
        <v>46</v>
      </c>
      <c r="BD523" s="15" t="s">
        <v>46</v>
      </c>
      <c r="BE523" s="14" t="s">
        <v>46</v>
      </c>
      <c r="BF52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23" s="17" t="s">
        <v>46</v>
      </c>
      <c r="BH523" s="13" t="s">
        <v>50</v>
      </c>
      <c r="BI523" s="13">
        <v>2.5000000000000001E-2</v>
      </c>
      <c r="BJ523" s="18">
        <f>ABS(_xlfn.NORM.S.INV(Table1347456[[#This Row],[p_value]]/2))</f>
        <v>2.2414027276049446</v>
      </c>
      <c r="BK523" s="19">
        <f>(Table1347456[[#This Row],[lnrr]]/Table1347456[[#This Row],[z_from_p]])^2</f>
        <v>0.12605774505443132</v>
      </c>
      <c r="BL523" s="16">
        <f>Table1347456[[#This Row],[v_from_z_from_p]]</f>
        <v>0.12605774505443132</v>
      </c>
      <c r="BM523" s="20">
        <f>SQRT(Table1347456[[#This Row],[v]])</f>
        <v>0.35504611679953818</v>
      </c>
      <c r="BN523" s="20">
        <f>Table1347456[[#This Row],[lnrr]]-(1.96*Table1347456[[#This Row],[se]])</f>
        <v>9.9910945692933795E-2</v>
      </c>
      <c r="BO523" s="20">
        <f>Table1347456[[#This Row],[lnrr]]+(1.96 * Table1347456[[#This Row],[se]])</f>
        <v>1.4916917235471234</v>
      </c>
    </row>
    <row r="524" spans="1:67">
      <c r="A524" s="13" t="s">
        <v>202</v>
      </c>
      <c r="B524" s="13" t="s">
        <v>203</v>
      </c>
      <c r="C524" s="13" t="s">
        <v>43</v>
      </c>
      <c r="D524" s="13" t="s">
        <v>204</v>
      </c>
      <c r="E524" s="13" t="s">
        <v>205</v>
      </c>
      <c r="F524" s="13" t="s">
        <v>587</v>
      </c>
      <c r="G524" s="13" t="s">
        <v>46</v>
      </c>
      <c r="H524" s="13">
        <v>30.5</v>
      </c>
      <c r="I524" s="13" t="s">
        <v>46</v>
      </c>
      <c r="K524" s="13" t="s">
        <v>861</v>
      </c>
      <c r="L524" s="13" t="s">
        <v>862</v>
      </c>
      <c r="N524" s="13" t="s">
        <v>121</v>
      </c>
      <c r="O524" s="13" t="s">
        <v>645</v>
      </c>
      <c r="P524" s="13" t="s">
        <v>87</v>
      </c>
      <c r="Q524" s="13" t="s">
        <v>48</v>
      </c>
      <c r="R524" s="4">
        <v>6</v>
      </c>
      <c r="S524" s="13" t="s">
        <v>596</v>
      </c>
      <c r="T524" s="13">
        <v>120</v>
      </c>
      <c r="U524" s="4" t="s">
        <v>206</v>
      </c>
      <c r="V524" s="4" t="s">
        <v>46</v>
      </c>
      <c r="W524" s="4" t="s">
        <v>46</v>
      </c>
      <c r="X524" s="4" t="s">
        <v>46</v>
      </c>
      <c r="Y524" s="4">
        <f t="shared" si="18"/>
        <v>1</v>
      </c>
      <c r="AA524" s="4" t="s">
        <v>49</v>
      </c>
      <c r="AB524" s="4">
        <v>0</v>
      </c>
      <c r="AC524" s="4" t="s">
        <v>50</v>
      </c>
      <c r="AD524" s="4">
        <v>1</v>
      </c>
      <c r="AE524" s="4" t="s">
        <v>49</v>
      </c>
      <c r="AF524" s="4">
        <v>0</v>
      </c>
      <c r="AG524" s="4" t="s">
        <v>46</v>
      </c>
      <c r="AH524" s="4" t="s">
        <v>753</v>
      </c>
      <c r="AI524" s="4" t="s">
        <v>78</v>
      </c>
      <c r="AJ524" s="13">
        <v>0</v>
      </c>
      <c r="AK524" s="13">
        <v>15</v>
      </c>
      <c r="AL524" s="13" t="s">
        <v>510</v>
      </c>
      <c r="AO524" s="13" t="s">
        <v>511</v>
      </c>
      <c r="AP524" s="13" t="s">
        <v>50</v>
      </c>
      <c r="AQ524" s="13" t="s">
        <v>49</v>
      </c>
      <c r="AR524" s="13" t="s">
        <v>49</v>
      </c>
      <c r="AS524" s="13" t="s">
        <v>49</v>
      </c>
      <c r="AT524" s="13" t="s">
        <v>993</v>
      </c>
      <c r="AU524" s="13" t="s">
        <v>1001</v>
      </c>
      <c r="AV524" s="14">
        <f>(0.33*39.1*10)/1000</f>
        <v>0.12903000000000001</v>
      </c>
      <c r="AW524" s="14">
        <f>(0.13*39.1*10)/1000</f>
        <v>5.083E-2</v>
      </c>
      <c r="AX524" s="14">
        <f>Table1347456[[#This Row],[treatment_mean]]/Table1347456[[#This Row],[control_mean]]</f>
        <v>2.5384615384615388</v>
      </c>
      <c r="AY524" s="14">
        <f>LN(Table1347456[[#This Row],[rr]])</f>
        <v>0.9315582040049436</v>
      </c>
      <c r="AZ524" s="13">
        <v>6</v>
      </c>
      <c r="BA524" s="13">
        <v>6</v>
      </c>
      <c r="BB524" s="14" t="s">
        <v>46</v>
      </c>
      <c r="BC524" s="14" t="s">
        <v>46</v>
      </c>
      <c r="BD524" s="15" t="s">
        <v>46</v>
      </c>
      <c r="BE524" s="14" t="s">
        <v>46</v>
      </c>
      <c r="BF52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24" s="17" t="s">
        <v>46</v>
      </c>
      <c r="BH524" s="13" t="s">
        <v>50</v>
      </c>
      <c r="BI524" s="13">
        <v>2.5000000000000001E-2</v>
      </c>
      <c r="BJ524" s="18">
        <f>ABS(_xlfn.NORM.S.INV(Table1347456[[#This Row],[p_value]]/2))</f>
        <v>2.2414027276049446</v>
      </c>
      <c r="BK524" s="19">
        <f>(Table1347456[[#This Row],[lnrr]]/Table1347456[[#This Row],[z_from_p]])^2</f>
        <v>0.17273494165534214</v>
      </c>
      <c r="BL524" s="16">
        <f>Table1347456[[#This Row],[v_from_z_from_p]]</f>
        <v>0.17273494165534214</v>
      </c>
      <c r="BM524" s="20">
        <f>SQRT(Table1347456[[#This Row],[v]])</f>
        <v>0.41561393342300512</v>
      </c>
      <c r="BN524" s="20">
        <f>Table1347456[[#This Row],[lnrr]]-(1.96*Table1347456[[#This Row],[se]])</f>
        <v>0.11695489449585361</v>
      </c>
      <c r="BO524" s="20">
        <f>Table1347456[[#This Row],[lnrr]]+(1.96 * Table1347456[[#This Row],[se]])</f>
        <v>1.7461615135140336</v>
      </c>
    </row>
    <row r="525" spans="1:67">
      <c r="A525" s="13" t="s">
        <v>202</v>
      </c>
      <c r="B525" s="13" t="s">
        <v>203</v>
      </c>
      <c r="C525" s="13" t="s">
        <v>43</v>
      </c>
      <c r="D525" s="13" t="s">
        <v>204</v>
      </c>
      <c r="E525" s="13" t="s">
        <v>205</v>
      </c>
      <c r="F525" s="13" t="s">
        <v>587</v>
      </c>
      <c r="G525" s="13" t="s">
        <v>46</v>
      </c>
      <c r="H525" s="13">
        <v>30.5</v>
      </c>
      <c r="I525" s="13" t="s">
        <v>46</v>
      </c>
      <c r="K525" s="13" t="s">
        <v>861</v>
      </c>
      <c r="L525" s="13" t="s">
        <v>862</v>
      </c>
      <c r="N525" s="13" t="s">
        <v>121</v>
      </c>
      <c r="O525" s="13" t="s">
        <v>645</v>
      </c>
      <c r="P525" s="13" t="s">
        <v>87</v>
      </c>
      <c r="Q525" s="13" t="s">
        <v>48</v>
      </c>
      <c r="R525" s="4">
        <v>6</v>
      </c>
      <c r="S525" s="13" t="s">
        <v>596</v>
      </c>
      <c r="T525" s="13">
        <v>120</v>
      </c>
      <c r="U525" s="4" t="s">
        <v>206</v>
      </c>
      <c r="V525" s="4" t="s">
        <v>46</v>
      </c>
      <c r="W525" s="4" t="s">
        <v>46</v>
      </c>
      <c r="X525" s="4" t="s">
        <v>46</v>
      </c>
      <c r="Y525" s="4">
        <f t="shared" si="18"/>
        <v>1</v>
      </c>
      <c r="AA525" s="4" t="s">
        <v>50</v>
      </c>
      <c r="AB525" s="4">
        <v>300</v>
      </c>
      <c r="AC525" s="4" t="s">
        <v>50</v>
      </c>
      <c r="AD525" s="4">
        <v>1</v>
      </c>
      <c r="AE525" s="4" t="s">
        <v>49</v>
      </c>
      <c r="AF525" s="4">
        <v>0</v>
      </c>
      <c r="AG525" s="4" t="s">
        <v>46</v>
      </c>
      <c r="AH525" s="4" t="s">
        <v>753</v>
      </c>
      <c r="AI525" s="4" t="s">
        <v>78</v>
      </c>
      <c r="AJ525" s="13">
        <v>0</v>
      </c>
      <c r="AK525" s="13">
        <v>15</v>
      </c>
      <c r="AL525" s="13" t="s">
        <v>510</v>
      </c>
      <c r="AO525" s="13" t="s">
        <v>511</v>
      </c>
      <c r="AP525" s="13" t="s">
        <v>50</v>
      </c>
      <c r="AQ525" s="13" t="s">
        <v>49</v>
      </c>
      <c r="AR525" s="13" t="s">
        <v>49</v>
      </c>
      <c r="AS525" s="13" t="s">
        <v>49</v>
      </c>
      <c r="AT525" s="13" t="s">
        <v>991</v>
      </c>
      <c r="AU525" s="13" t="s">
        <v>997</v>
      </c>
      <c r="AV525" s="14">
        <f>(0.85*39.1*10)/1000</f>
        <v>0.33235000000000003</v>
      </c>
      <c r="AW525" s="14">
        <f>(0.81*39.1*10)/1000</f>
        <v>0.31671000000000005</v>
      </c>
      <c r="AX525" s="14">
        <f>Table1347456[[#This Row],[treatment_mean]]/Table1347456[[#This Row],[control_mean]]</f>
        <v>1.0493827160493827</v>
      </c>
      <c r="AY525" s="14">
        <f>LN(Table1347456[[#This Row],[rr]])</f>
        <v>4.8202101817877686E-2</v>
      </c>
      <c r="AZ525" s="13">
        <v>6</v>
      </c>
      <c r="BA525" s="13">
        <v>6</v>
      </c>
      <c r="BB525" s="14" t="s">
        <v>46</v>
      </c>
      <c r="BC525" s="14" t="s">
        <v>46</v>
      </c>
      <c r="BD525" s="15" t="s">
        <v>46</v>
      </c>
      <c r="BE525" s="14" t="s">
        <v>46</v>
      </c>
      <c r="BF52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25" s="17" t="s">
        <v>46</v>
      </c>
      <c r="BH525" s="13" t="s">
        <v>50</v>
      </c>
      <c r="BI525" s="13">
        <v>2.5000000000000001E-2</v>
      </c>
      <c r="BJ525" s="18">
        <f>ABS(_xlfn.NORM.S.INV(Table1347456[[#This Row],[p_value]]/2))</f>
        <v>2.2414027276049446</v>
      </c>
      <c r="BK525" s="19">
        <f>(Table1347456[[#This Row],[lnrr]]/Table1347456[[#This Row],[z_from_p]])^2</f>
        <v>4.6247915120522604E-4</v>
      </c>
      <c r="BL525" s="16">
        <f>Table1347456[[#This Row],[v_from_z_from_p]]</f>
        <v>4.6247915120522604E-4</v>
      </c>
      <c r="BM525" s="20">
        <f>SQRT(Table1347456[[#This Row],[v]])</f>
        <v>2.1505328437511156E-2</v>
      </c>
      <c r="BN525" s="20">
        <f>Table1347456[[#This Row],[lnrr]]-(1.96*Table1347456[[#This Row],[se]])</f>
        <v>6.0516580803558206E-3</v>
      </c>
      <c r="BO525" s="20">
        <f>Table1347456[[#This Row],[lnrr]]+(1.96 * Table1347456[[#This Row],[se]])</f>
        <v>9.0352545555399552E-2</v>
      </c>
    </row>
    <row r="526" spans="1:67" ht="17">
      <c r="A526" s="13" t="s">
        <v>202</v>
      </c>
      <c r="B526" s="13" t="s">
        <v>203</v>
      </c>
      <c r="C526" s="13" t="s">
        <v>43</v>
      </c>
      <c r="D526" s="13" t="s">
        <v>204</v>
      </c>
      <c r="E526" s="13" t="s">
        <v>205</v>
      </c>
      <c r="F526" s="13" t="s">
        <v>587</v>
      </c>
      <c r="G526" s="13" t="s">
        <v>46</v>
      </c>
      <c r="H526" s="13">
        <v>30.5</v>
      </c>
      <c r="I526" s="13" t="s">
        <v>46</v>
      </c>
      <c r="J526" s="25" t="s">
        <v>655</v>
      </c>
      <c r="K526" s="13" t="s">
        <v>861</v>
      </c>
      <c r="L526" s="13" t="s">
        <v>862</v>
      </c>
      <c r="M526" s="13" t="s">
        <v>800</v>
      </c>
      <c r="N526" s="13" t="s">
        <v>84</v>
      </c>
      <c r="O526" s="13" t="s">
        <v>644</v>
      </c>
      <c r="P526" s="13" t="s">
        <v>512</v>
      </c>
      <c r="Q526" s="13" t="s">
        <v>48</v>
      </c>
      <c r="R526" s="4">
        <v>6</v>
      </c>
      <c r="S526" s="13" t="s">
        <v>596</v>
      </c>
      <c r="T526" s="13">
        <v>120</v>
      </c>
      <c r="U526" s="4" t="s">
        <v>206</v>
      </c>
      <c r="V526" s="4" t="s">
        <v>46</v>
      </c>
      <c r="W526" s="4" t="s">
        <v>46</v>
      </c>
      <c r="X526" s="4" t="s">
        <v>46</v>
      </c>
      <c r="Y526" s="4">
        <f t="shared" si="18"/>
        <v>1</v>
      </c>
      <c r="AA526" s="4" t="s">
        <v>49</v>
      </c>
      <c r="AB526" s="4">
        <v>0</v>
      </c>
      <c r="AC526" s="4" t="s">
        <v>49</v>
      </c>
      <c r="AD526" s="4">
        <v>0</v>
      </c>
      <c r="AE526" s="4" t="s">
        <v>49</v>
      </c>
      <c r="AF526" s="4">
        <v>0</v>
      </c>
      <c r="AG526" s="4" t="s">
        <v>46</v>
      </c>
      <c r="AH526" s="4" t="s">
        <v>753</v>
      </c>
      <c r="AI526" s="4" t="s">
        <v>78</v>
      </c>
      <c r="AJ526" s="13">
        <v>0</v>
      </c>
      <c r="AK526" s="13">
        <v>15</v>
      </c>
      <c r="AL526" s="13" t="s">
        <v>510</v>
      </c>
      <c r="AO526" s="13" t="s">
        <v>511</v>
      </c>
      <c r="AP526" s="13" t="s">
        <v>50</v>
      </c>
      <c r="AQ526" s="13" t="s">
        <v>49</v>
      </c>
      <c r="AR526" s="13" t="s">
        <v>49</v>
      </c>
      <c r="AS526" s="13" t="s">
        <v>49</v>
      </c>
      <c r="AT526" s="13" t="s">
        <v>990</v>
      </c>
      <c r="AU526" s="13" t="s">
        <v>998</v>
      </c>
      <c r="AV526" s="23">
        <f>5.63/1000</f>
        <v>5.6299999999999996E-3</v>
      </c>
      <c r="AW526" s="23">
        <f>3.55/1000</f>
        <v>3.5499999999999998E-3</v>
      </c>
      <c r="AX526" s="14">
        <f>Table1347456[[#This Row],[treatment_mean]]/Table1347456[[#This Row],[control_mean]]</f>
        <v>1.5859154929577464</v>
      </c>
      <c r="AY526" s="14">
        <f>LN(Table1347456[[#This Row],[rr]])</f>
        <v>0.46116183866427451</v>
      </c>
      <c r="AZ526" s="13">
        <v>6</v>
      </c>
      <c r="BA526" s="13">
        <v>6</v>
      </c>
      <c r="BB526" s="14" t="s">
        <v>46</v>
      </c>
      <c r="BC526" s="14" t="s">
        <v>46</v>
      </c>
      <c r="BD526" s="15" t="s">
        <v>46</v>
      </c>
      <c r="BE526" s="14" t="s">
        <v>46</v>
      </c>
      <c r="BF52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26" s="17" t="s">
        <v>46</v>
      </c>
      <c r="BH526" s="13" t="s">
        <v>50</v>
      </c>
      <c r="BI526" s="13">
        <v>2.5000000000000001E-2</v>
      </c>
      <c r="BJ526" s="18">
        <f>ABS(_xlfn.NORM.S.INV(Table1347456[[#This Row],[p_value]]/2))</f>
        <v>2.2414027276049446</v>
      </c>
      <c r="BK526" s="19">
        <f>(Table1347456[[#This Row],[lnrr]]/Table1347456[[#This Row],[z_from_p]])^2</f>
        <v>4.2331819135791399E-2</v>
      </c>
      <c r="BL526" s="16">
        <f>Table1347456[[#This Row],[v_from_z_from_p]]</f>
        <v>4.2331819135791399E-2</v>
      </c>
      <c r="BM526" s="20">
        <f>SQRT(Table1347456[[#This Row],[v]])</f>
        <v>0.20574697843660159</v>
      </c>
      <c r="BN526" s="20">
        <f>Table1347456[[#This Row],[lnrr]]-(1.96*Table1347456[[#This Row],[se]])</f>
        <v>5.7897760928535436E-2</v>
      </c>
      <c r="BO526" s="20">
        <f>Table1347456[[#This Row],[lnrr]]+(1.96 * Table1347456[[#This Row],[se]])</f>
        <v>0.86442591640001365</v>
      </c>
    </row>
    <row r="527" spans="1:67" ht="17">
      <c r="A527" s="13" t="s">
        <v>202</v>
      </c>
      <c r="B527" s="13" t="s">
        <v>203</v>
      </c>
      <c r="C527" s="13" t="s">
        <v>43</v>
      </c>
      <c r="D527" s="13" t="s">
        <v>204</v>
      </c>
      <c r="E527" s="13" t="s">
        <v>205</v>
      </c>
      <c r="F527" s="13" t="s">
        <v>587</v>
      </c>
      <c r="G527" s="13" t="s">
        <v>46</v>
      </c>
      <c r="H527" s="13">
        <v>30.5</v>
      </c>
      <c r="I527" s="13" t="s">
        <v>46</v>
      </c>
      <c r="J527" s="25" t="s">
        <v>655</v>
      </c>
      <c r="K527" s="13" t="s">
        <v>861</v>
      </c>
      <c r="L527" s="13" t="s">
        <v>862</v>
      </c>
      <c r="M527" s="13" t="s">
        <v>800</v>
      </c>
      <c r="N527" s="13" t="s">
        <v>84</v>
      </c>
      <c r="O527" s="13" t="s">
        <v>644</v>
      </c>
      <c r="P527" s="13" t="s">
        <v>512</v>
      </c>
      <c r="Q527" s="13" t="s">
        <v>48</v>
      </c>
      <c r="R527" s="4">
        <v>6</v>
      </c>
      <c r="S527" s="13" t="s">
        <v>596</v>
      </c>
      <c r="T527" s="13">
        <v>120</v>
      </c>
      <c r="U527" s="4" t="s">
        <v>206</v>
      </c>
      <c r="V527" s="4" t="s">
        <v>46</v>
      </c>
      <c r="W527" s="4" t="s">
        <v>46</v>
      </c>
      <c r="X527" s="4" t="s">
        <v>46</v>
      </c>
      <c r="Y527" s="4">
        <f t="shared" si="18"/>
        <v>1</v>
      </c>
      <c r="AA527" s="4" t="s">
        <v>50</v>
      </c>
      <c r="AB527" s="4">
        <v>300</v>
      </c>
      <c r="AC527" s="4" t="s">
        <v>49</v>
      </c>
      <c r="AD527" s="4">
        <v>0</v>
      </c>
      <c r="AE527" s="4" t="s">
        <v>49</v>
      </c>
      <c r="AF527" s="4">
        <v>0</v>
      </c>
      <c r="AG527" s="4" t="s">
        <v>46</v>
      </c>
      <c r="AH527" s="4" t="s">
        <v>753</v>
      </c>
      <c r="AI527" s="4" t="s">
        <v>78</v>
      </c>
      <c r="AJ527" s="13">
        <v>0</v>
      </c>
      <c r="AK527" s="13">
        <v>15</v>
      </c>
      <c r="AL527" s="13" t="s">
        <v>510</v>
      </c>
      <c r="AO527" s="13" t="s">
        <v>511</v>
      </c>
      <c r="AP527" s="13" t="s">
        <v>50</v>
      </c>
      <c r="AQ527" s="13" t="s">
        <v>49</v>
      </c>
      <c r="AR527" s="13" t="s">
        <v>49</v>
      </c>
      <c r="AS527" s="13" t="s">
        <v>49</v>
      </c>
      <c r="AT527" s="13" t="s">
        <v>992</v>
      </c>
      <c r="AU527" s="4" t="s">
        <v>1000</v>
      </c>
      <c r="AV527" s="23">
        <f>107/1000</f>
        <v>0.107</v>
      </c>
      <c r="AW527" s="23">
        <f>97.3/1000</f>
        <v>9.7299999999999998E-2</v>
      </c>
      <c r="AX527" s="14">
        <f>Table1347456[[#This Row],[treatment_mean]]/Table1347456[[#This Row],[control_mean]]</f>
        <v>1.0996916752312436</v>
      </c>
      <c r="AY527" s="14">
        <f>LN(Table1347456[[#This Row],[rr]])</f>
        <v>9.5029845269946775E-2</v>
      </c>
      <c r="AZ527" s="13">
        <v>6</v>
      </c>
      <c r="BA527" s="13">
        <v>6</v>
      </c>
      <c r="BB527" s="14" t="s">
        <v>46</v>
      </c>
      <c r="BC527" s="14" t="s">
        <v>46</v>
      </c>
      <c r="BD527" s="15" t="s">
        <v>46</v>
      </c>
      <c r="BE527" s="14" t="s">
        <v>46</v>
      </c>
      <c r="BF52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27" s="17" t="s">
        <v>46</v>
      </c>
      <c r="BH527" s="13" t="s">
        <v>50</v>
      </c>
      <c r="BI527" s="13">
        <v>2.5000000000000001E-2</v>
      </c>
      <c r="BJ527" s="18">
        <f>ABS(_xlfn.NORM.S.INV(Table1347456[[#This Row],[p_value]]/2))</f>
        <v>2.2414027276049446</v>
      </c>
      <c r="BK527" s="19">
        <f>(Table1347456[[#This Row],[lnrr]]/Table1347456[[#This Row],[z_from_p]])^2</f>
        <v>1.7975469895858936E-3</v>
      </c>
      <c r="BL527" s="16">
        <f>Table1347456[[#This Row],[v_from_z_from_p]]</f>
        <v>1.7975469895858936E-3</v>
      </c>
      <c r="BM527" s="20">
        <f>SQRT(Table1347456[[#This Row],[v]])</f>
        <v>4.2397488010327847E-2</v>
      </c>
      <c r="BN527" s="20">
        <f>Table1347456[[#This Row],[lnrr]]-(1.96*Table1347456[[#This Row],[se]])</f>
        <v>1.1930768769704198E-2</v>
      </c>
      <c r="BO527" s="20">
        <f>Table1347456[[#This Row],[lnrr]]+(1.96 * Table1347456[[#This Row],[se]])</f>
        <v>0.17812892177018935</v>
      </c>
    </row>
    <row r="528" spans="1:67" ht="17">
      <c r="A528" s="13" t="s">
        <v>202</v>
      </c>
      <c r="B528" s="13" t="s">
        <v>203</v>
      </c>
      <c r="C528" s="13" t="s">
        <v>43</v>
      </c>
      <c r="D528" s="13" t="s">
        <v>204</v>
      </c>
      <c r="E528" s="13" t="s">
        <v>205</v>
      </c>
      <c r="F528" s="13" t="s">
        <v>587</v>
      </c>
      <c r="G528" s="13" t="s">
        <v>46</v>
      </c>
      <c r="H528" s="13">
        <v>30.5</v>
      </c>
      <c r="I528" s="13" t="s">
        <v>46</v>
      </c>
      <c r="J528" s="25" t="s">
        <v>655</v>
      </c>
      <c r="K528" s="13" t="s">
        <v>861</v>
      </c>
      <c r="L528" s="13" t="s">
        <v>862</v>
      </c>
      <c r="M528" s="13" t="s">
        <v>800</v>
      </c>
      <c r="N528" s="13" t="s">
        <v>84</v>
      </c>
      <c r="O528" s="13" t="s">
        <v>644</v>
      </c>
      <c r="P528" s="13" t="s">
        <v>512</v>
      </c>
      <c r="Q528" s="13" t="s">
        <v>48</v>
      </c>
      <c r="R528" s="4">
        <v>6</v>
      </c>
      <c r="S528" s="13" t="s">
        <v>596</v>
      </c>
      <c r="T528" s="13">
        <v>120</v>
      </c>
      <c r="U528" s="4" t="s">
        <v>206</v>
      </c>
      <c r="V528" s="4" t="s">
        <v>46</v>
      </c>
      <c r="W528" s="4" t="s">
        <v>46</v>
      </c>
      <c r="X528" s="4" t="s">
        <v>46</v>
      </c>
      <c r="Y528" s="4">
        <f t="shared" si="18"/>
        <v>1</v>
      </c>
      <c r="AA528" s="4" t="s">
        <v>49</v>
      </c>
      <c r="AB528" s="4">
        <v>0</v>
      </c>
      <c r="AC528" s="4" t="s">
        <v>50</v>
      </c>
      <c r="AD528" s="4">
        <v>1</v>
      </c>
      <c r="AE528" s="4" t="s">
        <v>49</v>
      </c>
      <c r="AF528" s="4">
        <v>0</v>
      </c>
      <c r="AG528" s="4" t="s">
        <v>46</v>
      </c>
      <c r="AH528" s="4" t="s">
        <v>753</v>
      </c>
      <c r="AI528" s="4" t="s">
        <v>78</v>
      </c>
      <c r="AJ528" s="13">
        <v>0</v>
      </c>
      <c r="AK528" s="13">
        <v>15</v>
      </c>
      <c r="AL528" s="13" t="s">
        <v>510</v>
      </c>
      <c r="AO528" s="13" t="s">
        <v>511</v>
      </c>
      <c r="AP528" s="13" t="s">
        <v>50</v>
      </c>
      <c r="AQ528" s="13" t="s">
        <v>49</v>
      </c>
      <c r="AR528" s="13" t="s">
        <v>49</v>
      </c>
      <c r="AS528" s="13" t="s">
        <v>49</v>
      </c>
      <c r="AT528" s="13" t="s">
        <v>993</v>
      </c>
      <c r="AU528" s="13" t="s">
        <v>1001</v>
      </c>
      <c r="AV528" s="23">
        <f>9.09/1000</f>
        <v>9.0899999999999991E-3</v>
      </c>
      <c r="AW528" s="23">
        <f>14.1/1000</f>
        <v>1.41E-2</v>
      </c>
      <c r="AX528" s="14">
        <f>Table1347456[[#This Row],[treatment_mean]]/Table1347456[[#This Row],[control_mean]]</f>
        <v>0.64468085106382977</v>
      </c>
      <c r="AY528" s="14">
        <f>LN(Table1347456[[#This Row],[rr]])</f>
        <v>-0.43899988919473515</v>
      </c>
      <c r="AZ528" s="13">
        <v>6</v>
      </c>
      <c r="BA528" s="13">
        <v>6</v>
      </c>
      <c r="BB528" s="14" t="s">
        <v>46</v>
      </c>
      <c r="BC528" s="14" t="s">
        <v>46</v>
      </c>
      <c r="BD528" s="15" t="s">
        <v>46</v>
      </c>
      <c r="BE528" s="14" t="s">
        <v>46</v>
      </c>
      <c r="BF52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28" s="17" t="s">
        <v>46</v>
      </c>
      <c r="BH528" s="13" t="s">
        <v>50</v>
      </c>
      <c r="BI528" s="13">
        <v>2.5000000000000001E-2</v>
      </c>
      <c r="BJ528" s="18">
        <f>ABS(_xlfn.NORM.S.INV(Table1347456[[#This Row],[p_value]]/2))</f>
        <v>2.2414027276049446</v>
      </c>
      <c r="BK528" s="19">
        <f>(Table1347456[[#This Row],[lnrr]]/Table1347456[[#This Row],[z_from_p]])^2</f>
        <v>3.8360921312191036E-2</v>
      </c>
      <c r="BL528" s="16">
        <f>Table1347456[[#This Row],[v_from_z_from_p]]</f>
        <v>3.8360921312191036E-2</v>
      </c>
      <c r="BM528" s="20">
        <f>SQRT(Table1347456[[#This Row],[v]])</f>
        <v>0.19585944274451267</v>
      </c>
      <c r="BN528" s="20">
        <f>Table1347456[[#This Row],[lnrr]]-(1.96*Table1347456[[#This Row],[se]])</f>
        <v>-0.82288439697397997</v>
      </c>
      <c r="BO528" s="20">
        <f>Table1347456[[#This Row],[lnrr]]+(1.96 * Table1347456[[#This Row],[se]])</f>
        <v>-5.5115381415490328E-2</v>
      </c>
    </row>
    <row r="529" spans="1:67" ht="17">
      <c r="A529" s="13" t="s">
        <v>202</v>
      </c>
      <c r="B529" s="13" t="s">
        <v>203</v>
      </c>
      <c r="C529" s="13" t="s">
        <v>43</v>
      </c>
      <c r="D529" s="13" t="s">
        <v>204</v>
      </c>
      <c r="E529" s="13" t="s">
        <v>205</v>
      </c>
      <c r="F529" s="13" t="s">
        <v>587</v>
      </c>
      <c r="G529" s="13" t="s">
        <v>46</v>
      </c>
      <c r="H529" s="13">
        <v>30.5</v>
      </c>
      <c r="I529" s="13" t="s">
        <v>46</v>
      </c>
      <c r="J529" s="25" t="s">
        <v>655</v>
      </c>
      <c r="K529" s="13" t="s">
        <v>861</v>
      </c>
      <c r="L529" s="13" t="s">
        <v>862</v>
      </c>
      <c r="M529" s="13" t="s">
        <v>800</v>
      </c>
      <c r="N529" s="13" t="s">
        <v>84</v>
      </c>
      <c r="O529" s="13" t="s">
        <v>644</v>
      </c>
      <c r="P529" s="13" t="s">
        <v>512</v>
      </c>
      <c r="Q529" s="13" t="s">
        <v>48</v>
      </c>
      <c r="R529" s="4">
        <v>6</v>
      </c>
      <c r="S529" s="13" t="s">
        <v>596</v>
      </c>
      <c r="T529" s="13">
        <v>120</v>
      </c>
      <c r="U529" s="4" t="s">
        <v>206</v>
      </c>
      <c r="V529" s="4" t="s">
        <v>46</v>
      </c>
      <c r="W529" s="4" t="s">
        <v>46</v>
      </c>
      <c r="X529" s="4" t="s">
        <v>46</v>
      </c>
      <c r="Y529" s="4">
        <f t="shared" si="18"/>
        <v>1</v>
      </c>
      <c r="AA529" s="4" t="s">
        <v>50</v>
      </c>
      <c r="AB529" s="4">
        <v>300</v>
      </c>
      <c r="AC529" s="4" t="s">
        <v>50</v>
      </c>
      <c r="AD529" s="4">
        <v>1</v>
      </c>
      <c r="AE529" s="4" t="s">
        <v>49</v>
      </c>
      <c r="AF529" s="4">
        <v>0</v>
      </c>
      <c r="AG529" s="4" t="s">
        <v>46</v>
      </c>
      <c r="AH529" s="4" t="s">
        <v>753</v>
      </c>
      <c r="AI529" s="4" t="s">
        <v>78</v>
      </c>
      <c r="AJ529" s="13">
        <v>0</v>
      </c>
      <c r="AK529" s="13">
        <v>15</v>
      </c>
      <c r="AL529" s="13" t="s">
        <v>510</v>
      </c>
      <c r="AO529" s="13" t="s">
        <v>511</v>
      </c>
      <c r="AP529" s="13" t="s">
        <v>50</v>
      </c>
      <c r="AQ529" s="13" t="s">
        <v>49</v>
      </c>
      <c r="AR529" s="13" t="s">
        <v>49</v>
      </c>
      <c r="AS529" s="13" t="s">
        <v>49</v>
      </c>
      <c r="AT529" s="13" t="s">
        <v>991</v>
      </c>
      <c r="AU529" s="13" t="s">
        <v>997</v>
      </c>
      <c r="AV529" s="23">
        <f>182/1000</f>
        <v>0.182</v>
      </c>
      <c r="AW529" s="23">
        <f>81.4/1000</f>
        <v>8.14E-2</v>
      </c>
      <c r="AX529" s="14">
        <f>Table1347456[[#This Row],[treatment_mean]]/Table1347456[[#This Row],[control_mean]]</f>
        <v>2.2358722358722356</v>
      </c>
      <c r="AY529" s="14">
        <f>LN(Table1347456[[#This Row],[rr]])</f>
        <v>0.80463141406830063</v>
      </c>
      <c r="AZ529" s="13">
        <v>6</v>
      </c>
      <c r="BA529" s="13">
        <v>6</v>
      </c>
      <c r="BB529" s="14" t="s">
        <v>46</v>
      </c>
      <c r="BC529" s="14" t="s">
        <v>46</v>
      </c>
      <c r="BD529" s="15" t="s">
        <v>46</v>
      </c>
      <c r="BE529" s="14" t="s">
        <v>46</v>
      </c>
      <c r="BF52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29" s="17" t="s">
        <v>46</v>
      </c>
      <c r="BH529" s="13" t="s">
        <v>50</v>
      </c>
      <c r="BI529" s="13">
        <v>2.5000000000000001E-2</v>
      </c>
      <c r="BJ529" s="18">
        <f>ABS(_xlfn.NORM.S.INV(Table1347456[[#This Row],[p_value]]/2))</f>
        <v>2.2414027276049446</v>
      </c>
      <c r="BK529" s="19">
        <f>(Table1347456[[#This Row],[lnrr]]/Table1347456[[#This Row],[z_from_p]])^2</f>
        <v>0.12887069658152142</v>
      </c>
      <c r="BL529" s="16">
        <f>Table1347456[[#This Row],[v_from_z_from_p]]</f>
        <v>0.12887069658152142</v>
      </c>
      <c r="BM529" s="20">
        <f>SQRT(Table1347456[[#This Row],[v]])</f>
        <v>0.35898564954816986</v>
      </c>
      <c r="BN529" s="20">
        <f>Table1347456[[#This Row],[lnrr]]-(1.96*Table1347456[[#This Row],[se]])</f>
        <v>0.10101954095388777</v>
      </c>
      <c r="BO529" s="20">
        <f>Table1347456[[#This Row],[lnrr]]+(1.96 * Table1347456[[#This Row],[se]])</f>
        <v>1.5082432871827134</v>
      </c>
    </row>
    <row r="530" spans="1:67">
      <c r="A530" s="13" t="s">
        <v>202</v>
      </c>
      <c r="B530" s="13" t="s">
        <v>203</v>
      </c>
      <c r="C530" s="13" t="s">
        <v>43</v>
      </c>
      <c r="D530" s="13" t="s">
        <v>204</v>
      </c>
      <c r="E530" s="13" t="s">
        <v>205</v>
      </c>
      <c r="F530" s="13" t="s">
        <v>587</v>
      </c>
      <c r="G530" s="13" t="s">
        <v>46</v>
      </c>
      <c r="H530" s="13">
        <v>30.5</v>
      </c>
      <c r="I530" s="13" t="s">
        <v>46</v>
      </c>
      <c r="K530" s="13" t="s">
        <v>861</v>
      </c>
      <c r="L530" s="13" t="s">
        <v>862</v>
      </c>
      <c r="N530" s="13" t="s">
        <v>618</v>
      </c>
      <c r="O530" s="13" t="s">
        <v>54</v>
      </c>
      <c r="P530" s="13" t="s">
        <v>512</v>
      </c>
      <c r="Q530" s="13" t="s">
        <v>48</v>
      </c>
      <c r="R530" s="4">
        <v>6</v>
      </c>
      <c r="S530" s="13" t="s">
        <v>596</v>
      </c>
      <c r="T530" s="13">
        <v>120</v>
      </c>
      <c r="U530" s="4" t="s">
        <v>206</v>
      </c>
      <c r="V530" s="4" t="s">
        <v>46</v>
      </c>
      <c r="W530" s="4" t="s">
        <v>46</v>
      </c>
      <c r="X530" s="4" t="s">
        <v>46</v>
      </c>
      <c r="Y530" s="4">
        <f t="shared" si="18"/>
        <v>1</v>
      </c>
      <c r="AA530" s="4" t="s">
        <v>49</v>
      </c>
      <c r="AB530" s="4">
        <v>0</v>
      </c>
      <c r="AC530" s="4" t="s">
        <v>49</v>
      </c>
      <c r="AD530" s="4">
        <v>0</v>
      </c>
      <c r="AE530" s="4" t="s">
        <v>49</v>
      </c>
      <c r="AF530" s="4">
        <v>0</v>
      </c>
      <c r="AG530" s="4" t="s">
        <v>46</v>
      </c>
      <c r="AH530" s="4" t="s">
        <v>753</v>
      </c>
      <c r="AI530" s="4" t="s">
        <v>78</v>
      </c>
      <c r="AJ530" s="13">
        <v>0</v>
      </c>
      <c r="AK530" s="13">
        <v>15</v>
      </c>
      <c r="AL530" s="13" t="s">
        <v>510</v>
      </c>
      <c r="AO530" s="13" t="s">
        <v>511</v>
      </c>
      <c r="AP530" s="13" t="s">
        <v>50</v>
      </c>
      <c r="AQ530" s="13" t="s">
        <v>49</v>
      </c>
      <c r="AR530" s="13" t="s">
        <v>49</v>
      </c>
      <c r="AS530" s="13" t="s">
        <v>49</v>
      </c>
      <c r="AT530" s="13" t="s">
        <v>990</v>
      </c>
      <c r="AU530" s="13" t="s">
        <v>998</v>
      </c>
      <c r="AV530" s="19">
        <f>23.821/1000</f>
        <v>2.3821000000000002E-2</v>
      </c>
      <c r="AW530" s="19">
        <f>23.82/1000</f>
        <v>2.3820000000000001E-2</v>
      </c>
      <c r="AX530" s="14">
        <f>Table1347456[[#This Row],[treatment_mean]]/Table1347456[[#This Row],[control_mean]]</f>
        <v>1.0000419815281276</v>
      </c>
      <c r="AY530" s="26">
        <f>LN(Table1347456[[#This Row],[rr]])</f>
        <v>4.1980646927932144E-5</v>
      </c>
      <c r="AZ530" s="13">
        <v>6</v>
      </c>
      <c r="BA530" s="13">
        <v>6</v>
      </c>
      <c r="BB530" s="14" t="s">
        <v>46</v>
      </c>
      <c r="BC530" s="14" t="s">
        <v>46</v>
      </c>
      <c r="BD530" s="15" t="s">
        <v>46</v>
      </c>
      <c r="BE530" s="14" t="s">
        <v>46</v>
      </c>
      <c r="BF53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30" s="17" t="s">
        <v>46</v>
      </c>
      <c r="BH530" s="13" t="s">
        <v>50</v>
      </c>
      <c r="BI530" s="13">
        <v>2.5000000000000001E-2</v>
      </c>
      <c r="BJ530" s="18">
        <f>ABS(_xlfn.NORM.S.INV(Table1347456[[#This Row],[p_value]]/2))</f>
        <v>2.2414027276049446</v>
      </c>
      <c r="BK530" s="19">
        <f>(Table1347456[[#This Row],[lnrr]]/Table1347456[[#This Row],[z_from_p]])^2</f>
        <v>3.5079909272977269E-10</v>
      </c>
      <c r="BL530" s="16">
        <f>Table1347456[[#This Row],[v_from_z_from_p]]</f>
        <v>3.5079909272977269E-10</v>
      </c>
      <c r="BM530" s="20">
        <f>SQRT(Table1347456[[#This Row],[v]])</f>
        <v>1.8729631409340994E-5</v>
      </c>
      <c r="BN530" s="20">
        <f>Table1347456[[#This Row],[lnrr]]-(1.96*Table1347456[[#This Row],[se]])</f>
        <v>5.2705693656237963E-6</v>
      </c>
      <c r="BO530" s="20">
        <f>Table1347456[[#This Row],[lnrr]]+(1.96 * Table1347456[[#This Row],[se]])</f>
        <v>7.8690724490240499E-5</v>
      </c>
    </row>
    <row r="531" spans="1:67">
      <c r="A531" s="13" t="s">
        <v>202</v>
      </c>
      <c r="B531" s="13" t="s">
        <v>203</v>
      </c>
      <c r="C531" s="13" t="s">
        <v>43</v>
      </c>
      <c r="D531" s="13" t="s">
        <v>204</v>
      </c>
      <c r="E531" s="13" t="s">
        <v>205</v>
      </c>
      <c r="F531" s="13" t="s">
        <v>587</v>
      </c>
      <c r="G531" s="13" t="s">
        <v>46</v>
      </c>
      <c r="H531" s="13">
        <v>30.5</v>
      </c>
      <c r="I531" s="13" t="s">
        <v>46</v>
      </c>
      <c r="K531" s="13" t="s">
        <v>861</v>
      </c>
      <c r="L531" s="13" t="s">
        <v>862</v>
      </c>
      <c r="N531" s="13" t="s">
        <v>618</v>
      </c>
      <c r="O531" s="13" t="s">
        <v>54</v>
      </c>
      <c r="P531" s="13" t="s">
        <v>512</v>
      </c>
      <c r="Q531" s="13" t="s">
        <v>48</v>
      </c>
      <c r="R531" s="4">
        <v>6</v>
      </c>
      <c r="S531" s="13" t="s">
        <v>596</v>
      </c>
      <c r="T531" s="13">
        <v>120</v>
      </c>
      <c r="U531" s="4" t="s">
        <v>206</v>
      </c>
      <c r="V531" s="4" t="s">
        <v>46</v>
      </c>
      <c r="W531" s="4" t="s">
        <v>46</v>
      </c>
      <c r="X531" s="4" t="s">
        <v>46</v>
      </c>
      <c r="Y531" s="4">
        <f t="shared" si="18"/>
        <v>1</v>
      </c>
      <c r="AA531" s="4" t="s">
        <v>50</v>
      </c>
      <c r="AB531" s="4">
        <v>300</v>
      </c>
      <c r="AC531" s="4" t="s">
        <v>49</v>
      </c>
      <c r="AD531" s="4">
        <v>0</v>
      </c>
      <c r="AE531" s="4" t="s">
        <v>49</v>
      </c>
      <c r="AF531" s="4">
        <v>0</v>
      </c>
      <c r="AG531" s="4" t="s">
        <v>46</v>
      </c>
      <c r="AH531" s="4" t="s">
        <v>753</v>
      </c>
      <c r="AI531" s="4" t="s">
        <v>78</v>
      </c>
      <c r="AJ531" s="13">
        <v>0</v>
      </c>
      <c r="AK531" s="13">
        <v>15</v>
      </c>
      <c r="AL531" s="13" t="s">
        <v>510</v>
      </c>
      <c r="AO531" s="13" t="s">
        <v>511</v>
      </c>
      <c r="AP531" s="13" t="s">
        <v>50</v>
      </c>
      <c r="AQ531" s="13" t="s">
        <v>49</v>
      </c>
      <c r="AR531" s="13" t="s">
        <v>49</v>
      </c>
      <c r="AS531" s="13" t="s">
        <v>49</v>
      </c>
      <c r="AT531" s="13" t="s">
        <v>992</v>
      </c>
      <c r="AU531" s="4" t="s">
        <v>1000</v>
      </c>
      <c r="AV531" s="14">
        <f>114.9/1000</f>
        <v>0.1149</v>
      </c>
      <c r="AW531" s="14">
        <f>377.6/1000</f>
        <v>0.37760000000000005</v>
      </c>
      <c r="AX531" s="14">
        <f>Table1347456[[#This Row],[treatment_mean]]/Table1347456[[#This Row],[control_mean]]</f>
        <v>0.30429025423728812</v>
      </c>
      <c r="AY531" s="14">
        <f>LN(Table1347456[[#This Row],[rr]])</f>
        <v>-1.1897732494166358</v>
      </c>
      <c r="AZ531" s="13">
        <v>6</v>
      </c>
      <c r="BA531" s="13">
        <v>6</v>
      </c>
      <c r="BB531" s="14" t="s">
        <v>46</v>
      </c>
      <c r="BC531" s="14" t="s">
        <v>46</v>
      </c>
      <c r="BD531" s="15" t="s">
        <v>46</v>
      </c>
      <c r="BE531" s="14" t="s">
        <v>46</v>
      </c>
      <c r="BF53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31" s="17" t="s">
        <v>46</v>
      </c>
      <c r="BH531" s="13" t="s">
        <v>50</v>
      </c>
      <c r="BI531" s="13">
        <v>2.5000000000000001E-2</v>
      </c>
      <c r="BJ531" s="18">
        <f>ABS(_xlfn.NORM.S.INV(Table1347456[[#This Row],[p_value]]/2))</f>
        <v>2.2414027276049446</v>
      </c>
      <c r="BK531" s="19">
        <f>(Table1347456[[#This Row],[lnrr]]/Table1347456[[#This Row],[z_from_p]])^2</f>
        <v>0.28176601384833411</v>
      </c>
      <c r="BL531" s="16">
        <f>Table1347456[[#This Row],[v_from_z_from_p]]</f>
        <v>0.28176601384833411</v>
      </c>
      <c r="BM531" s="20">
        <f>SQRT(Table1347456[[#This Row],[v]])</f>
        <v>0.53081636546769551</v>
      </c>
      <c r="BN531" s="20">
        <f>Table1347456[[#This Row],[lnrr]]-(1.96*Table1347456[[#This Row],[se]])</f>
        <v>-2.2301733257333192</v>
      </c>
      <c r="BO531" s="20">
        <f>Table1347456[[#This Row],[lnrr]]+(1.96 * Table1347456[[#This Row],[se]])</f>
        <v>-0.14937317309995257</v>
      </c>
    </row>
    <row r="532" spans="1:67">
      <c r="A532" s="13" t="s">
        <v>202</v>
      </c>
      <c r="B532" s="13" t="s">
        <v>203</v>
      </c>
      <c r="C532" s="13" t="s">
        <v>43</v>
      </c>
      <c r="D532" s="13" t="s">
        <v>204</v>
      </c>
      <c r="E532" s="13" t="s">
        <v>205</v>
      </c>
      <c r="F532" s="13" t="s">
        <v>587</v>
      </c>
      <c r="G532" s="13" t="s">
        <v>46</v>
      </c>
      <c r="H532" s="13">
        <v>30.5</v>
      </c>
      <c r="I532" s="13" t="s">
        <v>46</v>
      </c>
      <c r="K532" s="13" t="s">
        <v>861</v>
      </c>
      <c r="L532" s="13" t="s">
        <v>862</v>
      </c>
      <c r="N532" s="13" t="s">
        <v>618</v>
      </c>
      <c r="O532" s="13" t="s">
        <v>54</v>
      </c>
      <c r="P532" s="13" t="s">
        <v>512</v>
      </c>
      <c r="Q532" s="13" t="s">
        <v>48</v>
      </c>
      <c r="R532" s="4">
        <v>6</v>
      </c>
      <c r="S532" s="13" t="s">
        <v>596</v>
      </c>
      <c r="T532" s="13">
        <v>120</v>
      </c>
      <c r="U532" s="4" t="s">
        <v>206</v>
      </c>
      <c r="V532" s="4" t="s">
        <v>46</v>
      </c>
      <c r="W532" s="4" t="s">
        <v>46</v>
      </c>
      <c r="X532" s="4" t="s">
        <v>46</v>
      </c>
      <c r="Y532" s="4">
        <f t="shared" si="18"/>
        <v>1</v>
      </c>
      <c r="AA532" s="4" t="s">
        <v>49</v>
      </c>
      <c r="AB532" s="4">
        <v>0</v>
      </c>
      <c r="AC532" s="4" t="s">
        <v>50</v>
      </c>
      <c r="AD532" s="4">
        <v>1</v>
      </c>
      <c r="AE532" s="4" t="s">
        <v>49</v>
      </c>
      <c r="AF532" s="4">
        <v>0</v>
      </c>
      <c r="AG532" s="4" t="s">
        <v>46</v>
      </c>
      <c r="AH532" s="4" t="s">
        <v>753</v>
      </c>
      <c r="AI532" s="4" t="s">
        <v>78</v>
      </c>
      <c r="AJ532" s="13">
        <v>0</v>
      </c>
      <c r="AK532" s="13">
        <v>15</v>
      </c>
      <c r="AL532" s="13" t="s">
        <v>510</v>
      </c>
      <c r="AO532" s="13" t="s">
        <v>511</v>
      </c>
      <c r="AP532" s="13" t="s">
        <v>50</v>
      </c>
      <c r="AQ532" s="13" t="s">
        <v>49</v>
      </c>
      <c r="AR532" s="13" t="s">
        <v>49</v>
      </c>
      <c r="AS532" s="13" t="s">
        <v>49</v>
      </c>
      <c r="AT532" s="13" t="s">
        <v>993</v>
      </c>
      <c r="AU532" s="13" t="s">
        <v>1001</v>
      </c>
      <c r="AV532" s="14">
        <f>43.43/1000</f>
        <v>4.3429999999999996E-2</v>
      </c>
      <c r="AW532" s="14">
        <f>42.03/1000</f>
        <v>4.2029999999999998E-2</v>
      </c>
      <c r="AX532" s="14">
        <f>Table1347456[[#This Row],[treatment_mean]]/Table1347456[[#This Row],[control_mean]]</f>
        <v>1.0333095408041875</v>
      </c>
      <c r="AY532" s="14">
        <f>LN(Table1347456[[#This Row],[rr]])</f>
        <v>3.2766797529705162E-2</v>
      </c>
      <c r="AZ532" s="13">
        <v>6</v>
      </c>
      <c r="BA532" s="13">
        <v>6</v>
      </c>
      <c r="BB532" s="14" t="s">
        <v>46</v>
      </c>
      <c r="BC532" s="14" t="s">
        <v>46</v>
      </c>
      <c r="BD532" s="15" t="s">
        <v>46</v>
      </c>
      <c r="BE532" s="14" t="s">
        <v>46</v>
      </c>
      <c r="BF53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32" s="17" t="s">
        <v>46</v>
      </c>
      <c r="BH532" s="13" t="s">
        <v>50</v>
      </c>
      <c r="BI532" s="13">
        <v>2.5000000000000001E-2</v>
      </c>
      <c r="BJ532" s="18">
        <f>ABS(_xlfn.NORM.S.INV(Table1347456[[#This Row],[p_value]]/2))</f>
        <v>2.2414027276049446</v>
      </c>
      <c r="BK532" s="19">
        <f>(Table1347456[[#This Row],[lnrr]]/Table1347456[[#This Row],[z_from_p]])^2</f>
        <v>2.1371165275671435E-4</v>
      </c>
      <c r="BL532" s="16">
        <f>Table1347456[[#This Row],[v_from_z_from_p]]</f>
        <v>2.1371165275671435E-4</v>
      </c>
      <c r="BM532" s="20">
        <f>SQRT(Table1347456[[#This Row],[v]])</f>
        <v>1.461888001033986E-2</v>
      </c>
      <c r="BN532" s="20">
        <f>Table1347456[[#This Row],[lnrr]]-(1.96*Table1347456[[#This Row],[se]])</f>
        <v>4.1137927094390368E-3</v>
      </c>
      <c r="BO532" s="20">
        <f>Table1347456[[#This Row],[lnrr]]+(1.96 * Table1347456[[#This Row],[se]])</f>
        <v>6.1419802349971284E-2</v>
      </c>
    </row>
    <row r="533" spans="1:67">
      <c r="A533" s="13" t="s">
        <v>202</v>
      </c>
      <c r="B533" s="13" t="s">
        <v>203</v>
      </c>
      <c r="C533" s="13" t="s">
        <v>43</v>
      </c>
      <c r="D533" s="13" t="s">
        <v>204</v>
      </c>
      <c r="E533" s="13" t="s">
        <v>205</v>
      </c>
      <c r="F533" s="13" t="s">
        <v>587</v>
      </c>
      <c r="G533" s="13" t="s">
        <v>46</v>
      </c>
      <c r="H533" s="13">
        <v>30.5</v>
      </c>
      <c r="I533" s="13" t="s">
        <v>46</v>
      </c>
      <c r="K533" s="13" t="s">
        <v>861</v>
      </c>
      <c r="L533" s="13" t="s">
        <v>862</v>
      </c>
      <c r="N533" s="13" t="s">
        <v>618</v>
      </c>
      <c r="O533" s="13" t="s">
        <v>54</v>
      </c>
      <c r="P533" s="13" t="s">
        <v>512</v>
      </c>
      <c r="Q533" s="13" t="s">
        <v>48</v>
      </c>
      <c r="R533" s="4">
        <v>6</v>
      </c>
      <c r="S533" s="13" t="s">
        <v>596</v>
      </c>
      <c r="T533" s="13">
        <v>120</v>
      </c>
      <c r="U533" s="4" t="s">
        <v>206</v>
      </c>
      <c r="V533" s="4" t="s">
        <v>46</v>
      </c>
      <c r="W533" s="4" t="s">
        <v>46</v>
      </c>
      <c r="X533" s="4" t="s">
        <v>46</v>
      </c>
      <c r="Y533" s="4">
        <f t="shared" si="18"/>
        <v>1</v>
      </c>
      <c r="AA533" s="4" t="s">
        <v>50</v>
      </c>
      <c r="AB533" s="4">
        <v>300</v>
      </c>
      <c r="AC533" s="4" t="s">
        <v>50</v>
      </c>
      <c r="AD533" s="4">
        <v>1</v>
      </c>
      <c r="AE533" s="4" t="s">
        <v>49</v>
      </c>
      <c r="AF533" s="4">
        <v>0</v>
      </c>
      <c r="AG533" s="4" t="s">
        <v>46</v>
      </c>
      <c r="AH533" s="4" t="s">
        <v>753</v>
      </c>
      <c r="AI533" s="4" t="s">
        <v>78</v>
      </c>
      <c r="AJ533" s="13">
        <v>0</v>
      </c>
      <c r="AK533" s="13">
        <v>15</v>
      </c>
      <c r="AL533" s="13" t="s">
        <v>510</v>
      </c>
      <c r="AO533" s="13" t="s">
        <v>511</v>
      </c>
      <c r="AP533" s="13" t="s">
        <v>50</v>
      </c>
      <c r="AQ533" s="13" t="s">
        <v>49</v>
      </c>
      <c r="AR533" s="13" t="s">
        <v>49</v>
      </c>
      <c r="AS533" s="13" t="s">
        <v>49</v>
      </c>
      <c r="AT533" s="13" t="s">
        <v>991</v>
      </c>
      <c r="AU533" s="13" t="s">
        <v>997</v>
      </c>
      <c r="AV533" s="14">
        <f>135.9/1000</f>
        <v>0.13589999999999999</v>
      </c>
      <c r="AW533" s="14">
        <f>121.2/1000</f>
        <v>0.1212</v>
      </c>
      <c r="AX533" s="14">
        <f>Table1347456[[#This Row],[treatment_mean]]/Table1347456[[#This Row],[control_mean]]</f>
        <v>1.1212871287128712</v>
      </c>
      <c r="AY533" s="14">
        <f>LN(Table1347456[[#This Row],[rr]])</f>
        <v>0.11447724752188385</v>
      </c>
      <c r="AZ533" s="13">
        <v>6</v>
      </c>
      <c r="BA533" s="13">
        <v>6</v>
      </c>
      <c r="BB533" s="14" t="s">
        <v>46</v>
      </c>
      <c r="BC533" s="14" t="s">
        <v>46</v>
      </c>
      <c r="BD533" s="15" t="s">
        <v>46</v>
      </c>
      <c r="BE533" s="14" t="s">
        <v>46</v>
      </c>
      <c r="BF53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33" s="17" t="s">
        <v>46</v>
      </c>
      <c r="BH533" s="13" t="s">
        <v>50</v>
      </c>
      <c r="BI533" s="13">
        <v>2.5000000000000001E-2</v>
      </c>
      <c r="BJ533" s="18">
        <f>ABS(_xlfn.NORM.S.INV(Table1347456[[#This Row],[p_value]]/2))</f>
        <v>2.2414027276049446</v>
      </c>
      <c r="BK533" s="19">
        <f>(Table1347456[[#This Row],[lnrr]]/Table1347456[[#This Row],[z_from_p]])^2</f>
        <v>2.6085463944777194E-3</v>
      </c>
      <c r="BL533" s="16">
        <f>Table1347456[[#This Row],[v_from_z_from_p]]</f>
        <v>2.6085463944777194E-3</v>
      </c>
      <c r="BM533" s="20">
        <f>SQRT(Table1347456[[#This Row],[v]])</f>
        <v>5.1073930673854732E-2</v>
      </c>
      <c r="BN533" s="20">
        <f>Table1347456[[#This Row],[lnrr]]-(1.96*Table1347456[[#This Row],[se]])</f>
        <v>1.4372343401128571E-2</v>
      </c>
      <c r="BO533" s="20">
        <f>Table1347456[[#This Row],[lnrr]]+(1.96 * Table1347456[[#This Row],[se]])</f>
        <v>0.21458215164263911</v>
      </c>
    </row>
    <row r="534" spans="1:67">
      <c r="A534" s="13" t="s">
        <v>202</v>
      </c>
      <c r="B534" s="13" t="s">
        <v>203</v>
      </c>
      <c r="C534" s="13" t="s">
        <v>43</v>
      </c>
      <c r="D534" s="13" t="s">
        <v>204</v>
      </c>
      <c r="E534" s="13" t="s">
        <v>205</v>
      </c>
      <c r="F534" s="13" t="s">
        <v>587</v>
      </c>
      <c r="G534" s="13" t="s">
        <v>46</v>
      </c>
      <c r="H534" s="13">
        <v>30.5</v>
      </c>
      <c r="I534" s="13" t="s">
        <v>46</v>
      </c>
      <c r="K534" s="13" t="s">
        <v>861</v>
      </c>
      <c r="L534" s="13" t="s">
        <v>862</v>
      </c>
      <c r="N534" s="13" t="s">
        <v>53</v>
      </c>
      <c r="O534" s="13" t="s">
        <v>54</v>
      </c>
      <c r="P534" s="13" t="s">
        <v>512</v>
      </c>
      <c r="Q534" s="13" t="s">
        <v>48</v>
      </c>
      <c r="R534" s="4">
        <v>6</v>
      </c>
      <c r="S534" s="13" t="s">
        <v>596</v>
      </c>
      <c r="T534" s="13">
        <v>120</v>
      </c>
      <c r="U534" s="4" t="s">
        <v>206</v>
      </c>
      <c r="V534" s="4" t="s">
        <v>46</v>
      </c>
      <c r="W534" s="4" t="s">
        <v>46</v>
      </c>
      <c r="X534" s="4" t="s">
        <v>46</v>
      </c>
      <c r="Y534" s="4">
        <f t="shared" si="18"/>
        <v>1</v>
      </c>
      <c r="AA534" s="4" t="s">
        <v>49</v>
      </c>
      <c r="AB534" s="4">
        <v>0</v>
      </c>
      <c r="AC534" s="4" t="s">
        <v>49</v>
      </c>
      <c r="AD534" s="4">
        <v>0</v>
      </c>
      <c r="AE534" s="4" t="s">
        <v>49</v>
      </c>
      <c r="AF534" s="4">
        <v>0</v>
      </c>
      <c r="AG534" s="4" t="s">
        <v>46</v>
      </c>
      <c r="AH534" s="4" t="s">
        <v>753</v>
      </c>
      <c r="AI534" s="4" t="s">
        <v>78</v>
      </c>
      <c r="AJ534" s="13">
        <v>0</v>
      </c>
      <c r="AK534" s="13">
        <v>15</v>
      </c>
      <c r="AL534" s="13" t="s">
        <v>510</v>
      </c>
      <c r="AO534" s="13" t="s">
        <v>511</v>
      </c>
      <c r="AP534" s="13" t="s">
        <v>50</v>
      </c>
      <c r="AQ534" s="13" t="s">
        <v>49</v>
      </c>
      <c r="AR534" s="13" t="s">
        <v>49</v>
      </c>
      <c r="AS534" s="13" t="s">
        <v>49</v>
      </c>
      <c r="AT534" s="13" t="s">
        <v>990</v>
      </c>
      <c r="AU534" s="13" t="s">
        <v>998</v>
      </c>
      <c r="AV534" s="14">
        <f>21.716/1000</f>
        <v>2.1716000000000003E-2</v>
      </c>
      <c r="AW534" s="14">
        <f>28.02/1000</f>
        <v>2.802E-2</v>
      </c>
      <c r="AX534" s="14">
        <f>Table1347456[[#This Row],[treatment_mean]]/Table1347456[[#This Row],[control_mean]]</f>
        <v>0.7750178443968595</v>
      </c>
      <c r="AY534" s="14">
        <f>LN(Table1347456[[#This Row],[rr]])</f>
        <v>-0.25486922486565616</v>
      </c>
      <c r="AZ534" s="13">
        <v>6</v>
      </c>
      <c r="BA534" s="13">
        <v>6</v>
      </c>
      <c r="BB534" s="14" t="s">
        <v>46</v>
      </c>
      <c r="BC534" s="14" t="s">
        <v>46</v>
      </c>
      <c r="BD534" s="15" t="s">
        <v>46</v>
      </c>
      <c r="BE534" s="14" t="s">
        <v>46</v>
      </c>
      <c r="BF53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34" s="17" t="s">
        <v>46</v>
      </c>
      <c r="BH534" s="13" t="s">
        <v>50</v>
      </c>
      <c r="BI534" s="13">
        <v>2.5000000000000001E-2</v>
      </c>
      <c r="BJ534" s="18">
        <f>ABS(_xlfn.NORM.S.INV(Table1347456[[#This Row],[p_value]]/2))</f>
        <v>2.2414027276049446</v>
      </c>
      <c r="BK534" s="19">
        <f>(Table1347456[[#This Row],[lnrr]]/Table1347456[[#This Row],[z_from_p]])^2</f>
        <v>1.2929895177091711E-2</v>
      </c>
      <c r="BL534" s="16">
        <f>Table1347456[[#This Row],[v_from_z_from_p]]</f>
        <v>1.2929895177091711E-2</v>
      </c>
      <c r="BM534" s="20">
        <f>SQRT(Table1347456[[#This Row],[v]])</f>
        <v>0.1137096969351854</v>
      </c>
      <c r="BN534" s="20">
        <f>Table1347456[[#This Row],[lnrr]]-(1.96*Table1347456[[#This Row],[se]])</f>
        <v>-0.47774023085861955</v>
      </c>
      <c r="BO534" s="20">
        <f>Table1347456[[#This Row],[lnrr]]+(1.96 * Table1347456[[#This Row],[se]])</f>
        <v>-3.1998218872692774E-2</v>
      </c>
    </row>
    <row r="535" spans="1:67">
      <c r="A535" s="13" t="s">
        <v>202</v>
      </c>
      <c r="B535" s="13" t="s">
        <v>203</v>
      </c>
      <c r="C535" s="13" t="s">
        <v>43</v>
      </c>
      <c r="D535" s="13" t="s">
        <v>204</v>
      </c>
      <c r="E535" s="13" t="s">
        <v>205</v>
      </c>
      <c r="F535" s="13" t="s">
        <v>587</v>
      </c>
      <c r="G535" s="13" t="s">
        <v>46</v>
      </c>
      <c r="H535" s="13">
        <v>30.5</v>
      </c>
      <c r="I535" s="13" t="s">
        <v>46</v>
      </c>
      <c r="K535" s="13" t="s">
        <v>861</v>
      </c>
      <c r="L535" s="13" t="s">
        <v>862</v>
      </c>
      <c r="N535" s="13" t="s">
        <v>53</v>
      </c>
      <c r="O535" s="13" t="s">
        <v>54</v>
      </c>
      <c r="P535" s="13" t="s">
        <v>512</v>
      </c>
      <c r="Q535" s="13" t="s">
        <v>48</v>
      </c>
      <c r="R535" s="4">
        <v>6</v>
      </c>
      <c r="S535" s="13" t="s">
        <v>596</v>
      </c>
      <c r="T535" s="13">
        <v>120</v>
      </c>
      <c r="U535" s="4" t="s">
        <v>206</v>
      </c>
      <c r="V535" s="4" t="s">
        <v>46</v>
      </c>
      <c r="W535" s="4" t="s">
        <v>46</v>
      </c>
      <c r="X535" s="4" t="s">
        <v>46</v>
      </c>
      <c r="Y535" s="4">
        <f t="shared" si="18"/>
        <v>1</v>
      </c>
      <c r="AA535" s="4" t="s">
        <v>50</v>
      </c>
      <c r="AB535" s="4">
        <v>300</v>
      </c>
      <c r="AC535" s="4" t="s">
        <v>49</v>
      </c>
      <c r="AD535" s="4">
        <v>0</v>
      </c>
      <c r="AE535" s="4" t="s">
        <v>49</v>
      </c>
      <c r="AF535" s="4">
        <v>0</v>
      </c>
      <c r="AG535" s="4" t="s">
        <v>46</v>
      </c>
      <c r="AH535" s="4" t="s">
        <v>753</v>
      </c>
      <c r="AI535" s="4" t="s">
        <v>78</v>
      </c>
      <c r="AJ535" s="13">
        <v>0</v>
      </c>
      <c r="AK535" s="13">
        <v>15</v>
      </c>
      <c r="AL535" s="13" t="s">
        <v>510</v>
      </c>
      <c r="AO535" s="13" t="s">
        <v>511</v>
      </c>
      <c r="AP535" s="13" t="s">
        <v>50</v>
      </c>
      <c r="AQ535" s="13" t="s">
        <v>49</v>
      </c>
      <c r="AR535" s="13" t="s">
        <v>49</v>
      </c>
      <c r="AS535" s="13" t="s">
        <v>49</v>
      </c>
      <c r="AT535" s="13" t="s">
        <v>992</v>
      </c>
      <c r="AU535" s="4" t="s">
        <v>1000</v>
      </c>
      <c r="AV535" s="14">
        <f>105.78/1000</f>
        <v>0.10578</v>
      </c>
      <c r="AW535" s="14">
        <f>231.17/1000</f>
        <v>0.23116999999999999</v>
      </c>
      <c r="AX535" s="14">
        <f>Table1347456[[#This Row],[treatment_mean]]/Table1347456[[#This Row],[control_mean]]</f>
        <v>0.4575853268157633</v>
      </c>
      <c r="AY535" s="14">
        <f>LN(Table1347456[[#This Row],[rr]])</f>
        <v>-0.78179190495565165</v>
      </c>
      <c r="AZ535" s="13">
        <v>6</v>
      </c>
      <c r="BA535" s="13">
        <v>6</v>
      </c>
      <c r="BB535" s="14" t="s">
        <v>46</v>
      </c>
      <c r="BC535" s="14" t="s">
        <v>46</v>
      </c>
      <c r="BD535" s="15" t="s">
        <v>46</v>
      </c>
      <c r="BE535" s="14" t="s">
        <v>46</v>
      </c>
      <c r="BF53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35" s="17" t="s">
        <v>46</v>
      </c>
      <c r="BH535" s="13" t="s">
        <v>50</v>
      </c>
      <c r="BI535" s="13">
        <v>2.5000000000000001E-2</v>
      </c>
      <c r="BJ535" s="18">
        <f>ABS(_xlfn.NORM.S.INV(Table1347456[[#This Row],[p_value]]/2))</f>
        <v>2.2414027276049446</v>
      </c>
      <c r="BK535" s="19">
        <f>(Table1347456[[#This Row],[lnrr]]/Table1347456[[#This Row],[z_from_p]])^2</f>
        <v>0.12165852486814668</v>
      </c>
      <c r="BL535" s="16">
        <f>Table1347456[[#This Row],[v_from_z_from_p]]</f>
        <v>0.12165852486814668</v>
      </c>
      <c r="BM535" s="20">
        <f>SQRT(Table1347456[[#This Row],[v]])</f>
        <v>0.34879582117357238</v>
      </c>
      <c r="BN535" s="20">
        <f>Table1347456[[#This Row],[lnrr]]-(1.96*Table1347456[[#This Row],[se]])</f>
        <v>-1.4654317144558535</v>
      </c>
      <c r="BO535" s="20">
        <f>Table1347456[[#This Row],[lnrr]]+(1.96 * Table1347456[[#This Row],[se]])</f>
        <v>-9.8152095455449784E-2</v>
      </c>
    </row>
    <row r="536" spans="1:67">
      <c r="A536" s="13" t="s">
        <v>202</v>
      </c>
      <c r="B536" s="13" t="s">
        <v>203</v>
      </c>
      <c r="C536" s="13" t="s">
        <v>43</v>
      </c>
      <c r="D536" s="13" t="s">
        <v>204</v>
      </c>
      <c r="E536" s="13" t="s">
        <v>205</v>
      </c>
      <c r="F536" s="13" t="s">
        <v>587</v>
      </c>
      <c r="G536" s="13" t="s">
        <v>46</v>
      </c>
      <c r="H536" s="13">
        <v>30.5</v>
      </c>
      <c r="I536" s="13" t="s">
        <v>46</v>
      </c>
      <c r="K536" s="13" t="s">
        <v>861</v>
      </c>
      <c r="L536" s="13" t="s">
        <v>862</v>
      </c>
      <c r="N536" s="13" t="s">
        <v>53</v>
      </c>
      <c r="O536" s="13" t="s">
        <v>54</v>
      </c>
      <c r="P536" s="13" t="s">
        <v>512</v>
      </c>
      <c r="Q536" s="13" t="s">
        <v>48</v>
      </c>
      <c r="R536" s="4">
        <v>6</v>
      </c>
      <c r="S536" s="13" t="s">
        <v>596</v>
      </c>
      <c r="T536" s="13">
        <v>120</v>
      </c>
      <c r="U536" s="4" t="s">
        <v>206</v>
      </c>
      <c r="V536" s="4" t="s">
        <v>46</v>
      </c>
      <c r="W536" s="4" t="s">
        <v>46</v>
      </c>
      <c r="X536" s="4" t="s">
        <v>46</v>
      </c>
      <c r="Y536" s="4">
        <f t="shared" si="18"/>
        <v>1</v>
      </c>
      <c r="AA536" s="4" t="s">
        <v>49</v>
      </c>
      <c r="AB536" s="4">
        <v>0</v>
      </c>
      <c r="AC536" s="4" t="s">
        <v>50</v>
      </c>
      <c r="AD536" s="4">
        <v>1</v>
      </c>
      <c r="AE536" s="4" t="s">
        <v>49</v>
      </c>
      <c r="AF536" s="4">
        <v>0</v>
      </c>
      <c r="AG536" s="4" t="s">
        <v>46</v>
      </c>
      <c r="AH536" s="4" t="s">
        <v>753</v>
      </c>
      <c r="AI536" s="4" t="s">
        <v>78</v>
      </c>
      <c r="AJ536" s="13">
        <v>0</v>
      </c>
      <c r="AK536" s="13">
        <v>15</v>
      </c>
      <c r="AL536" s="13" t="s">
        <v>510</v>
      </c>
      <c r="AO536" s="13" t="s">
        <v>511</v>
      </c>
      <c r="AP536" s="13" t="s">
        <v>50</v>
      </c>
      <c r="AQ536" s="13" t="s">
        <v>49</v>
      </c>
      <c r="AR536" s="13" t="s">
        <v>49</v>
      </c>
      <c r="AS536" s="13" t="s">
        <v>49</v>
      </c>
      <c r="AT536" s="13" t="s">
        <v>993</v>
      </c>
      <c r="AU536" s="13" t="s">
        <v>1001</v>
      </c>
      <c r="AV536" s="14">
        <f>35.726/1000</f>
        <v>3.5726000000000001E-2</v>
      </c>
      <c r="AW536" s="14">
        <f>51.137/1000</f>
        <v>5.1137000000000002E-2</v>
      </c>
      <c r="AX536" s="14">
        <f>Table1347456[[#This Row],[treatment_mean]]/Table1347456[[#This Row],[control_mean]]</f>
        <v>0.69863308367718091</v>
      </c>
      <c r="AY536" s="14">
        <f>LN(Table1347456[[#This Row],[rr]])</f>
        <v>-0.35862959062052491</v>
      </c>
      <c r="AZ536" s="13">
        <v>6</v>
      </c>
      <c r="BA536" s="13">
        <v>6</v>
      </c>
      <c r="BB536" s="14" t="s">
        <v>46</v>
      </c>
      <c r="BC536" s="14" t="s">
        <v>46</v>
      </c>
      <c r="BD536" s="15" t="s">
        <v>46</v>
      </c>
      <c r="BE536" s="14" t="s">
        <v>46</v>
      </c>
      <c r="BF53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36" s="17" t="s">
        <v>46</v>
      </c>
      <c r="BH536" s="13" t="s">
        <v>50</v>
      </c>
      <c r="BI536" s="13">
        <v>2.5000000000000001E-2</v>
      </c>
      <c r="BJ536" s="18">
        <f>ABS(_xlfn.NORM.S.INV(Table1347456[[#This Row],[p_value]]/2))</f>
        <v>2.2414027276049446</v>
      </c>
      <c r="BK536" s="19">
        <f>(Table1347456[[#This Row],[lnrr]]/Table1347456[[#This Row],[z_from_p]])^2</f>
        <v>2.5600735859302219E-2</v>
      </c>
      <c r="BL536" s="16">
        <f>Table1347456[[#This Row],[v_from_z_from_p]]</f>
        <v>2.5600735859302219E-2</v>
      </c>
      <c r="BM536" s="20">
        <f>SQRT(Table1347456[[#This Row],[v]])</f>
        <v>0.16000229954379475</v>
      </c>
      <c r="BN536" s="20">
        <f>Table1347456[[#This Row],[lnrr]]-(1.96*Table1347456[[#This Row],[se]])</f>
        <v>-0.67223409772636256</v>
      </c>
      <c r="BO536" s="20">
        <f>Table1347456[[#This Row],[lnrr]]+(1.96 * Table1347456[[#This Row],[se]])</f>
        <v>-4.5025083514687203E-2</v>
      </c>
    </row>
    <row r="537" spans="1:67">
      <c r="A537" s="13" t="s">
        <v>202</v>
      </c>
      <c r="B537" s="13" t="s">
        <v>203</v>
      </c>
      <c r="C537" s="13" t="s">
        <v>43</v>
      </c>
      <c r="D537" s="13" t="s">
        <v>204</v>
      </c>
      <c r="E537" s="13" t="s">
        <v>205</v>
      </c>
      <c r="F537" s="13" t="s">
        <v>587</v>
      </c>
      <c r="G537" s="13" t="s">
        <v>46</v>
      </c>
      <c r="H537" s="13">
        <v>30.5</v>
      </c>
      <c r="I537" s="13" t="s">
        <v>46</v>
      </c>
      <c r="K537" s="13" t="s">
        <v>861</v>
      </c>
      <c r="L537" s="13" t="s">
        <v>862</v>
      </c>
      <c r="N537" s="13" t="s">
        <v>53</v>
      </c>
      <c r="O537" s="13" t="s">
        <v>54</v>
      </c>
      <c r="P537" s="13" t="s">
        <v>512</v>
      </c>
      <c r="Q537" s="13" t="s">
        <v>48</v>
      </c>
      <c r="R537" s="4">
        <v>6</v>
      </c>
      <c r="S537" s="13" t="s">
        <v>596</v>
      </c>
      <c r="T537" s="13">
        <v>120</v>
      </c>
      <c r="U537" s="4" t="s">
        <v>206</v>
      </c>
      <c r="V537" s="4" t="s">
        <v>46</v>
      </c>
      <c r="W537" s="4" t="s">
        <v>46</v>
      </c>
      <c r="X537" s="4" t="s">
        <v>46</v>
      </c>
      <c r="Y537" s="4">
        <f t="shared" si="18"/>
        <v>1</v>
      </c>
      <c r="AA537" s="4" t="s">
        <v>50</v>
      </c>
      <c r="AB537" s="4">
        <v>300</v>
      </c>
      <c r="AC537" s="4" t="s">
        <v>50</v>
      </c>
      <c r="AD537" s="4">
        <v>1</v>
      </c>
      <c r="AE537" s="4" t="s">
        <v>49</v>
      </c>
      <c r="AF537" s="4">
        <v>0</v>
      </c>
      <c r="AG537" s="4" t="s">
        <v>46</v>
      </c>
      <c r="AH537" s="4" t="s">
        <v>753</v>
      </c>
      <c r="AI537" s="4" t="s">
        <v>78</v>
      </c>
      <c r="AJ537" s="13">
        <v>0</v>
      </c>
      <c r="AK537" s="13">
        <v>15</v>
      </c>
      <c r="AL537" s="13" t="s">
        <v>510</v>
      </c>
      <c r="AO537" s="13" t="s">
        <v>511</v>
      </c>
      <c r="AP537" s="13" t="s">
        <v>50</v>
      </c>
      <c r="AQ537" s="13" t="s">
        <v>49</v>
      </c>
      <c r="AR537" s="13" t="s">
        <v>49</v>
      </c>
      <c r="AS537" s="13" t="s">
        <v>49</v>
      </c>
      <c r="AT537" s="13" t="s">
        <v>991</v>
      </c>
      <c r="AU537" s="13" t="s">
        <v>997</v>
      </c>
      <c r="AV537" s="14">
        <f>197.54/1000</f>
        <v>0.19753999999999999</v>
      </c>
      <c r="AW537" s="14">
        <f>143.6/1000</f>
        <v>0.14360000000000001</v>
      </c>
      <c r="AX537" s="14">
        <f>Table1347456[[#This Row],[treatment_mean]]/Table1347456[[#This Row],[control_mean]]</f>
        <v>1.375626740947075</v>
      </c>
      <c r="AY537" s="14">
        <f>LN(Table1347456[[#This Row],[rr]])</f>
        <v>0.31890943886585732</v>
      </c>
      <c r="AZ537" s="13">
        <v>6</v>
      </c>
      <c r="BA537" s="13">
        <v>6</v>
      </c>
      <c r="BB537" s="14" t="s">
        <v>46</v>
      </c>
      <c r="BC537" s="14" t="s">
        <v>46</v>
      </c>
      <c r="BD537" s="15" t="s">
        <v>46</v>
      </c>
      <c r="BE537" s="14" t="s">
        <v>46</v>
      </c>
      <c r="BF53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37" s="17" t="s">
        <v>46</v>
      </c>
      <c r="BH537" s="13" t="s">
        <v>50</v>
      </c>
      <c r="BI537" s="13">
        <v>2.5000000000000001E-2</v>
      </c>
      <c r="BJ537" s="18">
        <f>ABS(_xlfn.NORM.S.INV(Table1347456[[#This Row],[p_value]]/2))</f>
        <v>2.2414027276049446</v>
      </c>
      <c r="BK537" s="19">
        <f>(Table1347456[[#This Row],[lnrr]]/Table1347456[[#This Row],[z_from_p]])^2</f>
        <v>2.0243935950327186E-2</v>
      </c>
      <c r="BL537" s="16">
        <f>Table1347456[[#This Row],[v_from_z_from_p]]</f>
        <v>2.0243935950327186E-2</v>
      </c>
      <c r="BM537" s="20">
        <f>SQRT(Table1347456[[#This Row],[v]])</f>
        <v>0.14228118621352293</v>
      </c>
      <c r="BN537" s="20">
        <f>Table1347456[[#This Row],[lnrr]]-(1.96*Table1347456[[#This Row],[se]])</f>
        <v>4.0038313887352406E-2</v>
      </c>
      <c r="BO537" s="20">
        <f>Table1347456[[#This Row],[lnrr]]+(1.96 * Table1347456[[#This Row],[se]])</f>
        <v>0.59778056384436229</v>
      </c>
    </row>
    <row r="538" spans="1:67">
      <c r="A538" s="13" t="s">
        <v>207</v>
      </c>
      <c r="B538" s="13" t="s">
        <v>208</v>
      </c>
      <c r="C538" s="13" t="s">
        <v>43</v>
      </c>
      <c r="D538" s="13" t="s">
        <v>209</v>
      </c>
      <c r="E538" s="13" t="s">
        <v>210</v>
      </c>
      <c r="F538" s="13" t="s">
        <v>588</v>
      </c>
      <c r="G538" s="13" t="s">
        <v>46</v>
      </c>
      <c r="H538" s="13" t="s">
        <v>46</v>
      </c>
      <c r="I538" s="13">
        <v>1175</v>
      </c>
      <c r="K538" s="13" t="s">
        <v>863</v>
      </c>
      <c r="L538" s="13" t="s">
        <v>864</v>
      </c>
      <c r="N538" s="13" t="s">
        <v>211</v>
      </c>
      <c r="O538" s="13" t="s">
        <v>642</v>
      </c>
      <c r="P538" s="13" t="s">
        <v>422</v>
      </c>
      <c r="Q538" s="13" t="s">
        <v>48</v>
      </c>
      <c r="R538" s="4">
        <v>4</v>
      </c>
      <c r="S538" s="13" t="s">
        <v>594</v>
      </c>
      <c r="T538" s="13">
        <v>730</v>
      </c>
      <c r="U538" s="4" t="s">
        <v>212</v>
      </c>
      <c r="V538" s="4">
        <v>450</v>
      </c>
      <c r="W538" s="4" t="s">
        <v>601</v>
      </c>
      <c r="X538" s="4">
        <v>798</v>
      </c>
      <c r="Y538" s="4">
        <v>10</v>
      </c>
      <c r="AA538" s="4" t="s">
        <v>49</v>
      </c>
      <c r="AB538" s="4">
        <v>0</v>
      </c>
      <c r="AC538" s="4" t="s">
        <v>49</v>
      </c>
      <c r="AD538" s="4">
        <v>0</v>
      </c>
      <c r="AE538" s="4" t="s">
        <v>49</v>
      </c>
      <c r="AF538" s="4">
        <v>0</v>
      </c>
      <c r="AG538" s="4" t="s">
        <v>708</v>
      </c>
      <c r="AH538" s="4" t="s">
        <v>787</v>
      </c>
      <c r="AI538" s="4" t="s">
        <v>64</v>
      </c>
      <c r="AJ538" s="13">
        <v>0</v>
      </c>
      <c r="AK538" s="13">
        <v>20</v>
      </c>
      <c r="AM538" s="13" t="s">
        <v>499</v>
      </c>
      <c r="AN538" s="13" t="s">
        <v>636</v>
      </c>
      <c r="AP538" s="13" t="s">
        <v>49</v>
      </c>
      <c r="AQ538" s="13" t="s">
        <v>49</v>
      </c>
      <c r="AR538" s="13" t="s">
        <v>49</v>
      </c>
      <c r="AS538" s="13" t="s">
        <v>49</v>
      </c>
      <c r="AT538" s="13" t="s">
        <v>990</v>
      </c>
      <c r="AU538" s="13" t="s">
        <v>998</v>
      </c>
      <c r="AV538" s="14">
        <f>1.21*10</f>
        <v>12.1</v>
      </c>
      <c r="AW538" s="14">
        <f>1.11*10</f>
        <v>11.100000000000001</v>
      </c>
      <c r="AX538" s="14">
        <f>Table1347456[[#This Row],[treatment_mean]]/Table1347456[[#This Row],[control_mean]]</f>
        <v>1.0900900900900898</v>
      </c>
      <c r="AY538" s="14">
        <f>LN(Table1347456[[#This Row],[rr]])</f>
        <v>8.6260344284406723E-2</v>
      </c>
      <c r="AZ538" s="13">
        <v>4</v>
      </c>
      <c r="BA538" s="13">
        <v>4</v>
      </c>
      <c r="BB538" s="14">
        <f>Table1347456[[#This Row],[treatment_sd]]/SQRT(Table1347456[[#This Row],[treatment_n]])</f>
        <v>0.1</v>
      </c>
      <c r="BC538" s="14">
        <f>Table1347456[[#This Row],[control_sd]]/SQRT(Table1347456[[#This Row],[control_n]])</f>
        <v>0.2</v>
      </c>
      <c r="BD538" s="15">
        <f>0.02*10</f>
        <v>0.2</v>
      </c>
      <c r="BE538" s="14">
        <f>0.04*10</f>
        <v>0.4</v>
      </c>
      <c r="BF53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3.92950318834129E-4</v>
      </c>
      <c r="BG538" s="17">
        <f>SQRT(Table1347456[[#This Row],[v_from_sd_and_n]])</f>
        <v>1.9822974520342023E-2</v>
      </c>
      <c r="BH538" s="13" t="s">
        <v>50</v>
      </c>
      <c r="BI538" s="13">
        <v>2.5000000000000001E-2</v>
      </c>
      <c r="BJ538" s="18">
        <f>ABS(_xlfn.NORM.S.INV(Table1347456[[#This Row],[p_value]]/2))</f>
        <v>2.2414027276049446</v>
      </c>
      <c r="BK538" s="19">
        <f>(Table1347456[[#This Row],[lnrr]]/Table1347456[[#This Row],[z_from_p]])^2</f>
        <v>1.48109386212853E-3</v>
      </c>
      <c r="BL538" s="16">
        <f>Table1347456[[#This Row],[v_from_sd_and_n]]</f>
        <v>3.92950318834129E-4</v>
      </c>
      <c r="BM538" s="20">
        <f>SQRT(Table1347456[[#This Row],[v]])</f>
        <v>1.9822974520342023E-2</v>
      </c>
      <c r="BN538" s="20">
        <f>Table1347456[[#This Row],[lnrr]]-(1.96*Table1347456[[#This Row],[se]])</f>
        <v>4.7407314224536361E-2</v>
      </c>
      <c r="BO538" s="20">
        <f>Table1347456[[#This Row],[lnrr]]+(1.96 * Table1347456[[#This Row],[se]])</f>
        <v>0.12511337434427708</v>
      </c>
    </row>
    <row r="539" spans="1:67">
      <c r="A539" s="13" t="s">
        <v>207</v>
      </c>
      <c r="B539" s="13" t="s">
        <v>208</v>
      </c>
      <c r="C539" s="13" t="s">
        <v>43</v>
      </c>
      <c r="D539" s="13" t="s">
        <v>209</v>
      </c>
      <c r="E539" s="13" t="s">
        <v>210</v>
      </c>
      <c r="F539" s="13" t="s">
        <v>588</v>
      </c>
      <c r="G539" s="13" t="s">
        <v>46</v>
      </c>
      <c r="H539" s="13" t="s">
        <v>46</v>
      </c>
      <c r="I539" s="13">
        <v>1175</v>
      </c>
      <c r="K539" s="13" t="s">
        <v>863</v>
      </c>
      <c r="L539" s="13" t="s">
        <v>864</v>
      </c>
      <c r="N539" s="13" t="s">
        <v>211</v>
      </c>
      <c r="O539" s="13" t="s">
        <v>642</v>
      </c>
      <c r="P539" s="13" t="s">
        <v>422</v>
      </c>
      <c r="Q539" s="13" t="s">
        <v>48</v>
      </c>
      <c r="R539" s="4">
        <v>4</v>
      </c>
      <c r="S539" s="13" t="s">
        <v>594</v>
      </c>
      <c r="T539" s="13">
        <v>730</v>
      </c>
      <c r="U539" s="4" t="s">
        <v>212</v>
      </c>
      <c r="V539" s="4">
        <v>450</v>
      </c>
      <c r="W539" s="4" t="s">
        <v>601</v>
      </c>
      <c r="X539" s="4">
        <v>798</v>
      </c>
      <c r="Y539" s="4">
        <v>10</v>
      </c>
      <c r="AA539" s="4" t="s">
        <v>50</v>
      </c>
      <c r="AB539" s="4">
        <v>220</v>
      </c>
      <c r="AC539" s="4" t="s">
        <v>49</v>
      </c>
      <c r="AD539" s="4">
        <v>0</v>
      </c>
      <c r="AE539" s="4" t="s">
        <v>49</v>
      </c>
      <c r="AF539" s="4">
        <v>0</v>
      </c>
      <c r="AG539" s="4" t="s">
        <v>708</v>
      </c>
      <c r="AH539" s="4" t="s">
        <v>787</v>
      </c>
      <c r="AI539" s="4" t="s">
        <v>64</v>
      </c>
      <c r="AJ539" s="13">
        <v>0</v>
      </c>
      <c r="AK539" s="13">
        <v>20</v>
      </c>
      <c r="AM539" s="13" t="s">
        <v>499</v>
      </c>
      <c r="AP539" s="13" t="s">
        <v>49</v>
      </c>
      <c r="AQ539" s="13" t="s">
        <v>49</v>
      </c>
      <c r="AR539" s="13" t="s">
        <v>49</v>
      </c>
      <c r="AS539" s="13" t="s">
        <v>49</v>
      </c>
      <c r="AT539" s="13" t="s">
        <v>992</v>
      </c>
      <c r="AU539" s="4" t="s">
        <v>1000</v>
      </c>
      <c r="AV539" s="14">
        <f>2.94*10</f>
        <v>29.4</v>
      </c>
      <c r="AW539" s="14">
        <f>2.38*10</f>
        <v>23.799999999999997</v>
      </c>
      <c r="AX539" s="14">
        <f>Table1347456[[#This Row],[treatment_mean]]/Table1347456[[#This Row],[control_mean]]</f>
        <v>1.2352941176470589</v>
      </c>
      <c r="AY539" s="14">
        <f>LN(Table1347456[[#This Row],[rr]])</f>
        <v>0.21130909366720696</v>
      </c>
      <c r="AZ539" s="13">
        <v>4</v>
      </c>
      <c r="BA539" s="13">
        <v>4</v>
      </c>
      <c r="BB539" s="14">
        <f>Table1347456[[#This Row],[treatment_sd]]/SQRT(Table1347456[[#This Row],[treatment_n]])</f>
        <v>0.1</v>
      </c>
      <c r="BC539" s="14">
        <f>Table1347456[[#This Row],[control_sd]]/SQRT(Table1347456[[#This Row],[control_n]])</f>
        <v>0.2</v>
      </c>
      <c r="BD539" s="15">
        <f>0.02*10</f>
        <v>0.2</v>
      </c>
      <c r="BE539" s="14">
        <f>0.04*10</f>
        <v>0.4</v>
      </c>
      <c r="BF53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8.2185735438633278E-5</v>
      </c>
      <c r="BG539" s="17">
        <f>SQRT(Table1347456[[#This Row],[v_from_sd_and_n]])</f>
        <v>9.0656348613118807E-3</v>
      </c>
      <c r="BH539" s="13" t="s">
        <v>50</v>
      </c>
      <c r="BI539" s="13">
        <v>2.5000000000000001E-2</v>
      </c>
      <c r="BJ539" s="18">
        <f>ABS(_xlfn.NORM.S.INV(Table1347456[[#This Row],[p_value]]/2))</f>
        <v>2.2414027276049446</v>
      </c>
      <c r="BK539" s="19">
        <f>(Table1347456[[#This Row],[lnrr]]/Table1347456[[#This Row],[z_from_p]])^2</f>
        <v>8.8878472564127356E-3</v>
      </c>
      <c r="BL539" s="16">
        <f>Table1347456[[#This Row],[v_from_sd_and_n]]</f>
        <v>8.2185735438633278E-5</v>
      </c>
      <c r="BM539" s="20">
        <f>SQRT(Table1347456[[#This Row],[v]])</f>
        <v>9.0656348613118807E-3</v>
      </c>
      <c r="BN539" s="20">
        <f>Table1347456[[#This Row],[lnrr]]-(1.96*Table1347456[[#This Row],[se]])</f>
        <v>0.19354044933903566</v>
      </c>
      <c r="BO539" s="20">
        <f>Table1347456[[#This Row],[lnrr]]+(1.96 * Table1347456[[#This Row],[se]])</f>
        <v>0.22907773799537826</v>
      </c>
    </row>
    <row r="540" spans="1:67">
      <c r="A540" s="13" t="s">
        <v>207</v>
      </c>
      <c r="B540" s="13" t="s">
        <v>208</v>
      </c>
      <c r="C540" s="13" t="s">
        <v>43</v>
      </c>
      <c r="D540" s="13" t="s">
        <v>209</v>
      </c>
      <c r="E540" s="13" t="s">
        <v>210</v>
      </c>
      <c r="F540" s="13" t="s">
        <v>588</v>
      </c>
      <c r="G540" s="13" t="s">
        <v>46</v>
      </c>
      <c r="H540" s="13" t="s">
        <v>46</v>
      </c>
      <c r="I540" s="13">
        <v>1175</v>
      </c>
      <c r="K540" s="13" t="s">
        <v>863</v>
      </c>
      <c r="L540" s="13" t="s">
        <v>864</v>
      </c>
      <c r="N540" s="13" t="s">
        <v>211</v>
      </c>
      <c r="O540" s="13" t="s">
        <v>642</v>
      </c>
      <c r="P540" s="13" t="s">
        <v>422</v>
      </c>
      <c r="Q540" s="13" t="s">
        <v>48</v>
      </c>
      <c r="R540" s="4">
        <v>4</v>
      </c>
      <c r="S540" s="13" t="s">
        <v>594</v>
      </c>
      <c r="T540" s="13">
        <v>730</v>
      </c>
      <c r="U540" s="4" t="s">
        <v>212</v>
      </c>
      <c r="V540" s="4">
        <v>450</v>
      </c>
      <c r="W540" s="4" t="s">
        <v>601</v>
      </c>
      <c r="X540" s="4">
        <v>798</v>
      </c>
      <c r="Y540" s="4">
        <v>10</v>
      </c>
      <c r="AA540" s="4" t="s">
        <v>49</v>
      </c>
      <c r="AB540" s="4">
        <v>0</v>
      </c>
      <c r="AC540" s="4" t="s">
        <v>49</v>
      </c>
      <c r="AD540" s="4">
        <v>0</v>
      </c>
      <c r="AE540" s="4" t="s">
        <v>50</v>
      </c>
      <c r="AF540" s="4">
        <v>10</v>
      </c>
      <c r="AG540" s="4" t="s">
        <v>708</v>
      </c>
      <c r="AH540" s="4" t="s">
        <v>787</v>
      </c>
      <c r="AI540" s="4" t="s">
        <v>64</v>
      </c>
      <c r="AJ540" s="13">
        <v>0</v>
      </c>
      <c r="AK540" s="13">
        <v>20</v>
      </c>
      <c r="AM540" s="13" t="s">
        <v>499</v>
      </c>
      <c r="AP540" s="13" t="s">
        <v>49</v>
      </c>
      <c r="AQ540" s="13" t="s">
        <v>49</v>
      </c>
      <c r="AR540" s="13" t="s">
        <v>49</v>
      </c>
      <c r="AS540" s="13" t="s">
        <v>49</v>
      </c>
      <c r="AT540" s="13" t="s">
        <v>995</v>
      </c>
      <c r="AU540" s="13" t="s">
        <v>1002</v>
      </c>
      <c r="AV540" s="14">
        <f>2.84*10</f>
        <v>28.4</v>
      </c>
      <c r="AW540" s="14">
        <f>2.75*10</f>
        <v>27.5</v>
      </c>
      <c r="AX540" s="14">
        <f>Table1347456[[#This Row],[treatment_mean]]/Table1347456[[#This Row],[control_mean]]</f>
        <v>1.0327272727272727</v>
      </c>
      <c r="AY540" s="14">
        <f>LN(Table1347456[[#This Row],[rr]])</f>
        <v>3.2203140494634734E-2</v>
      </c>
      <c r="AZ540" s="13">
        <v>4</v>
      </c>
      <c r="BA540" s="13">
        <v>4</v>
      </c>
      <c r="BB540" s="14">
        <f>Table1347456[[#This Row],[treatment_sd]]/SQRT(Table1347456[[#This Row],[treatment_n]])</f>
        <v>0.75</v>
      </c>
      <c r="BC540" s="14">
        <f>Table1347456[[#This Row],[control_sd]]/SQRT(Table1347456[[#This Row],[control_n]])</f>
        <v>0.95</v>
      </c>
      <c r="BD540" s="15">
        <f>0.15*10</f>
        <v>1.5</v>
      </c>
      <c r="BE540" s="14">
        <f>0.19*10</f>
        <v>1.9</v>
      </c>
      <c r="BF54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1.8907946983495664E-3</v>
      </c>
      <c r="BG540" s="17">
        <f>SQRT(Table1347456[[#This Row],[v_from_sd_and_n]])</f>
        <v>4.3483269177346434E-2</v>
      </c>
      <c r="BH540" s="13" t="s">
        <v>50</v>
      </c>
      <c r="BI540" s="13">
        <v>2.5000000000000001E-2</v>
      </c>
      <c r="BJ540" s="18">
        <f>ABS(_xlfn.NORM.S.INV(Table1347456[[#This Row],[p_value]]/2))</f>
        <v>2.2414027276049446</v>
      </c>
      <c r="BK540" s="19">
        <f>(Table1347456[[#This Row],[lnrr]]/Table1347456[[#This Row],[z_from_p]])^2</f>
        <v>2.0642232308838409E-4</v>
      </c>
      <c r="BL540" s="16">
        <f>Table1347456[[#This Row],[v_from_sd_and_n]]</f>
        <v>1.8907946983495664E-3</v>
      </c>
      <c r="BM540" s="20">
        <f>SQRT(Table1347456[[#This Row],[v]])</f>
        <v>4.3483269177346434E-2</v>
      </c>
      <c r="BN540" s="20">
        <f>Table1347456[[#This Row],[lnrr]]-(1.96*Table1347456[[#This Row],[se]])</f>
        <v>-5.3024067092964276E-2</v>
      </c>
      <c r="BO540" s="20">
        <f>Table1347456[[#This Row],[lnrr]]+(1.96 * Table1347456[[#This Row],[se]])</f>
        <v>0.11743034808223374</v>
      </c>
    </row>
    <row r="541" spans="1:67">
      <c r="A541" s="13" t="s">
        <v>207</v>
      </c>
      <c r="B541" s="13" t="s">
        <v>208</v>
      </c>
      <c r="C541" s="13" t="s">
        <v>43</v>
      </c>
      <c r="D541" s="13" t="s">
        <v>209</v>
      </c>
      <c r="E541" s="13" t="s">
        <v>210</v>
      </c>
      <c r="F541" s="13" t="s">
        <v>588</v>
      </c>
      <c r="G541" s="13" t="s">
        <v>46</v>
      </c>
      <c r="H541" s="13" t="s">
        <v>46</v>
      </c>
      <c r="I541" s="13">
        <v>1175</v>
      </c>
      <c r="K541" s="13" t="s">
        <v>863</v>
      </c>
      <c r="L541" s="13" t="s">
        <v>864</v>
      </c>
      <c r="N541" s="13" t="s">
        <v>211</v>
      </c>
      <c r="O541" s="13" t="s">
        <v>642</v>
      </c>
      <c r="P541" s="13" t="s">
        <v>422</v>
      </c>
      <c r="Q541" s="13" t="s">
        <v>48</v>
      </c>
      <c r="R541" s="4">
        <v>4</v>
      </c>
      <c r="S541" s="13" t="s">
        <v>594</v>
      </c>
      <c r="T541" s="13">
        <v>730</v>
      </c>
      <c r="U541" s="4" t="s">
        <v>212</v>
      </c>
      <c r="V541" s="4">
        <v>450</v>
      </c>
      <c r="W541" s="4" t="s">
        <v>601</v>
      </c>
      <c r="X541" s="4">
        <v>798</v>
      </c>
      <c r="Y541" s="4">
        <v>10</v>
      </c>
      <c r="AA541" s="4" t="s">
        <v>50</v>
      </c>
      <c r="AB541" s="4">
        <v>220</v>
      </c>
      <c r="AC541" s="4" t="s">
        <v>49</v>
      </c>
      <c r="AD541" s="4">
        <v>0</v>
      </c>
      <c r="AE541" s="4" t="s">
        <v>50</v>
      </c>
      <c r="AF541" s="4">
        <v>10</v>
      </c>
      <c r="AG541" s="4" t="s">
        <v>708</v>
      </c>
      <c r="AH541" s="4" t="s">
        <v>787</v>
      </c>
      <c r="AI541" s="4" t="s">
        <v>64</v>
      </c>
      <c r="AJ541" s="13">
        <v>0</v>
      </c>
      <c r="AK541" s="13">
        <v>20</v>
      </c>
      <c r="AM541" s="13" t="s">
        <v>499</v>
      </c>
      <c r="AP541" s="13" t="s">
        <v>49</v>
      </c>
      <c r="AQ541" s="13" t="s">
        <v>49</v>
      </c>
      <c r="AR541" s="13" t="s">
        <v>49</v>
      </c>
      <c r="AS541" s="13" t="s">
        <v>49</v>
      </c>
      <c r="AT541" s="13" t="s">
        <v>994</v>
      </c>
      <c r="AU541" s="13" t="s">
        <v>999</v>
      </c>
      <c r="AV541" s="14">
        <f>3.14*10</f>
        <v>31.400000000000002</v>
      </c>
      <c r="AW541" s="14">
        <f>3.09*10</f>
        <v>30.9</v>
      </c>
      <c r="AX541" s="14">
        <f>Table1347456[[#This Row],[treatment_mean]]/Table1347456[[#This Row],[control_mean]]</f>
        <v>1.0161812297734629</v>
      </c>
      <c r="AY541" s="14">
        <f>LN(Table1347456[[#This Row],[rr]])</f>
        <v>1.6051709010508043E-2</v>
      </c>
      <c r="AZ541" s="13">
        <v>4</v>
      </c>
      <c r="BA541" s="13">
        <v>4</v>
      </c>
      <c r="BB541" s="14">
        <f>Table1347456[[#This Row],[treatment_sd]]/SQRT(Table1347456[[#This Row],[treatment_n]])</f>
        <v>0.55000000000000004</v>
      </c>
      <c r="BC541" s="14">
        <f>Table1347456[[#This Row],[control_sd]]/SQRT(Table1347456[[#This Row],[control_n]])</f>
        <v>0.35000000000000003</v>
      </c>
      <c r="BD541" s="15">
        <f>0.11*10</f>
        <v>1.1000000000000001</v>
      </c>
      <c r="BE541" s="14">
        <f>0.07*10</f>
        <v>0.70000000000000007</v>
      </c>
      <c r="BF54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4.3510535492172979E-4</v>
      </c>
      <c r="BG541" s="17">
        <f>SQRT(Table1347456[[#This Row],[v_from_sd_and_n]])</f>
        <v>2.0859179152635174E-2</v>
      </c>
      <c r="BH541" s="13" t="s">
        <v>50</v>
      </c>
      <c r="BI541" s="13">
        <v>2.5000000000000001E-2</v>
      </c>
      <c r="BJ541" s="18">
        <f>ABS(_xlfn.NORM.S.INV(Table1347456[[#This Row],[p_value]]/2))</f>
        <v>2.2414027276049446</v>
      </c>
      <c r="BK541" s="19">
        <f>(Table1347456[[#This Row],[lnrr]]/Table1347456[[#This Row],[z_from_p]])^2</f>
        <v>5.128646481056832E-5</v>
      </c>
      <c r="BL541" s="16">
        <f>Table1347456[[#This Row],[v_from_sd_and_n]]</f>
        <v>4.3510535492172979E-4</v>
      </c>
      <c r="BM541" s="20">
        <f>SQRT(Table1347456[[#This Row],[v]])</f>
        <v>2.0859179152635174E-2</v>
      </c>
      <c r="BN541" s="20">
        <f>Table1347456[[#This Row],[lnrr]]-(1.96*Table1347456[[#This Row],[se]])</f>
        <v>-2.4832282128656895E-2</v>
      </c>
      <c r="BO541" s="20">
        <f>Table1347456[[#This Row],[lnrr]]+(1.96 * Table1347456[[#This Row],[se]])</f>
        <v>5.6935700149672981E-2</v>
      </c>
    </row>
    <row r="542" spans="1:67">
      <c r="A542" s="13" t="s">
        <v>207</v>
      </c>
      <c r="B542" s="13" t="s">
        <v>208</v>
      </c>
      <c r="C542" s="13" t="s">
        <v>43</v>
      </c>
      <c r="D542" s="13" t="s">
        <v>209</v>
      </c>
      <c r="E542" s="13" t="s">
        <v>210</v>
      </c>
      <c r="F542" s="13" t="s">
        <v>588</v>
      </c>
      <c r="G542" s="13" t="s">
        <v>46</v>
      </c>
      <c r="H542" s="13" t="s">
        <v>46</v>
      </c>
      <c r="I542" s="13">
        <v>1175</v>
      </c>
      <c r="K542" s="13" t="s">
        <v>863</v>
      </c>
      <c r="L542" s="13" t="s">
        <v>864</v>
      </c>
      <c r="N542" s="13" t="s">
        <v>213</v>
      </c>
      <c r="O542" s="13" t="s">
        <v>642</v>
      </c>
      <c r="P542" s="13" t="s">
        <v>422</v>
      </c>
      <c r="Q542" s="13" t="s">
        <v>48</v>
      </c>
      <c r="R542" s="4">
        <v>4</v>
      </c>
      <c r="S542" s="13" t="s">
        <v>594</v>
      </c>
      <c r="T542" s="13">
        <v>730</v>
      </c>
      <c r="U542" s="4" t="s">
        <v>212</v>
      </c>
      <c r="V542" s="4">
        <v>450</v>
      </c>
      <c r="W542" s="4" t="s">
        <v>601</v>
      </c>
      <c r="X542" s="4">
        <v>798</v>
      </c>
      <c r="Y542" s="4">
        <v>10</v>
      </c>
      <c r="AA542" s="4" t="s">
        <v>49</v>
      </c>
      <c r="AB542" s="4">
        <v>0</v>
      </c>
      <c r="AC542" s="4" t="s">
        <v>49</v>
      </c>
      <c r="AD542" s="4">
        <v>0</v>
      </c>
      <c r="AE542" s="4" t="s">
        <v>49</v>
      </c>
      <c r="AF542" s="4">
        <v>0</v>
      </c>
      <c r="AG542" s="4" t="s">
        <v>708</v>
      </c>
      <c r="AH542" s="4" t="s">
        <v>787</v>
      </c>
      <c r="AI542" s="4" t="s">
        <v>64</v>
      </c>
      <c r="AJ542" s="13">
        <v>0</v>
      </c>
      <c r="AK542" s="13">
        <v>20</v>
      </c>
      <c r="AM542" s="13" t="s">
        <v>499</v>
      </c>
      <c r="AP542" s="13" t="s">
        <v>49</v>
      </c>
      <c r="AQ542" s="13" t="s">
        <v>49</v>
      </c>
      <c r="AR542" s="13" t="s">
        <v>49</v>
      </c>
      <c r="AS542" s="13" t="s">
        <v>49</v>
      </c>
      <c r="AT542" s="13" t="s">
        <v>990</v>
      </c>
      <c r="AU542" s="13" t="s">
        <v>998</v>
      </c>
      <c r="AV542" s="14">
        <f>0.16*10</f>
        <v>1.6</v>
      </c>
      <c r="AW542" s="14">
        <f>0.11*10</f>
        <v>1.1000000000000001</v>
      </c>
      <c r="AX542" s="14">
        <f>Table1347456[[#This Row],[treatment_mean]]/Table1347456[[#This Row],[control_mean]]</f>
        <v>1.4545454545454546</v>
      </c>
      <c r="AY542" s="14">
        <f>LN(Table1347456[[#This Row],[rr]])</f>
        <v>0.3746934494414107</v>
      </c>
      <c r="AZ542" s="13">
        <v>4</v>
      </c>
      <c r="BA542" s="13">
        <v>4</v>
      </c>
      <c r="BB542" s="14">
        <f>Table1347456[[#This Row],[treatment_sd]]/SQRT(Table1347456[[#This Row],[treatment_n]])</f>
        <v>0.1</v>
      </c>
      <c r="BC542" s="14">
        <f>Table1347456[[#This Row],[control_sd]]/SQRT(Table1347456[[#This Row],[control_n]])</f>
        <v>0.15</v>
      </c>
      <c r="BD542" s="15">
        <f>0.02*10</f>
        <v>0.2</v>
      </c>
      <c r="BE542" s="14">
        <f>0.03*10</f>
        <v>0.3</v>
      </c>
      <c r="BF54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2.2501291322314047E-2</v>
      </c>
      <c r="BG542" s="17">
        <f>SQRT(Table1347456[[#This Row],[v_from_sd_and_n]])</f>
        <v>0.15000430434595552</v>
      </c>
      <c r="BH542" s="13" t="s">
        <v>50</v>
      </c>
      <c r="BI542" s="13">
        <v>2.5000000000000001E-2</v>
      </c>
      <c r="BJ542" s="18">
        <f>ABS(_xlfn.NORM.S.INV(Table1347456[[#This Row],[p_value]]/2))</f>
        <v>2.2414027276049446</v>
      </c>
      <c r="BK542" s="19">
        <f>(Table1347456[[#This Row],[lnrr]]/Table1347456[[#This Row],[z_from_p]])^2</f>
        <v>2.7945533760059153E-2</v>
      </c>
      <c r="BL542" s="16">
        <f>Table1347456[[#This Row],[v_from_sd_and_n]]</f>
        <v>2.2501291322314047E-2</v>
      </c>
      <c r="BM542" s="20">
        <f>SQRT(Table1347456[[#This Row],[v]])</f>
        <v>0.15000430434595552</v>
      </c>
      <c r="BN542" s="20">
        <f>Table1347456[[#This Row],[lnrr]]-(1.96*Table1347456[[#This Row],[se]])</f>
        <v>8.0685012923337907E-2</v>
      </c>
      <c r="BO542" s="20">
        <f>Table1347456[[#This Row],[lnrr]]+(1.96 * Table1347456[[#This Row],[se]])</f>
        <v>0.66870188595948354</v>
      </c>
    </row>
    <row r="543" spans="1:67">
      <c r="A543" s="13" t="s">
        <v>207</v>
      </c>
      <c r="B543" s="13" t="s">
        <v>208</v>
      </c>
      <c r="C543" s="13" t="s">
        <v>43</v>
      </c>
      <c r="D543" s="13" t="s">
        <v>209</v>
      </c>
      <c r="E543" s="13" t="s">
        <v>210</v>
      </c>
      <c r="F543" s="13" t="s">
        <v>588</v>
      </c>
      <c r="G543" s="13" t="s">
        <v>46</v>
      </c>
      <c r="H543" s="13" t="s">
        <v>46</v>
      </c>
      <c r="I543" s="13">
        <v>1175</v>
      </c>
      <c r="K543" s="13" t="s">
        <v>863</v>
      </c>
      <c r="L543" s="13" t="s">
        <v>864</v>
      </c>
      <c r="N543" s="13" t="s">
        <v>213</v>
      </c>
      <c r="O543" s="13" t="s">
        <v>642</v>
      </c>
      <c r="P543" s="13" t="s">
        <v>422</v>
      </c>
      <c r="Q543" s="13" t="s">
        <v>48</v>
      </c>
      <c r="R543" s="4">
        <v>4</v>
      </c>
      <c r="S543" s="13" t="s">
        <v>594</v>
      </c>
      <c r="T543" s="13">
        <v>730</v>
      </c>
      <c r="U543" s="4" t="s">
        <v>212</v>
      </c>
      <c r="V543" s="4">
        <v>450</v>
      </c>
      <c r="W543" s="4" t="s">
        <v>601</v>
      </c>
      <c r="X543" s="4">
        <v>798</v>
      </c>
      <c r="Y543" s="4">
        <v>10</v>
      </c>
      <c r="AA543" s="4" t="s">
        <v>50</v>
      </c>
      <c r="AB543" s="4">
        <v>220</v>
      </c>
      <c r="AC543" s="4" t="s">
        <v>49</v>
      </c>
      <c r="AD543" s="4">
        <v>0</v>
      </c>
      <c r="AE543" s="4" t="s">
        <v>49</v>
      </c>
      <c r="AF543" s="4">
        <v>0</v>
      </c>
      <c r="AG543" s="4" t="s">
        <v>708</v>
      </c>
      <c r="AH543" s="4" t="s">
        <v>787</v>
      </c>
      <c r="AI543" s="4" t="s">
        <v>64</v>
      </c>
      <c r="AJ543" s="13">
        <v>0</v>
      </c>
      <c r="AK543" s="13">
        <v>20</v>
      </c>
      <c r="AM543" s="13" t="s">
        <v>499</v>
      </c>
      <c r="AP543" s="13" t="s">
        <v>49</v>
      </c>
      <c r="AQ543" s="13" t="s">
        <v>49</v>
      </c>
      <c r="AR543" s="13" t="s">
        <v>49</v>
      </c>
      <c r="AS543" s="13" t="s">
        <v>49</v>
      </c>
      <c r="AT543" s="13" t="s">
        <v>992</v>
      </c>
      <c r="AU543" s="4" t="s">
        <v>1000</v>
      </c>
      <c r="AV543" s="14">
        <f>0.31*10</f>
        <v>3.1</v>
      </c>
      <c r="AW543" s="14">
        <f>0.16*10</f>
        <v>1.6</v>
      </c>
      <c r="AX543" s="14">
        <f>Table1347456[[#This Row],[treatment_mean]]/Table1347456[[#This Row],[control_mean]]</f>
        <v>1.9375</v>
      </c>
      <c r="AY543" s="14">
        <f>LN(Table1347456[[#This Row],[rr]])</f>
        <v>0.66139848224536502</v>
      </c>
      <c r="AZ543" s="13">
        <v>4</v>
      </c>
      <c r="BA543" s="13">
        <v>4</v>
      </c>
      <c r="BB543" s="14">
        <f>Table1347456[[#This Row],[treatment_sd]]/SQRT(Table1347456[[#This Row],[treatment_n]])</f>
        <v>0.2</v>
      </c>
      <c r="BC543" s="14">
        <f>Table1347456[[#This Row],[control_sd]]/SQRT(Table1347456[[#This Row],[control_n]])</f>
        <v>0.1</v>
      </c>
      <c r="BD543" s="15">
        <f>0.04*10</f>
        <v>0.4</v>
      </c>
      <c r="BE543" s="14">
        <f>0.02*10</f>
        <v>0.2</v>
      </c>
      <c r="BF54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8.0685809053069723E-3</v>
      </c>
      <c r="BG543" s="17">
        <f>SQRT(Table1347456[[#This Row],[v_from_sd_and_n]])</f>
        <v>8.9825279878812364E-2</v>
      </c>
      <c r="BH543" s="13" t="s">
        <v>50</v>
      </c>
      <c r="BI543" s="13">
        <v>2.5000000000000001E-2</v>
      </c>
      <c r="BJ543" s="18">
        <f>ABS(_xlfn.NORM.S.INV(Table1347456[[#This Row],[p_value]]/2))</f>
        <v>2.2414027276049446</v>
      </c>
      <c r="BK543" s="19">
        <f>(Table1347456[[#This Row],[lnrr]]/Table1347456[[#This Row],[z_from_p]])^2</f>
        <v>8.7073619108054501E-2</v>
      </c>
      <c r="BL543" s="16">
        <f>Table1347456[[#This Row],[v_from_sd_and_n]]</f>
        <v>8.0685809053069723E-3</v>
      </c>
      <c r="BM543" s="20">
        <f>SQRT(Table1347456[[#This Row],[v]])</f>
        <v>8.9825279878812364E-2</v>
      </c>
      <c r="BN543" s="20">
        <f>Table1347456[[#This Row],[lnrr]]-(1.96*Table1347456[[#This Row],[se]])</f>
        <v>0.48534093368289277</v>
      </c>
      <c r="BO543" s="20">
        <f>Table1347456[[#This Row],[lnrr]]+(1.96 * Table1347456[[#This Row],[se]])</f>
        <v>0.83745603080783726</v>
      </c>
    </row>
    <row r="544" spans="1:67">
      <c r="A544" s="13" t="s">
        <v>207</v>
      </c>
      <c r="B544" s="13" t="s">
        <v>208</v>
      </c>
      <c r="C544" s="13" t="s">
        <v>43</v>
      </c>
      <c r="D544" s="13" t="s">
        <v>209</v>
      </c>
      <c r="E544" s="13" t="s">
        <v>210</v>
      </c>
      <c r="F544" s="13" t="s">
        <v>588</v>
      </c>
      <c r="G544" s="13" t="s">
        <v>46</v>
      </c>
      <c r="H544" s="13" t="s">
        <v>46</v>
      </c>
      <c r="I544" s="13">
        <v>1175</v>
      </c>
      <c r="K544" s="13" t="s">
        <v>863</v>
      </c>
      <c r="L544" s="13" t="s">
        <v>864</v>
      </c>
      <c r="N544" s="13" t="s">
        <v>213</v>
      </c>
      <c r="O544" s="13" t="s">
        <v>642</v>
      </c>
      <c r="P544" s="13" t="s">
        <v>422</v>
      </c>
      <c r="Q544" s="13" t="s">
        <v>48</v>
      </c>
      <c r="R544" s="4">
        <v>4</v>
      </c>
      <c r="S544" s="13" t="s">
        <v>594</v>
      </c>
      <c r="T544" s="13">
        <v>730</v>
      </c>
      <c r="U544" s="4" t="s">
        <v>212</v>
      </c>
      <c r="V544" s="4">
        <v>450</v>
      </c>
      <c r="W544" s="4" t="s">
        <v>601</v>
      </c>
      <c r="X544" s="4">
        <v>798</v>
      </c>
      <c r="Y544" s="4">
        <v>10</v>
      </c>
      <c r="AA544" s="4" t="s">
        <v>49</v>
      </c>
      <c r="AB544" s="4">
        <v>0</v>
      </c>
      <c r="AC544" s="4" t="s">
        <v>49</v>
      </c>
      <c r="AD544" s="4">
        <v>0</v>
      </c>
      <c r="AE544" s="4" t="s">
        <v>50</v>
      </c>
      <c r="AF544" s="4">
        <v>10</v>
      </c>
      <c r="AG544" s="4" t="s">
        <v>708</v>
      </c>
      <c r="AH544" s="4" t="s">
        <v>787</v>
      </c>
      <c r="AI544" s="4" t="s">
        <v>64</v>
      </c>
      <c r="AJ544" s="13">
        <v>0</v>
      </c>
      <c r="AK544" s="13">
        <v>20</v>
      </c>
      <c r="AM544" s="13" t="s">
        <v>499</v>
      </c>
      <c r="AP544" s="13" t="s">
        <v>49</v>
      </c>
      <c r="AQ544" s="13" t="s">
        <v>49</v>
      </c>
      <c r="AR544" s="13" t="s">
        <v>49</v>
      </c>
      <c r="AS544" s="13" t="s">
        <v>49</v>
      </c>
      <c r="AT544" s="13" t="s">
        <v>995</v>
      </c>
      <c r="AU544" s="13" t="s">
        <v>1002</v>
      </c>
      <c r="AV544" s="14">
        <f>0.34*10</f>
        <v>3.4000000000000004</v>
      </c>
      <c r="AW544" s="14">
        <f>0.22+10</f>
        <v>10.220000000000001</v>
      </c>
      <c r="AX544" s="14">
        <f>Table1347456[[#This Row],[treatment_mean]]/Table1347456[[#This Row],[control_mean]]</f>
        <v>0.3326810176125245</v>
      </c>
      <c r="AY544" s="14">
        <f>LN(Table1347456[[#This Row],[rr]])</f>
        <v>-1.1005711531534426</v>
      </c>
      <c r="AZ544" s="13">
        <v>4</v>
      </c>
      <c r="BA544" s="13">
        <v>4</v>
      </c>
      <c r="BB544" s="14">
        <f>Table1347456[[#This Row],[treatment_sd]]/SQRT(Table1347456[[#This Row],[treatment_n]])</f>
        <v>0.35000000000000003</v>
      </c>
      <c r="BC544" s="14">
        <f>Table1347456[[#This Row],[control_sd]]/SQRT(Table1347456[[#This Row],[control_n]])</f>
        <v>0.15</v>
      </c>
      <c r="BD544" s="15">
        <f>0.07*10</f>
        <v>0.70000000000000007</v>
      </c>
      <c r="BE544" s="14">
        <f>0.03*10</f>
        <v>0.3</v>
      </c>
      <c r="BF54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1.0812303186703577E-2</v>
      </c>
      <c r="BG544" s="17">
        <f>SQRT(Table1347456[[#This Row],[v_from_sd_and_n]])</f>
        <v>0.10398222534021657</v>
      </c>
      <c r="BH544" s="13" t="s">
        <v>50</v>
      </c>
      <c r="BI544" s="13">
        <v>2.5000000000000001E-2</v>
      </c>
      <c r="BJ544" s="18">
        <f>ABS(_xlfn.NORM.S.INV(Table1347456[[#This Row],[p_value]]/2))</f>
        <v>2.2414027276049446</v>
      </c>
      <c r="BK544" s="19">
        <f>(Table1347456[[#This Row],[lnrr]]/Table1347456[[#This Row],[z_from_p]])^2</f>
        <v>0.24109958267205062</v>
      </c>
      <c r="BL544" s="16">
        <f>Table1347456[[#This Row],[v_from_sd_and_n]]</f>
        <v>1.0812303186703577E-2</v>
      </c>
      <c r="BM544" s="20">
        <f>SQRT(Table1347456[[#This Row],[v]])</f>
        <v>0.10398222534021657</v>
      </c>
      <c r="BN544" s="20">
        <f>Table1347456[[#This Row],[lnrr]]-(1.96*Table1347456[[#This Row],[se]])</f>
        <v>-1.3043763148202669</v>
      </c>
      <c r="BO544" s="20">
        <f>Table1347456[[#This Row],[lnrr]]+(1.96 * Table1347456[[#This Row],[se]])</f>
        <v>-0.89676599148661806</v>
      </c>
    </row>
    <row r="545" spans="1:67">
      <c r="A545" s="13" t="s">
        <v>207</v>
      </c>
      <c r="B545" s="13" t="s">
        <v>208</v>
      </c>
      <c r="C545" s="13" t="s">
        <v>43</v>
      </c>
      <c r="D545" s="13" t="s">
        <v>209</v>
      </c>
      <c r="E545" s="13" t="s">
        <v>210</v>
      </c>
      <c r="F545" s="13" t="s">
        <v>588</v>
      </c>
      <c r="G545" s="13" t="s">
        <v>46</v>
      </c>
      <c r="H545" s="13" t="s">
        <v>46</v>
      </c>
      <c r="I545" s="13">
        <v>1175</v>
      </c>
      <c r="K545" s="13" t="s">
        <v>863</v>
      </c>
      <c r="L545" s="13" t="s">
        <v>864</v>
      </c>
      <c r="N545" s="13" t="s">
        <v>213</v>
      </c>
      <c r="O545" s="13" t="s">
        <v>642</v>
      </c>
      <c r="P545" s="13" t="s">
        <v>422</v>
      </c>
      <c r="Q545" s="13" t="s">
        <v>48</v>
      </c>
      <c r="R545" s="4">
        <v>4</v>
      </c>
      <c r="S545" s="13" t="s">
        <v>594</v>
      </c>
      <c r="T545" s="13">
        <v>730</v>
      </c>
      <c r="U545" s="4" t="s">
        <v>212</v>
      </c>
      <c r="V545" s="4">
        <v>450</v>
      </c>
      <c r="W545" s="4" t="s">
        <v>601</v>
      </c>
      <c r="X545" s="4">
        <v>798</v>
      </c>
      <c r="Y545" s="4">
        <v>10</v>
      </c>
      <c r="AA545" s="4" t="s">
        <v>50</v>
      </c>
      <c r="AB545" s="4">
        <v>220</v>
      </c>
      <c r="AC545" s="4" t="s">
        <v>49</v>
      </c>
      <c r="AD545" s="4">
        <v>0</v>
      </c>
      <c r="AE545" s="4" t="s">
        <v>50</v>
      </c>
      <c r="AF545" s="4">
        <v>10</v>
      </c>
      <c r="AG545" s="4" t="s">
        <v>708</v>
      </c>
      <c r="AH545" s="4" t="s">
        <v>787</v>
      </c>
      <c r="AI545" s="4" t="s">
        <v>64</v>
      </c>
      <c r="AJ545" s="13">
        <v>0</v>
      </c>
      <c r="AK545" s="13">
        <v>20</v>
      </c>
      <c r="AM545" s="13" t="s">
        <v>499</v>
      </c>
      <c r="AP545" s="13" t="s">
        <v>49</v>
      </c>
      <c r="AQ545" s="13" t="s">
        <v>49</v>
      </c>
      <c r="AR545" s="13" t="s">
        <v>49</v>
      </c>
      <c r="AS545" s="13" t="s">
        <v>49</v>
      </c>
      <c r="AT545" s="13" t="s">
        <v>994</v>
      </c>
      <c r="AU545" s="13" t="s">
        <v>999</v>
      </c>
      <c r="AV545" s="14">
        <f>0.41*10</f>
        <v>4.0999999999999996</v>
      </c>
      <c r="AW545" s="14">
        <f>0.21*10</f>
        <v>2.1</v>
      </c>
      <c r="AX545" s="14">
        <f>Table1347456[[#This Row],[treatment_mean]]/Table1347456[[#This Row],[control_mean]]</f>
        <v>1.9523809523809521</v>
      </c>
      <c r="AY545" s="14">
        <f>LN(Table1347456[[#This Row],[rr]])</f>
        <v>0.66904962898088471</v>
      </c>
      <c r="AZ545" s="13">
        <v>4</v>
      </c>
      <c r="BA545" s="13">
        <v>4</v>
      </c>
      <c r="BB545" s="14">
        <v>0.41</v>
      </c>
      <c r="BC545" s="14">
        <v>0.03</v>
      </c>
      <c r="BD545" s="15">
        <f>0.11*10</f>
        <v>1.1000000000000001</v>
      </c>
      <c r="BE545" s="14">
        <f>0.07*10</f>
        <v>0.70000000000000007</v>
      </c>
      <c r="BF54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4.5773018705796822E-2</v>
      </c>
      <c r="BG545" s="17">
        <f>SQRT(Table1347456[[#This Row],[v_from_sd_and_n]])</f>
        <v>0.21394629864944339</v>
      </c>
      <c r="BH545" s="13" t="s">
        <v>50</v>
      </c>
      <c r="BI545" s="13">
        <v>2.5000000000000001E-2</v>
      </c>
      <c r="BJ545" s="18">
        <f>ABS(_xlfn.NORM.S.INV(Table1347456[[#This Row],[p_value]]/2))</f>
        <v>2.2414027276049446</v>
      </c>
      <c r="BK545" s="19">
        <f>(Table1347456[[#This Row],[lnrr]]/Table1347456[[#This Row],[z_from_p]])^2</f>
        <v>8.909983016130045E-2</v>
      </c>
      <c r="BL545" s="16">
        <f>Table1347456[[#This Row],[v_from_sd_and_n]]</f>
        <v>4.5773018705796822E-2</v>
      </c>
      <c r="BM545" s="20">
        <f>SQRT(Table1347456[[#This Row],[v]])</f>
        <v>0.21394629864944339</v>
      </c>
      <c r="BN545" s="20">
        <f>Table1347456[[#This Row],[lnrr]]-(1.96*Table1347456[[#This Row],[se]])</f>
        <v>0.24971488362797567</v>
      </c>
      <c r="BO545" s="20">
        <f>Table1347456[[#This Row],[lnrr]]+(1.96 * Table1347456[[#This Row],[se]])</f>
        <v>1.0883843743337938</v>
      </c>
    </row>
    <row r="546" spans="1:67">
      <c r="A546" s="13" t="s">
        <v>207</v>
      </c>
      <c r="B546" s="13" t="s">
        <v>208</v>
      </c>
      <c r="C546" s="13" t="s">
        <v>43</v>
      </c>
      <c r="D546" s="13" t="s">
        <v>209</v>
      </c>
      <c r="E546" s="13" t="s">
        <v>210</v>
      </c>
      <c r="F546" s="13" t="s">
        <v>588</v>
      </c>
      <c r="G546" s="13" t="s">
        <v>46</v>
      </c>
      <c r="H546" s="13" t="s">
        <v>46</v>
      </c>
      <c r="I546" s="13">
        <v>1175</v>
      </c>
      <c r="K546" s="13" t="s">
        <v>863</v>
      </c>
      <c r="L546" s="13" t="s">
        <v>864</v>
      </c>
      <c r="N546" s="13" t="s">
        <v>214</v>
      </c>
      <c r="O546" s="13" t="s">
        <v>642</v>
      </c>
      <c r="P546" s="13" t="s">
        <v>422</v>
      </c>
      <c r="Q546" s="13" t="s">
        <v>48</v>
      </c>
      <c r="R546" s="4">
        <v>4</v>
      </c>
      <c r="S546" s="13" t="s">
        <v>594</v>
      </c>
      <c r="T546" s="13">
        <v>730</v>
      </c>
      <c r="U546" s="4" t="s">
        <v>212</v>
      </c>
      <c r="V546" s="4">
        <v>450</v>
      </c>
      <c r="W546" s="4" t="s">
        <v>601</v>
      </c>
      <c r="X546" s="4">
        <v>798</v>
      </c>
      <c r="Y546" s="4">
        <v>10</v>
      </c>
      <c r="AA546" s="4" t="s">
        <v>49</v>
      </c>
      <c r="AB546" s="4">
        <v>0</v>
      </c>
      <c r="AC546" s="4" t="s">
        <v>49</v>
      </c>
      <c r="AD546" s="4">
        <v>0</v>
      </c>
      <c r="AE546" s="4" t="s">
        <v>49</v>
      </c>
      <c r="AF546" s="4">
        <v>0</v>
      </c>
      <c r="AG546" s="4" t="s">
        <v>708</v>
      </c>
      <c r="AH546" s="4" t="s">
        <v>787</v>
      </c>
      <c r="AI546" s="4" t="s">
        <v>64</v>
      </c>
      <c r="AJ546" s="13">
        <v>0</v>
      </c>
      <c r="AK546" s="13">
        <v>20</v>
      </c>
      <c r="AM546" s="13" t="s">
        <v>499</v>
      </c>
      <c r="AP546" s="13" t="s">
        <v>49</v>
      </c>
      <c r="AQ546" s="13" t="s">
        <v>49</v>
      </c>
      <c r="AR546" s="13" t="s">
        <v>49</v>
      </c>
      <c r="AS546" s="13" t="s">
        <v>49</v>
      </c>
      <c r="AT546" s="13" t="s">
        <v>990</v>
      </c>
      <c r="AU546" s="13" t="s">
        <v>998</v>
      </c>
      <c r="AV546" s="14">
        <f>1.19*10</f>
        <v>11.899999999999999</v>
      </c>
      <c r="AW546" s="14">
        <f>0.63*10</f>
        <v>6.3</v>
      </c>
      <c r="AX546" s="14">
        <f>Table1347456[[#This Row],[treatment_mean]]/Table1347456[[#This Row],[control_mean]]</f>
        <v>1.8888888888888886</v>
      </c>
      <c r="AY546" s="14">
        <f>LN(Table1347456[[#This Row],[rr]])</f>
        <v>0.6359887667199966</v>
      </c>
      <c r="AZ546" s="13">
        <v>4</v>
      </c>
      <c r="BA546" s="13">
        <v>4</v>
      </c>
      <c r="BB546" s="14">
        <f>Table1347456[[#This Row],[treatment_sd]]/SQRT(Table1347456[[#This Row],[treatment_n]])</f>
        <v>0.44999999999999996</v>
      </c>
      <c r="BC546" s="14">
        <f>Table1347456[[#This Row],[control_sd]]/SQRT(Table1347456[[#This Row],[control_n]])</f>
        <v>0.70000000000000007</v>
      </c>
      <c r="BD546" s="15">
        <f>0.09*10</f>
        <v>0.89999999999999991</v>
      </c>
      <c r="BE546" s="14">
        <f>0.14*10</f>
        <v>1.4000000000000001</v>
      </c>
      <c r="BF54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1.3775662770554848E-2</v>
      </c>
      <c r="BG546" s="17">
        <f>SQRT(Table1347456[[#This Row],[v_from_sd_and_n]])</f>
        <v>0.11736976940658463</v>
      </c>
      <c r="BH546" s="13" t="s">
        <v>50</v>
      </c>
      <c r="BI546" s="13">
        <v>2.5000000000000001E-2</v>
      </c>
      <c r="BJ546" s="18">
        <f>ABS(_xlfn.NORM.S.INV(Table1347456[[#This Row],[p_value]]/2))</f>
        <v>2.2414027276049446</v>
      </c>
      <c r="BK546" s="19">
        <f>(Table1347456[[#This Row],[lnrr]]/Table1347456[[#This Row],[z_from_p]])^2</f>
        <v>8.0511718680117125E-2</v>
      </c>
      <c r="BL546" s="16">
        <f>Table1347456[[#This Row],[v_from_sd_and_n]]</f>
        <v>1.3775662770554848E-2</v>
      </c>
      <c r="BM546" s="20">
        <f>SQRT(Table1347456[[#This Row],[v]])</f>
        <v>0.11736976940658463</v>
      </c>
      <c r="BN546" s="20">
        <f>Table1347456[[#This Row],[lnrr]]-(1.96*Table1347456[[#This Row],[se]])</f>
        <v>0.40594401868309071</v>
      </c>
      <c r="BO546" s="20">
        <f>Table1347456[[#This Row],[lnrr]]+(1.96 * Table1347456[[#This Row],[se]])</f>
        <v>0.86603351475690249</v>
      </c>
    </row>
    <row r="547" spans="1:67">
      <c r="A547" s="13" t="s">
        <v>207</v>
      </c>
      <c r="B547" s="13" t="s">
        <v>208</v>
      </c>
      <c r="C547" s="13" t="s">
        <v>43</v>
      </c>
      <c r="D547" s="13" t="s">
        <v>209</v>
      </c>
      <c r="E547" s="13" t="s">
        <v>210</v>
      </c>
      <c r="F547" s="13" t="s">
        <v>588</v>
      </c>
      <c r="G547" s="13" t="s">
        <v>46</v>
      </c>
      <c r="H547" s="13" t="s">
        <v>46</v>
      </c>
      <c r="I547" s="13">
        <v>1175</v>
      </c>
      <c r="K547" s="13" t="s">
        <v>863</v>
      </c>
      <c r="L547" s="13" t="s">
        <v>864</v>
      </c>
      <c r="N547" s="13" t="s">
        <v>214</v>
      </c>
      <c r="O547" s="13" t="s">
        <v>642</v>
      </c>
      <c r="P547" s="13" t="s">
        <v>422</v>
      </c>
      <c r="Q547" s="13" t="s">
        <v>48</v>
      </c>
      <c r="R547" s="4">
        <v>4</v>
      </c>
      <c r="S547" s="13" t="s">
        <v>594</v>
      </c>
      <c r="T547" s="13">
        <v>730</v>
      </c>
      <c r="U547" s="4" t="s">
        <v>212</v>
      </c>
      <c r="V547" s="4">
        <v>450</v>
      </c>
      <c r="W547" s="4" t="s">
        <v>601</v>
      </c>
      <c r="X547" s="4">
        <v>798</v>
      </c>
      <c r="Y547" s="4">
        <v>10</v>
      </c>
      <c r="AA547" s="4" t="s">
        <v>50</v>
      </c>
      <c r="AB547" s="4">
        <v>220</v>
      </c>
      <c r="AC547" s="4" t="s">
        <v>49</v>
      </c>
      <c r="AD547" s="4">
        <v>0</v>
      </c>
      <c r="AE547" s="4" t="s">
        <v>49</v>
      </c>
      <c r="AF547" s="4">
        <v>0</v>
      </c>
      <c r="AG547" s="4" t="s">
        <v>708</v>
      </c>
      <c r="AH547" s="4" t="s">
        <v>787</v>
      </c>
      <c r="AI547" s="4" t="s">
        <v>64</v>
      </c>
      <c r="AJ547" s="13">
        <v>0</v>
      </c>
      <c r="AK547" s="13">
        <v>20</v>
      </c>
      <c r="AM547" s="13" t="s">
        <v>499</v>
      </c>
      <c r="AP547" s="13" t="s">
        <v>49</v>
      </c>
      <c r="AQ547" s="13" t="s">
        <v>49</v>
      </c>
      <c r="AR547" s="13" t="s">
        <v>49</v>
      </c>
      <c r="AS547" s="13" t="s">
        <v>49</v>
      </c>
      <c r="AT547" s="13" t="s">
        <v>992</v>
      </c>
      <c r="AU547" s="4" t="s">
        <v>1000</v>
      </c>
      <c r="AV547" s="14">
        <f>1.28*10</f>
        <v>12.8</v>
      </c>
      <c r="AW547" s="14">
        <f>1.11*10</f>
        <v>11.100000000000001</v>
      </c>
      <c r="AX547" s="14">
        <f>Table1347456[[#This Row],[treatment_mean]]/Table1347456[[#This Row],[control_mean]]</f>
        <v>1.1531531531531531</v>
      </c>
      <c r="AY547" s="14">
        <f>LN(Table1347456[[#This Row],[rr]])</f>
        <v>0.14250006260728301</v>
      </c>
      <c r="AZ547" s="13">
        <v>4</v>
      </c>
      <c r="BA547" s="13">
        <v>4</v>
      </c>
      <c r="BB547" s="14">
        <f>Table1347456[[#This Row],[treatment_sd]]/SQRT(Table1347456[[#This Row],[treatment_n]])</f>
        <v>0.2</v>
      </c>
      <c r="BC547" s="14">
        <f>Table1347456[[#This Row],[control_sd]]/SQRT(Table1347456[[#This Row],[control_n]])</f>
        <v>0.1</v>
      </c>
      <c r="BD547" s="15">
        <f>0.04*10</f>
        <v>0.4</v>
      </c>
      <c r="BE547" s="14">
        <f>0.02*10</f>
        <v>0.2</v>
      </c>
      <c r="BF54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3.2530286832440551E-4</v>
      </c>
      <c r="BG547" s="17">
        <f>SQRT(Table1347456[[#This Row],[v_from_sd_and_n]])</f>
        <v>1.8036154477171832E-2</v>
      </c>
      <c r="BH547" s="13" t="s">
        <v>50</v>
      </c>
      <c r="BI547" s="13">
        <v>2.5000000000000001E-2</v>
      </c>
      <c r="BJ547" s="18">
        <f>ABS(_xlfn.NORM.S.INV(Table1347456[[#This Row],[p_value]]/2))</f>
        <v>2.2414027276049446</v>
      </c>
      <c r="BK547" s="19">
        <f>(Table1347456[[#This Row],[lnrr]]/Table1347456[[#This Row],[z_from_p]])^2</f>
        <v>4.0419442411637639E-3</v>
      </c>
      <c r="BL547" s="16">
        <f>Table1347456[[#This Row],[v_from_sd_and_n]]</f>
        <v>3.2530286832440551E-4</v>
      </c>
      <c r="BM547" s="20">
        <f>SQRT(Table1347456[[#This Row],[v]])</f>
        <v>1.8036154477171832E-2</v>
      </c>
      <c r="BN547" s="20">
        <f>Table1347456[[#This Row],[lnrr]]-(1.96*Table1347456[[#This Row],[se]])</f>
        <v>0.10714919983202623</v>
      </c>
      <c r="BO547" s="20">
        <f>Table1347456[[#This Row],[lnrr]]+(1.96 * Table1347456[[#This Row],[se]])</f>
        <v>0.1778509253825398</v>
      </c>
    </row>
    <row r="548" spans="1:67">
      <c r="A548" s="13" t="s">
        <v>207</v>
      </c>
      <c r="B548" s="13" t="s">
        <v>208</v>
      </c>
      <c r="C548" s="13" t="s">
        <v>43</v>
      </c>
      <c r="D548" s="13" t="s">
        <v>209</v>
      </c>
      <c r="E548" s="13" t="s">
        <v>210</v>
      </c>
      <c r="F548" s="13" t="s">
        <v>588</v>
      </c>
      <c r="G548" s="13" t="s">
        <v>46</v>
      </c>
      <c r="H548" s="13" t="s">
        <v>46</v>
      </c>
      <c r="I548" s="13">
        <v>1175</v>
      </c>
      <c r="K548" s="13" t="s">
        <v>863</v>
      </c>
      <c r="L548" s="13" t="s">
        <v>864</v>
      </c>
      <c r="N548" s="13" t="s">
        <v>214</v>
      </c>
      <c r="O548" s="13" t="s">
        <v>642</v>
      </c>
      <c r="P548" s="13" t="s">
        <v>422</v>
      </c>
      <c r="Q548" s="13" t="s">
        <v>48</v>
      </c>
      <c r="R548" s="4">
        <v>4</v>
      </c>
      <c r="S548" s="13" t="s">
        <v>594</v>
      </c>
      <c r="T548" s="13">
        <v>730</v>
      </c>
      <c r="U548" s="4" t="s">
        <v>212</v>
      </c>
      <c r="V548" s="4">
        <v>450</v>
      </c>
      <c r="W548" s="4" t="s">
        <v>601</v>
      </c>
      <c r="X548" s="4">
        <v>798</v>
      </c>
      <c r="Y548" s="4">
        <v>10</v>
      </c>
      <c r="AA548" s="4" t="s">
        <v>49</v>
      </c>
      <c r="AB548" s="4">
        <v>0</v>
      </c>
      <c r="AC548" s="4" t="s">
        <v>49</v>
      </c>
      <c r="AD548" s="4">
        <v>0</v>
      </c>
      <c r="AE548" s="4" t="s">
        <v>50</v>
      </c>
      <c r="AF548" s="4">
        <v>10</v>
      </c>
      <c r="AG548" s="4" t="s">
        <v>708</v>
      </c>
      <c r="AH548" s="4" t="s">
        <v>787</v>
      </c>
      <c r="AI548" s="4" t="s">
        <v>64</v>
      </c>
      <c r="AJ548" s="13">
        <v>0</v>
      </c>
      <c r="AK548" s="13">
        <v>20</v>
      </c>
      <c r="AM548" s="13" t="s">
        <v>499</v>
      </c>
      <c r="AP548" s="13" t="s">
        <v>49</v>
      </c>
      <c r="AQ548" s="13" t="s">
        <v>49</v>
      </c>
      <c r="AR548" s="13" t="s">
        <v>49</v>
      </c>
      <c r="AS548" s="13" t="s">
        <v>49</v>
      </c>
      <c r="AT548" s="13" t="s">
        <v>995</v>
      </c>
      <c r="AU548" s="13" t="s">
        <v>1002</v>
      </c>
      <c r="AV548" s="14">
        <f>1.58*10</f>
        <v>15.8</v>
      </c>
      <c r="AW548" s="14">
        <f>1.4*10</f>
        <v>14</v>
      </c>
      <c r="AX548" s="14">
        <f>Table1347456[[#This Row],[treatment_mean]]/Table1347456[[#This Row],[control_mean]]</f>
        <v>1.1285714285714286</v>
      </c>
      <c r="AY548" s="14">
        <f>LN(Table1347456[[#This Row],[rr]])</f>
        <v>0.12095261041766249</v>
      </c>
      <c r="AZ548" s="13">
        <v>4</v>
      </c>
      <c r="BA548" s="13">
        <v>4</v>
      </c>
      <c r="BB548" s="14">
        <f>Table1347456[[#This Row],[treatment_sd]]/SQRT(Table1347456[[#This Row],[treatment_n]])</f>
        <v>0.3</v>
      </c>
      <c r="BC548" s="14">
        <f>Table1347456[[#This Row],[control_sd]]/SQRT(Table1347456[[#This Row],[control_n]])</f>
        <v>0.35000000000000003</v>
      </c>
      <c r="BD548" s="15">
        <f>0.06*10</f>
        <v>0.6</v>
      </c>
      <c r="BE548" s="14">
        <f>0.07*10</f>
        <v>0.70000000000000007</v>
      </c>
      <c r="BF54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9.8551914757250437E-4</v>
      </c>
      <c r="BG548" s="17">
        <f>SQRT(Table1347456[[#This Row],[v_from_sd_and_n]])</f>
        <v>3.1392979272004504E-2</v>
      </c>
      <c r="BH548" s="13" t="s">
        <v>50</v>
      </c>
      <c r="BI548" s="13">
        <v>2.5000000000000001E-2</v>
      </c>
      <c r="BJ548" s="18">
        <f>ABS(_xlfn.NORM.S.INV(Table1347456[[#This Row],[p_value]]/2))</f>
        <v>2.2414027276049446</v>
      </c>
      <c r="BK548" s="19">
        <f>(Table1347456[[#This Row],[lnrr]]/Table1347456[[#This Row],[z_from_p]])^2</f>
        <v>2.9119954993777194E-3</v>
      </c>
      <c r="BL548" s="16">
        <f>Table1347456[[#This Row],[v_from_sd_and_n]]</f>
        <v>9.8551914757250437E-4</v>
      </c>
      <c r="BM548" s="20">
        <f>SQRT(Table1347456[[#This Row],[v]])</f>
        <v>3.1392979272004504E-2</v>
      </c>
      <c r="BN548" s="20">
        <f>Table1347456[[#This Row],[lnrr]]-(1.96*Table1347456[[#This Row],[se]])</f>
        <v>5.9422371044533663E-2</v>
      </c>
      <c r="BO548" s="20">
        <f>Table1347456[[#This Row],[lnrr]]+(1.96 * Table1347456[[#This Row],[se]])</f>
        <v>0.18248284979079132</v>
      </c>
    </row>
    <row r="549" spans="1:67">
      <c r="A549" s="13" t="s">
        <v>207</v>
      </c>
      <c r="B549" s="13" t="s">
        <v>208</v>
      </c>
      <c r="C549" s="13" t="s">
        <v>43</v>
      </c>
      <c r="D549" s="13" t="s">
        <v>209</v>
      </c>
      <c r="E549" s="13" t="s">
        <v>210</v>
      </c>
      <c r="F549" s="13" t="s">
        <v>588</v>
      </c>
      <c r="G549" s="13" t="s">
        <v>46</v>
      </c>
      <c r="H549" s="13" t="s">
        <v>46</v>
      </c>
      <c r="I549" s="13">
        <v>1175</v>
      </c>
      <c r="K549" s="13" t="s">
        <v>863</v>
      </c>
      <c r="L549" s="13" t="s">
        <v>864</v>
      </c>
      <c r="N549" s="13" t="s">
        <v>214</v>
      </c>
      <c r="O549" s="13" t="s">
        <v>642</v>
      </c>
      <c r="P549" s="13" t="s">
        <v>422</v>
      </c>
      <c r="Q549" s="13" t="s">
        <v>48</v>
      </c>
      <c r="R549" s="4">
        <v>4</v>
      </c>
      <c r="S549" s="13" t="s">
        <v>594</v>
      </c>
      <c r="T549" s="13">
        <v>730</v>
      </c>
      <c r="U549" s="4" t="s">
        <v>212</v>
      </c>
      <c r="V549" s="4">
        <v>450</v>
      </c>
      <c r="W549" s="4" t="s">
        <v>601</v>
      </c>
      <c r="X549" s="4">
        <v>798</v>
      </c>
      <c r="Y549" s="4">
        <v>10</v>
      </c>
      <c r="AA549" s="4" t="s">
        <v>50</v>
      </c>
      <c r="AB549" s="4">
        <v>220</v>
      </c>
      <c r="AC549" s="4" t="s">
        <v>49</v>
      </c>
      <c r="AD549" s="4">
        <v>0</v>
      </c>
      <c r="AE549" s="4" t="s">
        <v>50</v>
      </c>
      <c r="AF549" s="4">
        <v>10</v>
      </c>
      <c r="AG549" s="4" t="s">
        <v>708</v>
      </c>
      <c r="AH549" s="4" t="s">
        <v>787</v>
      </c>
      <c r="AI549" s="4" t="s">
        <v>64</v>
      </c>
      <c r="AJ549" s="13">
        <v>0</v>
      </c>
      <c r="AK549" s="13">
        <v>20</v>
      </c>
      <c r="AM549" s="13" t="s">
        <v>499</v>
      </c>
      <c r="AP549" s="13" t="s">
        <v>49</v>
      </c>
      <c r="AQ549" s="13" t="s">
        <v>49</v>
      </c>
      <c r="AR549" s="13" t="s">
        <v>49</v>
      </c>
      <c r="AS549" s="13" t="s">
        <v>49</v>
      </c>
      <c r="AT549" s="13" t="s">
        <v>994</v>
      </c>
      <c r="AU549" s="13" t="s">
        <v>999</v>
      </c>
      <c r="AV549" s="14">
        <f>1.9*10</f>
        <v>19</v>
      </c>
      <c r="AW549" s="14">
        <f>1.15*10</f>
        <v>11.5</v>
      </c>
      <c r="AX549" s="14">
        <f>Table1347456[[#This Row],[treatment_mean]]/Table1347456[[#This Row],[control_mean]]</f>
        <v>1.6521739130434783</v>
      </c>
      <c r="AY549" s="14">
        <f>LN(Table1347456[[#This Row],[rr]])</f>
        <v>0.5020919437972361</v>
      </c>
      <c r="AZ549" s="13">
        <v>4</v>
      </c>
      <c r="BA549" s="13">
        <v>4</v>
      </c>
      <c r="BB549" s="14">
        <v>0.14000000000000001</v>
      </c>
      <c r="BC549" s="14">
        <v>0.02</v>
      </c>
      <c r="BD549" s="15">
        <f>0.11*10</f>
        <v>1.1000000000000001</v>
      </c>
      <c r="BE549" s="14">
        <f>0.07*10</f>
        <v>0.70000000000000007</v>
      </c>
      <c r="BF54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1.7642261309427187E-3</v>
      </c>
      <c r="BG549" s="17">
        <f>SQRT(Table1347456[[#This Row],[v_from_sd_and_n]])</f>
        <v>4.2002691948763458E-2</v>
      </c>
      <c r="BH549" s="13" t="s">
        <v>50</v>
      </c>
      <c r="BI549" s="13">
        <v>2.5000000000000001E-2</v>
      </c>
      <c r="BJ549" s="18">
        <f>ABS(_xlfn.NORM.S.INV(Table1347456[[#This Row],[p_value]]/2))</f>
        <v>2.2414027276049446</v>
      </c>
      <c r="BK549" s="19">
        <f>(Table1347456[[#This Row],[lnrr]]/Table1347456[[#This Row],[z_from_p]])^2</f>
        <v>5.0179544405806832E-2</v>
      </c>
      <c r="BL549" s="16">
        <f>Table1347456[[#This Row],[v_from_sd_and_n]]</f>
        <v>1.7642261309427187E-3</v>
      </c>
      <c r="BM549" s="20">
        <f>SQRT(Table1347456[[#This Row],[v]])</f>
        <v>4.2002691948763458E-2</v>
      </c>
      <c r="BN549" s="20">
        <f>Table1347456[[#This Row],[lnrr]]-(1.96*Table1347456[[#This Row],[se]])</f>
        <v>0.41976666757765974</v>
      </c>
      <c r="BO549" s="20">
        <f>Table1347456[[#This Row],[lnrr]]+(1.96 * Table1347456[[#This Row],[se]])</f>
        <v>0.58441722001681251</v>
      </c>
    </row>
    <row r="550" spans="1:67">
      <c r="A550" s="13" t="s">
        <v>207</v>
      </c>
      <c r="B550" s="13" t="s">
        <v>208</v>
      </c>
      <c r="C550" s="13" t="s">
        <v>43</v>
      </c>
      <c r="D550" s="13" t="s">
        <v>209</v>
      </c>
      <c r="E550" s="13" t="s">
        <v>210</v>
      </c>
      <c r="F550" s="13" t="s">
        <v>588</v>
      </c>
      <c r="G550" s="13" t="s">
        <v>46</v>
      </c>
      <c r="H550" s="13" t="s">
        <v>46</v>
      </c>
      <c r="I550" s="13">
        <v>1175</v>
      </c>
      <c r="K550" s="13" t="s">
        <v>863</v>
      </c>
      <c r="L550" s="13" t="s">
        <v>864</v>
      </c>
      <c r="N550" s="13" t="s">
        <v>81</v>
      </c>
      <c r="O550" s="13" t="s">
        <v>82</v>
      </c>
      <c r="P550" s="13" t="s">
        <v>83</v>
      </c>
      <c r="Q550" s="13" t="s">
        <v>83</v>
      </c>
      <c r="R550" s="4">
        <v>4</v>
      </c>
      <c r="S550" s="13" t="s">
        <v>594</v>
      </c>
      <c r="T550" s="13">
        <v>730</v>
      </c>
      <c r="U550" s="4" t="s">
        <v>212</v>
      </c>
      <c r="V550" s="4">
        <v>450</v>
      </c>
      <c r="W550" s="4" t="s">
        <v>601</v>
      </c>
      <c r="X550" s="4">
        <v>798</v>
      </c>
      <c r="Y550" s="4">
        <v>10</v>
      </c>
      <c r="AA550" s="4" t="s">
        <v>49</v>
      </c>
      <c r="AB550" s="4">
        <v>0</v>
      </c>
      <c r="AC550" s="4" t="s">
        <v>49</v>
      </c>
      <c r="AD550" s="4">
        <v>0</v>
      </c>
      <c r="AE550" s="4" t="s">
        <v>49</v>
      </c>
      <c r="AF550" s="4">
        <v>0</v>
      </c>
      <c r="AG550" s="4" t="s">
        <v>708</v>
      </c>
      <c r="AH550" s="4" t="s">
        <v>787</v>
      </c>
      <c r="AI550" s="4" t="s">
        <v>64</v>
      </c>
      <c r="AJ550" s="13">
        <v>0</v>
      </c>
      <c r="AK550" s="13">
        <v>20</v>
      </c>
      <c r="AM550" s="13" t="s">
        <v>499</v>
      </c>
      <c r="AP550" s="13" t="s">
        <v>49</v>
      </c>
      <c r="AQ550" s="13" t="s">
        <v>49</v>
      </c>
      <c r="AR550" s="13" t="s">
        <v>49</v>
      </c>
      <c r="AS550" s="13" t="s">
        <v>49</v>
      </c>
      <c r="AT550" s="13" t="s">
        <v>990</v>
      </c>
      <c r="AU550" s="13" t="s">
        <v>998</v>
      </c>
      <c r="AV550" s="14">
        <v>1.65</v>
      </c>
      <c r="AW550" s="14">
        <v>1.62</v>
      </c>
      <c r="AX550" s="14">
        <f>Table1347456[[#This Row],[treatment_mean]]/Table1347456[[#This Row],[control_mean]]</f>
        <v>1.0185185185185184</v>
      </c>
      <c r="AY550" s="14">
        <f>LN(Table1347456[[#This Row],[rr]])</f>
        <v>1.8349138668196398E-2</v>
      </c>
      <c r="AZ550" s="13">
        <v>4</v>
      </c>
      <c r="BA550" s="13">
        <v>4</v>
      </c>
      <c r="BB550" s="14">
        <f>Table1347456[[#This Row],[treatment_sd]]/SQRT(Table1347456[[#This Row],[treatment_n]])</f>
        <v>0.05</v>
      </c>
      <c r="BC550" s="14">
        <f>Table1347456[[#This Row],[control_sd]]/SQRT(Table1347456[[#This Row],[control_n]])</f>
        <v>1.4999999999999999E-2</v>
      </c>
      <c r="BD550" s="15">
        <v>0.1</v>
      </c>
      <c r="BE550" s="14">
        <v>0.03</v>
      </c>
      <c r="BF55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1.0040075275765514E-3</v>
      </c>
      <c r="BG550" s="17">
        <f>SQRT(Table1347456[[#This Row],[v_from_sd_and_n]])</f>
        <v>3.1686077819391777E-2</v>
      </c>
      <c r="BH550" s="13" t="s">
        <v>50</v>
      </c>
      <c r="BI550" s="13">
        <v>2.5000000000000001E-2</v>
      </c>
      <c r="BJ550" s="18">
        <f>ABS(_xlfn.NORM.S.INV(Table1347456[[#This Row],[p_value]]/2))</f>
        <v>2.2414027276049446</v>
      </c>
      <c r="BK550" s="19">
        <f>(Table1347456[[#This Row],[lnrr]]/Table1347456[[#This Row],[z_from_p]])^2</f>
        <v>6.7018016991473943E-5</v>
      </c>
      <c r="BL550" s="16">
        <f>Table1347456[[#This Row],[v_from_sd_and_n]]</f>
        <v>1.0040075275765514E-3</v>
      </c>
      <c r="BM550" s="20">
        <f>SQRT(Table1347456[[#This Row],[v]])</f>
        <v>3.1686077819391777E-2</v>
      </c>
      <c r="BN550" s="20">
        <f>Table1347456[[#This Row],[lnrr]]-(1.96*Table1347456[[#This Row],[se]])</f>
        <v>-4.3755573857811481E-2</v>
      </c>
      <c r="BO550" s="20">
        <f>Table1347456[[#This Row],[lnrr]]+(1.96 * Table1347456[[#This Row],[se]])</f>
        <v>8.0453851194204284E-2</v>
      </c>
    </row>
    <row r="551" spans="1:67">
      <c r="A551" s="13" t="s">
        <v>207</v>
      </c>
      <c r="B551" s="13" t="s">
        <v>208</v>
      </c>
      <c r="C551" s="13" t="s">
        <v>43</v>
      </c>
      <c r="D551" s="13" t="s">
        <v>209</v>
      </c>
      <c r="E551" s="13" t="s">
        <v>210</v>
      </c>
      <c r="F551" s="13" t="s">
        <v>588</v>
      </c>
      <c r="G551" s="13" t="s">
        <v>46</v>
      </c>
      <c r="H551" s="13" t="s">
        <v>46</v>
      </c>
      <c r="I551" s="13">
        <v>1175</v>
      </c>
      <c r="K551" s="13" t="s">
        <v>863</v>
      </c>
      <c r="L551" s="13" t="s">
        <v>864</v>
      </c>
      <c r="N551" s="13" t="s">
        <v>81</v>
      </c>
      <c r="O551" s="13" t="s">
        <v>82</v>
      </c>
      <c r="P551" s="13" t="s">
        <v>83</v>
      </c>
      <c r="Q551" s="13" t="s">
        <v>83</v>
      </c>
      <c r="R551" s="4">
        <v>4</v>
      </c>
      <c r="S551" s="13" t="s">
        <v>594</v>
      </c>
      <c r="T551" s="13">
        <v>730</v>
      </c>
      <c r="U551" s="4" t="s">
        <v>212</v>
      </c>
      <c r="V551" s="4">
        <v>450</v>
      </c>
      <c r="W551" s="4" t="s">
        <v>601</v>
      </c>
      <c r="X551" s="4">
        <v>798</v>
      </c>
      <c r="Y551" s="4">
        <v>10</v>
      </c>
      <c r="AA551" s="4" t="s">
        <v>50</v>
      </c>
      <c r="AB551" s="4">
        <v>220</v>
      </c>
      <c r="AC551" s="4" t="s">
        <v>49</v>
      </c>
      <c r="AD551" s="4">
        <v>0</v>
      </c>
      <c r="AE551" s="4" t="s">
        <v>49</v>
      </c>
      <c r="AF551" s="4">
        <v>0</v>
      </c>
      <c r="AG551" s="4" t="s">
        <v>708</v>
      </c>
      <c r="AH551" s="4" t="s">
        <v>787</v>
      </c>
      <c r="AI551" s="4" t="s">
        <v>64</v>
      </c>
      <c r="AJ551" s="13">
        <v>0</v>
      </c>
      <c r="AK551" s="13">
        <v>20</v>
      </c>
      <c r="AM551" s="13" t="s">
        <v>499</v>
      </c>
      <c r="AP551" s="13" t="s">
        <v>49</v>
      </c>
      <c r="AQ551" s="13" t="s">
        <v>49</v>
      </c>
      <c r="AR551" s="13" t="s">
        <v>49</v>
      </c>
      <c r="AS551" s="13" t="s">
        <v>49</v>
      </c>
      <c r="AT551" s="13" t="s">
        <v>992</v>
      </c>
      <c r="AU551" s="4" t="s">
        <v>1000</v>
      </c>
      <c r="AV551" s="14">
        <v>3.97</v>
      </c>
      <c r="AW551" s="14">
        <v>2.5299999999999998</v>
      </c>
      <c r="AX551" s="14">
        <f>Table1347456[[#This Row],[treatment_mean]]/Table1347456[[#This Row],[control_mean]]</f>
        <v>1.5691699604743086</v>
      </c>
      <c r="AY551" s="14">
        <f>LN(Table1347456[[#This Row],[rr]])</f>
        <v>0.45054679195967035</v>
      </c>
      <c r="AZ551" s="13">
        <v>4</v>
      </c>
      <c r="BA551" s="13">
        <v>4</v>
      </c>
      <c r="BB551" s="14">
        <f>Table1347456[[#This Row],[treatment_sd]]/SQRT(Table1347456[[#This Row],[treatment_n]])</f>
        <v>0.01</v>
      </c>
      <c r="BC551" s="14">
        <f>Table1347456[[#This Row],[control_sd]]/SQRT(Table1347456[[#This Row],[control_n]])</f>
        <v>7.4999999999999997E-2</v>
      </c>
      <c r="BD551" s="15">
        <v>0.02</v>
      </c>
      <c r="BE551" s="14">
        <v>0.15</v>
      </c>
      <c r="BF55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8.8512748652101411E-4</v>
      </c>
      <c r="BG551" s="17">
        <f>SQRT(Table1347456[[#This Row],[v_from_sd_and_n]])</f>
        <v>2.9751092190388812E-2</v>
      </c>
      <c r="BH551" s="13" t="s">
        <v>50</v>
      </c>
      <c r="BI551" s="13">
        <v>2.5000000000000001E-2</v>
      </c>
      <c r="BJ551" s="18">
        <f>ABS(_xlfn.NORM.S.INV(Table1347456[[#This Row],[p_value]]/2))</f>
        <v>2.2414027276049446</v>
      </c>
      <c r="BK551" s="19">
        <f>(Table1347456[[#This Row],[lnrr]]/Table1347456[[#This Row],[z_from_p]])^2</f>
        <v>4.0405455891436855E-2</v>
      </c>
      <c r="BL551" s="16">
        <f>Table1347456[[#This Row],[v_from_sd_and_n]]</f>
        <v>8.8512748652101411E-4</v>
      </c>
      <c r="BM551" s="20">
        <f>SQRT(Table1347456[[#This Row],[v]])</f>
        <v>2.9751092190388812E-2</v>
      </c>
      <c r="BN551" s="20">
        <f>Table1347456[[#This Row],[lnrr]]-(1.96*Table1347456[[#This Row],[se]])</f>
        <v>0.39223465126650825</v>
      </c>
      <c r="BO551" s="20">
        <f>Table1347456[[#This Row],[lnrr]]+(1.96 * Table1347456[[#This Row],[se]])</f>
        <v>0.50885893265283244</v>
      </c>
    </row>
    <row r="552" spans="1:67">
      <c r="A552" s="13" t="s">
        <v>207</v>
      </c>
      <c r="B552" s="13" t="s">
        <v>208</v>
      </c>
      <c r="C552" s="13" t="s">
        <v>43</v>
      </c>
      <c r="D552" s="13" t="s">
        <v>209</v>
      </c>
      <c r="E552" s="13" t="s">
        <v>210</v>
      </c>
      <c r="F552" s="13" t="s">
        <v>588</v>
      </c>
      <c r="G552" s="13" t="s">
        <v>46</v>
      </c>
      <c r="H552" s="13" t="s">
        <v>46</v>
      </c>
      <c r="I552" s="13">
        <v>1175</v>
      </c>
      <c r="K552" s="13" t="s">
        <v>863</v>
      </c>
      <c r="L552" s="13" t="s">
        <v>864</v>
      </c>
      <c r="N552" s="13" t="s">
        <v>81</v>
      </c>
      <c r="O552" s="13" t="s">
        <v>82</v>
      </c>
      <c r="P552" s="13" t="s">
        <v>83</v>
      </c>
      <c r="Q552" s="13" t="s">
        <v>83</v>
      </c>
      <c r="R552" s="4">
        <v>4</v>
      </c>
      <c r="S552" s="13" t="s">
        <v>594</v>
      </c>
      <c r="T552" s="13">
        <v>730</v>
      </c>
      <c r="U552" s="4" t="s">
        <v>212</v>
      </c>
      <c r="V552" s="4">
        <v>450</v>
      </c>
      <c r="W552" s="4" t="s">
        <v>601</v>
      </c>
      <c r="X552" s="4">
        <v>798</v>
      </c>
      <c r="Y552" s="4">
        <v>10</v>
      </c>
      <c r="AA552" s="4" t="s">
        <v>49</v>
      </c>
      <c r="AB552" s="4">
        <v>0</v>
      </c>
      <c r="AC552" s="4" t="s">
        <v>49</v>
      </c>
      <c r="AD552" s="4">
        <v>0</v>
      </c>
      <c r="AE552" s="4" t="s">
        <v>50</v>
      </c>
      <c r="AF552" s="4">
        <v>10</v>
      </c>
      <c r="AG552" s="4" t="s">
        <v>708</v>
      </c>
      <c r="AH552" s="4" t="s">
        <v>787</v>
      </c>
      <c r="AI552" s="4" t="s">
        <v>64</v>
      </c>
      <c r="AJ552" s="13">
        <v>0</v>
      </c>
      <c r="AK552" s="13">
        <v>20</v>
      </c>
      <c r="AM552" s="13" t="s">
        <v>499</v>
      </c>
      <c r="AP552" s="13" t="s">
        <v>49</v>
      </c>
      <c r="AQ552" s="13" t="s">
        <v>49</v>
      </c>
      <c r="AR552" s="13" t="s">
        <v>49</v>
      </c>
      <c r="AS552" s="13" t="s">
        <v>49</v>
      </c>
      <c r="AT552" s="13" t="s">
        <v>995</v>
      </c>
      <c r="AU552" s="13" t="s">
        <v>1002</v>
      </c>
      <c r="AV552" s="14">
        <v>2.84</v>
      </c>
      <c r="AW552" s="14">
        <v>2.75</v>
      </c>
      <c r="AX552" s="14">
        <f>Table1347456[[#This Row],[treatment_mean]]/Table1347456[[#This Row],[control_mean]]</f>
        <v>1.0327272727272727</v>
      </c>
      <c r="AY552" s="14">
        <f>LN(Table1347456[[#This Row],[rr]])</f>
        <v>3.2203140494634734E-2</v>
      </c>
      <c r="AZ552" s="13">
        <v>4</v>
      </c>
      <c r="BA552" s="13">
        <v>4</v>
      </c>
      <c r="BB552" s="14">
        <f>Table1347456[[#This Row],[treatment_sd]]/SQRT(Table1347456[[#This Row],[treatment_n]])</f>
        <v>7.4999999999999997E-2</v>
      </c>
      <c r="BC552" s="14">
        <f>Table1347456[[#This Row],[control_sd]]/SQRT(Table1347456[[#This Row],[control_n]])</f>
        <v>9.5000000000000001E-2</v>
      </c>
      <c r="BD552" s="15">
        <v>0.15</v>
      </c>
      <c r="BE552" s="14">
        <v>0.19</v>
      </c>
      <c r="BF55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1.8907946983495664E-3</v>
      </c>
      <c r="BG552" s="17">
        <f>SQRT(Table1347456[[#This Row],[v_from_sd_and_n]])</f>
        <v>4.3483269177346434E-2</v>
      </c>
      <c r="BH552" s="13" t="s">
        <v>50</v>
      </c>
      <c r="BI552" s="13">
        <v>2.5000000000000001E-2</v>
      </c>
      <c r="BJ552" s="18">
        <f>ABS(_xlfn.NORM.S.INV(Table1347456[[#This Row],[p_value]]/2))</f>
        <v>2.2414027276049446</v>
      </c>
      <c r="BK552" s="19">
        <f>(Table1347456[[#This Row],[lnrr]]/Table1347456[[#This Row],[z_from_p]])^2</f>
        <v>2.0642232308838409E-4</v>
      </c>
      <c r="BL552" s="16">
        <f>Table1347456[[#This Row],[v_from_sd_and_n]]</f>
        <v>1.8907946983495664E-3</v>
      </c>
      <c r="BM552" s="20">
        <f>SQRT(Table1347456[[#This Row],[v]])</f>
        <v>4.3483269177346434E-2</v>
      </c>
      <c r="BN552" s="20">
        <f>Table1347456[[#This Row],[lnrr]]-(1.96*Table1347456[[#This Row],[se]])</f>
        <v>-5.3024067092964276E-2</v>
      </c>
      <c r="BO552" s="20">
        <f>Table1347456[[#This Row],[lnrr]]+(1.96 * Table1347456[[#This Row],[se]])</f>
        <v>0.11743034808223374</v>
      </c>
    </row>
    <row r="553" spans="1:67">
      <c r="A553" s="13" t="s">
        <v>207</v>
      </c>
      <c r="B553" s="13" t="s">
        <v>208</v>
      </c>
      <c r="C553" s="13" t="s">
        <v>43</v>
      </c>
      <c r="D553" s="13" t="s">
        <v>209</v>
      </c>
      <c r="E553" s="13" t="s">
        <v>210</v>
      </c>
      <c r="F553" s="13" t="s">
        <v>588</v>
      </c>
      <c r="G553" s="13" t="s">
        <v>46</v>
      </c>
      <c r="H553" s="13" t="s">
        <v>46</v>
      </c>
      <c r="I553" s="13">
        <v>1175</v>
      </c>
      <c r="K553" s="13" t="s">
        <v>863</v>
      </c>
      <c r="L553" s="13" t="s">
        <v>864</v>
      </c>
      <c r="N553" s="13" t="s">
        <v>81</v>
      </c>
      <c r="O553" s="13" t="s">
        <v>82</v>
      </c>
      <c r="P553" s="13" t="s">
        <v>83</v>
      </c>
      <c r="Q553" s="13" t="s">
        <v>83</v>
      </c>
      <c r="R553" s="4">
        <v>4</v>
      </c>
      <c r="S553" s="13" t="s">
        <v>594</v>
      </c>
      <c r="T553" s="13">
        <v>730</v>
      </c>
      <c r="U553" s="4" t="s">
        <v>212</v>
      </c>
      <c r="V553" s="4">
        <v>450</v>
      </c>
      <c r="W553" s="4" t="s">
        <v>601</v>
      </c>
      <c r="X553" s="4">
        <v>798</v>
      </c>
      <c r="Y553" s="4">
        <v>10</v>
      </c>
      <c r="AA553" s="4" t="s">
        <v>50</v>
      </c>
      <c r="AB553" s="4">
        <v>220</v>
      </c>
      <c r="AC553" s="4" t="s">
        <v>49</v>
      </c>
      <c r="AD553" s="4">
        <v>0</v>
      </c>
      <c r="AE553" s="4" t="s">
        <v>50</v>
      </c>
      <c r="AF553" s="4">
        <v>10</v>
      </c>
      <c r="AG553" s="4" t="s">
        <v>708</v>
      </c>
      <c r="AH553" s="4" t="s">
        <v>787</v>
      </c>
      <c r="AI553" s="4" t="s">
        <v>64</v>
      </c>
      <c r="AJ553" s="13">
        <v>0</v>
      </c>
      <c r="AK553" s="13">
        <v>20</v>
      </c>
      <c r="AM553" s="13" t="s">
        <v>499</v>
      </c>
      <c r="AP553" s="13" t="s">
        <v>49</v>
      </c>
      <c r="AQ553" s="13" t="s">
        <v>49</v>
      </c>
      <c r="AR553" s="13" t="s">
        <v>49</v>
      </c>
      <c r="AS553" s="13" t="s">
        <v>49</v>
      </c>
      <c r="AT553" s="13" t="s">
        <v>994</v>
      </c>
      <c r="AU553" s="13" t="s">
        <v>999</v>
      </c>
      <c r="AV553" s="14">
        <v>5.17</v>
      </c>
      <c r="AW553" s="14">
        <v>3.03</v>
      </c>
      <c r="AX553" s="14">
        <f>Table1347456[[#This Row],[treatment_mean]]/Table1347456[[#This Row],[control_mean]]</f>
        <v>1.7062706270627064</v>
      </c>
      <c r="AY553" s="14">
        <f>LN(Table1347456[[#This Row],[rr]])</f>
        <v>0.53431006899906008</v>
      </c>
      <c r="AZ553" s="13">
        <v>4</v>
      </c>
      <c r="BA553" s="13">
        <v>4</v>
      </c>
      <c r="BB553" s="14">
        <v>0.14000000000000001</v>
      </c>
      <c r="BC553" s="14">
        <v>0.02</v>
      </c>
      <c r="BD553" s="15">
        <v>0.05</v>
      </c>
      <c r="BE553" s="14">
        <v>0.02</v>
      </c>
      <c r="BF55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3.4275108413653244E-5</v>
      </c>
      <c r="BG553" s="17">
        <f>SQRT(Table1347456[[#This Row],[v_from_sd_and_n]])</f>
        <v>5.8544947189021566E-3</v>
      </c>
      <c r="BH553" s="13" t="s">
        <v>50</v>
      </c>
      <c r="BI553" s="13">
        <v>2.5000000000000001E-2</v>
      </c>
      <c r="BJ553" s="18">
        <f>ABS(_xlfn.NORM.S.INV(Table1347456[[#This Row],[p_value]]/2))</f>
        <v>2.2414027276049446</v>
      </c>
      <c r="BK553" s="19">
        <f>(Table1347456[[#This Row],[lnrr]]/Table1347456[[#This Row],[z_from_p]])^2</f>
        <v>5.6825978772095664E-2</v>
      </c>
      <c r="BL553" s="16">
        <f>Table1347456[[#This Row],[v_from_sd_and_n]]</f>
        <v>3.4275108413653244E-5</v>
      </c>
      <c r="BM553" s="20">
        <f>SQRT(Table1347456[[#This Row],[v]])</f>
        <v>5.8544947189021566E-3</v>
      </c>
      <c r="BN553" s="20">
        <f>Table1347456[[#This Row],[lnrr]]-(1.96*Table1347456[[#This Row],[se]])</f>
        <v>0.52283525935001185</v>
      </c>
      <c r="BO553" s="20">
        <f>Table1347456[[#This Row],[lnrr]]+(1.96 * Table1347456[[#This Row],[se]])</f>
        <v>0.54578487864810832</v>
      </c>
    </row>
    <row r="554" spans="1:67">
      <c r="A554" s="13" t="s">
        <v>207</v>
      </c>
      <c r="B554" s="13" t="s">
        <v>208</v>
      </c>
      <c r="C554" s="13" t="s">
        <v>43</v>
      </c>
      <c r="D554" s="13" t="s">
        <v>209</v>
      </c>
      <c r="E554" s="13" t="s">
        <v>210</v>
      </c>
      <c r="F554" s="13" t="s">
        <v>588</v>
      </c>
      <c r="G554" s="13" t="s">
        <v>46</v>
      </c>
      <c r="H554" s="13" t="s">
        <v>46</v>
      </c>
      <c r="I554" s="13">
        <v>1175</v>
      </c>
      <c r="K554" s="13" t="s">
        <v>863</v>
      </c>
      <c r="L554" s="13" t="s">
        <v>864</v>
      </c>
      <c r="N554" s="13" t="s">
        <v>47</v>
      </c>
      <c r="O554" s="13" t="s">
        <v>645</v>
      </c>
      <c r="P554" s="13" t="s">
        <v>422</v>
      </c>
      <c r="Q554" s="13" t="s">
        <v>48</v>
      </c>
      <c r="R554" s="4">
        <v>4</v>
      </c>
      <c r="S554" s="13" t="s">
        <v>594</v>
      </c>
      <c r="T554" s="13">
        <v>730</v>
      </c>
      <c r="U554" s="4" t="s">
        <v>212</v>
      </c>
      <c r="V554" s="4">
        <v>450</v>
      </c>
      <c r="W554" s="4" t="s">
        <v>601</v>
      </c>
      <c r="X554" s="4">
        <v>798</v>
      </c>
      <c r="Y554" s="4">
        <v>10</v>
      </c>
      <c r="AA554" s="4" t="s">
        <v>49</v>
      </c>
      <c r="AB554" s="4">
        <v>0</v>
      </c>
      <c r="AC554" s="4" t="s">
        <v>49</v>
      </c>
      <c r="AD554" s="4">
        <v>0</v>
      </c>
      <c r="AE554" s="4" t="s">
        <v>49</v>
      </c>
      <c r="AF554" s="4">
        <v>0</v>
      </c>
      <c r="AG554" s="4" t="s">
        <v>708</v>
      </c>
      <c r="AH554" s="4" t="s">
        <v>787</v>
      </c>
      <c r="AI554" s="4" t="s">
        <v>64</v>
      </c>
      <c r="AJ554" s="13">
        <v>0</v>
      </c>
      <c r="AK554" s="13">
        <v>20</v>
      </c>
      <c r="AM554" s="13" t="s">
        <v>499</v>
      </c>
      <c r="AP554" s="13" t="s">
        <v>49</v>
      </c>
      <c r="AQ554" s="13" t="s">
        <v>49</v>
      </c>
      <c r="AR554" s="13" t="s">
        <v>49</v>
      </c>
      <c r="AS554" s="13" t="s">
        <v>49</v>
      </c>
      <c r="AT554" s="13" t="s">
        <v>990</v>
      </c>
      <c r="AU554" s="13" t="s">
        <v>998</v>
      </c>
      <c r="AV554" s="14">
        <f>0.22*10</f>
        <v>2.2000000000000002</v>
      </c>
      <c r="AW554" s="14">
        <f>0.06*10</f>
        <v>0.6</v>
      </c>
      <c r="AX554" s="14">
        <f>Table1347456[[#This Row],[treatment_mean]]/Table1347456[[#This Row],[control_mean]]</f>
        <v>3.666666666666667</v>
      </c>
      <c r="AY554" s="14">
        <f>LN(Table1347456[[#This Row],[rr]])</f>
        <v>1.2992829841302609</v>
      </c>
      <c r="AZ554" s="13">
        <v>4</v>
      </c>
      <c r="BA554" s="13">
        <v>4</v>
      </c>
      <c r="BB554" s="14">
        <f>Table1347456[[#This Row],[treatment_sd]]/SQRT(Table1347456[[#This Row],[treatment_n]])</f>
        <v>0.1</v>
      </c>
      <c r="BC554" s="14">
        <f>Table1347456[[#This Row],[control_sd]]/SQRT(Table1347456[[#This Row],[control_n]])</f>
        <v>0.09</v>
      </c>
      <c r="BD554" s="15">
        <f>0.02*10</f>
        <v>0.2</v>
      </c>
      <c r="BE554" s="14">
        <f>0.018*10</f>
        <v>0.18</v>
      </c>
      <c r="BF55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2.4566115702479338E-2</v>
      </c>
      <c r="BG554" s="17">
        <f>SQRT(Table1347456[[#This Row],[v_from_sd_and_n]])</f>
        <v>0.15673581499606062</v>
      </c>
      <c r="BH554" s="13" t="s">
        <v>50</v>
      </c>
      <c r="BI554" s="13">
        <v>2.5000000000000001E-2</v>
      </c>
      <c r="BJ554" s="18">
        <f>ABS(_xlfn.NORM.S.INV(Table1347456[[#This Row],[p_value]]/2))</f>
        <v>2.2414027276049446</v>
      </c>
      <c r="BK554" s="19">
        <f>(Table1347456[[#This Row],[lnrr]]/Table1347456[[#This Row],[z_from_p]])^2</f>
        <v>0.33602199769431745</v>
      </c>
      <c r="BL554" s="16">
        <f>Table1347456[[#This Row],[v_from_sd_and_n]]</f>
        <v>2.4566115702479338E-2</v>
      </c>
      <c r="BM554" s="20">
        <f>SQRT(Table1347456[[#This Row],[v]])</f>
        <v>0.15673581499606062</v>
      </c>
      <c r="BN554" s="20">
        <f>Table1347456[[#This Row],[lnrr]]-(1.96*Table1347456[[#This Row],[se]])</f>
        <v>0.99208078673798206</v>
      </c>
      <c r="BO554" s="20">
        <f>Table1347456[[#This Row],[lnrr]]+(1.96 * Table1347456[[#This Row],[se]])</f>
        <v>1.6064851815225398</v>
      </c>
    </row>
    <row r="555" spans="1:67">
      <c r="A555" s="13" t="s">
        <v>207</v>
      </c>
      <c r="B555" s="13" t="s">
        <v>208</v>
      </c>
      <c r="C555" s="13" t="s">
        <v>43</v>
      </c>
      <c r="D555" s="13" t="s">
        <v>209</v>
      </c>
      <c r="E555" s="13" t="s">
        <v>210</v>
      </c>
      <c r="F555" s="13" t="s">
        <v>588</v>
      </c>
      <c r="G555" s="13" t="s">
        <v>46</v>
      </c>
      <c r="H555" s="13" t="s">
        <v>46</v>
      </c>
      <c r="I555" s="13">
        <v>1175</v>
      </c>
      <c r="K555" s="13" t="s">
        <v>863</v>
      </c>
      <c r="L555" s="13" t="s">
        <v>864</v>
      </c>
      <c r="N555" s="13" t="s">
        <v>47</v>
      </c>
      <c r="O555" s="13" t="s">
        <v>645</v>
      </c>
      <c r="P555" s="13" t="s">
        <v>422</v>
      </c>
      <c r="Q555" s="13" t="s">
        <v>48</v>
      </c>
      <c r="R555" s="4">
        <v>4</v>
      </c>
      <c r="S555" s="13" t="s">
        <v>594</v>
      </c>
      <c r="T555" s="13">
        <v>730</v>
      </c>
      <c r="U555" s="4" t="s">
        <v>212</v>
      </c>
      <c r="V555" s="4">
        <v>450</v>
      </c>
      <c r="W555" s="4" t="s">
        <v>601</v>
      </c>
      <c r="X555" s="4">
        <v>798</v>
      </c>
      <c r="Y555" s="4">
        <v>10</v>
      </c>
      <c r="AA555" s="4" t="s">
        <v>50</v>
      </c>
      <c r="AB555" s="4">
        <v>220</v>
      </c>
      <c r="AC555" s="4" t="s">
        <v>49</v>
      </c>
      <c r="AD555" s="4">
        <v>0</v>
      </c>
      <c r="AE555" s="4" t="s">
        <v>49</v>
      </c>
      <c r="AF555" s="4">
        <v>0</v>
      </c>
      <c r="AG555" s="4" t="s">
        <v>708</v>
      </c>
      <c r="AH555" s="4" t="s">
        <v>787</v>
      </c>
      <c r="AI555" s="4" t="s">
        <v>64</v>
      </c>
      <c r="AJ555" s="13">
        <v>0</v>
      </c>
      <c r="AK555" s="13">
        <v>20</v>
      </c>
      <c r="AM555" s="13" t="s">
        <v>499</v>
      </c>
      <c r="AP555" s="13" t="s">
        <v>49</v>
      </c>
      <c r="AQ555" s="13" t="s">
        <v>49</v>
      </c>
      <c r="AR555" s="13" t="s">
        <v>49</v>
      </c>
      <c r="AS555" s="13" t="s">
        <v>49</v>
      </c>
      <c r="AT555" s="13" t="s">
        <v>992</v>
      </c>
      <c r="AU555" s="4" t="s">
        <v>1000</v>
      </c>
      <c r="AV555" s="14">
        <f>0.15*10</f>
        <v>1.5</v>
      </c>
      <c r="AW555" s="14">
        <f>0.08*10</f>
        <v>0.8</v>
      </c>
      <c r="AX555" s="14">
        <f>Table1347456[[#This Row],[treatment_mean]]/Table1347456[[#This Row],[control_mean]]</f>
        <v>1.875</v>
      </c>
      <c r="AY555" s="14">
        <f>LN(Table1347456[[#This Row],[rr]])</f>
        <v>0.62860865942237409</v>
      </c>
      <c r="AZ555" s="13">
        <v>4</v>
      </c>
      <c r="BA555" s="13">
        <v>4</v>
      </c>
      <c r="BB555" s="14">
        <f>Table1347456[[#This Row],[treatment_sd]]/SQRT(Table1347456[[#This Row],[treatment_n]])</f>
        <v>0.05</v>
      </c>
      <c r="BC555" s="14">
        <f>Table1347456[[#This Row],[control_sd]]/SQRT(Table1347456[[#This Row],[control_n]])</f>
        <v>0.1</v>
      </c>
      <c r="BD555" s="15">
        <f>0.01*10</f>
        <v>0.1</v>
      </c>
      <c r="BE555" s="14">
        <f>0.02*10</f>
        <v>0.2</v>
      </c>
      <c r="BF55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1.6736111111111111E-2</v>
      </c>
      <c r="BG555" s="17">
        <f>SQRT(Table1347456[[#This Row],[v_from_sd_and_n]])</f>
        <v>0.12936812246883353</v>
      </c>
      <c r="BH555" s="13" t="s">
        <v>50</v>
      </c>
      <c r="BI555" s="13">
        <v>2.5000000000000001E-2</v>
      </c>
      <c r="BJ555" s="18">
        <f>ABS(_xlfn.NORM.S.INV(Table1347456[[#This Row],[p_value]]/2))</f>
        <v>2.2414027276049446</v>
      </c>
      <c r="BK555" s="19">
        <f>(Table1347456[[#This Row],[lnrr]]/Table1347456[[#This Row],[z_from_p]])^2</f>
        <v>7.8654020407255554E-2</v>
      </c>
      <c r="BL555" s="16">
        <f>Table1347456[[#This Row],[v_from_sd_and_n]]</f>
        <v>1.6736111111111111E-2</v>
      </c>
      <c r="BM555" s="20">
        <f>SQRT(Table1347456[[#This Row],[v]])</f>
        <v>0.12936812246883353</v>
      </c>
      <c r="BN555" s="20">
        <f>Table1347456[[#This Row],[lnrr]]-(1.96*Table1347456[[#This Row],[se]])</f>
        <v>0.3750471393834604</v>
      </c>
      <c r="BO555" s="20">
        <f>Table1347456[[#This Row],[lnrr]]+(1.96 * Table1347456[[#This Row],[se]])</f>
        <v>0.88217017946128773</v>
      </c>
    </row>
    <row r="556" spans="1:67">
      <c r="A556" s="13" t="s">
        <v>207</v>
      </c>
      <c r="B556" s="13" t="s">
        <v>208</v>
      </c>
      <c r="C556" s="13" t="s">
        <v>43</v>
      </c>
      <c r="D556" s="13" t="s">
        <v>209</v>
      </c>
      <c r="E556" s="13" t="s">
        <v>210</v>
      </c>
      <c r="F556" s="13" t="s">
        <v>588</v>
      </c>
      <c r="G556" s="13" t="s">
        <v>46</v>
      </c>
      <c r="H556" s="13" t="s">
        <v>46</v>
      </c>
      <c r="I556" s="13">
        <v>1175</v>
      </c>
      <c r="K556" s="13" t="s">
        <v>863</v>
      </c>
      <c r="L556" s="13" t="s">
        <v>864</v>
      </c>
      <c r="N556" s="13" t="s">
        <v>47</v>
      </c>
      <c r="O556" s="13" t="s">
        <v>645</v>
      </c>
      <c r="P556" s="13" t="s">
        <v>422</v>
      </c>
      <c r="Q556" s="13" t="s">
        <v>48</v>
      </c>
      <c r="R556" s="4">
        <v>4</v>
      </c>
      <c r="S556" s="13" t="s">
        <v>594</v>
      </c>
      <c r="T556" s="13">
        <v>730</v>
      </c>
      <c r="U556" s="4" t="s">
        <v>212</v>
      </c>
      <c r="V556" s="4">
        <v>450</v>
      </c>
      <c r="W556" s="4" t="s">
        <v>601</v>
      </c>
      <c r="X556" s="4">
        <v>798</v>
      </c>
      <c r="Y556" s="4">
        <v>10</v>
      </c>
      <c r="AA556" s="4" t="s">
        <v>49</v>
      </c>
      <c r="AB556" s="4">
        <v>0</v>
      </c>
      <c r="AC556" s="4" t="s">
        <v>49</v>
      </c>
      <c r="AD556" s="4">
        <v>0</v>
      </c>
      <c r="AE556" s="4" t="s">
        <v>50</v>
      </c>
      <c r="AF556" s="4">
        <v>10</v>
      </c>
      <c r="AG556" s="4" t="s">
        <v>708</v>
      </c>
      <c r="AH556" s="4" t="s">
        <v>787</v>
      </c>
      <c r="AI556" s="4" t="s">
        <v>64</v>
      </c>
      <c r="AJ556" s="13">
        <v>0</v>
      </c>
      <c r="AK556" s="13">
        <v>20</v>
      </c>
      <c r="AM556" s="13" t="s">
        <v>499</v>
      </c>
      <c r="AP556" s="13" t="s">
        <v>49</v>
      </c>
      <c r="AQ556" s="13" t="s">
        <v>49</v>
      </c>
      <c r="AR556" s="13" t="s">
        <v>49</v>
      </c>
      <c r="AS556" s="13" t="s">
        <v>49</v>
      </c>
      <c r="AT556" s="13" t="s">
        <v>995</v>
      </c>
      <c r="AU556" s="13" t="s">
        <v>1002</v>
      </c>
      <c r="AV556" s="14">
        <f>0.16*10</f>
        <v>1.6</v>
      </c>
      <c r="AW556" s="14">
        <f>0.14*10</f>
        <v>1.4000000000000001</v>
      </c>
      <c r="AX556" s="14">
        <f>Table1347456[[#This Row],[treatment_mean]]/Table1347456[[#This Row],[control_mean]]</f>
        <v>1.1428571428571428</v>
      </c>
      <c r="AY556" s="14">
        <f>LN(Table1347456[[#This Row],[rr]])</f>
        <v>0.13353139262452257</v>
      </c>
      <c r="AZ556" s="13">
        <v>4</v>
      </c>
      <c r="BA556" s="13">
        <v>4</v>
      </c>
      <c r="BB556" s="14">
        <f>Table1347456[[#This Row],[treatment_sd]]/SQRT(Table1347456[[#This Row],[treatment_n]])</f>
        <v>0.05</v>
      </c>
      <c r="BC556" s="14">
        <f>Table1347456[[#This Row],[control_sd]]/SQRT(Table1347456[[#This Row],[control_n]])</f>
        <v>0.05</v>
      </c>
      <c r="BD556" s="15">
        <f>0.01*10</f>
        <v>0.1</v>
      </c>
      <c r="BE556" s="14">
        <f>0.01*10</f>
        <v>0.1</v>
      </c>
      <c r="BF55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2.2520727040816323E-3</v>
      </c>
      <c r="BG556" s="17">
        <f>SQRT(Table1347456[[#This Row],[v_from_sd_and_n]])</f>
        <v>4.7456008092565394E-2</v>
      </c>
      <c r="BH556" s="13" t="s">
        <v>50</v>
      </c>
      <c r="BI556" s="13">
        <v>2.5000000000000001E-2</v>
      </c>
      <c r="BJ556" s="18">
        <f>ABS(_xlfn.NORM.S.INV(Table1347456[[#This Row],[p_value]]/2))</f>
        <v>2.2414027276049446</v>
      </c>
      <c r="BK556" s="19">
        <f>(Table1347456[[#This Row],[lnrr]]/Table1347456[[#This Row],[z_from_p]])^2</f>
        <v>3.5491713290133936E-3</v>
      </c>
      <c r="BL556" s="16">
        <f>Table1347456[[#This Row],[v_from_sd_and_n]]</f>
        <v>2.2520727040816323E-3</v>
      </c>
      <c r="BM556" s="20">
        <f>SQRT(Table1347456[[#This Row],[v]])</f>
        <v>4.7456008092565394E-2</v>
      </c>
      <c r="BN556" s="20">
        <f>Table1347456[[#This Row],[lnrr]]-(1.96*Table1347456[[#This Row],[se]])</f>
        <v>4.05176167630944E-2</v>
      </c>
      <c r="BO556" s="20">
        <f>Table1347456[[#This Row],[lnrr]]+(1.96 * Table1347456[[#This Row],[se]])</f>
        <v>0.22654516848595074</v>
      </c>
    </row>
    <row r="557" spans="1:67">
      <c r="A557" s="13" t="s">
        <v>207</v>
      </c>
      <c r="B557" s="13" t="s">
        <v>208</v>
      </c>
      <c r="C557" s="13" t="s">
        <v>43</v>
      </c>
      <c r="D557" s="13" t="s">
        <v>209</v>
      </c>
      <c r="E557" s="13" t="s">
        <v>210</v>
      </c>
      <c r="F557" s="13" t="s">
        <v>588</v>
      </c>
      <c r="G557" s="13" t="s">
        <v>46</v>
      </c>
      <c r="H557" s="13" t="s">
        <v>46</v>
      </c>
      <c r="I557" s="13">
        <v>1175</v>
      </c>
      <c r="K557" s="13" t="s">
        <v>863</v>
      </c>
      <c r="L557" s="13" t="s">
        <v>864</v>
      </c>
      <c r="N557" s="13" t="s">
        <v>47</v>
      </c>
      <c r="O557" s="13" t="s">
        <v>645</v>
      </c>
      <c r="P557" s="13" t="s">
        <v>422</v>
      </c>
      <c r="Q557" s="13" t="s">
        <v>48</v>
      </c>
      <c r="R557" s="4">
        <v>4</v>
      </c>
      <c r="S557" s="13" t="s">
        <v>594</v>
      </c>
      <c r="T557" s="13">
        <v>730</v>
      </c>
      <c r="U557" s="4" t="s">
        <v>212</v>
      </c>
      <c r="V557" s="4">
        <v>450</v>
      </c>
      <c r="W557" s="4" t="s">
        <v>601</v>
      </c>
      <c r="X557" s="4">
        <v>798</v>
      </c>
      <c r="Y557" s="4">
        <v>10</v>
      </c>
      <c r="AA557" s="4" t="s">
        <v>50</v>
      </c>
      <c r="AB557" s="4">
        <v>220</v>
      </c>
      <c r="AC557" s="4" t="s">
        <v>49</v>
      </c>
      <c r="AD557" s="4">
        <v>0</v>
      </c>
      <c r="AE557" s="4" t="s">
        <v>50</v>
      </c>
      <c r="AF557" s="4">
        <v>10</v>
      </c>
      <c r="AG557" s="4" t="s">
        <v>708</v>
      </c>
      <c r="AH557" s="4" t="s">
        <v>787</v>
      </c>
      <c r="AI557" s="4" t="s">
        <v>64</v>
      </c>
      <c r="AJ557" s="13">
        <v>0</v>
      </c>
      <c r="AK557" s="13">
        <v>20</v>
      </c>
      <c r="AM557" s="13" t="s">
        <v>499</v>
      </c>
      <c r="AP557" s="13" t="s">
        <v>49</v>
      </c>
      <c r="AQ557" s="13" t="s">
        <v>49</v>
      </c>
      <c r="AR557" s="13" t="s">
        <v>49</v>
      </c>
      <c r="AS557" s="13" t="s">
        <v>49</v>
      </c>
      <c r="AT557" s="13" t="s">
        <v>994</v>
      </c>
      <c r="AU557" s="13" t="s">
        <v>999</v>
      </c>
      <c r="AV557" s="14">
        <f>0.3*10</f>
        <v>3</v>
      </c>
      <c r="AW557" s="14">
        <f>0.12*10</f>
        <v>1.2</v>
      </c>
      <c r="AX557" s="14">
        <f>Table1347456[[#This Row],[treatment_mean]]/Table1347456[[#This Row],[control_mean]]</f>
        <v>2.5</v>
      </c>
      <c r="AY557" s="14">
        <f>LN(Table1347456[[#This Row],[rr]])</f>
        <v>0.91629073187415511</v>
      </c>
      <c r="AZ557" s="13">
        <v>4</v>
      </c>
      <c r="BA557" s="13">
        <v>4</v>
      </c>
      <c r="BB557" s="14">
        <v>0.14000000000000001</v>
      </c>
      <c r="BC557" s="14">
        <v>0.02</v>
      </c>
      <c r="BD557" s="15">
        <f>0.03*10</f>
        <v>0.3</v>
      </c>
      <c r="BE557" s="14">
        <f>0.01*10</f>
        <v>0.1</v>
      </c>
      <c r="BF55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4.2361111111111115E-3</v>
      </c>
      <c r="BG557" s="17">
        <f>SQRT(Table1347456[[#This Row],[v_from_sd_and_n]])</f>
        <v>6.5085413965888794E-2</v>
      </c>
      <c r="BH557" s="13" t="s">
        <v>50</v>
      </c>
      <c r="BI557" s="13">
        <v>2.5000000000000001E-2</v>
      </c>
      <c r="BJ557" s="18">
        <f>ABS(_xlfn.NORM.S.INV(Table1347456[[#This Row],[p_value]]/2))</f>
        <v>2.2414027276049446</v>
      </c>
      <c r="BK557" s="19">
        <f>(Table1347456[[#This Row],[lnrr]]/Table1347456[[#This Row],[z_from_p]])^2</f>
        <v>0.16711937213832653</v>
      </c>
      <c r="BL557" s="16">
        <f>Table1347456[[#This Row],[v_from_sd_and_n]]</f>
        <v>4.2361111111111115E-3</v>
      </c>
      <c r="BM557" s="20">
        <f>SQRT(Table1347456[[#This Row],[v]])</f>
        <v>6.5085413965888794E-2</v>
      </c>
      <c r="BN557" s="20">
        <f>Table1347456[[#This Row],[lnrr]]-(1.96*Table1347456[[#This Row],[se]])</f>
        <v>0.78872332050101313</v>
      </c>
      <c r="BO557" s="20">
        <f>Table1347456[[#This Row],[lnrr]]+(1.96 * Table1347456[[#This Row],[se]])</f>
        <v>1.0438581432472971</v>
      </c>
    </row>
    <row r="558" spans="1:67">
      <c r="A558" s="13" t="s">
        <v>207</v>
      </c>
      <c r="B558" s="13" t="s">
        <v>208</v>
      </c>
      <c r="C558" s="13" t="s">
        <v>43</v>
      </c>
      <c r="D558" s="13" t="s">
        <v>209</v>
      </c>
      <c r="E558" s="13" t="s">
        <v>210</v>
      </c>
      <c r="F558" s="13" t="s">
        <v>588</v>
      </c>
      <c r="G558" s="13" t="s">
        <v>46</v>
      </c>
      <c r="H558" s="13" t="s">
        <v>46</v>
      </c>
      <c r="I558" s="13">
        <v>1175</v>
      </c>
      <c r="J558" s="13" t="s">
        <v>662</v>
      </c>
      <c r="K558" s="13" t="s">
        <v>863</v>
      </c>
      <c r="L558" s="13" t="s">
        <v>864</v>
      </c>
      <c r="M558" s="13" t="s">
        <v>800</v>
      </c>
      <c r="N558" s="13" t="s">
        <v>84</v>
      </c>
      <c r="O558" s="13" t="s">
        <v>644</v>
      </c>
      <c r="P558" s="13" t="s">
        <v>85</v>
      </c>
      <c r="Q558" s="13" t="s">
        <v>48</v>
      </c>
      <c r="R558" s="4">
        <v>4</v>
      </c>
      <c r="S558" s="13" t="s">
        <v>594</v>
      </c>
      <c r="T558" s="13">
        <v>730</v>
      </c>
      <c r="U558" s="4" t="s">
        <v>212</v>
      </c>
      <c r="V558" s="4">
        <v>450</v>
      </c>
      <c r="W558" s="4" t="s">
        <v>601</v>
      </c>
      <c r="X558" s="4">
        <v>798</v>
      </c>
      <c r="Y558" s="4">
        <v>10</v>
      </c>
      <c r="AA558" s="4" t="s">
        <v>49</v>
      </c>
      <c r="AB558" s="4">
        <v>0</v>
      </c>
      <c r="AC558" s="4" t="s">
        <v>49</v>
      </c>
      <c r="AD558" s="4">
        <v>0</v>
      </c>
      <c r="AE558" s="4" t="s">
        <v>49</v>
      </c>
      <c r="AF558" s="4">
        <v>0</v>
      </c>
      <c r="AG558" s="4" t="s">
        <v>708</v>
      </c>
      <c r="AH558" s="4" t="s">
        <v>787</v>
      </c>
      <c r="AI558" s="4" t="s">
        <v>64</v>
      </c>
      <c r="AJ558" s="13">
        <v>0</v>
      </c>
      <c r="AK558" s="13">
        <v>20</v>
      </c>
      <c r="AM558" s="13" t="s">
        <v>499</v>
      </c>
      <c r="AP558" s="13" t="s">
        <v>49</v>
      </c>
      <c r="AQ558" s="13" t="s">
        <v>49</v>
      </c>
      <c r="AR558" s="13" t="s">
        <v>49</v>
      </c>
      <c r="AS558" s="13" t="s">
        <v>49</v>
      </c>
      <c r="AT558" s="13" t="s">
        <v>990</v>
      </c>
      <c r="AU558" s="13" t="s">
        <v>998</v>
      </c>
      <c r="AV558" s="23">
        <f>6.29/1000</f>
        <v>6.2900000000000005E-3</v>
      </c>
      <c r="AW558" s="23">
        <f>6.4/1000</f>
        <v>6.4000000000000003E-3</v>
      </c>
      <c r="AX558" s="14">
        <f>Table1347456[[#This Row],[treatment_mean]]/Table1347456[[#This Row],[control_mean]]</f>
        <v>0.98281249999999998</v>
      </c>
      <c r="AY558" s="14">
        <f>LN(Table1347456[[#This Row],[rr]])</f>
        <v>-1.7336919653277039E-2</v>
      </c>
      <c r="AZ558" s="13">
        <v>4</v>
      </c>
      <c r="BA558" s="13">
        <v>4</v>
      </c>
      <c r="BB558" s="14">
        <f>Table1347456[[#This Row],[treatment_sd]]/SQRT(Table1347456[[#This Row],[treatment_n]])</f>
        <v>1.15E-4</v>
      </c>
      <c r="BC558" s="14">
        <f>Table1347456[[#This Row],[control_sd]]/SQRT(Table1347456[[#This Row],[control_n]])</f>
        <v>1.15E-4</v>
      </c>
      <c r="BD558" s="15">
        <f>0.23/1000</f>
        <v>2.3000000000000001E-4</v>
      </c>
      <c r="BE558" s="14">
        <f>0.23/1000</f>
        <v>2.3000000000000001E-4</v>
      </c>
      <c r="BF55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6.5714365862780671E-4</v>
      </c>
      <c r="BG558" s="17">
        <f>SQRT(Table1347456[[#This Row],[v_from_sd_and_n]])</f>
        <v>2.5634813411214968E-2</v>
      </c>
      <c r="BH558" s="13" t="s">
        <v>50</v>
      </c>
      <c r="BI558" s="13">
        <v>2.5000000000000001E-2</v>
      </c>
      <c r="BJ558" s="18">
        <f>ABS(_xlfn.NORM.S.INV(Table1347456[[#This Row],[p_value]]/2))</f>
        <v>2.2414027276049446</v>
      </c>
      <c r="BK558" s="19">
        <f>(Table1347456[[#This Row],[lnrr]]/Table1347456[[#This Row],[z_from_p]])^2</f>
        <v>5.9827944315917821E-5</v>
      </c>
      <c r="BL558" s="16">
        <f>Table1347456[[#This Row],[v_from_sd_and_n]]</f>
        <v>6.5714365862780671E-4</v>
      </c>
      <c r="BM558" s="20">
        <f>SQRT(Table1347456[[#This Row],[v]])</f>
        <v>2.5634813411214968E-2</v>
      </c>
      <c r="BN558" s="20">
        <f>Table1347456[[#This Row],[lnrr]]-(1.96*Table1347456[[#This Row],[se]])</f>
        <v>-6.758115393925837E-2</v>
      </c>
      <c r="BO558" s="20">
        <f>Table1347456[[#This Row],[lnrr]]+(1.96 * Table1347456[[#This Row],[se]])</f>
        <v>3.2907314632704299E-2</v>
      </c>
    </row>
    <row r="559" spans="1:67">
      <c r="A559" s="13" t="s">
        <v>207</v>
      </c>
      <c r="B559" s="13" t="s">
        <v>208</v>
      </c>
      <c r="C559" s="13" t="s">
        <v>43</v>
      </c>
      <c r="D559" s="13" t="s">
        <v>209</v>
      </c>
      <c r="E559" s="13" t="s">
        <v>210</v>
      </c>
      <c r="F559" s="13" t="s">
        <v>588</v>
      </c>
      <c r="G559" s="13" t="s">
        <v>46</v>
      </c>
      <c r="H559" s="13" t="s">
        <v>46</v>
      </c>
      <c r="I559" s="13">
        <v>1175</v>
      </c>
      <c r="J559" s="13" t="s">
        <v>662</v>
      </c>
      <c r="K559" s="13" t="s">
        <v>863</v>
      </c>
      <c r="L559" s="13" t="s">
        <v>864</v>
      </c>
      <c r="M559" s="13" t="s">
        <v>800</v>
      </c>
      <c r="N559" s="13" t="s">
        <v>84</v>
      </c>
      <c r="O559" s="13" t="s">
        <v>644</v>
      </c>
      <c r="P559" s="13" t="s">
        <v>85</v>
      </c>
      <c r="Q559" s="13" t="s">
        <v>48</v>
      </c>
      <c r="R559" s="4">
        <v>4</v>
      </c>
      <c r="S559" s="13" t="s">
        <v>594</v>
      </c>
      <c r="T559" s="13">
        <v>730</v>
      </c>
      <c r="U559" s="4" t="s">
        <v>212</v>
      </c>
      <c r="V559" s="4">
        <v>450</v>
      </c>
      <c r="W559" s="4" t="s">
        <v>601</v>
      </c>
      <c r="X559" s="4">
        <v>798</v>
      </c>
      <c r="Y559" s="4">
        <v>10</v>
      </c>
      <c r="AA559" s="4" t="s">
        <v>50</v>
      </c>
      <c r="AB559" s="4">
        <v>220</v>
      </c>
      <c r="AC559" s="4" t="s">
        <v>49</v>
      </c>
      <c r="AD559" s="4">
        <v>0</v>
      </c>
      <c r="AE559" s="4" t="s">
        <v>49</v>
      </c>
      <c r="AF559" s="4">
        <v>0</v>
      </c>
      <c r="AG559" s="4" t="s">
        <v>708</v>
      </c>
      <c r="AH559" s="4" t="s">
        <v>787</v>
      </c>
      <c r="AI559" s="4" t="s">
        <v>64</v>
      </c>
      <c r="AJ559" s="13">
        <v>0</v>
      </c>
      <c r="AK559" s="13">
        <v>20</v>
      </c>
      <c r="AM559" s="13" t="s">
        <v>499</v>
      </c>
      <c r="AP559" s="13" t="s">
        <v>49</v>
      </c>
      <c r="AQ559" s="13" t="s">
        <v>49</v>
      </c>
      <c r="AR559" s="13" t="s">
        <v>49</v>
      </c>
      <c r="AS559" s="13" t="s">
        <v>49</v>
      </c>
      <c r="AT559" s="13" t="s">
        <v>992</v>
      </c>
      <c r="AU559" s="4" t="s">
        <v>1000</v>
      </c>
      <c r="AV559" s="23">
        <f>8.56/1000</f>
        <v>8.5599999999999999E-3</v>
      </c>
      <c r="AW559" s="23">
        <f>7.37/1000</f>
        <v>7.3699999999999998E-3</v>
      </c>
      <c r="AX559" s="14">
        <f>Table1347456[[#This Row],[treatment_mean]]/Table1347456[[#This Row],[control_mean]]</f>
        <v>1.1614654002713705</v>
      </c>
      <c r="AY559" s="14">
        <f>LN(Table1347456[[#This Row],[rr]])</f>
        <v>0.14968248395240552</v>
      </c>
      <c r="AZ559" s="13">
        <v>4</v>
      </c>
      <c r="BA559" s="13">
        <v>4</v>
      </c>
      <c r="BB559" s="14">
        <f>Table1347456[[#This Row],[treatment_sd]]/SQRT(Table1347456[[#This Row],[treatment_n]])</f>
        <v>1.45E-4</v>
      </c>
      <c r="BC559" s="14">
        <f>Table1347456[[#This Row],[control_sd]]/SQRT(Table1347456[[#This Row],[control_n]])</f>
        <v>5.9999999999999995E-5</v>
      </c>
      <c r="BD559" s="15">
        <f>0.29/1000</f>
        <v>2.9E-4</v>
      </c>
      <c r="BE559" s="14">
        <f>0.12/1000</f>
        <v>1.1999999999999999E-4</v>
      </c>
      <c r="BF55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3.5321598438863553E-4</v>
      </c>
      <c r="BG559" s="17">
        <f>SQRT(Table1347456[[#This Row],[v_from_sd_and_n]])</f>
        <v>1.8794041193650596E-2</v>
      </c>
      <c r="BH559" s="13" t="s">
        <v>50</v>
      </c>
      <c r="BI559" s="13">
        <v>2.5000000000000001E-2</v>
      </c>
      <c r="BJ559" s="18">
        <f>ABS(_xlfn.NORM.S.INV(Table1347456[[#This Row],[p_value]]/2))</f>
        <v>2.2414027276049446</v>
      </c>
      <c r="BK559" s="19">
        <f>(Table1347456[[#This Row],[lnrr]]/Table1347456[[#This Row],[z_from_p]])^2</f>
        <v>4.4596643249469881E-3</v>
      </c>
      <c r="BL559" s="16">
        <f>Table1347456[[#This Row],[v_from_sd_and_n]]</f>
        <v>3.5321598438863553E-4</v>
      </c>
      <c r="BM559" s="20">
        <f>SQRT(Table1347456[[#This Row],[v]])</f>
        <v>1.8794041193650596E-2</v>
      </c>
      <c r="BN559" s="20">
        <f>Table1347456[[#This Row],[lnrr]]-(1.96*Table1347456[[#This Row],[se]])</f>
        <v>0.11284616321285035</v>
      </c>
      <c r="BO559" s="20">
        <f>Table1347456[[#This Row],[lnrr]]+(1.96 * Table1347456[[#This Row],[se]])</f>
        <v>0.18651880469196069</v>
      </c>
    </row>
    <row r="560" spans="1:67">
      <c r="A560" s="13" t="s">
        <v>207</v>
      </c>
      <c r="B560" s="13" t="s">
        <v>208</v>
      </c>
      <c r="C560" s="13" t="s">
        <v>43</v>
      </c>
      <c r="D560" s="13" t="s">
        <v>209</v>
      </c>
      <c r="E560" s="13" t="s">
        <v>210</v>
      </c>
      <c r="F560" s="13" t="s">
        <v>588</v>
      </c>
      <c r="G560" s="13" t="s">
        <v>46</v>
      </c>
      <c r="H560" s="13" t="s">
        <v>46</v>
      </c>
      <c r="I560" s="13">
        <v>1175</v>
      </c>
      <c r="J560" s="13" t="s">
        <v>662</v>
      </c>
      <c r="K560" s="13" t="s">
        <v>863</v>
      </c>
      <c r="L560" s="13" t="s">
        <v>864</v>
      </c>
      <c r="M560" s="13" t="s">
        <v>800</v>
      </c>
      <c r="N560" s="13" t="s">
        <v>84</v>
      </c>
      <c r="O560" s="13" t="s">
        <v>644</v>
      </c>
      <c r="P560" s="13" t="s">
        <v>85</v>
      </c>
      <c r="Q560" s="13" t="s">
        <v>48</v>
      </c>
      <c r="R560" s="4">
        <v>4</v>
      </c>
      <c r="S560" s="13" t="s">
        <v>594</v>
      </c>
      <c r="T560" s="13">
        <v>730</v>
      </c>
      <c r="U560" s="4" t="s">
        <v>212</v>
      </c>
      <c r="V560" s="4">
        <v>450</v>
      </c>
      <c r="W560" s="4" t="s">
        <v>601</v>
      </c>
      <c r="X560" s="4">
        <v>798</v>
      </c>
      <c r="Y560" s="4">
        <v>10</v>
      </c>
      <c r="AA560" s="4" t="s">
        <v>49</v>
      </c>
      <c r="AB560" s="4">
        <v>0</v>
      </c>
      <c r="AC560" s="4" t="s">
        <v>49</v>
      </c>
      <c r="AD560" s="4">
        <v>0</v>
      </c>
      <c r="AE560" s="4" t="s">
        <v>50</v>
      </c>
      <c r="AF560" s="4">
        <v>10</v>
      </c>
      <c r="AG560" s="4" t="s">
        <v>708</v>
      </c>
      <c r="AH560" s="4" t="s">
        <v>787</v>
      </c>
      <c r="AI560" s="4" t="s">
        <v>64</v>
      </c>
      <c r="AJ560" s="13">
        <v>0</v>
      </c>
      <c r="AK560" s="13">
        <v>20</v>
      </c>
      <c r="AM560" s="13" t="s">
        <v>499</v>
      </c>
      <c r="AP560" s="13" t="s">
        <v>49</v>
      </c>
      <c r="AQ560" s="13" t="s">
        <v>49</v>
      </c>
      <c r="AR560" s="13" t="s">
        <v>49</v>
      </c>
      <c r="AS560" s="13" t="s">
        <v>49</v>
      </c>
      <c r="AT560" s="13" t="s">
        <v>995</v>
      </c>
      <c r="AU560" s="13" t="s">
        <v>1002</v>
      </c>
      <c r="AV560" s="23">
        <f>10.71/1000</f>
        <v>1.0710000000000001E-2</v>
      </c>
      <c r="AW560" s="23">
        <f>10.15/1000</f>
        <v>1.0150000000000001E-2</v>
      </c>
      <c r="AX560" s="14">
        <f>Table1347456[[#This Row],[treatment_mean]]/Table1347456[[#This Row],[control_mean]]</f>
        <v>1.0551724137931033</v>
      </c>
      <c r="AY560" s="14">
        <f>LN(Table1347456[[#This Row],[rr]])</f>
        <v>5.3704178971860958E-2</v>
      </c>
      <c r="AZ560" s="13">
        <v>4</v>
      </c>
      <c r="BA560" s="13">
        <v>4</v>
      </c>
      <c r="BB560" s="14">
        <f>Table1347456[[#This Row],[treatment_sd]]/SQRT(Table1347456[[#This Row],[treatment_n]])</f>
        <v>5.9999999999999995E-5</v>
      </c>
      <c r="BC560" s="14">
        <f>Table1347456[[#This Row],[control_sd]]/SQRT(Table1347456[[#This Row],[control_n]])</f>
        <v>8.5000000000000006E-5</v>
      </c>
      <c r="BD560" s="15">
        <f>0.12/1000</f>
        <v>1.1999999999999999E-4</v>
      </c>
      <c r="BE560" s="14">
        <f>0.17/1000</f>
        <v>1.7000000000000001E-4</v>
      </c>
      <c r="BF56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1.0151541440058806E-4</v>
      </c>
      <c r="BG560" s="17">
        <f>SQRT(Table1347456[[#This Row],[v_from_sd_and_n]])</f>
        <v>1.0075485814618968E-2</v>
      </c>
      <c r="BH560" s="13" t="s">
        <v>50</v>
      </c>
      <c r="BI560" s="13">
        <v>2.5000000000000001E-2</v>
      </c>
      <c r="BJ560" s="18">
        <f>ABS(_xlfn.NORM.S.INV(Table1347456[[#This Row],[p_value]]/2))</f>
        <v>2.2414027276049446</v>
      </c>
      <c r="BK560" s="19">
        <f>(Table1347456[[#This Row],[lnrr]]/Table1347456[[#This Row],[z_from_p]])^2</f>
        <v>5.7408522635803518E-4</v>
      </c>
      <c r="BL560" s="16">
        <f>Table1347456[[#This Row],[v_from_sd_and_n]]</f>
        <v>1.0151541440058806E-4</v>
      </c>
      <c r="BM560" s="20">
        <f>SQRT(Table1347456[[#This Row],[v]])</f>
        <v>1.0075485814618968E-2</v>
      </c>
      <c r="BN560" s="20">
        <f>Table1347456[[#This Row],[lnrr]]-(1.96*Table1347456[[#This Row],[se]])</f>
        <v>3.3956226775207779E-2</v>
      </c>
      <c r="BO560" s="20">
        <f>Table1347456[[#This Row],[lnrr]]+(1.96 * Table1347456[[#This Row],[se]])</f>
        <v>7.3452131168514137E-2</v>
      </c>
    </row>
    <row r="561" spans="1:67">
      <c r="A561" s="13" t="s">
        <v>207</v>
      </c>
      <c r="B561" s="13" t="s">
        <v>208</v>
      </c>
      <c r="C561" s="13" t="s">
        <v>43</v>
      </c>
      <c r="D561" s="13" t="s">
        <v>209</v>
      </c>
      <c r="E561" s="13" t="s">
        <v>210</v>
      </c>
      <c r="F561" s="13" t="s">
        <v>588</v>
      </c>
      <c r="G561" s="13" t="s">
        <v>46</v>
      </c>
      <c r="H561" s="13" t="s">
        <v>46</v>
      </c>
      <c r="I561" s="13">
        <v>1175</v>
      </c>
      <c r="J561" s="13" t="s">
        <v>662</v>
      </c>
      <c r="K561" s="13" t="s">
        <v>863</v>
      </c>
      <c r="L561" s="13" t="s">
        <v>864</v>
      </c>
      <c r="M561" s="13" t="s">
        <v>800</v>
      </c>
      <c r="N561" s="13" t="s">
        <v>84</v>
      </c>
      <c r="O561" s="13" t="s">
        <v>644</v>
      </c>
      <c r="P561" s="13" t="s">
        <v>85</v>
      </c>
      <c r="Q561" s="13" t="s">
        <v>48</v>
      </c>
      <c r="R561" s="4">
        <v>4</v>
      </c>
      <c r="S561" s="13" t="s">
        <v>594</v>
      </c>
      <c r="T561" s="13">
        <v>730</v>
      </c>
      <c r="U561" s="4" t="s">
        <v>212</v>
      </c>
      <c r="V561" s="4">
        <v>450</v>
      </c>
      <c r="W561" s="4" t="s">
        <v>601</v>
      </c>
      <c r="X561" s="4">
        <v>798</v>
      </c>
      <c r="Y561" s="4">
        <v>10</v>
      </c>
      <c r="AA561" s="4" t="s">
        <v>50</v>
      </c>
      <c r="AB561" s="4">
        <v>220</v>
      </c>
      <c r="AC561" s="4" t="s">
        <v>49</v>
      </c>
      <c r="AD561" s="4">
        <v>0</v>
      </c>
      <c r="AE561" s="4" t="s">
        <v>50</v>
      </c>
      <c r="AF561" s="4">
        <v>10</v>
      </c>
      <c r="AG561" s="4" t="s">
        <v>708</v>
      </c>
      <c r="AH561" s="4" t="s">
        <v>787</v>
      </c>
      <c r="AI561" s="4" t="s">
        <v>64</v>
      </c>
      <c r="AJ561" s="13">
        <v>0</v>
      </c>
      <c r="AK561" s="13">
        <v>20</v>
      </c>
      <c r="AM561" s="13" t="s">
        <v>499</v>
      </c>
      <c r="AP561" s="13" t="s">
        <v>49</v>
      </c>
      <c r="AQ561" s="13" t="s">
        <v>49</v>
      </c>
      <c r="AR561" s="13" t="s">
        <v>49</v>
      </c>
      <c r="AS561" s="13" t="s">
        <v>49</v>
      </c>
      <c r="AT561" s="13" t="s">
        <v>994</v>
      </c>
      <c r="AU561" s="13" t="s">
        <v>999</v>
      </c>
      <c r="AV561" s="23">
        <f>12.24/1000</f>
        <v>1.2240000000000001E-2</v>
      </c>
      <c r="AW561" s="23">
        <f>10.43/1000</f>
        <v>1.043E-2</v>
      </c>
      <c r="AX561" s="14">
        <f>Table1347456[[#This Row],[treatment_mean]]/Table1347456[[#This Row],[control_mean]]</f>
        <v>1.1735378715244489</v>
      </c>
      <c r="AY561" s="14">
        <f>LN(Table1347456[[#This Row],[rr]])</f>
        <v>0.16002300807149911</v>
      </c>
      <c r="AZ561" s="13">
        <v>4</v>
      </c>
      <c r="BA561" s="13">
        <v>4</v>
      </c>
      <c r="BB561" s="14">
        <f>Table1347456[[#This Row],[treatment_sd]]/SQRT(Table1347456[[#This Row],[treatment_n]])</f>
        <v>1.7000000000000001E-4</v>
      </c>
      <c r="BC561" s="14">
        <f>Table1347456[[#This Row],[control_sd]]/SQRT(Table1347456[[#This Row],[control_n]])</f>
        <v>1.4000000000000001E-4</v>
      </c>
      <c r="BD561" s="15">
        <f>0.34/1000</f>
        <v>3.4000000000000002E-4</v>
      </c>
      <c r="BE561" s="14">
        <f>0.28/1000</f>
        <v>2.8000000000000003E-4</v>
      </c>
      <c r="BF56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3.7307329888932824E-4</v>
      </c>
      <c r="BG561" s="17">
        <f>SQRT(Table1347456[[#This Row],[v_from_sd_and_n]])</f>
        <v>1.9315105458923291E-2</v>
      </c>
      <c r="BH561" s="13" t="s">
        <v>50</v>
      </c>
      <c r="BI561" s="13">
        <v>2.5000000000000001E-2</v>
      </c>
      <c r="BJ561" s="18">
        <f>ABS(_xlfn.NORM.S.INV(Table1347456[[#This Row],[p_value]]/2))</f>
        <v>2.2414027276049446</v>
      </c>
      <c r="BK561" s="19">
        <f>(Table1347456[[#This Row],[lnrr]]/Table1347456[[#This Row],[z_from_p]])^2</f>
        <v>5.0971224580900433E-3</v>
      </c>
      <c r="BL561" s="16">
        <f>Table1347456[[#This Row],[v_from_sd_and_n]]</f>
        <v>3.7307329888932824E-4</v>
      </c>
      <c r="BM561" s="20">
        <f>SQRT(Table1347456[[#This Row],[v]])</f>
        <v>1.9315105458923291E-2</v>
      </c>
      <c r="BN561" s="20">
        <f>Table1347456[[#This Row],[lnrr]]-(1.96*Table1347456[[#This Row],[se]])</f>
        <v>0.12216540137200946</v>
      </c>
      <c r="BO561" s="20">
        <f>Table1347456[[#This Row],[lnrr]]+(1.96 * Table1347456[[#This Row],[se]])</f>
        <v>0.19788061477098876</v>
      </c>
    </row>
    <row r="562" spans="1:67" ht="17">
      <c r="A562" s="13" t="s">
        <v>215</v>
      </c>
      <c r="B562" s="13" t="s">
        <v>216</v>
      </c>
      <c r="C562" s="13" t="s">
        <v>43</v>
      </c>
      <c r="D562" s="13" t="s">
        <v>217</v>
      </c>
      <c r="E562" s="13" t="s">
        <v>132</v>
      </c>
      <c r="F562" s="13" t="s">
        <v>589</v>
      </c>
      <c r="G562" s="13" t="s">
        <v>46</v>
      </c>
      <c r="H562" s="13">
        <v>28</v>
      </c>
      <c r="I562" s="13" t="s">
        <v>46</v>
      </c>
      <c r="J562" s="25" t="s">
        <v>670</v>
      </c>
      <c r="K562" s="13" t="s">
        <v>980</v>
      </c>
      <c r="L562" s="13" t="s">
        <v>979</v>
      </c>
      <c r="M562" s="25" t="s">
        <v>670</v>
      </c>
      <c r="N562" s="13" t="s">
        <v>119</v>
      </c>
      <c r="O562" s="13" t="s">
        <v>645</v>
      </c>
      <c r="P562" s="13" t="s">
        <v>85</v>
      </c>
      <c r="Q562" s="13" t="s">
        <v>48</v>
      </c>
      <c r="R562" s="4">
        <v>4</v>
      </c>
      <c r="S562" s="13" t="s">
        <v>596</v>
      </c>
      <c r="T562" s="13">
        <v>270</v>
      </c>
      <c r="U562" s="4" t="s">
        <v>218</v>
      </c>
      <c r="V562" s="4">
        <v>500</v>
      </c>
      <c r="W562" s="4" t="s">
        <v>601</v>
      </c>
      <c r="X562" s="4">
        <v>795</v>
      </c>
      <c r="Y562" s="4">
        <v>30</v>
      </c>
      <c r="AA562" s="4" t="s">
        <v>49</v>
      </c>
      <c r="AB562" s="4">
        <v>0</v>
      </c>
      <c r="AC562" s="4" t="s">
        <v>49</v>
      </c>
      <c r="AD562" s="4">
        <v>0</v>
      </c>
      <c r="AE562" s="4" t="s">
        <v>49</v>
      </c>
      <c r="AF562" s="4">
        <v>0</v>
      </c>
      <c r="AG562" s="4" t="s">
        <v>783</v>
      </c>
      <c r="AH562" s="4" t="s">
        <v>782</v>
      </c>
      <c r="AI562" s="4" t="s">
        <v>78</v>
      </c>
      <c r="AJ562" s="13">
        <v>0</v>
      </c>
      <c r="AK562" s="13">
        <v>20</v>
      </c>
      <c r="AL562" s="13" t="s">
        <v>513</v>
      </c>
      <c r="AN562" s="13" t="s">
        <v>514</v>
      </c>
      <c r="AP562" s="13" t="s">
        <v>49</v>
      </c>
      <c r="AQ562" s="13" t="s">
        <v>49</v>
      </c>
      <c r="AR562" s="13" t="s">
        <v>49</v>
      </c>
      <c r="AS562" s="13" t="s">
        <v>49</v>
      </c>
      <c r="AT562" s="13" t="s">
        <v>990</v>
      </c>
      <c r="AU562" s="13" t="s">
        <v>998</v>
      </c>
      <c r="AV562" s="23">
        <f>40.1/1000</f>
        <v>4.0100000000000004E-2</v>
      </c>
      <c r="AW562" s="23">
        <f>44.1/1000</f>
        <v>4.41E-2</v>
      </c>
      <c r="AX562" s="14">
        <f>Table1347456[[#This Row],[treatment_mean]]/Table1347456[[#This Row],[control_mean]]</f>
        <v>0.9092970521541951</v>
      </c>
      <c r="AY562" s="14">
        <f>LN(Table1347456[[#This Row],[rr]])</f>
        <v>-9.5083448140276708E-2</v>
      </c>
      <c r="AZ562" s="13">
        <v>4</v>
      </c>
      <c r="BA562" s="13">
        <v>4</v>
      </c>
      <c r="BB562" s="14" t="s">
        <v>46</v>
      </c>
      <c r="BC562" s="14" t="s">
        <v>46</v>
      </c>
      <c r="BD562" s="15" t="s">
        <v>46</v>
      </c>
      <c r="BE562" s="14" t="s">
        <v>46</v>
      </c>
      <c r="BF56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62" s="17" t="s">
        <v>46</v>
      </c>
      <c r="BH562" s="13" t="s">
        <v>50</v>
      </c>
      <c r="BI562" s="13">
        <v>2.5000000000000001E-2</v>
      </c>
      <c r="BJ562" s="18">
        <f>ABS(_xlfn.NORM.S.INV(Table1347456[[#This Row],[p_value]]/2))</f>
        <v>2.2414027276049446</v>
      </c>
      <c r="BK562" s="19">
        <f>(Table1347456[[#This Row],[lnrr]]/Table1347456[[#This Row],[z_from_p]])^2</f>
        <v>1.7995754229211062E-3</v>
      </c>
      <c r="BL562" s="16">
        <f>Table1347456[[#This Row],[v_from_z_from_p]]</f>
        <v>1.7995754229211062E-3</v>
      </c>
      <c r="BM562" s="20">
        <f>SQRT(Table1347456[[#This Row],[v]])</f>
        <v>4.2421402887234956E-2</v>
      </c>
      <c r="BN562" s="20">
        <f>Table1347456[[#This Row],[lnrr]]-(1.96*Table1347456[[#This Row],[se]])</f>
        <v>-0.17822939779925723</v>
      </c>
      <c r="BO562" s="20">
        <f>Table1347456[[#This Row],[lnrr]]+(1.96 * Table1347456[[#This Row],[se]])</f>
        <v>-1.1937498481296202E-2</v>
      </c>
    </row>
    <row r="563" spans="1:67" ht="17">
      <c r="A563" s="13" t="s">
        <v>215</v>
      </c>
      <c r="B563" s="13" t="s">
        <v>216</v>
      </c>
      <c r="C563" s="13" t="s">
        <v>43</v>
      </c>
      <c r="D563" s="13" t="s">
        <v>217</v>
      </c>
      <c r="E563" s="13" t="s">
        <v>132</v>
      </c>
      <c r="F563" s="13" t="s">
        <v>589</v>
      </c>
      <c r="G563" s="13" t="s">
        <v>46</v>
      </c>
      <c r="H563" s="13">
        <v>28</v>
      </c>
      <c r="I563" s="13" t="s">
        <v>46</v>
      </c>
      <c r="J563" s="25" t="s">
        <v>670</v>
      </c>
      <c r="K563" s="13" t="s">
        <v>980</v>
      </c>
      <c r="L563" s="13" t="s">
        <v>979</v>
      </c>
      <c r="M563" s="25" t="s">
        <v>670</v>
      </c>
      <c r="N563" s="13" t="s">
        <v>119</v>
      </c>
      <c r="O563" s="13" t="s">
        <v>645</v>
      </c>
      <c r="P563" s="13" t="s">
        <v>85</v>
      </c>
      <c r="Q563" s="13" t="s">
        <v>48</v>
      </c>
      <c r="R563" s="4">
        <v>4</v>
      </c>
      <c r="S563" s="13" t="s">
        <v>596</v>
      </c>
      <c r="T563" s="13">
        <v>270</v>
      </c>
      <c r="U563" s="4" t="s">
        <v>218</v>
      </c>
      <c r="V563" s="4">
        <v>500</v>
      </c>
      <c r="W563" s="4" t="s">
        <v>601</v>
      </c>
      <c r="X563" s="4">
        <v>795</v>
      </c>
      <c r="Y563" s="4">
        <v>60</v>
      </c>
      <c r="AA563" s="4" t="s">
        <v>49</v>
      </c>
      <c r="AB563" s="4">
        <v>0</v>
      </c>
      <c r="AC563" s="4" t="s">
        <v>49</v>
      </c>
      <c r="AD563" s="4">
        <v>0</v>
      </c>
      <c r="AE563" s="4" t="s">
        <v>49</v>
      </c>
      <c r="AF563" s="4">
        <v>0</v>
      </c>
      <c r="AG563" s="4" t="s">
        <v>783</v>
      </c>
      <c r="AH563" s="4" t="s">
        <v>782</v>
      </c>
      <c r="AI563" s="4" t="s">
        <v>78</v>
      </c>
      <c r="AJ563" s="13">
        <v>0</v>
      </c>
      <c r="AK563" s="13">
        <v>20</v>
      </c>
      <c r="AL563" s="13" t="s">
        <v>513</v>
      </c>
      <c r="AN563" s="13" t="s">
        <v>514</v>
      </c>
      <c r="AP563" s="13" t="s">
        <v>49</v>
      </c>
      <c r="AQ563" s="13" t="s">
        <v>49</v>
      </c>
      <c r="AR563" s="13" t="s">
        <v>49</v>
      </c>
      <c r="AS563" s="13" t="s">
        <v>49</v>
      </c>
      <c r="AT563" s="13" t="s">
        <v>990</v>
      </c>
      <c r="AU563" s="13" t="s">
        <v>998</v>
      </c>
      <c r="AV563" s="23">
        <f>44.8/1000</f>
        <v>4.48E-2</v>
      </c>
      <c r="AW563" s="23">
        <f>44.1/1000</f>
        <v>4.41E-2</v>
      </c>
      <c r="AX563" s="14">
        <f>Table1347456[[#This Row],[treatment_mean]]/Table1347456[[#This Row],[control_mean]]</f>
        <v>1.0158730158730158</v>
      </c>
      <c r="AY563" s="14">
        <f>LN(Table1347456[[#This Row],[rr]])</f>
        <v>1.5748356968139112E-2</v>
      </c>
      <c r="AZ563" s="13">
        <v>4</v>
      </c>
      <c r="BA563" s="13">
        <v>4</v>
      </c>
      <c r="BB563" s="14" t="s">
        <v>46</v>
      </c>
      <c r="BC563" s="14" t="s">
        <v>46</v>
      </c>
      <c r="BD563" s="15" t="s">
        <v>46</v>
      </c>
      <c r="BE563" s="14" t="s">
        <v>46</v>
      </c>
      <c r="BF56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63" s="17" t="s">
        <v>46</v>
      </c>
      <c r="BH563" s="13" t="s">
        <v>50</v>
      </c>
      <c r="BI563" s="13">
        <v>2.5000000000000001E-2</v>
      </c>
      <c r="BJ563" s="18">
        <f>ABS(_xlfn.NORM.S.INV(Table1347456[[#This Row],[p_value]]/2))</f>
        <v>2.2414027276049446</v>
      </c>
      <c r="BK563" s="19">
        <f>(Table1347456[[#This Row],[lnrr]]/Table1347456[[#This Row],[z_from_p]])^2</f>
        <v>4.9366314830569432E-5</v>
      </c>
      <c r="BL563" s="16">
        <f>Table1347456[[#This Row],[v_from_z_from_p]]</f>
        <v>4.9366314830569432E-5</v>
      </c>
      <c r="BM563" s="20">
        <f>SQRT(Table1347456[[#This Row],[v]])</f>
        <v>7.0261166251756333E-3</v>
      </c>
      <c r="BN563" s="20">
        <f>Table1347456[[#This Row],[lnrr]]-(1.96*Table1347456[[#This Row],[se]])</f>
        <v>1.9771683827948718E-3</v>
      </c>
      <c r="BO563" s="20">
        <f>Table1347456[[#This Row],[lnrr]]+(1.96 * Table1347456[[#This Row],[se]])</f>
        <v>2.9519545553483351E-2</v>
      </c>
    </row>
    <row r="564" spans="1:67" ht="17">
      <c r="A564" s="13" t="s">
        <v>215</v>
      </c>
      <c r="B564" s="13" t="s">
        <v>216</v>
      </c>
      <c r="C564" s="13" t="s">
        <v>43</v>
      </c>
      <c r="D564" s="13" t="s">
        <v>217</v>
      </c>
      <c r="E564" s="13" t="s">
        <v>132</v>
      </c>
      <c r="F564" s="13" t="s">
        <v>589</v>
      </c>
      <c r="G564" s="13" t="s">
        <v>46</v>
      </c>
      <c r="H564" s="13">
        <v>28</v>
      </c>
      <c r="I564" s="13" t="s">
        <v>46</v>
      </c>
      <c r="J564" s="25" t="s">
        <v>670</v>
      </c>
      <c r="K564" s="13" t="s">
        <v>980</v>
      </c>
      <c r="L564" s="13" t="s">
        <v>979</v>
      </c>
      <c r="M564" s="25" t="s">
        <v>670</v>
      </c>
      <c r="N564" s="13" t="s">
        <v>119</v>
      </c>
      <c r="O564" s="13" t="s">
        <v>645</v>
      </c>
      <c r="P564" s="13" t="s">
        <v>85</v>
      </c>
      <c r="Q564" s="13" t="s">
        <v>48</v>
      </c>
      <c r="R564" s="4">
        <v>4</v>
      </c>
      <c r="S564" s="13" t="s">
        <v>596</v>
      </c>
      <c r="T564" s="13">
        <v>270</v>
      </c>
      <c r="U564" s="4" t="s">
        <v>219</v>
      </c>
      <c r="V564" s="4">
        <v>500</v>
      </c>
      <c r="W564" s="4" t="s">
        <v>601</v>
      </c>
      <c r="X564" s="4">
        <v>723</v>
      </c>
      <c r="Y564" s="4">
        <v>30</v>
      </c>
      <c r="AA564" s="4" t="s">
        <v>49</v>
      </c>
      <c r="AB564" s="4">
        <v>0</v>
      </c>
      <c r="AC564" s="4" t="s">
        <v>49</v>
      </c>
      <c r="AD564" s="4">
        <v>0</v>
      </c>
      <c r="AE564" s="4" t="s">
        <v>49</v>
      </c>
      <c r="AF564" s="4">
        <v>0</v>
      </c>
      <c r="AG564" s="4" t="s">
        <v>685</v>
      </c>
      <c r="AH564" s="4" t="s">
        <v>782</v>
      </c>
      <c r="AI564" s="4" t="s">
        <v>78</v>
      </c>
      <c r="AJ564" s="13">
        <v>0</v>
      </c>
      <c r="AK564" s="13">
        <v>20</v>
      </c>
      <c r="AL564" s="13" t="s">
        <v>513</v>
      </c>
      <c r="AN564" s="13" t="s">
        <v>514</v>
      </c>
      <c r="AP564" s="13" t="s">
        <v>49</v>
      </c>
      <c r="AQ564" s="13" t="s">
        <v>49</v>
      </c>
      <c r="AR564" s="13" t="s">
        <v>49</v>
      </c>
      <c r="AS564" s="13" t="s">
        <v>49</v>
      </c>
      <c r="AT564" s="13" t="s">
        <v>990</v>
      </c>
      <c r="AU564" s="13" t="s">
        <v>998</v>
      </c>
      <c r="AV564" s="23">
        <f>67/1000</f>
        <v>6.7000000000000004E-2</v>
      </c>
      <c r="AW564" s="23">
        <f>46.4/1000</f>
        <v>4.6399999999999997E-2</v>
      </c>
      <c r="AX564" s="14">
        <f>Table1347456[[#This Row],[treatment_mean]]/Table1347456[[#This Row],[control_mean]]</f>
        <v>1.4439655172413794</v>
      </c>
      <c r="AY564" s="14">
        <f>LN(Table1347456[[#This Row],[rr]])</f>
        <v>0.36739316015875656</v>
      </c>
      <c r="AZ564" s="13">
        <v>4</v>
      </c>
      <c r="BA564" s="13">
        <v>4</v>
      </c>
      <c r="BB564" s="14" t="s">
        <v>46</v>
      </c>
      <c r="BC564" s="14" t="s">
        <v>46</v>
      </c>
      <c r="BD564" s="15" t="s">
        <v>46</v>
      </c>
      <c r="BE564" s="14" t="s">
        <v>46</v>
      </c>
      <c r="BF56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64" s="17" t="s">
        <v>46</v>
      </c>
      <c r="BH564" s="13" t="s">
        <v>50</v>
      </c>
      <c r="BI564" s="13">
        <v>2.5000000000000001E-2</v>
      </c>
      <c r="BJ564" s="18">
        <f>ABS(_xlfn.NORM.S.INV(Table1347456[[#This Row],[p_value]]/2))</f>
        <v>2.2414027276049446</v>
      </c>
      <c r="BK564" s="19">
        <f>(Table1347456[[#This Row],[lnrr]]/Table1347456[[#This Row],[z_from_p]])^2</f>
        <v>2.6867195851739481E-2</v>
      </c>
      <c r="BL564" s="16">
        <f>Table1347456[[#This Row],[v_from_z_from_p]]</f>
        <v>2.6867195851739481E-2</v>
      </c>
      <c r="BM564" s="20">
        <f>SQRT(Table1347456[[#This Row],[v]])</f>
        <v>0.16391215895027275</v>
      </c>
      <c r="BN564" s="20">
        <f>Table1347456[[#This Row],[lnrr]]-(1.96*Table1347456[[#This Row],[se]])</f>
        <v>4.6125328616221983E-2</v>
      </c>
      <c r="BO564" s="20">
        <f>Table1347456[[#This Row],[lnrr]]+(1.96 * Table1347456[[#This Row],[se]])</f>
        <v>0.68866099170129114</v>
      </c>
    </row>
    <row r="565" spans="1:67" ht="17">
      <c r="A565" s="13" t="s">
        <v>215</v>
      </c>
      <c r="B565" s="13" t="s">
        <v>216</v>
      </c>
      <c r="C565" s="13" t="s">
        <v>43</v>
      </c>
      <c r="D565" s="13" t="s">
        <v>217</v>
      </c>
      <c r="E565" s="13" t="s">
        <v>132</v>
      </c>
      <c r="F565" s="13" t="s">
        <v>589</v>
      </c>
      <c r="G565" s="13" t="s">
        <v>46</v>
      </c>
      <c r="H565" s="13">
        <v>28</v>
      </c>
      <c r="I565" s="13" t="s">
        <v>46</v>
      </c>
      <c r="J565" s="25" t="s">
        <v>670</v>
      </c>
      <c r="K565" s="13" t="s">
        <v>980</v>
      </c>
      <c r="L565" s="13" t="s">
        <v>979</v>
      </c>
      <c r="M565" s="25" t="s">
        <v>670</v>
      </c>
      <c r="N565" s="13" t="s">
        <v>119</v>
      </c>
      <c r="O565" s="13" t="s">
        <v>645</v>
      </c>
      <c r="P565" s="13" t="s">
        <v>85</v>
      </c>
      <c r="Q565" s="13" t="s">
        <v>48</v>
      </c>
      <c r="R565" s="4">
        <v>4</v>
      </c>
      <c r="S565" s="13" t="s">
        <v>596</v>
      </c>
      <c r="T565" s="13">
        <v>270</v>
      </c>
      <c r="U565" s="4" t="s">
        <v>219</v>
      </c>
      <c r="V565" s="4">
        <v>500</v>
      </c>
      <c r="W565" s="4" t="s">
        <v>601</v>
      </c>
      <c r="X565" s="4">
        <v>723</v>
      </c>
      <c r="Y565" s="4">
        <v>60</v>
      </c>
      <c r="AA565" s="4" t="s">
        <v>49</v>
      </c>
      <c r="AB565" s="4">
        <v>0</v>
      </c>
      <c r="AC565" s="4" t="s">
        <v>49</v>
      </c>
      <c r="AD565" s="4">
        <v>0</v>
      </c>
      <c r="AE565" s="4" t="s">
        <v>49</v>
      </c>
      <c r="AF565" s="4">
        <v>0</v>
      </c>
      <c r="AG565" s="4" t="s">
        <v>685</v>
      </c>
      <c r="AH565" s="4" t="s">
        <v>782</v>
      </c>
      <c r="AI565" s="4" t="s">
        <v>78</v>
      </c>
      <c r="AJ565" s="13">
        <v>0</v>
      </c>
      <c r="AK565" s="13">
        <v>20</v>
      </c>
      <c r="AL565" s="13" t="s">
        <v>513</v>
      </c>
      <c r="AN565" s="13" t="s">
        <v>514</v>
      </c>
      <c r="AP565" s="13" t="s">
        <v>49</v>
      </c>
      <c r="AQ565" s="13" t="s">
        <v>49</v>
      </c>
      <c r="AR565" s="13" t="s">
        <v>49</v>
      </c>
      <c r="AS565" s="13" t="s">
        <v>49</v>
      </c>
      <c r="AT565" s="13" t="s">
        <v>990</v>
      </c>
      <c r="AU565" s="13" t="s">
        <v>998</v>
      </c>
      <c r="AV565" s="23">
        <f>72/1000</f>
        <v>7.1999999999999995E-2</v>
      </c>
      <c r="AW565" s="23">
        <f>46.4/1000</f>
        <v>4.6399999999999997E-2</v>
      </c>
      <c r="AX565" s="14">
        <f>Table1347456[[#This Row],[treatment_mean]]/Table1347456[[#This Row],[control_mean]]</f>
        <v>1.5517241379310345</v>
      </c>
      <c r="AY565" s="14">
        <f>LN(Table1347456[[#This Row],[rr]])</f>
        <v>0.4393666597838457</v>
      </c>
      <c r="AZ565" s="13">
        <v>4</v>
      </c>
      <c r="BA565" s="13">
        <v>4</v>
      </c>
      <c r="BB565" s="14" t="s">
        <v>46</v>
      </c>
      <c r="BC565" s="14" t="s">
        <v>46</v>
      </c>
      <c r="BD565" s="15" t="s">
        <v>46</v>
      </c>
      <c r="BE565" s="14" t="s">
        <v>46</v>
      </c>
      <c r="BF56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65" s="17" t="s">
        <v>46</v>
      </c>
      <c r="BH565" s="13" t="s">
        <v>50</v>
      </c>
      <c r="BI565" s="13">
        <v>2.5000000000000001E-2</v>
      </c>
      <c r="BJ565" s="18">
        <f>ABS(_xlfn.NORM.S.INV(Table1347456[[#This Row],[p_value]]/2))</f>
        <v>2.2414027276049446</v>
      </c>
      <c r="BK565" s="19">
        <f>(Table1347456[[#This Row],[lnrr]]/Table1347456[[#This Row],[z_from_p]])^2</f>
        <v>3.8425046772962282E-2</v>
      </c>
      <c r="BL565" s="16">
        <f>Table1347456[[#This Row],[v_from_z_from_p]]</f>
        <v>3.8425046772962282E-2</v>
      </c>
      <c r="BM565" s="20">
        <f>SQRT(Table1347456[[#This Row],[v]])</f>
        <v>0.19602307714389722</v>
      </c>
      <c r="BN565" s="20">
        <f>Table1347456[[#This Row],[lnrr]]-(1.96*Table1347456[[#This Row],[se]])</f>
        <v>5.516142858180717E-2</v>
      </c>
      <c r="BO565" s="20">
        <f>Table1347456[[#This Row],[lnrr]]+(1.96 * Table1347456[[#This Row],[se]])</f>
        <v>0.82357189098588424</v>
      </c>
    </row>
    <row r="566" spans="1:67" ht="17">
      <c r="A566" s="13" t="s">
        <v>215</v>
      </c>
      <c r="B566" s="13" t="s">
        <v>216</v>
      </c>
      <c r="C566" s="13" t="s">
        <v>43</v>
      </c>
      <c r="D566" s="13" t="s">
        <v>217</v>
      </c>
      <c r="E566" s="13" t="s">
        <v>132</v>
      </c>
      <c r="F566" s="13" t="s">
        <v>589</v>
      </c>
      <c r="G566" s="13" t="s">
        <v>46</v>
      </c>
      <c r="H566" s="13">
        <v>28</v>
      </c>
      <c r="I566" s="13" t="s">
        <v>46</v>
      </c>
      <c r="J566" s="25" t="s">
        <v>670</v>
      </c>
      <c r="K566" s="13" t="s">
        <v>980</v>
      </c>
      <c r="L566" s="13" t="s">
        <v>979</v>
      </c>
      <c r="M566" s="25" t="s">
        <v>670</v>
      </c>
      <c r="N566" s="13" t="s">
        <v>119</v>
      </c>
      <c r="O566" s="13" t="s">
        <v>645</v>
      </c>
      <c r="P566" s="13" t="s">
        <v>85</v>
      </c>
      <c r="Q566" s="13" t="s">
        <v>48</v>
      </c>
      <c r="R566" s="4">
        <v>4</v>
      </c>
      <c r="S566" s="13" t="s">
        <v>596</v>
      </c>
      <c r="T566" s="13">
        <v>270</v>
      </c>
      <c r="U566" s="4" t="s">
        <v>220</v>
      </c>
      <c r="V566" s="4">
        <v>500</v>
      </c>
      <c r="W566" s="4" t="s">
        <v>601</v>
      </c>
      <c r="X566" s="4">
        <v>430</v>
      </c>
      <c r="Y566" s="4">
        <v>30</v>
      </c>
      <c r="AA566" s="4" t="s">
        <v>49</v>
      </c>
      <c r="AB566" s="4">
        <v>0</v>
      </c>
      <c r="AC566" s="4" t="s">
        <v>49</v>
      </c>
      <c r="AD566" s="4">
        <v>0</v>
      </c>
      <c r="AE566" s="4" t="s">
        <v>49</v>
      </c>
      <c r="AF566" s="4">
        <v>0</v>
      </c>
      <c r="AG566" s="4" t="s">
        <v>770</v>
      </c>
      <c r="AH566" s="4" t="s">
        <v>782</v>
      </c>
      <c r="AI566" s="4" t="s">
        <v>78</v>
      </c>
      <c r="AJ566" s="13">
        <v>0</v>
      </c>
      <c r="AK566" s="13">
        <v>20</v>
      </c>
      <c r="AL566" s="13" t="s">
        <v>513</v>
      </c>
      <c r="AN566" s="13" t="s">
        <v>514</v>
      </c>
      <c r="AP566" s="13" t="s">
        <v>49</v>
      </c>
      <c r="AQ566" s="13" t="s">
        <v>49</v>
      </c>
      <c r="AR566" s="13" t="s">
        <v>49</v>
      </c>
      <c r="AS566" s="13" t="s">
        <v>49</v>
      </c>
      <c r="AT566" s="13" t="s">
        <v>990</v>
      </c>
      <c r="AU566" s="13" t="s">
        <v>998</v>
      </c>
      <c r="AV566" s="23">
        <f>74.7/1000</f>
        <v>7.4700000000000003E-2</v>
      </c>
      <c r="AW566" s="23">
        <f>43.4/1000</f>
        <v>4.3400000000000001E-2</v>
      </c>
      <c r="AX566" s="14">
        <f>Table1347456[[#This Row],[treatment_mean]]/Table1347456[[#This Row],[control_mean]]</f>
        <v>1.7211981566820276</v>
      </c>
      <c r="AY566" s="14">
        <f>LN(Table1347456[[#This Row],[rr]])</f>
        <v>0.54302065103241237</v>
      </c>
      <c r="AZ566" s="13">
        <v>4</v>
      </c>
      <c r="BA566" s="13">
        <v>4</v>
      </c>
      <c r="BB566" s="14" t="s">
        <v>46</v>
      </c>
      <c r="BC566" s="14" t="s">
        <v>46</v>
      </c>
      <c r="BD566" s="15" t="s">
        <v>46</v>
      </c>
      <c r="BE566" s="14" t="s">
        <v>46</v>
      </c>
      <c r="BF56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66" s="17" t="s">
        <v>46</v>
      </c>
      <c r="BH566" s="13" t="s">
        <v>50</v>
      </c>
      <c r="BI566" s="13">
        <v>2.5000000000000001E-2</v>
      </c>
      <c r="BJ566" s="18">
        <f>ABS(_xlfn.NORM.S.INV(Table1347456[[#This Row],[p_value]]/2))</f>
        <v>2.2414027276049446</v>
      </c>
      <c r="BK566" s="19">
        <f>(Table1347456[[#This Row],[lnrr]]/Table1347456[[#This Row],[z_from_p]])^2</f>
        <v>5.8693890835386307E-2</v>
      </c>
      <c r="BL566" s="16">
        <f>Table1347456[[#This Row],[v_from_z_from_p]]</f>
        <v>5.8693890835386307E-2</v>
      </c>
      <c r="BM566" s="20">
        <f>SQRT(Table1347456[[#This Row],[v]])</f>
        <v>0.24226822085322355</v>
      </c>
      <c r="BN566" s="20">
        <f>Table1347456[[#This Row],[lnrr]]-(1.96*Table1347456[[#This Row],[se]])</f>
        <v>6.8174938160094234E-2</v>
      </c>
      <c r="BO566" s="20">
        <f>Table1347456[[#This Row],[lnrr]]+(1.96 * Table1347456[[#This Row],[se]])</f>
        <v>1.0178663639047305</v>
      </c>
    </row>
    <row r="567" spans="1:67" ht="17">
      <c r="A567" s="13" t="s">
        <v>215</v>
      </c>
      <c r="B567" s="13" t="s">
        <v>216</v>
      </c>
      <c r="C567" s="13" t="s">
        <v>43</v>
      </c>
      <c r="D567" s="13" t="s">
        <v>217</v>
      </c>
      <c r="E567" s="13" t="s">
        <v>132</v>
      </c>
      <c r="F567" s="13" t="s">
        <v>589</v>
      </c>
      <c r="G567" s="13" t="s">
        <v>46</v>
      </c>
      <c r="H567" s="13">
        <v>28</v>
      </c>
      <c r="I567" s="13" t="s">
        <v>46</v>
      </c>
      <c r="J567" s="25" t="s">
        <v>670</v>
      </c>
      <c r="K567" s="13" t="s">
        <v>980</v>
      </c>
      <c r="L567" s="13" t="s">
        <v>979</v>
      </c>
      <c r="M567" s="25" t="s">
        <v>670</v>
      </c>
      <c r="N567" s="13" t="s">
        <v>119</v>
      </c>
      <c r="O567" s="13" t="s">
        <v>645</v>
      </c>
      <c r="P567" s="13" t="s">
        <v>85</v>
      </c>
      <c r="Q567" s="13" t="s">
        <v>48</v>
      </c>
      <c r="R567" s="4">
        <v>4</v>
      </c>
      <c r="S567" s="13" t="s">
        <v>596</v>
      </c>
      <c r="T567" s="13">
        <v>270</v>
      </c>
      <c r="U567" s="4" t="s">
        <v>220</v>
      </c>
      <c r="V567" s="4">
        <v>500</v>
      </c>
      <c r="W567" s="4" t="s">
        <v>601</v>
      </c>
      <c r="X567" s="4">
        <v>430</v>
      </c>
      <c r="Y567" s="4">
        <v>60</v>
      </c>
      <c r="AA567" s="4" t="s">
        <v>49</v>
      </c>
      <c r="AB567" s="4">
        <v>0</v>
      </c>
      <c r="AC567" s="4" t="s">
        <v>49</v>
      </c>
      <c r="AD567" s="4">
        <v>0</v>
      </c>
      <c r="AE567" s="4" t="s">
        <v>49</v>
      </c>
      <c r="AF567" s="4">
        <v>0</v>
      </c>
      <c r="AG567" s="4" t="s">
        <v>770</v>
      </c>
      <c r="AH567" s="4" t="s">
        <v>782</v>
      </c>
      <c r="AI567" s="4" t="s">
        <v>78</v>
      </c>
      <c r="AJ567" s="13">
        <v>0</v>
      </c>
      <c r="AK567" s="13">
        <v>20</v>
      </c>
      <c r="AL567" s="13" t="s">
        <v>513</v>
      </c>
      <c r="AN567" s="13" t="s">
        <v>514</v>
      </c>
      <c r="AP567" s="13" t="s">
        <v>49</v>
      </c>
      <c r="AQ567" s="13" t="s">
        <v>49</v>
      </c>
      <c r="AR567" s="13" t="s">
        <v>49</v>
      </c>
      <c r="AS567" s="13" t="s">
        <v>49</v>
      </c>
      <c r="AT567" s="13" t="s">
        <v>990</v>
      </c>
      <c r="AU567" s="13" t="s">
        <v>998</v>
      </c>
      <c r="AV567" s="23">
        <f>97.8/1000</f>
        <v>9.7799999999999998E-2</v>
      </c>
      <c r="AW567" s="23">
        <f>43.4/1000</f>
        <v>4.3400000000000001E-2</v>
      </c>
      <c r="AX567" s="14">
        <f>Table1347456[[#This Row],[treatment_mean]]/Table1347456[[#This Row],[control_mean]]</f>
        <v>2.2534562211981566</v>
      </c>
      <c r="AY567" s="14">
        <f>LN(Table1347456[[#This Row],[rr]])</f>
        <v>0.81246513593441239</v>
      </c>
      <c r="AZ567" s="13">
        <v>4</v>
      </c>
      <c r="BA567" s="13">
        <v>4</v>
      </c>
      <c r="BB567" s="14" t="s">
        <v>46</v>
      </c>
      <c r="BC567" s="14" t="s">
        <v>46</v>
      </c>
      <c r="BD567" s="15" t="s">
        <v>46</v>
      </c>
      <c r="BE567" s="14" t="s">
        <v>46</v>
      </c>
      <c r="BF56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67" s="17" t="s">
        <v>46</v>
      </c>
      <c r="BH567" s="13" t="s">
        <v>50</v>
      </c>
      <c r="BI567" s="13">
        <v>2.5000000000000001E-2</v>
      </c>
      <c r="BJ567" s="18">
        <f>ABS(_xlfn.NORM.S.INV(Table1347456[[#This Row],[p_value]]/2))</f>
        <v>2.2414027276049446</v>
      </c>
      <c r="BK567" s="19">
        <f>(Table1347456[[#This Row],[lnrr]]/Table1347456[[#This Row],[z_from_p]])^2</f>
        <v>0.1313922275499888</v>
      </c>
      <c r="BL567" s="16">
        <f>Table1347456[[#This Row],[v_from_z_from_p]]</f>
        <v>0.1313922275499888</v>
      </c>
      <c r="BM567" s="20">
        <f>SQRT(Table1347456[[#This Row],[v]])</f>
        <v>0.36248065817363112</v>
      </c>
      <c r="BN567" s="20">
        <f>Table1347456[[#This Row],[lnrr]]-(1.96*Table1347456[[#This Row],[se]])</f>
        <v>0.10200304591409537</v>
      </c>
      <c r="BO567" s="20">
        <f>Table1347456[[#This Row],[lnrr]]+(1.96 * Table1347456[[#This Row],[se]])</f>
        <v>1.5229272259547293</v>
      </c>
    </row>
    <row r="568" spans="1:67">
      <c r="A568" s="13" t="s">
        <v>215</v>
      </c>
      <c r="B568" s="13" t="s">
        <v>216</v>
      </c>
      <c r="C568" s="13" t="s">
        <v>43</v>
      </c>
      <c r="D568" s="13" t="s">
        <v>217</v>
      </c>
      <c r="E568" s="13" t="s">
        <v>132</v>
      </c>
      <c r="F568" s="13" t="s">
        <v>589</v>
      </c>
      <c r="G568" s="13" t="s">
        <v>46</v>
      </c>
      <c r="H568" s="13">
        <v>28</v>
      </c>
      <c r="I568" s="13" t="s">
        <v>46</v>
      </c>
      <c r="K568" s="13" t="s">
        <v>980</v>
      </c>
      <c r="L568" s="13" t="s">
        <v>979</v>
      </c>
      <c r="N568" s="13" t="s">
        <v>122</v>
      </c>
      <c r="O568" s="13" t="s">
        <v>645</v>
      </c>
      <c r="P568" s="13" t="s">
        <v>85</v>
      </c>
      <c r="Q568" s="13" t="s">
        <v>48</v>
      </c>
      <c r="R568" s="4">
        <v>4</v>
      </c>
      <c r="S568" s="13" t="s">
        <v>596</v>
      </c>
      <c r="T568" s="13">
        <v>270</v>
      </c>
      <c r="U568" s="4" t="s">
        <v>218</v>
      </c>
      <c r="V568" s="4">
        <v>500</v>
      </c>
      <c r="W568" s="4" t="s">
        <v>601</v>
      </c>
      <c r="X568" s="4">
        <v>795</v>
      </c>
      <c r="Y568" s="4">
        <v>30</v>
      </c>
      <c r="AA568" s="4" t="s">
        <v>49</v>
      </c>
      <c r="AB568" s="4">
        <v>0</v>
      </c>
      <c r="AC568" s="4" t="s">
        <v>49</v>
      </c>
      <c r="AD568" s="4">
        <v>0</v>
      </c>
      <c r="AE568" s="4" t="s">
        <v>49</v>
      </c>
      <c r="AF568" s="4">
        <v>0</v>
      </c>
      <c r="AG568" s="4" t="s">
        <v>783</v>
      </c>
      <c r="AH568" s="4" t="s">
        <v>782</v>
      </c>
      <c r="AI568" s="4" t="s">
        <v>78</v>
      </c>
      <c r="AJ568" s="13">
        <v>0</v>
      </c>
      <c r="AK568" s="13">
        <v>20</v>
      </c>
      <c r="AL568" s="13" t="s">
        <v>513</v>
      </c>
      <c r="AN568" s="13" t="s">
        <v>514</v>
      </c>
      <c r="AP568" s="13" t="s">
        <v>49</v>
      </c>
      <c r="AQ568" s="13" t="s">
        <v>49</v>
      </c>
      <c r="AR568" s="13" t="s">
        <v>49</v>
      </c>
      <c r="AS568" s="13" t="s">
        <v>49</v>
      </c>
      <c r="AT568" s="13" t="s">
        <v>990</v>
      </c>
      <c r="AU568" s="13" t="s">
        <v>998</v>
      </c>
      <c r="AV568" s="14">
        <f>2.57/1000</f>
        <v>2.5699999999999998E-3</v>
      </c>
      <c r="AW568" s="14">
        <f t="shared" ref="AW568:AW573" si="19">2.96/1000</f>
        <v>2.96E-3</v>
      </c>
      <c r="AX568" s="14">
        <f>Table1347456[[#This Row],[treatment_mean]]/Table1347456[[#This Row],[control_mean]]</f>
        <v>0.8682432432432432</v>
      </c>
      <c r="AY568" s="14">
        <f>LN(Table1347456[[#This Row],[rr]])</f>
        <v>-0.14128336942884062</v>
      </c>
      <c r="AZ568" s="13">
        <v>4</v>
      </c>
      <c r="BA568" s="13">
        <v>4</v>
      </c>
      <c r="BB568" s="14" t="s">
        <v>46</v>
      </c>
      <c r="BC568" s="14" t="s">
        <v>46</v>
      </c>
      <c r="BD568" s="15" t="s">
        <v>46</v>
      </c>
      <c r="BE568" s="14" t="s">
        <v>46</v>
      </c>
      <c r="BF56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68" s="17" t="s">
        <v>46</v>
      </c>
      <c r="BH568" s="13" t="s">
        <v>50</v>
      </c>
      <c r="BI568" s="13">
        <v>2.5000000000000001E-2</v>
      </c>
      <c r="BJ568" s="18">
        <f>ABS(_xlfn.NORM.S.INV(Table1347456[[#This Row],[p_value]]/2))</f>
        <v>2.2414027276049446</v>
      </c>
      <c r="BK568" s="19">
        <f>(Table1347456[[#This Row],[lnrr]]/Table1347456[[#This Row],[z_from_p]])^2</f>
        <v>3.9732170938838081E-3</v>
      </c>
      <c r="BL568" s="16">
        <f>Table1347456[[#This Row],[v_from_z_from_p]]</f>
        <v>3.9732170938838081E-3</v>
      </c>
      <c r="BM568" s="20">
        <f>SQRT(Table1347456[[#This Row],[v]])</f>
        <v>6.3033460113528658E-2</v>
      </c>
      <c r="BN568" s="20">
        <f>Table1347456[[#This Row],[lnrr]]-(1.96*Table1347456[[#This Row],[se]])</f>
        <v>-0.2648289512513568</v>
      </c>
      <c r="BO568" s="20">
        <f>Table1347456[[#This Row],[lnrr]]+(1.96 * Table1347456[[#This Row],[se]])</f>
        <v>-1.7737787606324454E-2</v>
      </c>
    </row>
    <row r="569" spans="1:67">
      <c r="A569" s="13" t="s">
        <v>215</v>
      </c>
      <c r="B569" s="13" t="s">
        <v>216</v>
      </c>
      <c r="C569" s="13" t="s">
        <v>43</v>
      </c>
      <c r="D569" s="13" t="s">
        <v>217</v>
      </c>
      <c r="E569" s="13" t="s">
        <v>132</v>
      </c>
      <c r="F569" s="13" t="s">
        <v>589</v>
      </c>
      <c r="G569" s="13" t="s">
        <v>46</v>
      </c>
      <c r="H569" s="13">
        <v>28</v>
      </c>
      <c r="I569" s="13" t="s">
        <v>46</v>
      </c>
      <c r="K569" s="13" t="s">
        <v>980</v>
      </c>
      <c r="L569" s="13" t="s">
        <v>979</v>
      </c>
      <c r="N569" s="13" t="s">
        <v>122</v>
      </c>
      <c r="O569" s="13" t="s">
        <v>645</v>
      </c>
      <c r="P569" s="13" t="s">
        <v>85</v>
      </c>
      <c r="Q569" s="13" t="s">
        <v>48</v>
      </c>
      <c r="R569" s="4">
        <v>4</v>
      </c>
      <c r="S569" s="13" t="s">
        <v>596</v>
      </c>
      <c r="T569" s="13">
        <v>270</v>
      </c>
      <c r="U569" s="4" t="s">
        <v>218</v>
      </c>
      <c r="V569" s="4">
        <v>500</v>
      </c>
      <c r="W569" s="4" t="s">
        <v>601</v>
      </c>
      <c r="X569" s="4">
        <v>795</v>
      </c>
      <c r="Y569" s="4">
        <v>60</v>
      </c>
      <c r="AA569" s="4" t="s">
        <v>49</v>
      </c>
      <c r="AB569" s="4">
        <v>0</v>
      </c>
      <c r="AC569" s="4" t="s">
        <v>49</v>
      </c>
      <c r="AD569" s="4">
        <v>0</v>
      </c>
      <c r="AE569" s="4" t="s">
        <v>49</v>
      </c>
      <c r="AF569" s="4">
        <v>0</v>
      </c>
      <c r="AG569" s="4" t="s">
        <v>783</v>
      </c>
      <c r="AH569" s="4" t="s">
        <v>782</v>
      </c>
      <c r="AI569" s="4" t="s">
        <v>78</v>
      </c>
      <c r="AJ569" s="13">
        <v>0</v>
      </c>
      <c r="AK569" s="13">
        <v>20</v>
      </c>
      <c r="AL569" s="13" t="s">
        <v>513</v>
      </c>
      <c r="AN569" s="13" t="s">
        <v>514</v>
      </c>
      <c r="AP569" s="13" t="s">
        <v>49</v>
      </c>
      <c r="AQ569" s="13" t="s">
        <v>49</v>
      </c>
      <c r="AR569" s="13" t="s">
        <v>49</v>
      </c>
      <c r="AS569" s="13" t="s">
        <v>49</v>
      </c>
      <c r="AT569" s="13" t="s">
        <v>990</v>
      </c>
      <c r="AU569" s="13" t="s">
        <v>998</v>
      </c>
      <c r="AV569" s="14">
        <f>3.38/1000</f>
        <v>3.3799999999999998E-3</v>
      </c>
      <c r="AW569" s="14">
        <f t="shared" si="19"/>
        <v>2.96E-3</v>
      </c>
      <c r="AX569" s="14">
        <f>Table1347456[[#This Row],[treatment_mean]]/Table1347456[[#This Row],[control_mean]]</f>
        <v>1.1418918918918919</v>
      </c>
      <c r="AY569" s="14">
        <f>LN(Table1347456[[#This Row],[rr]])</f>
        <v>0.13268644115895839</v>
      </c>
      <c r="AZ569" s="13">
        <v>4</v>
      </c>
      <c r="BA569" s="13">
        <v>4</v>
      </c>
      <c r="BB569" s="14" t="s">
        <v>46</v>
      </c>
      <c r="BC569" s="14" t="s">
        <v>46</v>
      </c>
      <c r="BD569" s="15" t="s">
        <v>46</v>
      </c>
      <c r="BE569" s="14" t="s">
        <v>46</v>
      </c>
      <c r="BF56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69" s="17" t="s">
        <v>46</v>
      </c>
      <c r="BH569" s="13" t="s">
        <v>50</v>
      </c>
      <c r="BI569" s="13">
        <v>2.5000000000000001E-2</v>
      </c>
      <c r="BJ569" s="18">
        <f>ABS(_xlfn.NORM.S.INV(Table1347456[[#This Row],[p_value]]/2))</f>
        <v>2.2414027276049446</v>
      </c>
      <c r="BK569" s="19">
        <f>(Table1347456[[#This Row],[lnrr]]/Table1347456[[#This Row],[z_from_p]])^2</f>
        <v>3.5043969968673663E-3</v>
      </c>
      <c r="BL569" s="16">
        <f>Table1347456[[#This Row],[v_from_z_from_p]]</f>
        <v>3.5043969968673663E-3</v>
      </c>
      <c r="BM569" s="20">
        <f>SQRT(Table1347456[[#This Row],[v]])</f>
        <v>5.9197947573098902E-2</v>
      </c>
      <c r="BN569" s="20">
        <f>Table1347456[[#This Row],[lnrr]]-(1.96*Table1347456[[#This Row],[se]])</f>
        <v>1.665846391568454E-2</v>
      </c>
      <c r="BO569" s="20">
        <f>Table1347456[[#This Row],[lnrr]]+(1.96 * Table1347456[[#This Row],[se]])</f>
        <v>0.24871441840223224</v>
      </c>
    </row>
    <row r="570" spans="1:67">
      <c r="A570" s="13" t="s">
        <v>215</v>
      </c>
      <c r="B570" s="13" t="s">
        <v>216</v>
      </c>
      <c r="C570" s="13" t="s">
        <v>43</v>
      </c>
      <c r="D570" s="13" t="s">
        <v>217</v>
      </c>
      <c r="E570" s="13" t="s">
        <v>132</v>
      </c>
      <c r="F570" s="13" t="s">
        <v>589</v>
      </c>
      <c r="G570" s="13" t="s">
        <v>46</v>
      </c>
      <c r="H570" s="13">
        <v>28</v>
      </c>
      <c r="I570" s="13" t="s">
        <v>46</v>
      </c>
      <c r="K570" s="13" t="s">
        <v>980</v>
      </c>
      <c r="L570" s="13" t="s">
        <v>979</v>
      </c>
      <c r="N570" s="13" t="s">
        <v>122</v>
      </c>
      <c r="O570" s="13" t="s">
        <v>645</v>
      </c>
      <c r="P570" s="13" t="s">
        <v>85</v>
      </c>
      <c r="Q570" s="13" t="s">
        <v>48</v>
      </c>
      <c r="R570" s="4">
        <v>4</v>
      </c>
      <c r="S570" s="13" t="s">
        <v>596</v>
      </c>
      <c r="T570" s="13">
        <v>270</v>
      </c>
      <c r="U570" s="4" t="s">
        <v>219</v>
      </c>
      <c r="V570" s="4">
        <v>500</v>
      </c>
      <c r="W570" s="4" t="s">
        <v>601</v>
      </c>
      <c r="X570" s="4">
        <v>723</v>
      </c>
      <c r="Y570" s="4">
        <v>30</v>
      </c>
      <c r="AA570" s="4" t="s">
        <v>49</v>
      </c>
      <c r="AB570" s="4">
        <v>0</v>
      </c>
      <c r="AC570" s="4" t="s">
        <v>49</v>
      </c>
      <c r="AD570" s="4">
        <v>0</v>
      </c>
      <c r="AE570" s="4" t="s">
        <v>49</v>
      </c>
      <c r="AF570" s="4">
        <v>0</v>
      </c>
      <c r="AG570" s="4" t="s">
        <v>685</v>
      </c>
      <c r="AH570" s="4" t="s">
        <v>782</v>
      </c>
      <c r="AI570" s="4" t="s">
        <v>78</v>
      </c>
      <c r="AJ570" s="13">
        <v>0</v>
      </c>
      <c r="AK570" s="13">
        <v>20</v>
      </c>
      <c r="AL570" s="13" t="s">
        <v>513</v>
      </c>
      <c r="AN570" s="13" t="s">
        <v>514</v>
      </c>
      <c r="AP570" s="13" t="s">
        <v>49</v>
      </c>
      <c r="AQ570" s="13" t="s">
        <v>49</v>
      </c>
      <c r="AR570" s="13" t="s">
        <v>49</v>
      </c>
      <c r="AS570" s="13" t="s">
        <v>49</v>
      </c>
      <c r="AT570" s="13" t="s">
        <v>990</v>
      </c>
      <c r="AU570" s="13" t="s">
        <v>998</v>
      </c>
      <c r="AV570" s="14">
        <f>1.7/1000</f>
        <v>1.6999999999999999E-3</v>
      </c>
      <c r="AW570" s="14">
        <f t="shared" si="19"/>
        <v>2.96E-3</v>
      </c>
      <c r="AX570" s="14">
        <f>Table1347456[[#This Row],[treatment_mean]]/Table1347456[[#This Row],[control_mean]]</f>
        <v>0.57432432432432434</v>
      </c>
      <c r="AY570" s="14">
        <f>LN(Table1347456[[#This Row],[rr]])</f>
        <v>-0.55456101727379858</v>
      </c>
      <c r="AZ570" s="13">
        <v>4</v>
      </c>
      <c r="BA570" s="13">
        <v>4</v>
      </c>
      <c r="BB570" s="14" t="s">
        <v>46</v>
      </c>
      <c r="BC570" s="14" t="s">
        <v>46</v>
      </c>
      <c r="BD570" s="15" t="s">
        <v>46</v>
      </c>
      <c r="BE570" s="14" t="s">
        <v>46</v>
      </c>
      <c r="BF57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70" s="17" t="s">
        <v>46</v>
      </c>
      <c r="BH570" s="13" t="s">
        <v>50</v>
      </c>
      <c r="BI570" s="13">
        <v>2.5000000000000001E-2</v>
      </c>
      <c r="BJ570" s="18">
        <f>ABS(_xlfn.NORM.S.INV(Table1347456[[#This Row],[p_value]]/2))</f>
        <v>2.2414027276049446</v>
      </c>
      <c r="BK570" s="19">
        <f>(Table1347456[[#This Row],[lnrr]]/Table1347456[[#This Row],[z_from_p]])^2</f>
        <v>6.1215145091517292E-2</v>
      </c>
      <c r="BL570" s="16">
        <f>Table1347456[[#This Row],[v_from_z_from_p]]</f>
        <v>6.1215145091517292E-2</v>
      </c>
      <c r="BM570" s="20">
        <f>SQRT(Table1347456[[#This Row],[v]])</f>
        <v>0.24741694584550447</v>
      </c>
      <c r="BN570" s="20">
        <f>Table1347456[[#This Row],[lnrr]]-(1.96*Table1347456[[#This Row],[se]])</f>
        <v>-1.0394982311309873</v>
      </c>
      <c r="BO570" s="20">
        <f>Table1347456[[#This Row],[lnrr]]+(1.96 * Table1347456[[#This Row],[se]])</f>
        <v>-6.9623803416609842E-2</v>
      </c>
    </row>
    <row r="571" spans="1:67">
      <c r="A571" s="13" t="s">
        <v>215</v>
      </c>
      <c r="B571" s="13" t="s">
        <v>216</v>
      </c>
      <c r="C571" s="13" t="s">
        <v>43</v>
      </c>
      <c r="D571" s="13" t="s">
        <v>217</v>
      </c>
      <c r="E571" s="13" t="s">
        <v>132</v>
      </c>
      <c r="F571" s="13" t="s">
        <v>589</v>
      </c>
      <c r="G571" s="13" t="s">
        <v>46</v>
      </c>
      <c r="H571" s="13">
        <v>28</v>
      </c>
      <c r="I571" s="13" t="s">
        <v>46</v>
      </c>
      <c r="K571" s="13" t="s">
        <v>980</v>
      </c>
      <c r="L571" s="13" t="s">
        <v>979</v>
      </c>
      <c r="N571" s="13" t="s">
        <v>122</v>
      </c>
      <c r="O571" s="13" t="s">
        <v>645</v>
      </c>
      <c r="P571" s="13" t="s">
        <v>85</v>
      </c>
      <c r="Q571" s="13" t="s">
        <v>48</v>
      </c>
      <c r="R571" s="4">
        <v>4</v>
      </c>
      <c r="S571" s="13" t="s">
        <v>596</v>
      </c>
      <c r="T571" s="13">
        <v>270</v>
      </c>
      <c r="U571" s="4" t="s">
        <v>219</v>
      </c>
      <c r="V571" s="4">
        <v>500</v>
      </c>
      <c r="W571" s="4" t="s">
        <v>601</v>
      </c>
      <c r="X571" s="4">
        <v>723</v>
      </c>
      <c r="Y571" s="4">
        <v>60</v>
      </c>
      <c r="AA571" s="4" t="s">
        <v>49</v>
      </c>
      <c r="AB571" s="4">
        <v>0</v>
      </c>
      <c r="AC571" s="4" t="s">
        <v>49</v>
      </c>
      <c r="AD571" s="4">
        <v>0</v>
      </c>
      <c r="AE571" s="4" t="s">
        <v>49</v>
      </c>
      <c r="AF571" s="4">
        <v>0</v>
      </c>
      <c r="AG571" s="4" t="s">
        <v>685</v>
      </c>
      <c r="AH571" s="4" t="s">
        <v>782</v>
      </c>
      <c r="AI571" s="4" t="s">
        <v>78</v>
      </c>
      <c r="AJ571" s="13">
        <v>0</v>
      </c>
      <c r="AK571" s="13">
        <v>20</v>
      </c>
      <c r="AL571" s="13" t="s">
        <v>513</v>
      </c>
      <c r="AN571" s="13" t="s">
        <v>514</v>
      </c>
      <c r="AP571" s="13" t="s">
        <v>49</v>
      </c>
      <c r="AQ571" s="13" t="s">
        <v>49</v>
      </c>
      <c r="AR571" s="13" t="s">
        <v>49</v>
      </c>
      <c r="AS571" s="13" t="s">
        <v>49</v>
      </c>
      <c r="AT571" s="13" t="s">
        <v>990</v>
      </c>
      <c r="AU571" s="13" t="s">
        <v>998</v>
      </c>
      <c r="AV571" s="14">
        <f>1.6/1000</f>
        <v>1.6000000000000001E-3</v>
      </c>
      <c r="AW571" s="14">
        <f t="shared" si="19"/>
        <v>2.96E-3</v>
      </c>
      <c r="AX571" s="14">
        <f>Table1347456[[#This Row],[treatment_mean]]/Table1347456[[#This Row],[control_mean]]</f>
        <v>0.54054054054054057</v>
      </c>
      <c r="AY571" s="14">
        <f>LN(Table1347456[[#This Row],[rr]])</f>
        <v>-0.61518563909023338</v>
      </c>
      <c r="AZ571" s="13">
        <v>4</v>
      </c>
      <c r="BA571" s="13">
        <v>4</v>
      </c>
      <c r="BB571" s="14" t="s">
        <v>46</v>
      </c>
      <c r="BC571" s="14" t="s">
        <v>46</v>
      </c>
      <c r="BD571" s="15" t="s">
        <v>46</v>
      </c>
      <c r="BE571" s="14" t="s">
        <v>46</v>
      </c>
      <c r="BF57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71" s="17" t="s">
        <v>46</v>
      </c>
      <c r="BH571" s="13" t="s">
        <v>50</v>
      </c>
      <c r="BI571" s="13">
        <v>2.5000000000000001E-2</v>
      </c>
      <c r="BJ571" s="18">
        <f>ABS(_xlfn.NORM.S.INV(Table1347456[[#This Row],[p_value]]/2))</f>
        <v>2.2414027276049446</v>
      </c>
      <c r="BK571" s="19">
        <f>(Table1347456[[#This Row],[lnrr]]/Table1347456[[#This Row],[z_from_p]])^2</f>
        <v>7.5330800983994944E-2</v>
      </c>
      <c r="BL571" s="16">
        <f>Table1347456[[#This Row],[v_from_z_from_p]]</f>
        <v>7.5330800983994944E-2</v>
      </c>
      <c r="BM571" s="20">
        <f>SQRT(Table1347456[[#This Row],[v]])</f>
        <v>0.27446457145503306</v>
      </c>
      <c r="BN571" s="20">
        <f>Table1347456[[#This Row],[lnrr]]-(1.96*Table1347456[[#This Row],[se]])</f>
        <v>-1.1531361991420983</v>
      </c>
      <c r="BO571" s="20">
        <f>Table1347456[[#This Row],[lnrr]]+(1.96 * Table1347456[[#This Row],[se]])</f>
        <v>-7.723507903836857E-2</v>
      </c>
    </row>
    <row r="572" spans="1:67">
      <c r="A572" s="13" t="s">
        <v>215</v>
      </c>
      <c r="B572" s="13" t="s">
        <v>216</v>
      </c>
      <c r="C572" s="13" t="s">
        <v>43</v>
      </c>
      <c r="D572" s="13" t="s">
        <v>217</v>
      </c>
      <c r="E572" s="13" t="s">
        <v>132</v>
      </c>
      <c r="F572" s="13" t="s">
        <v>589</v>
      </c>
      <c r="G572" s="13" t="s">
        <v>46</v>
      </c>
      <c r="H572" s="13">
        <v>28</v>
      </c>
      <c r="I572" s="13" t="s">
        <v>46</v>
      </c>
      <c r="K572" s="13" t="s">
        <v>980</v>
      </c>
      <c r="L572" s="13" t="s">
        <v>979</v>
      </c>
      <c r="N572" s="13" t="s">
        <v>122</v>
      </c>
      <c r="O572" s="13" t="s">
        <v>645</v>
      </c>
      <c r="P572" s="13" t="s">
        <v>85</v>
      </c>
      <c r="Q572" s="13" t="s">
        <v>48</v>
      </c>
      <c r="R572" s="4">
        <v>4</v>
      </c>
      <c r="S572" s="13" t="s">
        <v>596</v>
      </c>
      <c r="T572" s="13">
        <v>270</v>
      </c>
      <c r="U572" s="4" t="s">
        <v>220</v>
      </c>
      <c r="V572" s="4">
        <v>500</v>
      </c>
      <c r="W572" s="4" t="s">
        <v>601</v>
      </c>
      <c r="X572" s="4">
        <v>430</v>
      </c>
      <c r="Y572" s="4">
        <v>30</v>
      </c>
      <c r="AA572" s="4" t="s">
        <v>49</v>
      </c>
      <c r="AB572" s="4">
        <v>0</v>
      </c>
      <c r="AC572" s="4" t="s">
        <v>49</v>
      </c>
      <c r="AD572" s="4">
        <v>0</v>
      </c>
      <c r="AE572" s="4" t="s">
        <v>49</v>
      </c>
      <c r="AF572" s="4">
        <v>0</v>
      </c>
      <c r="AG572" s="4" t="s">
        <v>770</v>
      </c>
      <c r="AH572" s="4" t="s">
        <v>782</v>
      </c>
      <c r="AI572" s="4" t="s">
        <v>78</v>
      </c>
      <c r="AJ572" s="13">
        <v>0</v>
      </c>
      <c r="AK572" s="13">
        <v>20</v>
      </c>
      <c r="AL572" s="13" t="s">
        <v>513</v>
      </c>
      <c r="AN572" s="13" t="s">
        <v>514</v>
      </c>
      <c r="AP572" s="13" t="s">
        <v>49</v>
      </c>
      <c r="AQ572" s="13" t="s">
        <v>49</v>
      </c>
      <c r="AR572" s="13" t="s">
        <v>49</v>
      </c>
      <c r="AS572" s="13" t="s">
        <v>49</v>
      </c>
      <c r="AT572" s="13" t="s">
        <v>990</v>
      </c>
      <c r="AU572" s="13" t="s">
        <v>998</v>
      </c>
      <c r="AV572" s="14">
        <f>2.14/1000</f>
        <v>2.14E-3</v>
      </c>
      <c r="AW572" s="14">
        <f t="shared" si="19"/>
        <v>2.96E-3</v>
      </c>
      <c r="AX572" s="14">
        <f>Table1347456[[#This Row],[treatment_mean]]/Table1347456[[#This Row],[control_mean]]</f>
        <v>0.72297297297297303</v>
      </c>
      <c r="AY572" s="14">
        <f>LN(Table1347456[[#This Row],[rr]])</f>
        <v>-0.32438343930220881</v>
      </c>
      <c r="AZ572" s="13">
        <v>4</v>
      </c>
      <c r="BA572" s="13">
        <v>4</v>
      </c>
      <c r="BB572" s="14" t="s">
        <v>46</v>
      </c>
      <c r="BC572" s="14" t="s">
        <v>46</v>
      </c>
      <c r="BD572" s="15" t="s">
        <v>46</v>
      </c>
      <c r="BE572" s="14" t="s">
        <v>46</v>
      </c>
      <c r="BF57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72" s="17" t="s">
        <v>46</v>
      </c>
      <c r="BH572" s="13" t="s">
        <v>50</v>
      </c>
      <c r="BI572" s="13">
        <v>2.5000000000000001E-2</v>
      </c>
      <c r="BJ572" s="18">
        <f>ABS(_xlfn.NORM.S.INV(Table1347456[[#This Row],[p_value]]/2))</f>
        <v>2.2414027276049446</v>
      </c>
      <c r="BK572" s="19">
        <f>(Table1347456[[#This Row],[lnrr]]/Table1347456[[#This Row],[z_from_p]])^2</f>
        <v>2.0944864547134408E-2</v>
      </c>
      <c r="BL572" s="16">
        <f>Table1347456[[#This Row],[v_from_z_from_p]]</f>
        <v>2.0944864547134408E-2</v>
      </c>
      <c r="BM572" s="20">
        <f>SQRT(Table1347456[[#This Row],[v]])</f>
        <v>0.14472340704645675</v>
      </c>
      <c r="BN572" s="20">
        <f>Table1347456[[#This Row],[lnrr]]-(1.96*Table1347456[[#This Row],[se]])</f>
        <v>-0.60804131711326403</v>
      </c>
      <c r="BO572" s="20">
        <f>Table1347456[[#This Row],[lnrr]]+(1.96 * Table1347456[[#This Row],[se]])</f>
        <v>-4.0725561491153583E-2</v>
      </c>
    </row>
    <row r="573" spans="1:67">
      <c r="A573" s="13" t="s">
        <v>215</v>
      </c>
      <c r="B573" s="13" t="s">
        <v>216</v>
      </c>
      <c r="C573" s="13" t="s">
        <v>43</v>
      </c>
      <c r="D573" s="13" t="s">
        <v>217</v>
      </c>
      <c r="E573" s="13" t="s">
        <v>132</v>
      </c>
      <c r="F573" s="13" t="s">
        <v>589</v>
      </c>
      <c r="G573" s="13" t="s">
        <v>46</v>
      </c>
      <c r="H573" s="13">
        <v>28</v>
      </c>
      <c r="I573" s="13" t="s">
        <v>46</v>
      </c>
      <c r="K573" s="13" t="s">
        <v>980</v>
      </c>
      <c r="L573" s="13" t="s">
        <v>979</v>
      </c>
      <c r="N573" s="13" t="s">
        <v>122</v>
      </c>
      <c r="O573" s="13" t="s">
        <v>645</v>
      </c>
      <c r="P573" s="13" t="s">
        <v>85</v>
      </c>
      <c r="Q573" s="13" t="s">
        <v>48</v>
      </c>
      <c r="R573" s="4">
        <v>4</v>
      </c>
      <c r="S573" s="13" t="s">
        <v>596</v>
      </c>
      <c r="T573" s="13">
        <v>270</v>
      </c>
      <c r="U573" s="4" t="s">
        <v>220</v>
      </c>
      <c r="V573" s="4">
        <v>500</v>
      </c>
      <c r="W573" s="4" t="s">
        <v>601</v>
      </c>
      <c r="X573" s="4">
        <v>430</v>
      </c>
      <c r="Y573" s="4">
        <v>60</v>
      </c>
      <c r="AA573" s="4" t="s">
        <v>49</v>
      </c>
      <c r="AB573" s="4">
        <v>0</v>
      </c>
      <c r="AC573" s="4" t="s">
        <v>49</v>
      </c>
      <c r="AD573" s="4">
        <v>0</v>
      </c>
      <c r="AE573" s="4" t="s">
        <v>49</v>
      </c>
      <c r="AF573" s="4">
        <v>0</v>
      </c>
      <c r="AG573" s="4" t="s">
        <v>770</v>
      </c>
      <c r="AH573" s="4" t="s">
        <v>782</v>
      </c>
      <c r="AI573" s="4" t="s">
        <v>78</v>
      </c>
      <c r="AJ573" s="13">
        <v>0</v>
      </c>
      <c r="AK573" s="13">
        <v>20</v>
      </c>
      <c r="AL573" s="13" t="s">
        <v>513</v>
      </c>
      <c r="AN573" s="13" t="s">
        <v>514</v>
      </c>
      <c r="AP573" s="13" t="s">
        <v>49</v>
      </c>
      <c r="AQ573" s="13" t="s">
        <v>49</v>
      </c>
      <c r="AR573" s="13" t="s">
        <v>49</v>
      </c>
      <c r="AS573" s="13" t="s">
        <v>49</v>
      </c>
      <c r="AT573" s="13" t="s">
        <v>990</v>
      </c>
      <c r="AU573" s="13" t="s">
        <v>998</v>
      </c>
      <c r="AV573" s="14">
        <f>0.65/1000</f>
        <v>6.4999999999999997E-4</v>
      </c>
      <c r="AW573" s="14">
        <f t="shared" si="19"/>
        <v>2.96E-3</v>
      </c>
      <c r="AX573" s="14">
        <f>Table1347456[[#This Row],[treatment_mean]]/Table1347456[[#This Row],[control_mean]]</f>
        <v>0.2195945945945946</v>
      </c>
      <c r="AY573" s="14">
        <f>LN(Table1347456[[#This Row],[rr]])</f>
        <v>-1.5159721844284233</v>
      </c>
      <c r="AZ573" s="13">
        <v>4</v>
      </c>
      <c r="BA573" s="13">
        <v>4</v>
      </c>
      <c r="BB573" s="14" t="s">
        <v>46</v>
      </c>
      <c r="BC573" s="14" t="s">
        <v>46</v>
      </c>
      <c r="BD573" s="15" t="s">
        <v>46</v>
      </c>
      <c r="BE573" s="14" t="s">
        <v>46</v>
      </c>
      <c r="BF57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73" s="17" t="s">
        <v>46</v>
      </c>
      <c r="BH573" s="13" t="s">
        <v>50</v>
      </c>
      <c r="BI573" s="13">
        <v>2.5000000000000001E-2</v>
      </c>
      <c r="BJ573" s="18">
        <f>ABS(_xlfn.NORM.S.INV(Table1347456[[#This Row],[p_value]]/2))</f>
        <v>2.2414027276049446</v>
      </c>
      <c r="BK573" s="19">
        <f>(Table1347456[[#This Row],[lnrr]]/Table1347456[[#This Row],[z_from_p]])^2</f>
        <v>0.45744899033809294</v>
      </c>
      <c r="BL573" s="16">
        <f>Table1347456[[#This Row],[v_from_z_from_p]]</f>
        <v>0.45744899033809294</v>
      </c>
      <c r="BM573" s="20">
        <f>SQRT(Table1347456[[#This Row],[v]])</f>
        <v>0.67634975444520784</v>
      </c>
      <c r="BN573" s="20">
        <f>Table1347456[[#This Row],[lnrr]]-(1.96*Table1347456[[#This Row],[se]])</f>
        <v>-2.8416177031410306</v>
      </c>
      <c r="BO573" s="20">
        <f>Table1347456[[#This Row],[lnrr]]+(1.96 * Table1347456[[#This Row],[se]])</f>
        <v>-0.19032666571581602</v>
      </c>
    </row>
    <row r="574" spans="1:67">
      <c r="A574" s="13" t="s">
        <v>215</v>
      </c>
      <c r="B574" s="13" t="s">
        <v>216</v>
      </c>
      <c r="C574" s="13" t="s">
        <v>43</v>
      </c>
      <c r="D574" s="13" t="s">
        <v>217</v>
      </c>
      <c r="E574" s="13" t="s">
        <v>132</v>
      </c>
      <c r="F574" s="13" t="s">
        <v>589</v>
      </c>
      <c r="G574" s="13" t="s">
        <v>46</v>
      </c>
      <c r="H574" s="13">
        <v>28</v>
      </c>
      <c r="I574" s="13" t="s">
        <v>46</v>
      </c>
      <c r="K574" s="13" t="s">
        <v>980</v>
      </c>
      <c r="L574" s="13" t="s">
        <v>979</v>
      </c>
      <c r="N574" s="13" t="s">
        <v>121</v>
      </c>
      <c r="O574" s="13" t="s">
        <v>645</v>
      </c>
      <c r="P574" s="13" t="s">
        <v>85</v>
      </c>
      <c r="Q574" s="13" t="s">
        <v>48</v>
      </c>
      <c r="R574" s="4">
        <v>4</v>
      </c>
      <c r="S574" s="13" t="s">
        <v>596</v>
      </c>
      <c r="T574" s="13">
        <v>270</v>
      </c>
      <c r="U574" s="4" t="s">
        <v>218</v>
      </c>
      <c r="V574" s="4">
        <v>500</v>
      </c>
      <c r="W574" s="4" t="s">
        <v>601</v>
      </c>
      <c r="X574" s="4">
        <v>795</v>
      </c>
      <c r="Y574" s="4">
        <v>30</v>
      </c>
      <c r="AA574" s="4" t="s">
        <v>49</v>
      </c>
      <c r="AB574" s="4">
        <v>0</v>
      </c>
      <c r="AC574" s="4" t="s">
        <v>49</v>
      </c>
      <c r="AD574" s="4">
        <v>0</v>
      </c>
      <c r="AE574" s="4" t="s">
        <v>49</v>
      </c>
      <c r="AF574" s="4">
        <v>0</v>
      </c>
      <c r="AG574" s="4" t="s">
        <v>783</v>
      </c>
      <c r="AH574" s="4" t="s">
        <v>782</v>
      </c>
      <c r="AI574" s="4" t="s">
        <v>78</v>
      </c>
      <c r="AJ574" s="13">
        <v>0</v>
      </c>
      <c r="AK574" s="13">
        <v>20</v>
      </c>
      <c r="AL574" s="13" t="s">
        <v>513</v>
      </c>
      <c r="AN574" s="13" t="s">
        <v>514</v>
      </c>
      <c r="AP574" s="13" t="s">
        <v>49</v>
      </c>
      <c r="AQ574" s="13" t="s">
        <v>49</v>
      </c>
      <c r="AR574" s="13" t="s">
        <v>49</v>
      </c>
      <c r="AS574" s="13" t="s">
        <v>49</v>
      </c>
      <c r="AT574" s="13" t="s">
        <v>990</v>
      </c>
      <c r="AU574" s="13" t="s">
        <v>998</v>
      </c>
      <c r="AV574" s="14">
        <f>170/1000</f>
        <v>0.17</v>
      </c>
      <c r="AW574" s="14">
        <f t="shared" ref="AW574:AW579" si="20">50.1/1000</f>
        <v>5.0099999999999999E-2</v>
      </c>
      <c r="AX574" s="14">
        <f>Table1347456[[#This Row],[treatment_mean]]/Table1347456[[#This Row],[control_mean]]</f>
        <v>3.3932135728542918</v>
      </c>
      <c r="AY574" s="14">
        <f>LN(Table1347456[[#This Row],[rr]])</f>
        <v>1.2217774289594427</v>
      </c>
      <c r="AZ574" s="13">
        <v>4</v>
      </c>
      <c r="BA574" s="13">
        <v>4</v>
      </c>
      <c r="BB574" s="14" t="s">
        <v>46</v>
      </c>
      <c r="BC574" s="14" t="s">
        <v>46</v>
      </c>
      <c r="BD574" s="15" t="s">
        <v>46</v>
      </c>
      <c r="BE574" s="14" t="s">
        <v>46</v>
      </c>
      <c r="BF57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74" s="17" t="s">
        <v>46</v>
      </c>
      <c r="BH574" s="13" t="s">
        <v>50</v>
      </c>
      <c r="BI574" s="13">
        <v>2.5000000000000001E-2</v>
      </c>
      <c r="BJ574" s="18">
        <f>ABS(_xlfn.NORM.S.INV(Table1347456[[#This Row],[p_value]]/2))</f>
        <v>2.2414027276049446</v>
      </c>
      <c r="BK574" s="19">
        <f>(Table1347456[[#This Row],[lnrr]]/Table1347456[[#This Row],[z_from_p]])^2</f>
        <v>0.29712856347818073</v>
      </c>
      <c r="BL574" s="16">
        <f>Table1347456[[#This Row],[v_from_z_from_p]]</f>
        <v>0.29712856347818073</v>
      </c>
      <c r="BM574" s="20">
        <f>SQRT(Table1347456[[#This Row],[v]])</f>
        <v>0.54509500408477485</v>
      </c>
      <c r="BN574" s="20">
        <f>Table1347456[[#This Row],[lnrr]]-(1.96*Table1347456[[#This Row],[se]])</f>
        <v>0.15339122095328417</v>
      </c>
      <c r="BO574" s="20">
        <f>Table1347456[[#This Row],[lnrr]]+(1.96 * Table1347456[[#This Row],[se]])</f>
        <v>2.2901636369656013</v>
      </c>
    </row>
    <row r="575" spans="1:67">
      <c r="A575" s="13" t="s">
        <v>215</v>
      </c>
      <c r="B575" s="13" t="s">
        <v>216</v>
      </c>
      <c r="C575" s="13" t="s">
        <v>43</v>
      </c>
      <c r="D575" s="13" t="s">
        <v>217</v>
      </c>
      <c r="E575" s="13" t="s">
        <v>132</v>
      </c>
      <c r="F575" s="13" t="s">
        <v>589</v>
      </c>
      <c r="G575" s="13" t="s">
        <v>46</v>
      </c>
      <c r="H575" s="13">
        <v>28</v>
      </c>
      <c r="I575" s="13" t="s">
        <v>46</v>
      </c>
      <c r="K575" s="13" t="s">
        <v>980</v>
      </c>
      <c r="L575" s="13" t="s">
        <v>979</v>
      </c>
      <c r="N575" s="13" t="s">
        <v>121</v>
      </c>
      <c r="O575" s="13" t="s">
        <v>645</v>
      </c>
      <c r="P575" s="13" t="s">
        <v>85</v>
      </c>
      <c r="Q575" s="13" t="s">
        <v>48</v>
      </c>
      <c r="R575" s="4">
        <v>4</v>
      </c>
      <c r="S575" s="13" t="s">
        <v>596</v>
      </c>
      <c r="T575" s="13">
        <v>270</v>
      </c>
      <c r="U575" s="4" t="s">
        <v>218</v>
      </c>
      <c r="V575" s="4">
        <v>500</v>
      </c>
      <c r="W575" s="4" t="s">
        <v>601</v>
      </c>
      <c r="X575" s="4">
        <v>795</v>
      </c>
      <c r="Y575" s="4">
        <v>60</v>
      </c>
      <c r="AA575" s="4" t="s">
        <v>49</v>
      </c>
      <c r="AB575" s="4">
        <v>0</v>
      </c>
      <c r="AC575" s="4" t="s">
        <v>49</v>
      </c>
      <c r="AD575" s="4">
        <v>0</v>
      </c>
      <c r="AE575" s="4" t="s">
        <v>49</v>
      </c>
      <c r="AF575" s="4">
        <v>0</v>
      </c>
      <c r="AG575" s="4" t="s">
        <v>783</v>
      </c>
      <c r="AH575" s="4" t="s">
        <v>782</v>
      </c>
      <c r="AI575" s="4" t="s">
        <v>78</v>
      </c>
      <c r="AJ575" s="13">
        <v>0</v>
      </c>
      <c r="AK575" s="13">
        <v>20</v>
      </c>
      <c r="AL575" s="13" t="s">
        <v>513</v>
      </c>
      <c r="AN575" s="13" t="s">
        <v>514</v>
      </c>
      <c r="AP575" s="13" t="s">
        <v>49</v>
      </c>
      <c r="AQ575" s="13" t="s">
        <v>49</v>
      </c>
      <c r="AR575" s="13" t="s">
        <v>49</v>
      </c>
      <c r="AS575" s="13" t="s">
        <v>49</v>
      </c>
      <c r="AT575" s="13" t="s">
        <v>990</v>
      </c>
      <c r="AU575" s="13" t="s">
        <v>998</v>
      </c>
      <c r="AV575" s="14">
        <f>338/1000</f>
        <v>0.33800000000000002</v>
      </c>
      <c r="AW575" s="14">
        <f t="shared" si="20"/>
        <v>5.0099999999999999E-2</v>
      </c>
      <c r="AX575" s="14">
        <f>Table1347456[[#This Row],[treatment_mean]]/Table1347456[[#This Row],[control_mean]]</f>
        <v>6.7465069860279447</v>
      </c>
      <c r="AY575" s="14">
        <f>LN(Table1347456[[#This Row],[rr]])</f>
        <v>1.9090248873921998</v>
      </c>
      <c r="AZ575" s="13">
        <v>4</v>
      </c>
      <c r="BA575" s="13">
        <v>4</v>
      </c>
      <c r="BB575" s="14" t="s">
        <v>46</v>
      </c>
      <c r="BC575" s="14" t="s">
        <v>46</v>
      </c>
      <c r="BD575" s="15" t="s">
        <v>46</v>
      </c>
      <c r="BE575" s="14" t="s">
        <v>46</v>
      </c>
      <c r="BF57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75" s="17" t="s">
        <v>46</v>
      </c>
      <c r="BH575" s="13" t="s">
        <v>50</v>
      </c>
      <c r="BI575" s="13">
        <v>2.5000000000000001E-2</v>
      </c>
      <c r="BJ575" s="18">
        <f>ABS(_xlfn.NORM.S.INV(Table1347456[[#This Row],[p_value]]/2))</f>
        <v>2.2414027276049446</v>
      </c>
      <c r="BK575" s="19">
        <f>(Table1347456[[#This Row],[lnrr]]/Table1347456[[#This Row],[z_from_p]])^2</f>
        <v>0.72540974950521508</v>
      </c>
      <c r="BL575" s="16">
        <f>Table1347456[[#This Row],[v_from_z_from_p]]</f>
        <v>0.72540974950521508</v>
      </c>
      <c r="BM575" s="20">
        <f>SQRT(Table1347456[[#This Row],[v]])</f>
        <v>0.85170989750337822</v>
      </c>
      <c r="BN575" s="20">
        <f>Table1347456[[#This Row],[lnrr]]-(1.96*Table1347456[[#This Row],[se]])</f>
        <v>0.23967348828557844</v>
      </c>
      <c r="BO575" s="20">
        <f>Table1347456[[#This Row],[lnrr]]+(1.96 * Table1347456[[#This Row],[se]])</f>
        <v>3.5783762864988211</v>
      </c>
    </row>
    <row r="576" spans="1:67">
      <c r="A576" s="13" t="s">
        <v>215</v>
      </c>
      <c r="B576" s="13" t="s">
        <v>216</v>
      </c>
      <c r="C576" s="13" t="s">
        <v>43</v>
      </c>
      <c r="D576" s="13" t="s">
        <v>217</v>
      </c>
      <c r="E576" s="13" t="s">
        <v>132</v>
      </c>
      <c r="F576" s="13" t="s">
        <v>589</v>
      </c>
      <c r="G576" s="13" t="s">
        <v>46</v>
      </c>
      <c r="H576" s="13">
        <v>28</v>
      </c>
      <c r="I576" s="13" t="s">
        <v>46</v>
      </c>
      <c r="K576" s="13" t="s">
        <v>980</v>
      </c>
      <c r="L576" s="13" t="s">
        <v>979</v>
      </c>
      <c r="N576" s="13" t="s">
        <v>121</v>
      </c>
      <c r="O576" s="13" t="s">
        <v>645</v>
      </c>
      <c r="P576" s="13" t="s">
        <v>85</v>
      </c>
      <c r="Q576" s="13" t="s">
        <v>48</v>
      </c>
      <c r="R576" s="4">
        <v>4</v>
      </c>
      <c r="S576" s="13" t="s">
        <v>596</v>
      </c>
      <c r="T576" s="13">
        <v>270</v>
      </c>
      <c r="U576" s="4" t="s">
        <v>219</v>
      </c>
      <c r="V576" s="4">
        <v>500</v>
      </c>
      <c r="W576" s="4" t="s">
        <v>601</v>
      </c>
      <c r="X576" s="4">
        <v>723</v>
      </c>
      <c r="Y576" s="4">
        <v>30</v>
      </c>
      <c r="AA576" s="4" t="s">
        <v>49</v>
      </c>
      <c r="AB576" s="4">
        <v>0</v>
      </c>
      <c r="AC576" s="4" t="s">
        <v>49</v>
      </c>
      <c r="AD576" s="4">
        <v>0</v>
      </c>
      <c r="AE576" s="4" t="s">
        <v>49</v>
      </c>
      <c r="AF576" s="4">
        <v>0</v>
      </c>
      <c r="AG576" s="4" t="s">
        <v>685</v>
      </c>
      <c r="AH576" s="4" t="s">
        <v>782</v>
      </c>
      <c r="AI576" s="4" t="s">
        <v>78</v>
      </c>
      <c r="AJ576" s="13">
        <v>0</v>
      </c>
      <c r="AK576" s="13">
        <v>20</v>
      </c>
      <c r="AL576" s="13" t="s">
        <v>513</v>
      </c>
      <c r="AN576" s="13" t="s">
        <v>514</v>
      </c>
      <c r="AP576" s="13" t="s">
        <v>49</v>
      </c>
      <c r="AQ576" s="13" t="s">
        <v>49</v>
      </c>
      <c r="AR576" s="13" t="s">
        <v>49</v>
      </c>
      <c r="AS576" s="13" t="s">
        <v>49</v>
      </c>
      <c r="AT576" s="13" t="s">
        <v>990</v>
      </c>
      <c r="AU576" s="13" t="s">
        <v>998</v>
      </c>
      <c r="AV576" s="14">
        <f>302/1000</f>
        <v>0.30199999999999999</v>
      </c>
      <c r="AW576" s="14">
        <f t="shared" si="20"/>
        <v>5.0099999999999999E-2</v>
      </c>
      <c r="AX576" s="14">
        <f>Table1347456[[#This Row],[treatment_mean]]/Table1347456[[#This Row],[control_mean]]</f>
        <v>6.0279441117764474</v>
      </c>
      <c r="AY576" s="14">
        <f>LN(Table1347456[[#This Row],[rr]])</f>
        <v>1.7964060092840506</v>
      </c>
      <c r="AZ576" s="13">
        <v>4</v>
      </c>
      <c r="BA576" s="13">
        <v>4</v>
      </c>
      <c r="BB576" s="14" t="s">
        <v>46</v>
      </c>
      <c r="BC576" s="14" t="s">
        <v>46</v>
      </c>
      <c r="BD576" s="15" t="s">
        <v>46</v>
      </c>
      <c r="BE576" s="14" t="s">
        <v>46</v>
      </c>
      <c r="BF57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76" s="17" t="s">
        <v>46</v>
      </c>
      <c r="BH576" s="13" t="s">
        <v>50</v>
      </c>
      <c r="BI576" s="13">
        <v>2.5000000000000001E-2</v>
      </c>
      <c r="BJ576" s="18">
        <f>ABS(_xlfn.NORM.S.INV(Table1347456[[#This Row],[p_value]]/2))</f>
        <v>2.2414027276049446</v>
      </c>
      <c r="BK576" s="19">
        <f>(Table1347456[[#This Row],[lnrr]]/Table1347456[[#This Row],[z_from_p]])^2</f>
        <v>0.64234626937610262</v>
      </c>
      <c r="BL576" s="16">
        <f>Table1347456[[#This Row],[v_from_z_from_p]]</f>
        <v>0.64234626937610262</v>
      </c>
      <c r="BM576" s="20">
        <f>SQRT(Table1347456[[#This Row],[v]])</f>
        <v>0.8014650768287428</v>
      </c>
      <c r="BN576" s="20">
        <f>Table1347456[[#This Row],[lnrr]]-(1.96*Table1347456[[#This Row],[se]])</f>
        <v>0.22553445869971478</v>
      </c>
      <c r="BO576" s="20">
        <f>Table1347456[[#This Row],[lnrr]]+(1.96 * Table1347456[[#This Row],[se]])</f>
        <v>3.3672775598683864</v>
      </c>
    </row>
    <row r="577" spans="1:67">
      <c r="A577" s="13" t="s">
        <v>215</v>
      </c>
      <c r="B577" s="13" t="s">
        <v>216</v>
      </c>
      <c r="C577" s="13" t="s">
        <v>43</v>
      </c>
      <c r="D577" s="13" t="s">
        <v>217</v>
      </c>
      <c r="E577" s="13" t="s">
        <v>132</v>
      </c>
      <c r="F577" s="13" t="s">
        <v>589</v>
      </c>
      <c r="G577" s="13" t="s">
        <v>46</v>
      </c>
      <c r="H577" s="13">
        <v>28</v>
      </c>
      <c r="I577" s="13" t="s">
        <v>46</v>
      </c>
      <c r="K577" s="13" t="s">
        <v>980</v>
      </c>
      <c r="L577" s="13" t="s">
        <v>979</v>
      </c>
      <c r="N577" s="13" t="s">
        <v>121</v>
      </c>
      <c r="O577" s="13" t="s">
        <v>645</v>
      </c>
      <c r="P577" s="13" t="s">
        <v>85</v>
      </c>
      <c r="Q577" s="13" t="s">
        <v>48</v>
      </c>
      <c r="R577" s="4">
        <v>4</v>
      </c>
      <c r="S577" s="13" t="s">
        <v>596</v>
      </c>
      <c r="T577" s="13">
        <v>270</v>
      </c>
      <c r="U577" s="4" t="s">
        <v>219</v>
      </c>
      <c r="V577" s="4">
        <v>500</v>
      </c>
      <c r="W577" s="4" t="s">
        <v>601</v>
      </c>
      <c r="X577" s="4">
        <v>723</v>
      </c>
      <c r="Y577" s="4">
        <v>60</v>
      </c>
      <c r="AA577" s="4" t="s">
        <v>49</v>
      </c>
      <c r="AB577" s="4">
        <v>0</v>
      </c>
      <c r="AC577" s="4" t="s">
        <v>49</v>
      </c>
      <c r="AD577" s="4">
        <v>0</v>
      </c>
      <c r="AE577" s="4" t="s">
        <v>49</v>
      </c>
      <c r="AF577" s="4">
        <v>0</v>
      </c>
      <c r="AG577" s="4" t="s">
        <v>685</v>
      </c>
      <c r="AH577" s="4" t="s">
        <v>782</v>
      </c>
      <c r="AI577" s="4" t="s">
        <v>78</v>
      </c>
      <c r="AJ577" s="13">
        <v>0</v>
      </c>
      <c r="AK577" s="13">
        <v>20</v>
      </c>
      <c r="AL577" s="13" t="s">
        <v>513</v>
      </c>
      <c r="AN577" s="13" t="s">
        <v>514</v>
      </c>
      <c r="AP577" s="13" t="s">
        <v>49</v>
      </c>
      <c r="AQ577" s="13" t="s">
        <v>49</v>
      </c>
      <c r="AR577" s="13" t="s">
        <v>49</v>
      </c>
      <c r="AS577" s="13" t="s">
        <v>49</v>
      </c>
      <c r="AT577" s="13" t="s">
        <v>990</v>
      </c>
      <c r="AU577" s="13" t="s">
        <v>998</v>
      </c>
      <c r="AV577" s="14">
        <f>660/1000</f>
        <v>0.66</v>
      </c>
      <c r="AW577" s="14">
        <f t="shared" si="20"/>
        <v>5.0099999999999999E-2</v>
      </c>
      <c r="AX577" s="14">
        <f>Table1347456[[#This Row],[treatment_mean]]/Table1347456[[#This Row],[control_mean]]</f>
        <v>13.17365269461078</v>
      </c>
      <c r="AY577" s="14">
        <f>LN(Table1347456[[#This Row],[rr]])</f>
        <v>2.5782188269296524</v>
      </c>
      <c r="AZ577" s="13">
        <v>4</v>
      </c>
      <c r="BA577" s="13">
        <v>4</v>
      </c>
      <c r="BB577" s="14" t="s">
        <v>46</v>
      </c>
      <c r="BC577" s="14" t="s">
        <v>46</v>
      </c>
      <c r="BD577" s="15" t="s">
        <v>46</v>
      </c>
      <c r="BE577" s="14" t="s">
        <v>46</v>
      </c>
      <c r="BF57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77" s="17" t="s">
        <v>46</v>
      </c>
      <c r="BH577" s="13" t="s">
        <v>50</v>
      </c>
      <c r="BI577" s="13">
        <v>2.5000000000000001E-2</v>
      </c>
      <c r="BJ577" s="18">
        <f>ABS(_xlfn.NORM.S.INV(Table1347456[[#This Row],[p_value]]/2))</f>
        <v>2.2414027276049446</v>
      </c>
      <c r="BK577" s="19">
        <f>(Table1347456[[#This Row],[lnrr]]/Table1347456[[#This Row],[z_from_p]])^2</f>
        <v>1.3231215978416193</v>
      </c>
      <c r="BL577" s="16">
        <f>Table1347456[[#This Row],[v_from_z_from_p]]</f>
        <v>1.3231215978416193</v>
      </c>
      <c r="BM577" s="20">
        <f>SQRT(Table1347456[[#This Row],[v]])</f>
        <v>1.1502702281818908</v>
      </c>
      <c r="BN577" s="20">
        <f>Table1347456[[#This Row],[lnrr]]-(1.96*Table1347456[[#This Row],[se]])</f>
        <v>0.32368917969314648</v>
      </c>
      <c r="BO577" s="20">
        <f>Table1347456[[#This Row],[lnrr]]+(1.96 * Table1347456[[#This Row],[se]])</f>
        <v>4.8327484741661584</v>
      </c>
    </row>
    <row r="578" spans="1:67">
      <c r="A578" s="13" t="s">
        <v>215</v>
      </c>
      <c r="B578" s="13" t="s">
        <v>216</v>
      </c>
      <c r="C578" s="13" t="s">
        <v>43</v>
      </c>
      <c r="D578" s="13" t="s">
        <v>217</v>
      </c>
      <c r="E578" s="13" t="s">
        <v>132</v>
      </c>
      <c r="F578" s="13" t="s">
        <v>589</v>
      </c>
      <c r="G578" s="13" t="s">
        <v>46</v>
      </c>
      <c r="H578" s="13">
        <v>28</v>
      </c>
      <c r="I578" s="13" t="s">
        <v>46</v>
      </c>
      <c r="K578" s="13" t="s">
        <v>980</v>
      </c>
      <c r="L578" s="13" t="s">
        <v>979</v>
      </c>
      <c r="N578" s="13" t="s">
        <v>121</v>
      </c>
      <c r="O578" s="13" t="s">
        <v>645</v>
      </c>
      <c r="P578" s="13" t="s">
        <v>85</v>
      </c>
      <c r="Q578" s="13" t="s">
        <v>48</v>
      </c>
      <c r="R578" s="4">
        <v>4</v>
      </c>
      <c r="S578" s="13" t="s">
        <v>596</v>
      </c>
      <c r="T578" s="13">
        <v>270</v>
      </c>
      <c r="U578" s="4" t="s">
        <v>220</v>
      </c>
      <c r="V578" s="4">
        <v>500</v>
      </c>
      <c r="W578" s="4" t="s">
        <v>601</v>
      </c>
      <c r="X578" s="4">
        <v>430</v>
      </c>
      <c r="Y578" s="4">
        <v>30</v>
      </c>
      <c r="AA578" s="4" t="s">
        <v>49</v>
      </c>
      <c r="AB578" s="4">
        <v>0</v>
      </c>
      <c r="AC578" s="4" t="s">
        <v>49</v>
      </c>
      <c r="AD578" s="4">
        <v>0</v>
      </c>
      <c r="AE578" s="4" t="s">
        <v>49</v>
      </c>
      <c r="AF578" s="4">
        <v>0</v>
      </c>
      <c r="AG578" s="4" t="s">
        <v>770</v>
      </c>
      <c r="AH578" s="4" t="s">
        <v>782</v>
      </c>
      <c r="AI578" s="4" t="s">
        <v>78</v>
      </c>
      <c r="AJ578" s="13">
        <v>0</v>
      </c>
      <c r="AK578" s="13">
        <v>20</v>
      </c>
      <c r="AL578" s="13" t="s">
        <v>513</v>
      </c>
      <c r="AN578" s="13" t="s">
        <v>514</v>
      </c>
      <c r="AP578" s="13" t="s">
        <v>49</v>
      </c>
      <c r="AQ578" s="13" t="s">
        <v>49</v>
      </c>
      <c r="AR578" s="13" t="s">
        <v>49</v>
      </c>
      <c r="AS578" s="13" t="s">
        <v>49</v>
      </c>
      <c r="AT578" s="13" t="s">
        <v>990</v>
      </c>
      <c r="AU578" s="13" t="s">
        <v>998</v>
      </c>
      <c r="AV578" s="14">
        <f>59.4/1000</f>
        <v>5.9400000000000001E-2</v>
      </c>
      <c r="AW578" s="14">
        <f t="shared" si="20"/>
        <v>5.0099999999999999E-2</v>
      </c>
      <c r="AX578" s="14">
        <f>Table1347456[[#This Row],[treatment_mean]]/Table1347456[[#This Row],[control_mean]]</f>
        <v>1.1856287425149701</v>
      </c>
      <c r="AY578" s="14">
        <f>LN(Table1347456[[#This Row],[rr]])</f>
        <v>0.17027321827778014</v>
      </c>
      <c r="AZ578" s="13">
        <v>4</v>
      </c>
      <c r="BA578" s="13">
        <v>4</v>
      </c>
      <c r="BB578" s="14" t="s">
        <v>46</v>
      </c>
      <c r="BC578" s="14" t="s">
        <v>46</v>
      </c>
      <c r="BD578" s="15" t="s">
        <v>46</v>
      </c>
      <c r="BE578" s="14" t="s">
        <v>46</v>
      </c>
      <c r="BF57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78" s="17" t="s">
        <v>46</v>
      </c>
      <c r="BH578" s="13" t="s">
        <v>50</v>
      </c>
      <c r="BI578" s="13">
        <v>2.5000000000000001E-2</v>
      </c>
      <c r="BJ578" s="18">
        <f>ABS(_xlfn.NORM.S.INV(Table1347456[[#This Row],[p_value]]/2))</f>
        <v>2.2414027276049446</v>
      </c>
      <c r="BK578" s="19">
        <f>(Table1347456[[#This Row],[lnrr]]/Table1347456[[#This Row],[z_from_p]])^2</f>
        <v>5.7710242194336852E-3</v>
      </c>
      <c r="BL578" s="16">
        <f>Table1347456[[#This Row],[v_from_z_from_p]]</f>
        <v>5.7710242194336852E-3</v>
      </c>
      <c r="BM578" s="20">
        <f>SQRT(Table1347456[[#This Row],[v]])</f>
        <v>7.5967257548457581E-2</v>
      </c>
      <c r="BN578" s="20">
        <f>Table1347456[[#This Row],[lnrr]]-(1.96*Table1347456[[#This Row],[se]])</f>
        <v>2.1377393482803292E-2</v>
      </c>
      <c r="BO578" s="20">
        <f>Table1347456[[#This Row],[lnrr]]+(1.96 * Table1347456[[#This Row],[se]])</f>
        <v>0.31916904307275695</v>
      </c>
    </row>
    <row r="579" spans="1:67">
      <c r="A579" s="13" t="s">
        <v>215</v>
      </c>
      <c r="B579" s="13" t="s">
        <v>216</v>
      </c>
      <c r="C579" s="13" t="s">
        <v>43</v>
      </c>
      <c r="D579" s="13" t="s">
        <v>217</v>
      </c>
      <c r="E579" s="13" t="s">
        <v>132</v>
      </c>
      <c r="F579" s="13" t="s">
        <v>589</v>
      </c>
      <c r="G579" s="13" t="s">
        <v>46</v>
      </c>
      <c r="H579" s="13">
        <v>28</v>
      </c>
      <c r="I579" s="13" t="s">
        <v>46</v>
      </c>
      <c r="K579" s="13" t="s">
        <v>980</v>
      </c>
      <c r="L579" s="13" t="s">
        <v>979</v>
      </c>
      <c r="N579" s="13" t="s">
        <v>121</v>
      </c>
      <c r="O579" s="13" t="s">
        <v>645</v>
      </c>
      <c r="P579" s="13" t="s">
        <v>85</v>
      </c>
      <c r="Q579" s="13" t="s">
        <v>48</v>
      </c>
      <c r="R579" s="4">
        <v>4</v>
      </c>
      <c r="S579" s="13" t="s">
        <v>596</v>
      </c>
      <c r="T579" s="13">
        <v>270</v>
      </c>
      <c r="U579" s="4" t="s">
        <v>220</v>
      </c>
      <c r="V579" s="4">
        <v>500</v>
      </c>
      <c r="W579" s="4" t="s">
        <v>601</v>
      </c>
      <c r="X579" s="4">
        <v>430</v>
      </c>
      <c r="Y579" s="4">
        <v>60</v>
      </c>
      <c r="AA579" s="4" t="s">
        <v>49</v>
      </c>
      <c r="AB579" s="4">
        <v>0</v>
      </c>
      <c r="AC579" s="4" t="s">
        <v>49</v>
      </c>
      <c r="AD579" s="4">
        <v>0</v>
      </c>
      <c r="AE579" s="4" t="s">
        <v>49</v>
      </c>
      <c r="AF579" s="4">
        <v>0</v>
      </c>
      <c r="AG579" s="4" t="s">
        <v>770</v>
      </c>
      <c r="AH579" s="4" t="s">
        <v>782</v>
      </c>
      <c r="AI579" s="4" t="s">
        <v>78</v>
      </c>
      <c r="AJ579" s="13">
        <v>0</v>
      </c>
      <c r="AK579" s="13">
        <v>20</v>
      </c>
      <c r="AL579" s="13" t="s">
        <v>513</v>
      </c>
      <c r="AN579" s="13" t="s">
        <v>514</v>
      </c>
      <c r="AP579" s="13" t="s">
        <v>49</v>
      </c>
      <c r="AQ579" s="13" t="s">
        <v>49</v>
      </c>
      <c r="AR579" s="13" t="s">
        <v>49</v>
      </c>
      <c r="AS579" s="13" t="s">
        <v>49</v>
      </c>
      <c r="AT579" s="13" t="s">
        <v>990</v>
      </c>
      <c r="AU579" s="13" t="s">
        <v>998</v>
      </c>
      <c r="AV579" s="14">
        <f>19.9/1000</f>
        <v>1.9899999999999998E-2</v>
      </c>
      <c r="AW579" s="14">
        <f t="shared" si="20"/>
        <v>5.0099999999999999E-2</v>
      </c>
      <c r="AX579" s="14">
        <f>Table1347456[[#This Row],[treatment_mean]]/Table1347456[[#This Row],[control_mean]]</f>
        <v>0.39720558882235524</v>
      </c>
      <c r="AY579" s="14">
        <f>LN(Table1347456[[#This Row],[rr]])</f>
        <v>-0.92330127636037251</v>
      </c>
      <c r="AZ579" s="13">
        <v>4</v>
      </c>
      <c r="BA579" s="13">
        <v>4</v>
      </c>
      <c r="BB579" s="14" t="s">
        <v>46</v>
      </c>
      <c r="BC579" s="14" t="s">
        <v>46</v>
      </c>
      <c r="BD579" s="15" t="s">
        <v>46</v>
      </c>
      <c r="BE579" s="14" t="s">
        <v>46</v>
      </c>
      <c r="BF57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579" s="17" t="s">
        <v>46</v>
      </c>
      <c r="BH579" s="13" t="s">
        <v>50</v>
      </c>
      <c r="BI579" s="13">
        <v>2.5000000000000001E-2</v>
      </c>
      <c r="BJ579" s="18">
        <f>ABS(_xlfn.NORM.S.INV(Table1347456[[#This Row],[p_value]]/2))</f>
        <v>2.2414027276049446</v>
      </c>
      <c r="BK579" s="19">
        <f>(Table1347456[[#This Row],[lnrr]]/Table1347456[[#This Row],[z_from_p]])^2</f>
        <v>0.1696864170771194</v>
      </c>
      <c r="BL579" s="16">
        <f>Table1347456[[#This Row],[v_from_z_from_p]]</f>
        <v>0.1696864170771194</v>
      </c>
      <c r="BM579" s="20">
        <f>SQRT(Table1347456[[#This Row],[v]])</f>
        <v>0.41193011188443046</v>
      </c>
      <c r="BN579" s="20">
        <f>Table1347456[[#This Row],[lnrr]]-(1.96*Table1347456[[#This Row],[se]])</f>
        <v>-1.7306842956538562</v>
      </c>
      <c r="BO579" s="20">
        <f>Table1347456[[#This Row],[lnrr]]+(1.96 * Table1347456[[#This Row],[se]])</f>
        <v>-0.11591825706688885</v>
      </c>
    </row>
    <row r="580" spans="1:67">
      <c r="A580" s="13" t="s">
        <v>215</v>
      </c>
      <c r="B580" s="13" t="s">
        <v>216</v>
      </c>
      <c r="C580" s="13" t="s">
        <v>43</v>
      </c>
      <c r="D580" s="13" t="s">
        <v>217</v>
      </c>
      <c r="E580" s="13" t="s">
        <v>132</v>
      </c>
      <c r="F580" s="13" t="s">
        <v>589</v>
      </c>
      <c r="G580" s="13" t="s">
        <v>46</v>
      </c>
      <c r="H580" s="13">
        <v>28</v>
      </c>
      <c r="I580" s="13" t="s">
        <v>46</v>
      </c>
      <c r="K580" s="13" t="s">
        <v>980</v>
      </c>
      <c r="L580" s="13" t="s">
        <v>979</v>
      </c>
      <c r="N580" s="13" t="s">
        <v>139</v>
      </c>
      <c r="O580" s="13" t="s">
        <v>643</v>
      </c>
      <c r="P580" s="13" t="s">
        <v>141</v>
      </c>
      <c r="Q580" s="13" t="s">
        <v>422</v>
      </c>
      <c r="R580" s="4">
        <v>4</v>
      </c>
      <c r="S580" s="13" t="s">
        <v>596</v>
      </c>
      <c r="T580" s="13">
        <v>270</v>
      </c>
      <c r="U580" s="4" t="s">
        <v>218</v>
      </c>
      <c r="V580" s="4">
        <v>500</v>
      </c>
      <c r="W580" s="4" t="s">
        <v>601</v>
      </c>
      <c r="X580" s="4">
        <v>795</v>
      </c>
      <c r="Y580" s="4">
        <v>30</v>
      </c>
      <c r="AA580" s="4" t="s">
        <v>49</v>
      </c>
      <c r="AB580" s="4">
        <v>0</v>
      </c>
      <c r="AC580" s="4" t="s">
        <v>49</v>
      </c>
      <c r="AD580" s="4">
        <v>0</v>
      </c>
      <c r="AE580" s="4" t="s">
        <v>49</v>
      </c>
      <c r="AF580" s="4">
        <v>0</v>
      </c>
      <c r="AG580" s="4" t="s">
        <v>783</v>
      </c>
      <c r="AH580" s="4" t="s">
        <v>782</v>
      </c>
      <c r="AI580" s="4" t="s">
        <v>78</v>
      </c>
      <c r="AJ580" s="13">
        <v>0</v>
      </c>
      <c r="AK580" s="13">
        <v>20</v>
      </c>
      <c r="AL580" s="13" t="s">
        <v>513</v>
      </c>
      <c r="AN580" s="13" t="s">
        <v>514</v>
      </c>
      <c r="AP580" s="13" t="s">
        <v>49</v>
      </c>
      <c r="AQ580" s="13" t="s">
        <v>49</v>
      </c>
      <c r="AR580" s="13" t="s">
        <v>49</v>
      </c>
      <c r="AS580" s="13" t="s">
        <v>49</v>
      </c>
      <c r="AT580" s="13" t="s">
        <v>990</v>
      </c>
      <c r="AU580" s="13" t="s">
        <v>998</v>
      </c>
      <c r="AV580" s="14">
        <f>1.24/3.5</f>
        <v>0.35428571428571426</v>
      </c>
      <c r="AW580" s="14">
        <f t="shared" ref="AW580:AW585" si="21">1.21/3.5</f>
        <v>0.3457142857142857</v>
      </c>
      <c r="AX580" s="14">
        <f>Table1347456[[#This Row],[treatment_mean]]/Table1347456[[#This Row],[control_mean]]</f>
        <v>1.024793388429752</v>
      </c>
      <c r="AY580" s="14">
        <f>LN(Table1347456[[#This Row],[rr]])</f>
        <v>2.4491020008295696E-2</v>
      </c>
      <c r="AZ580" s="13">
        <v>4</v>
      </c>
      <c r="BA580" s="13">
        <v>4</v>
      </c>
      <c r="BB580" s="14">
        <f>SQRT(0.011)/3.5</f>
        <v>2.9965967090575758E-2</v>
      </c>
      <c r="BC580" s="14">
        <f t="shared" ref="BC580:BC585" si="22">SQRT(0.0886)/3.5</f>
        <v>8.504500609221266E-2</v>
      </c>
      <c r="BD580" s="15">
        <f>Table1347456[[#This Row],[treatment_se]]*Table1347456[[#This Row],[treatment_n]]</f>
        <v>0.11986386836230303</v>
      </c>
      <c r="BE580" s="14">
        <f>Table1347456[[#This Row],[control_se]]*Table1347456[[#This Row],[control_n]]</f>
        <v>0.34018002436885064</v>
      </c>
      <c r="BF58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0.27067599355536642</v>
      </c>
      <c r="BG580" s="17">
        <f>SQRT(Table1347456[[#This Row],[v_from_sd_and_n]])</f>
        <v>0.52026531073613436</v>
      </c>
      <c r="BH580" s="13" t="s">
        <v>50</v>
      </c>
      <c r="BI580" s="13">
        <v>2.5000000000000001E-2</v>
      </c>
      <c r="BJ580" s="18">
        <f>ABS(_xlfn.NORM.S.INV(Table1347456[[#This Row],[p_value]]/2))</f>
        <v>2.2414027276049446</v>
      </c>
      <c r="BK580" s="19">
        <f>(Table1347456[[#This Row],[lnrr]]/Table1347456[[#This Row],[z_from_p]])^2</f>
        <v>1.1939164994645716E-4</v>
      </c>
      <c r="BL580" s="16">
        <f>Table1347456[[#This Row],[v_from_sd_and_n]]</f>
        <v>0.27067599355536642</v>
      </c>
      <c r="BM580" s="20">
        <f>SQRT(Table1347456[[#This Row],[v]])</f>
        <v>0.52026531073613436</v>
      </c>
      <c r="BN580" s="20">
        <f>Table1347456[[#This Row],[lnrr]]-(1.96*Table1347456[[#This Row],[se]])</f>
        <v>-0.99522898903452761</v>
      </c>
      <c r="BO580" s="20">
        <f>Table1347456[[#This Row],[lnrr]]+(1.96 * Table1347456[[#This Row],[se]])</f>
        <v>1.0442110290511191</v>
      </c>
    </row>
    <row r="581" spans="1:67">
      <c r="A581" s="13" t="s">
        <v>215</v>
      </c>
      <c r="B581" s="13" t="s">
        <v>216</v>
      </c>
      <c r="C581" s="13" t="s">
        <v>43</v>
      </c>
      <c r="D581" s="13" t="s">
        <v>217</v>
      </c>
      <c r="E581" s="13" t="s">
        <v>132</v>
      </c>
      <c r="F581" s="13" t="s">
        <v>589</v>
      </c>
      <c r="G581" s="13" t="s">
        <v>46</v>
      </c>
      <c r="H581" s="13">
        <v>28</v>
      </c>
      <c r="I581" s="13" t="s">
        <v>46</v>
      </c>
      <c r="K581" s="13" t="s">
        <v>980</v>
      </c>
      <c r="L581" s="13" t="s">
        <v>979</v>
      </c>
      <c r="N581" s="13" t="s">
        <v>139</v>
      </c>
      <c r="O581" s="13" t="s">
        <v>643</v>
      </c>
      <c r="P581" s="13" t="s">
        <v>141</v>
      </c>
      <c r="Q581" s="13" t="s">
        <v>422</v>
      </c>
      <c r="R581" s="4">
        <v>4</v>
      </c>
      <c r="S581" s="13" t="s">
        <v>596</v>
      </c>
      <c r="T581" s="13">
        <v>270</v>
      </c>
      <c r="U581" s="4" t="s">
        <v>218</v>
      </c>
      <c r="V581" s="4">
        <v>500</v>
      </c>
      <c r="W581" s="4" t="s">
        <v>601</v>
      </c>
      <c r="X581" s="4">
        <v>795</v>
      </c>
      <c r="Y581" s="4">
        <v>60</v>
      </c>
      <c r="AA581" s="4" t="s">
        <v>49</v>
      </c>
      <c r="AB581" s="4">
        <v>0</v>
      </c>
      <c r="AC581" s="4" t="s">
        <v>49</v>
      </c>
      <c r="AD581" s="4">
        <v>0</v>
      </c>
      <c r="AE581" s="4" t="s">
        <v>49</v>
      </c>
      <c r="AF581" s="4">
        <v>0</v>
      </c>
      <c r="AG581" s="4" t="s">
        <v>783</v>
      </c>
      <c r="AH581" s="4" t="s">
        <v>782</v>
      </c>
      <c r="AI581" s="4" t="s">
        <v>78</v>
      </c>
      <c r="AJ581" s="13">
        <v>0</v>
      </c>
      <c r="AK581" s="13">
        <v>20</v>
      </c>
      <c r="AL581" s="13" t="s">
        <v>513</v>
      </c>
      <c r="AN581" s="13" t="s">
        <v>514</v>
      </c>
      <c r="AP581" s="13" t="s">
        <v>49</v>
      </c>
      <c r="AQ581" s="13" t="s">
        <v>49</v>
      </c>
      <c r="AR581" s="13" t="s">
        <v>49</v>
      </c>
      <c r="AS581" s="13" t="s">
        <v>49</v>
      </c>
      <c r="AT581" s="13" t="s">
        <v>990</v>
      </c>
      <c r="AU581" s="13" t="s">
        <v>998</v>
      </c>
      <c r="AV581" s="14">
        <f>1.35/3.5</f>
        <v>0.38571428571428573</v>
      </c>
      <c r="AW581" s="14">
        <f t="shared" si="21"/>
        <v>0.3457142857142857</v>
      </c>
      <c r="AX581" s="14">
        <f>Table1347456[[#This Row],[treatment_mean]]/Table1347456[[#This Row],[control_mean]]</f>
        <v>1.115702479338843</v>
      </c>
      <c r="AY581" s="14">
        <f>LN(Table1347456[[#This Row],[rr]])</f>
        <v>0.10948423284168841</v>
      </c>
      <c r="AZ581" s="13">
        <v>4</v>
      </c>
      <c r="BA581" s="13">
        <v>4</v>
      </c>
      <c r="BB581" s="14">
        <f>SQRT(0.020433)/3.5</f>
        <v>4.0841155713324272E-2</v>
      </c>
      <c r="BC581" s="14">
        <f t="shared" si="22"/>
        <v>8.504500609221266E-2</v>
      </c>
      <c r="BD581" s="15">
        <f>Table1347456[[#This Row],[treatment_se]]*Table1347456[[#This Row],[treatment_n]]</f>
        <v>0.16336462285329709</v>
      </c>
      <c r="BE581" s="14">
        <f>Table1347456[[#This Row],[control_se]]*Table1347456[[#This Row],[control_n]]</f>
        <v>0.34018002436885064</v>
      </c>
      <c r="BF58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0.28690605911636041</v>
      </c>
      <c r="BG581" s="17">
        <f>SQRT(Table1347456[[#This Row],[v_from_sd_and_n]])</f>
        <v>0.53563612566401864</v>
      </c>
      <c r="BH581" s="13" t="s">
        <v>50</v>
      </c>
      <c r="BI581" s="13">
        <v>2.5000000000000001E-2</v>
      </c>
      <c r="BJ581" s="18">
        <f>ABS(_xlfn.NORM.S.INV(Table1347456[[#This Row],[p_value]]/2))</f>
        <v>2.2414027276049446</v>
      </c>
      <c r="BK581" s="19">
        <f>(Table1347456[[#This Row],[lnrr]]/Table1347456[[#This Row],[z_from_p]])^2</f>
        <v>2.3859611452184634E-3</v>
      </c>
      <c r="BL581" s="16">
        <f>Table1347456[[#This Row],[v_from_sd_and_n]]</f>
        <v>0.28690605911636041</v>
      </c>
      <c r="BM581" s="20">
        <f>SQRT(Table1347456[[#This Row],[v]])</f>
        <v>0.53563612566401864</v>
      </c>
      <c r="BN581" s="20">
        <f>Table1347456[[#This Row],[lnrr]]-(1.96*Table1347456[[#This Row],[se]])</f>
        <v>-0.94036257345978813</v>
      </c>
      <c r="BO581" s="20">
        <f>Table1347456[[#This Row],[lnrr]]+(1.96 * Table1347456[[#This Row],[se]])</f>
        <v>1.159331039143165</v>
      </c>
    </row>
    <row r="582" spans="1:67">
      <c r="A582" s="13" t="s">
        <v>215</v>
      </c>
      <c r="B582" s="13" t="s">
        <v>216</v>
      </c>
      <c r="C582" s="13" t="s">
        <v>43</v>
      </c>
      <c r="D582" s="13" t="s">
        <v>217</v>
      </c>
      <c r="E582" s="13" t="s">
        <v>132</v>
      </c>
      <c r="F582" s="13" t="s">
        <v>589</v>
      </c>
      <c r="G582" s="13" t="s">
        <v>46</v>
      </c>
      <c r="H582" s="13">
        <v>28</v>
      </c>
      <c r="I582" s="13" t="s">
        <v>46</v>
      </c>
      <c r="K582" s="13" t="s">
        <v>980</v>
      </c>
      <c r="L582" s="13" t="s">
        <v>979</v>
      </c>
      <c r="N582" s="13" t="s">
        <v>139</v>
      </c>
      <c r="O582" s="13" t="s">
        <v>643</v>
      </c>
      <c r="P582" s="13" t="s">
        <v>141</v>
      </c>
      <c r="Q582" s="13" t="s">
        <v>422</v>
      </c>
      <c r="R582" s="4">
        <v>4</v>
      </c>
      <c r="S582" s="13" t="s">
        <v>596</v>
      </c>
      <c r="T582" s="13">
        <v>270</v>
      </c>
      <c r="U582" s="4" t="s">
        <v>219</v>
      </c>
      <c r="V582" s="4">
        <v>500</v>
      </c>
      <c r="W582" s="4" t="s">
        <v>601</v>
      </c>
      <c r="X582" s="4">
        <v>723</v>
      </c>
      <c r="Y582" s="4">
        <v>30</v>
      </c>
      <c r="AA582" s="4" t="s">
        <v>49</v>
      </c>
      <c r="AB582" s="4">
        <v>0</v>
      </c>
      <c r="AC582" s="4" t="s">
        <v>49</v>
      </c>
      <c r="AD582" s="4">
        <v>0</v>
      </c>
      <c r="AE582" s="4" t="s">
        <v>49</v>
      </c>
      <c r="AF582" s="4">
        <v>0</v>
      </c>
      <c r="AG582" s="4" t="s">
        <v>685</v>
      </c>
      <c r="AH582" s="4" t="s">
        <v>782</v>
      </c>
      <c r="AI582" s="4" t="s">
        <v>78</v>
      </c>
      <c r="AJ582" s="13">
        <v>0</v>
      </c>
      <c r="AK582" s="13">
        <v>20</v>
      </c>
      <c r="AL582" s="13" t="s">
        <v>513</v>
      </c>
      <c r="AN582" s="13" t="s">
        <v>514</v>
      </c>
      <c r="AP582" s="13" t="s">
        <v>49</v>
      </c>
      <c r="AQ582" s="13" t="s">
        <v>49</v>
      </c>
      <c r="AR582" s="13" t="s">
        <v>49</v>
      </c>
      <c r="AS582" s="13" t="s">
        <v>49</v>
      </c>
      <c r="AT582" s="13" t="s">
        <v>990</v>
      </c>
      <c r="AU582" s="13" t="s">
        <v>998</v>
      </c>
      <c r="AV582" s="14">
        <f>1.13/3.5</f>
        <v>0.32285714285714284</v>
      </c>
      <c r="AW582" s="14">
        <f t="shared" si="21"/>
        <v>0.3457142857142857</v>
      </c>
      <c r="AX582" s="14">
        <f>Table1347456[[#This Row],[treatment_mean]]/Table1347456[[#This Row],[control_mean]]</f>
        <v>0.93388429752066116</v>
      </c>
      <c r="AY582" s="14">
        <f>LN(Table1347456[[#This Row],[rr]])</f>
        <v>-6.8402726884400522E-2</v>
      </c>
      <c r="AZ582" s="13">
        <v>4</v>
      </c>
      <c r="BA582" s="13">
        <v>4</v>
      </c>
      <c r="BB582" s="14">
        <f>SQRT(0.002466666)/3.5</f>
        <v>1.41901546783648E-2</v>
      </c>
      <c r="BC582" s="14">
        <f t="shared" si="22"/>
        <v>8.504500609221266E-2</v>
      </c>
      <c r="BD582" s="15">
        <f>Table1347456[[#This Row],[treatment_se]]*Table1347456[[#This Row],[treatment_n]]</f>
        <v>5.67606187134592E-2</v>
      </c>
      <c r="BE582" s="14">
        <f>Table1347456[[#This Row],[control_se]]*Table1347456[[#This Row],[control_n]]</f>
        <v>0.34018002436885064</v>
      </c>
      <c r="BF58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0.24978701376894466</v>
      </c>
      <c r="BG582" s="17">
        <f>SQRT(Table1347456[[#This Row],[v_from_sd_and_n]])</f>
        <v>0.49978696838647629</v>
      </c>
      <c r="BH582" s="13" t="s">
        <v>50</v>
      </c>
      <c r="BI582" s="13">
        <v>2.5000000000000001E-2</v>
      </c>
      <c r="BJ582" s="18">
        <f>ABS(_xlfn.NORM.S.INV(Table1347456[[#This Row],[p_value]]/2))</f>
        <v>2.2414027276049446</v>
      </c>
      <c r="BK582" s="19">
        <f>(Table1347456[[#This Row],[lnrr]]/Table1347456[[#This Row],[z_from_p]])^2</f>
        <v>9.3133738917812491E-4</v>
      </c>
      <c r="BL582" s="16">
        <f>Table1347456[[#This Row],[v_from_sd_and_n]]</f>
        <v>0.24978701376894466</v>
      </c>
      <c r="BM582" s="20">
        <f>SQRT(Table1347456[[#This Row],[v]])</f>
        <v>0.49978696838647629</v>
      </c>
      <c r="BN582" s="20">
        <f>Table1347456[[#This Row],[lnrr]]-(1.96*Table1347456[[#This Row],[se]])</f>
        <v>-1.047985184921894</v>
      </c>
      <c r="BO582" s="20">
        <f>Table1347456[[#This Row],[lnrr]]+(1.96 * Table1347456[[#This Row],[se]])</f>
        <v>0.91117973115309303</v>
      </c>
    </row>
    <row r="583" spans="1:67">
      <c r="A583" s="13" t="s">
        <v>215</v>
      </c>
      <c r="B583" s="13" t="s">
        <v>216</v>
      </c>
      <c r="C583" s="13" t="s">
        <v>43</v>
      </c>
      <c r="D583" s="13" t="s">
        <v>217</v>
      </c>
      <c r="E583" s="13" t="s">
        <v>132</v>
      </c>
      <c r="F583" s="13" t="s">
        <v>589</v>
      </c>
      <c r="G583" s="13" t="s">
        <v>46</v>
      </c>
      <c r="H583" s="13">
        <v>28</v>
      </c>
      <c r="I583" s="13" t="s">
        <v>46</v>
      </c>
      <c r="K583" s="13" t="s">
        <v>980</v>
      </c>
      <c r="L583" s="13" t="s">
        <v>979</v>
      </c>
      <c r="N583" s="13" t="s">
        <v>139</v>
      </c>
      <c r="O583" s="13" t="s">
        <v>643</v>
      </c>
      <c r="P583" s="13" t="s">
        <v>141</v>
      </c>
      <c r="Q583" s="13" t="s">
        <v>422</v>
      </c>
      <c r="R583" s="4">
        <v>4</v>
      </c>
      <c r="S583" s="13" t="s">
        <v>596</v>
      </c>
      <c r="T583" s="13">
        <v>270</v>
      </c>
      <c r="U583" s="4" t="s">
        <v>219</v>
      </c>
      <c r="V583" s="4">
        <v>500</v>
      </c>
      <c r="W583" s="4" t="s">
        <v>601</v>
      </c>
      <c r="X583" s="4">
        <v>723</v>
      </c>
      <c r="Y583" s="4">
        <v>60</v>
      </c>
      <c r="AA583" s="4" t="s">
        <v>49</v>
      </c>
      <c r="AB583" s="4">
        <v>0</v>
      </c>
      <c r="AC583" s="4" t="s">
        <v>49</v>
      </c>
      <c r="AD583" s="4">
        <v>0</v>
      </c>
      <c r="AE583" s="4" t="s">
        <v>49</v>
      </c>
      <c r="AF583" s="4">
        <v>0</v>
      </c>
      <c r="AG583" s="4" t="s">
        <v>685</v>
      </c>
      <c r="AH583" s="4" t="s">
        <v>782</v>
      </c>
      <c r="AI583" s="4" t="s">
        <v>78</v>
      </c>
      <c r="AJ583" s="13">
        <v>0</v>
      </c>
      <c r="AK583" s="13">
        <v>20</v>
      </c>
      <c r="AL583" s="13" t="s">
        <v>513</v>
      </c>
      <c r="AN583" s="13" t="s">
        <v>514</v>
      </c>
      <c r="AP583" s="13" t="s">
        <v>49</v>
      </c>
      <c r="AQ583" s="13" t="s">
        <v>49</v>
      </c>
      <c r="AR583" s="13" t="s">
        <v>49</v>
      </c>
      <c r="AS583" s="13" t="s">
        <v>49</v>
      </c>
      <c r="AT583" s="13" t="s">
        <v>990</v>
      </c>
      <c r="AU583" s="13" t="s">
        <v>998</v>
      </c>
      <c r="AV583" s="14">
        <f>1.26/3.5</f>
        <v>0.36</v>
      </c>
      <c r="AW583" s="14">
        <f t="shared" si="21"/>
        <v>0.3457142857142857</v>
      </c>
      <c r="AX583" s="14">
        <f>Table1347456[[#This Row],[treatment_mean]]/Table1347456[[#This Row],[control_mean]]</f>
        <v>1.0413223140495869</v>
      </c>
      <c r="AY583" s="14">
        <f>LN(Table1347456[[#This Row],[rr]])</f>
        <v>4.0491361354736993E-2</v>
      </c>
      <c r="AZ583" s="13">
        <v>4</v>
      </c>
      <c r="BA583" s="13">
        <v>4</v>
      </c>
      <c r="BB583" s="14">
        <f>SQRT(0.0150333)/3.5</f>
        <v>3.5031530986602714E-2</v>
      </c>
      <c r="BC583" s="14">
        <f t="shared" si="22"/>
        <v>8.504500609221266E-2</v>
      </c>
      <c r="BD583" s="15">
        <f>Table1347456[[#This Row],[treatment_se]]*Table1347456[[#This Row],[treatment_n]]</f>
        <v>0.14012612394641086</v>
      </c>
      <c r="BE583" s="14">
        <f>Table1347456[[#This Row],[control_se]]*Table1347456[[#This Row],[control_n]]</f>
        <v>0.34018002436885064</v>
      </c>
      <c r="BF58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0.27993676374389048</v>
      </c>
      <c r="BG583" s="17">
        <f>SQRT(Table1347456[[#This Row],[v_from_sd_and_n]])</f>
        <v>0.52909050619330766</v>
      </c>
      <c r="BH583" s="13" t="s">
        <v>50</v>
      </c>
      <c r="BI583" s="13">
        <v>2.5000000000000001E-2</v>
      </c>
      <c r="BJ583" s="18">
        <f>ABS(_xlfn.NORM.S.INV(Table1347456[[#This Row],[p_value]]/2))</f>
        <v>2.2414027276049446</v>
      </c>
      <c r="BK583" s="19">
        <f>(Table1347456[[#This Row],[lnrr]]/Table1347456[[#This Row],[z_from_p]])^2</f>
        <v>3.2635101258855916E-4</v>
      </c>
      <c r="BL583" s="16">
        <f>Table1347456[[#This Row],[v_from_sd_and_n]]</f>
        <v>0.27993676374389048</v>
      </c>
      <c r="BM583" s="20">
        <f>SQRT(Table1347456[[#This Row],[v]])</f>
        <v>0.52909050619330766</v>
      </c>
      <c r="BN583" s="20">
        <f>Table1347456[[#This Row],[lnrr]]-(1.96*Table1347456[[#This Row],[se]])</f>
        <v>-0.99652603078414603</v>
      </c>
      <c r="BO583" s="20">
        <f>Table1347456[[#This Row],[lnrr]]+(1.96 * Table1347456[[#This Row],[se]])</f>
        <v>1.0775087534936201</v>
      </c>
    </row>
    <row r="584" spans="1:67">
      <c r="A584" s="13" t="s">
        <v>215</v>
      </c>
      <c r="B584" s="13" t="s">
        <v>216</v>
      </c>
      <c r="C584" s="13" t="s">
        <v>43</v>
      </c>
      <c r="D584" s="13" t="s">
        <v>217</v>
      </c>
      <c r="E584" s="13" t="s">
        <v>132</v>
      </c>
      <c r="F584" s="13" t="s">
        <v>589</v>
      </c>
      <c r="G584" s="13" t="s">
        <v>46</v>
      </c>
      <c r="H584" s="13">
        <v>28</v>
      </c>
      <c r="I584" s="13" t="s">
        <v>46</v>
      </c>
      <c r="K584" s="13" t="s">
        <v>980</v>
      </c>
      <c r="L584" s="13" t="s">
        <v>979</v>
      </c>
      <c r="N584" s="13" t="s">
        <v>139</v>
      </c>
      <c r="O584" s="13" t="s">
        <v>643</v>
      </c>
      <c r="P584" s="13" t="s">
        <v>141</v>
      </c>
      <c r="Q584" s="13" t="s">
        <v>422</v>
      </c>
      <c r="R584" s="4">
        <v>4</v>
      </c>
      <c r="S584" s="13" t="s">
        <v>596</v>
      </c>
      <c r="T584" s="13">
        <v>270</v>
      </c>
      <c r="U584" s="4" t="s">
        <v>220</v>
      </c>
      <c r="V584" s="4">
        <v>500</v>
      </c>
      <c r="W584" s="4" t="s">
        <v>601</v>
      </c>
      <c r="X584" s="4">
        <v>430</v>
      </c>
      <c r="Y584" s="4">
        <v>30</v>
      </c>
      <c r="AA584" s="4" t="s">
        <v>49</v>
      </c>
      <c r="AB584" s="4">
        <v>0</v>
      </c>
      <c r="AC584" s="4" t="s">
        <v>49</v>
      </c>
      <c r="AD584" s="4">
        <v>0</v>
      </c>
      <c r="AE584" s="4" t="s">
        <v>49</v>
      </c>
      <c r="AF584" s="4">
        <v>0</v>
      </c>
      <c r="AG584" s="4" t="s">
        <v>770</v>
      </c>
      <c r="AH584" s="4" t="s">
        <v>782</v>
      </c>
      <c r="AI584" s="4" t="s">
        <v>78</v>
      </c>
      <c r="AJ584" s="13">
        <v>0</v>
      </c>
      <c r="AK584" s="13">
        <v>20</v>
      </c>
      <c r="AL584" s="13" t="s">
        <v>513</v>
      </c>
      <c r="AN584" s="13" t="s">
        <v>514</v>
      </c>
      <c r="AP584" s="13" t="s">
        <v>49</v>
      </c>
      <c r="AQ584" s="13" t="s">
        <v>49</v>
      </c>
      <c r="AR584" s="13" t="s">
        <v>49</v>
      </c>
      <c r="AS584" s="13" t="s">
        <v>49</v>
      </c>
      <c r="AT584" s="13" t="s">
        <v>990</v>
      </c>
      <c r="AU584" s="13" t="s">
        <v>998</v>
      </c>
      <c r="AV584" s="14">
        <f>1.07/3.5</f>
        <v>0.30571428571428572</v>
      </c>
      <c r="AW584" s="14">
        <f t="shared" si="21"/>
        <v>0.3457142857142857</v>
      </c>
      <c r="AX584" s="14">
        <f>Table1347456[[#This Row],[treatment_mean]]/Table1347456[[#This Row],[control_mean]]</f>
        <v>0.88429752066115708</v>
      </c>
      <c r="AY584" s="14">
        <f>LN(Table1347456[[#This Row],[rr]])</f>
        <v>-0.12296171113483485</v>
      </c>
      <c r="AZ584" s="13">
        <v>4</v>
      </c>
      <c r="BA584" s="13">
        <v>4</v>
      </c>
      <c r="BB584" s="14">
        <f>SQRT(0.0059)/3.5</f>
        <v>2.194613070819602E-2</v>
      </c>
      <c r="BC584" s="14">
        <f t="shared" si="22"/>
        <v>8.504500609221266E-2</v>
      </c>
      <c r="BD584" s="15">
        <f>Table1347456[[#This Row],[treatment_se]]*Table1347456[[#This Row],[treatment_n]]</f>
        <v>8.7784522832784082E-2</v>
      </c>
      <c r="BE584" s="14">
        <f>Table1347456[[#This Row],[control_se]]*Table1347456[[#This Row],[control_n]]</f>
        <v>0.34018002436885064</v>
      </c>
      <c r="BF58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0.26267312256862879</v>
      </c>
      <c r="BG584" s="17">
        <f>SQRT(Table1347456[[#This Row],[v_from_sd_and_n]])</f>
        <v>0.51251646077821622</v>
      </c>
      <c r="BH584" s="13" t="s">
        <v>50</v>
      </c>
      <c r="BI584" s="13">
        <v>2.5000000000000001E-2</v>
      </c>
      <c r="BJ584" s="18">
        <f>ABS(_xlfn.NORM.S.INV(Table1347456[[#This Row],[p_value]]/2))</f>
        <v>2.2414027276049446</v>
      </c>
      <c r="BK584" s="19">
        <f>(Table1347456[[#This Row],[lnrr]]/Table1347456[[#This Row],[z_from_p]])^2</f>
        <v>3.00953919764005E-3</v>
      </c>
      <c r="BL584" s="16">
        <f>Table1347456[[#This Row],[v_from_sd_and_n]]</f>
        <v>0.26267312256862879</v>
      </c>
      <c r="BM584" s="20">
        <f>SQRT(Table1347456[[#This Row],[v]])</f>
        <v>0.51251646077821622</v>
      </c>
      <c r="BN584" s="20">
        <f>Table1347456[[#This Row],[lnrr]]-(1.96*Table1347456[[#This Row],[se]])</f>
        <v>-1.1274939742601386</v>
      </c>
      <c r="BO584" s="20">
        <f>Table1347456[[#This Row],[lnrr]]+(1.96 * Table1347456[[#This Row],[se]])</f>
        <v>0.88157055199046885</v>
      </c>
    </row>
    <row r="585" spans="1:67">
      <c r="A585" s="13" t="s">
        <v>215</v>
      </c>
      <c r="B585" s="13" t="s">
        <v>216</v>
      </c>
      <c r="C585" s="13" t="s">
        <v>43</v>
      </c>
      <c r="D585" s="13" t="s">
        <v>217</v>
      </c>
      <c r="E585" s="13" t="s">
        <v>132</v>
      </c>
      <c r="F585" s="13" t="s">
        <v>589</v>
      </c>
      <c r="G585" s="13" t="s">
        <v>46</v>
      </c>
      <c r="H585" s="13">
        <v>28</v>
      </c>
      <c r="I585" s="13" t="s">
        <v>46</v>
      </c>
      <c r="K585" s="13" t="s">
        <v>980</v>
      </c>
      <c r="L585" s="13" t="s">
        <v>979</v>
      </c>
      <c r="N585" s="13" t="s">
        <v>139</v>
      </c>
      <c r="O585" s="13" t="s">
        <v>643</v>
      </c>
      <c r="P585" s="13" t="s">
        <v>141</v>
      </c>
      <c r="Q585" s="13" t="s">
        <v>422</v>
      </c>
      <c r="R585" s="4">
        <v>4</v>
      </c>
      <c r="S585" s="13" t="s">
        <v>596</v>
      </c>
      <c r="T585" s="13">
        <v>270</v>
      </c>
      <c r="U585" s="4" t="s">
        <v>220</v>
      </c>
      <c r="V585" s="4">
        <v>500</v>
      </c>
      <c r="W585" s="4" t="s">
        <v>601</v>
      </c>
      <c r="X585" s="4">
        <v>430</v>
      </c>
      <c r="Y585" s="4">
        <v>60</v>
      </c>
      <c r="AA585" s="4" t="s">
        <v>49</v>
      </c>
      <c r="AB585" s="4">
        <v>0</v>
      </c>
      <c r="AC585" s="4" t="s">
        <v>49</v>
      </c>
      <c r="AD585" s="4">
        <v>0</v>
      </c>
      <c r="AE585" s="4" t="s">
        <v>49</v>
      </c>
      <c r="AF585" s="4">
        <v>0</v>
      </c>
      <c r="AG585" s="4" t="s">
        <v>770</v>
      </c>
      <c r="AH585" s="4" t="s">
        <v>782</v>
      </c>
      <c r="AI585" s="4" t="s">
        <v>78</v>
      </c>
      <c r="AJ585" s="13">
        <v>0</v>
      </c>
      <c r="AK585" s="13">
        <v>20</v>
      </c>
      <c r="AL585" s="13" t="s">
        <v>513</v>
      </c>
      <c r="AN585" s="13" t="s">
        <v>514</v>
      </c>
      <c r="AP585" s="13" t="s">
        <v>49</v>
      </c>
      <c r="AQ585" s="13" t="s">
        <v>49</v>
      </c>
      <c r="AR585" s="13" t="s">
        <v>49</v>
      </c>
      <c r="AS585" s="13" t="s">
        <v>49</v>
      </c>
      <c r="AT585" s="13" t="s">
        <v>990</v>
      </c>
      <c r="AU585" s="13" t="s">
        <v>998</v>
      </c>
      <c r="AV585" s="14">
        <f>1.29/3.5</f>
        <v>0.36857142857142861</v>
      </c>
      <c r="AW585" s="14">
        <f t="shared" si="21"/>
        <v>0.3457142857142857</v>
      </c>
      <c r="AX585" s="14">
        <f>Table1347456[[#This Row],[treatment_mean]]/Table1347456[[#This Row],[control_mean]]</f>
        <v>1.0661157024793391</v>
      </c>
      <c r="AY585" s="14">
        <f>LN(Table1347456[[#This Row],[rr]])</f>
        <v>6.402185876493123E-2</v>
      </c>
      <c r="AZ585" s="13">
        <v>4</v>
      </c>
      <c r="BA585" s="13">
        <v>4</v>
      </c>
      <c r="BB585" s="14">
        <f>SQRT(0.0027)/3.5</f>
        <v>1.4846149779161806E-2</v>
      </c>
      <c r="BC585" s="14">
        <f t="shared" si="22"/>
        <v>8.504500609221266E-2</v>
      </c>
      <c r="BD585" s="15">
        <f>Table1347456[[#This Row],[treatment_se]]*Table1347456[[#This Row],[treatment_n]]</f>
        <v>5.9384599116647223E-2</v>
      </c>
      <c r="BE585" s="14">
        <f>Table1347456[[#This Row],[control_se]]*Table1347456[[#This Row],[control_n]]</f>
        <v>0.34018002436885064</v>
      </c>
      <c r="BF58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0.2485499631730522</v>
      </c>
      <c r="BG585" s="17">
        <f>SQRT(Table1347456[[#This Row],[v_from_sd_and_n]])</f>
        <v>0.4985478544463432</v>
      </c>
      <c r="BH585" s="13" t="s">
        <v>50</v>
      </c>
      <c r="BI585" s="13">
        <v>2.5000000000000001E-2</v>
      </c>
      <c r="BJ585" s="18">
        <f>ABS(_xlfn.NORM.S.INV(Table1347456[[#This Row],[p_value]]/2))</f>
        <v>2.2414027276049446</v>
      </c>
      <c r="BK585" s="19">
        <f>(Table1347456[[#This Row],[lnrr]]/Table1347456[[#This Row],[z_from_p]])^2</f>
        <v>8.1586211289302413E-4</v>
      </c>
      <c r="BL585" s="16">
        <f>Table1347456[[#This Row],[v_from_sd_and_n]]</f>
        <v>0.2485499631730522</v>
      </c>
      <c r="BM585" s="20">
        <f>SQRT(Table1347456[[#This Row],[v]])</f>
        <v>0.4985478544463432</v>
      </c>
      <c r="BN585" s="20">
        <f>Table1347456[[#This Row],[lnrr]]-(1.96*Table1347456[[#This Row],[se]])</f>
        <v>-0.91313193594990139</v>
      </c>
      <c r="BO585" s="20">
        <f>Table1347456[[#This Row],[lnrr]]+(1.96 * Table1347456[[#This Row],[se]])</f>
        <v>1.0411756534797638</v>
      </c>
    </row>
    <row r="586" spans="1:67">
      <c r="A586" s="13" t="s">
        <v>221</v>
      </c>
      <c r="B586" s="13" t="s">
        <v>222</v>
      </c>
      <c r="C586" s="13" t="s">
        <v>43</v>
      </c>
      <c r="D586" s="13" t="s">
        <v>146</v>
      </c>
      <c r="E586" s="13" t="s">
        <v>91</v>
      </c>
      <c r="F586" s="13" t="s">
        <v>587</v>
      </c>
      <c r="G586" s="13" t="s">
        <v>223</v>
      </c>
      <c r="H586" s="13">
        <v>15</v>
      </c>
      <c r="I586" s="13">
        <v>1150</v>
      </c>
      <c r="K586" s="13" t="s">
        <v>865</v>
      </c>
      <c r="L586" s="13" t="s">
        <v>866</v>
      </c>
      <c r="N586" s="13" t="s">
        <v>47</v>
      </c>
      <c r="O586" s="13" t="s">
        <v>645</v>
      </c>
      <c r="P586" s="13" t="s">
        <v>48</v>
      </c>
      <c r="Q586" s="13" t="s">
        <v>48</v>
      </c>
      <c r="R586" s="4">
        <v>3</v>
      </c>
      <c r="S586" s="13" t="s">
        <v>594</v>
      </c>
      <c r="T586" s="13">
        <v>1095</v>
      </c>
      <c r="U586" s="4" t="s">
        <v>224</v>
      </c>
      <c r="V586" s="4">
        <v>400</v>
      </c>
      <c r="W586" s="4" t="s">
        <v>42</v>
      </c>
      <c r="X586" s="4">
        <v>598</v>
      </c>
      <c r="Y586" s="4">
        <v>2.4</v>
      </c>
      <c r="AA586" s="4" t="s">
        <v>49</v>
      </c>
      <c r="AB586" s="4">
        <v>0</v>
      </c>
      <c r="AC586" s="4" t="s">
        <v>49</v>
      </c>
      <c r="AD586" s="4">
        <v>0</v>
      </c>
      <c r="AE586" s="4" t="s">
        <v>49</v>
      </c>
      <c r="AF586" s="4">
        <v>0</v>
      </c>
      <c r="AG586" s="4" t="s">
        <v>792</v>
      </c>
      <c r="AH586" s="4" t="s">
        <v>722</v>
      </c>
      <c r="AI586" s="4" t="s">
        <v>64</v>
      </c>
      <c r="AJ586" s="13">
        <v>0</v>
      </c>
      <c r="AK586" s="13">
        <v>15</v>
      </c>
      <c r="AP586" s="13" t="s">
        <v>50</v>
      </c>
      <c r="AQ586" s="13" t="s">
        <v>49</v>
      </c>
      <c r="AR586" s="13" t="s">
        <v>49</v>
      </c>
      <c r="AS586" s="13" t="s">
        <v>49</v>
      </c>
      <c r="AT586" s="13" t="s">
        <v>990</v>
      </c>
      <c r="AU586" s="13" t="s">
        <v>998</v>
      </c>
      <c r="AV586" s="14">
        <v>1.74</v>
      </c>
      <c r="AW586" s="14">
        <v>1.85</v>
      </c>
      <c r="AX586" s="14">
        <f>Table1347456[[#This Row],[treatment_mean]]/Table1347456[[#This Row],[control_mean]]</f>
        <v>0.94054054054054048</v>
      </c>
      <c r="AY586" s="14">
        <f>LN(Table1347456[[#This Row],[rr]])</f>
        <v>-6.1300525863795856E-2</v>
      </c>
      <c r="AZ586" s="13">
        <v>3</v>
      </c>
      <c r="BA586" s="13">
        <v>3</v>
      </c>
      <c r="BB586" s="14">
        <v>0.03</v>
      </c>
      <c r="BC586" s="14">
        <v>0.01</v>
      </c>
      <c r="BD586" s="15">
        <f>Table1347456[[#This Row],[treatment_se]]*Table1347456[[#This Row],[treatment_n]]</f>
        <v>0.09</v>
      </c>
      <c r="BE586" s="14">
        <f>Table1347456[[#This Row],[control_se]]*Table1347456[[#This Row],[control_n]]</f>
        <v>0.03</v>
      </c>
      <c r="BF58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9.7945070435991781E-4</v>
      </c>
      <c r="BG586" s="17">
        <f>SQRT(Table1347456[[#This Row],[v_from_sd_and_n]])</f>
        <v>3.1296177152488093E-2</v>
      </c>
      <c r="BH586" s="13" t="s">
        <v>50</v>
      </c>
      <c r="BI586" s="13">
        <v>2.5000000000000001E-2</v>
      </c>
      <c r="BJ586" s="18">
        <f>ABS(_xlfn.NORM.S.INV(Table1347456[[#This Row],[p_value]]/2))</f>
        <v>2.2414027276049446</v>
      </c>
      <c r="BK586" s="19">
        <f>(Table1347456[[#This Row],[lnrr]]/Table1347456[[#This Row],[z_from_p]])^2</f>
        <v>7.4797762749205705E-4</v>
      </c>
      <c r="BL586" s="16">
        <f>Table1347456[[#This Row],[v_from_sd_and_n]]</f>
        <v>9.7945070435991781E-4</v>
      </c>
      <c r="BM586" s="20">
        <f>SQRT(Table1347456[[#This Row],[v]])</f>
        <v>3.1296177152488093E-2</v>
      </c>
      <c r="BN586" s="20">
        <f>Table1347456[[#This Row],[lnrr]]-(1.96*Table1347456[[#This Row],[se]])</f>
        <v>-0.12264103308267252</v>
      </c>
      <c r="BO586" s="20">
        <f>Table1347456[[#This Row],[lnrr]]+(1.96 * Table1347456[[#This Row],[se]])</f>
        <v>3.9981355080806469E-5</v>
      </c>
    </row>
    <row r="587" spans="1:67">
      <c r="A587" s="13" t="s">
        <v>221</v>
      </c>
      <c r="B587" s="13" t="s">
        <v>222</v>
      </c>
      <c r="C587" s="13" t="s">
        <v>43</v>
      </c>
      <c r="D587" s="13" t="s">
        <v>146</v>
      </c>
      <c r="E587" s="13" t="s">
        <v>91</v>
      </c>
      <c r="F587" s="13" t="s">
        <v>587</v>
      </c>
      <c r="G587" s="13" t="s">
        <v>223</v>
      </c>
      <c r="H587" s="13">
        <v>15</v>
      </c>
      <c r="I587" s="13">
        <v>1150</v>
      </c>
      <c r="K587" s="13" t="s">
        <v>865</v>
      </c>
      <c r="L587" s="13" t="s">
        <v>866</v>
      </c>
      <c r="N587" s="13" t="s">
        <v>47</v>
      </c>
      <c r="O587" s="13" t="s">
        <v>645</v>
      </c>
      <c r="P587" s="13" t="s">
        <v>48</v>
      </c>
      <c r="Q587" s="13" t="s">
        <v>48</v>
      </c>
      <c r="R587" s="4">
        <v>3</v>
      </c>
      <c r="S587" s="13" t="s">
        <v>594</v>
      </c>
      <c r="T587" s="13">
        <v>1095</v>
      </c>
      <c r="U587" s="4" t="s">
        <v>224</v>
      </c>
      <c r="V587" s="4">
        <v>400</v>
      </c>
      <c r="W587" s="4" t="s">
        <v>42</v>
      </c>
      <c r="X587" s="4">
        <v>598</v>
      </c>
      <c r="Y587" s="4">
        <v>6</v>
      </c>
      <c r="AA587" s="4" t="s">
        <v>49</v>
      </c>
      <c r="AB587" s="4">
        <v>0</v>
      </c>
      <c r="AC587" s="4" t="s">
        <v>49</v>
      </c>
      <c r="AD587" s="4">
        <v>0</v>
      </c>
      <c r="AE587" s="4" t="s">
        <v>49</v>
      </c>
      <c r="AF587" s="4">
        <v>0</v>
      </c>
      <c r="AG587" s="4" t="s">
        <v>792</v>
      </c>
      <c r="AH587" s="4" t="s">
        <v>722</v>
      </c>
      <c r="AI587" s="4" t="s">
        <v>64</v>
      </c>
      <c r="AJ587" s="13">
        <v>0</v>
      </c>
      <c r="AK587" s="13">
        <v>15</v>
      </c>
      <c r="AP587" s="13" t="s">
        <v>50</v>
      </c>
      <c r="AQ587" s="13" t="s">
        <v>49</v>
      </c>
      <c r="AR587" s="13" t="s">
        <v>49</v>
      </c>
      <c r="AS587" s="13" t="s">
        <v>49</v>
      </c>
      <c r="AT587" s="13" t="s">
        <v>990</v>
      </c>
      <c r="AU587" s="13" t="s">
        <v>998</v>
      </c>
      <c r="AV587" s="14">
        <v>2.06</v>
      </c>
      <c r="AW587" s="14">
        <v>1.85</v>
      </c>
      <c r="AX587" s="14">
        <f>Table1347456[[#This Row],[treatment_mean]]/Table1347456[[#This Row],[control_mean]]</f>
        <v>1.1135135135135135</v>
      </c>
      <c r="AY587" s="14">
        <f>LN(Table1347456[[#This Row],[rr]])</f>
        <v>0.10752034371125621</v>
      </c>
      <c r="AZ587" s="13">
        <v>3</v>
      </c>
      <c r="BA587" s="13">
        <v>3</v>
      </c>
      <c r="BB587" s="14">
        <v>0.03</v>
      </c>
      <c r="BC587" s="14">
        <v>0.01</v>
      </c>
      <c r="BD587" s="15">
        <f>Table1347456[[#This Row],[treatment_se]]*Table1347456[[#This Row],[treatment_n]]</f>
        <v>0.09</v>
      </c>
      <c r="BE587" s="14">
        <f>Table1347456[[#This Row],[control_se]]*Table1347456[[#This Row],[control_n]]</f>
        <v>0.03</v>
      </c>
      <c r="BF58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7.2390746145564223E-4</v>
      </c>
      <c r="BG587" s="17">
        <f>SQRT(Table1347456[[#This Row],[v_from_sd_and_n]])</f>
        <v>2.690552845523838E-2</v>
      </c>
      <c r="BH587" s="13" t="s">
        <v>50</v>
      </c>
      <c r="BI587" s="13">
        <v>2.5000000000000001E-2</v>
      </c>
      <c r="BJ587" s="18">
        <f>ABS(_xlfn.NORM.S.INV(Table1347456[[#This Row],[p_value]]/2))</f>
        <v>2.2414027276049446</v>
      </c>
      <c r="BK587" s="19">
        <f>(Table1347456[[#This Row],[lnrr]]/Table1347456[[#This Row],[z_from_p]])^2</f>
        <v>2.3011318092708375E-3</v>
      </c>
      <c r="BL587" s="16">
        <f>Table1347456[[#This Row],[v_from_sd_and_n]]</f>
        <v>7.2390746145564223E-4</v>
      </c>
      <c r="BM587" s="20">
        <f>SQRT(Table1347456[[#This Row],[v]])</f>
        <v>2.690552845523838E-2</v>
      </c>
      <c r="BN587" s="20">
        <f>Table1347456[[#This Row],[lnrr]]-(1.96*Table1347456[[#This Row],[se]])</f>
        <v>5.4785507938988988E-2</v>
      </c>
      <c r="BO587" s="20">
        <f>Table1347456[[#This Row],[lnrr]]+(1.96 * Table1347456[[#This Row],[se]])</f>
        <v>0.16025517948352344</v>
      </c>
    </row>
    <row r="588" spans="1:67">
      <c r="A588" s="13" t="s">
        <v>221</v>
      </c>
      <c r="B588" s="13" t="s">
        <v>222</v>
      </c>
      <c r="C588" s="13" t="s">
        <v>43</v>
      </c>
      <c r="D588" s="13" t="s">
        <v>146</v>
      </c>
      <c r="E588" s="13" t="s">
        <v>91</v>
      </c>
      <c r="F588" s="13" t="s">
        <v>587</v>
      </c>
      <c r="G588" s="13" t="s">
        <v>223</v>
      </c>
      <c r="H588" s="13">
        <v>15</v>
      </c>
      <c r="I588" s="13">
        <v>1150</v>
      </c>
      <c r="K588" s="13" t="s">
        <v>865</v>
      </c>
      <c r="L588" s="13" t="s">
        <v>866</v>
      </c>
      <c r="N588" s="13" t="s">
        <v>47</v>
      </c>
      <c r="O588" s="13" t="s">
        <v>645</v>
      </c>
      <c r="P588" s="13" t="s">
        <v>48</v>
      </c>
      <c r="Q588" s="13" t="s">
        <v>48</v>
      </c>
      <c r="R588" s="4">
        <v>3</v>
      </c>
      <c r="S588" s="13" t="s">
        <v>594</v>
      </c>
      <c r="T588" s="13">
        <v>1095</v>
      </c>
      <c r="U588" s="4" t="s">
        <v>224</v>
      </c>
      <c r="V588" s="4">
        <v>400</v>
      </c>
      <c r="W588" s="4" t="s">
        <v>42</v>
      </c>
      <c r="X588" s="4">
        <v>598</v>
      </c>
      <c r="Y588" s="4">
        <v>12</v>
      </c>
      <c r="AA588" s="4" t="s">
        <v>49</v>
      </c>
      <c r="AB588" s="4">
        <v>0</v>
      </c>
      <c r="AC588" s="4" t="s">
        <v>49</v>
      </c>
      <c r="AD588" s="4">
        <v>0</v>
      </c>
      <c r="AE588" s="4" t="s">
        <v>49</v>
      </c>
      <c r="AF588" s="4">
        <v>0</v>
      </c>
      <c r="AG588" s="4" t="s">
        <v>792</v>
      </c>
      <c r="AH588" s="4" t="s">
        <v>722</v>
      </c>
      <c r="AI588" s="4" t="s">
        <v>64</v>
      </c>
      <c r="AJ588" s="13">
        <v>0</v>
      </c>
      <c r="AK588" s="13">
        <v>15</v>
      </c>
      <c r="AP588" s="13" t="s">
        <v>50</v>
      </c>
      <c r="AQ588" s="13" t="s">
        <v>49</v>
      </c>
      <c r="AR588" s="13" t="s">
        <v>49</v>
      </c>
      <c r="AS588" s="13" t="s">
        <v>49</v>
      </c>
      <c r="AT588" s="13" t="s">
        <v>990</v>
      </c>
      <c r="AU588" s="13" t="s">
        <v>998</v>
      </c>
      <c r="AV588" s="14">
        <v>2.23</v>
      </c>
      <c r="AW588" s="14">
        <v>1.85</v>
      </c>
      <c r="AX588" s="14">
        <f>Table1347456[[#This Row],[treatment_mean]]/Table1347456[[#This Row],[control_mean]]</f>
        <v>1.2054054054054053</v>
      </c>
      <c r="AY588" s="14">
        <f>LN(Table1347456[[#This Row],[rr]])</f>
        <v>0.18681594638179386</v>
      </c>
      <c r="AZ588" s="13">
        <v>3</v>
      </c>
      <c r="BA588" s="13">
        <v>3</v>
      </c>
      <c r="BB588" s="14">
        <v>0.01</v>
      </c>
      <c r="BC588" s="14">
        <v>0.01</v>
      </c>
      <c r="BD588" s="15">
        <f>Table1347456[[#This Row],[treatment_se]]*Table1347456[[#This Row],[treatment_n]]</f>
        <v>0.03</v>
      </c>
      <c r="BE588" s="14">
        <f>Table1347456[[#This Row],[control_se]]*Table1347456[[#This Row],[control_n]]</f>
        <v>0.03</v>
      </c>
      <c r="BF58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1.4798219497962374E-4</v>
      </c>
      <c r="BG588" s="17">
        <f>SQRT(Table1347456[[#This Row],[v_from_sd_and_n]])</f>
        <v>1.2164793256756307E-2</v>
      </c>
      <c r="BH588" s="13" t="s">
        <v>50</v>
      </c>
      <c r="BI588" s="13">
        <v>2.5000000000000001E-2</v>
      </c>
      <c r="BJ588" s="18">
        <f>ABS(_xlfn.NORM.S.INV(Table1347456[[#This Row],[p_value]]/2))</f>
        <v>2.2414027276049446</v>
      </c>
      <c r="BK588" s="19">
        <f>(Table1347456[[#This Row],[lnrr]]/Table1347456[[#This Row],[z_from_p]])^2</f>
        <v>6.9468527990635808E-3</v>
      </c>
      <c r="BL588" s="16">
        <f>Table1347456[[#This Row],[v_from_sd_and_n]]</f>
        <v>1.4798219497962374E-4</v>
      </c>
      <c r="BM588" s="20">
        <f>SQRT(Table1347456[[#This Row],[v]])</f>
        <v>1.2164793256756307E-2</v>
      </c>
      <c r="BN588" s="20">
        <f>Table1347456[[#This Row],[lnrr]]-(1.96*Table1347456[[#This Row],[se]])</f>
        <v>0.16297295159855149</v>
      </c>
      <c r="BO588" s="20">
        <f>Table1347456[[#This Row],[lnrr]]+(1.96 * Table1347456[[#This Row],[se]])</f>
        <v>0.21065894116503622</v>
      </c>
    </row>
    <row r="589" spans="1:67">
      <c r="A589" s="13" t="s">
        <v>221</v>
      </c>
      <c r="B589" s="13" t="s">
        <v>222</v>
      </c>
      <c r="C589" s="13" t="s">
        <v>43</v>
      </c>
      <c r="D589" s="13" t="s">
        <v>146</v>
      </c>
      <c r="E589" s="13" t="s">
        <v>91</v>
      </c>
      <c r="F589" s="13" t="s">
        <v>587</v>
      </c>
      <c r="G589" s="13" t="s">
        <v>223</v>
      </c>
      <c r="H589" s="13">
        <v>15</v>
      </c>
      <c r="I589" s="13">
        <v>1150</v>
      </c>
      <c r="K589" s="13" t="s">
        <v>865</v>
      </c>
      <c r="L589" s="13" t="s">
        <v>866</v>
      </c>
      <c r="N589" s="13" t="s">
        <v>99</v>
      </c>
      <c r="O589" s="13" t="s">
        <v>644</v>
      </c>
      <c r="P589" s="13" t="s">
        <v>85</v>
      </c>
      <c r="Q589" s="13" t="s">
        <v>48</v>
      </c>
      <c r="R589" s="4">
        <v>3</v>
      </c>
      <c r="S589" s="13" t="s">
        <v>594</v>
      </c>
      <c r="T589" s="13">
        <v>1095</v>
      </c>
      <c r="U589" s="4" t="s">
        <v>224</v>
      </c>
      <c r="V589" s="4">
        <v>400</v>
      </c>
      <c r="W589" s="4" t="s">
        <v>42</v>
      </c>
      <c r="X589" s="4">
        <v>598</v>
      </c>
      <c r="Y589" s="4">
        <v>2.4</v>
      </c>
      <c r="AA589" s="4" t="s">
        <v>49</v>
      </c>
      <c r="AB589" s="4">
        <v>0</v>
      </c>
      <c r="AC589" s="4" t="s">
        <v>49</v>
      </c>
      <c r="AD589" s="4">
        <v>0</v>
      </c>
      <c r="AE589" s="4" t="s">
        <v>49</v>
      </c>
      <c r="AF589" s="4">
        <v>0</v>
      </c>
      <c r="AG589" s="4" t="s">
        <v>792</v>
      </c>
      <c r="AH589" s="4" t="s">
        <v>722</v>
      </c>
      <c r="AI589" s="4" t="s">
        <v>64</v>
      </c>
      <c r="AJ589" s="13">
        <v>0</v>
      </c>
      <c r="AK589" s="13">
        <v>15</v>
      </c>
      <c r="AP589" s="13" t="s">
        <v>50</v>
      </c>
      <c r="AQ589" s="13" t="s">
        <v>49</v>
      </c>
      <c r="AR589" s="13" t="s">
        <v>49</v>
      </c>
      <c r="AS589" s="13" t="s">
        <v>49</v>
      </c>
      <c r="AT589" s="13" t="s">
        <v>990</v>
      </c>
      <c r="AU589" s="13" t="s">
        <v>998</v>
      </c>
      <c r="AV589" s="14">
        <f>119/1000</f>
        <v>0.11899999999999999</v>
      </c>
      <c r="AW589" s="14">
        <f>145.9/1000</f>
        <v>0.1459</v>
      </c>
      <c r="AX589" s="14">
        <f>Table1347456[[#This Row],[treatment_mean]]/Table1347456[[#This Row],[control_mean]]</f>
        <v>0.81562714187799856</v>
      </c>
      <c r="AY589" s="14">
        <f>LN(Table1347456[[#This Row],[rr]])</f>
        <v>-0.20379796241721065</v>
      </c>
      <c r="AZ589" s="13">
        <v>3</v>
      </c>
      <c r="BA589" s="13">
        <v>3</v>
      </c>
      <c r="BB589" s="14">
        <f>8.2/1000</f>
        <v>8.199999999999999E-3</v>
      </c>
      <c r="BC589" s="14">
        <f>12.7/1000</f>
        <v>1.2699999999999999E-2</v>
      </c>
      <c r="BD589" s="15">
        <f>Table1347456[[#This Row],[treatment_se]]*Table1347456[[#This Row],[treatment_n]]</f>
        <v>2.4599999999999997E-2</v>
      </c>
      <c r="BE589" s="14">
        <f>Table1347456[[#This Row],[control_se]]*Table1347456[[#This Row],[control_n]]</f>
        <v>3.8099999999999995E-2</v>
      </c>
      <c r="BF58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3.6975734265832456E-2</v>
      </c>
      <c r="BG589" s="17">
        <f>SQRT(Table1347456[[#This Row],[v_from_sd_and_n]])</f>
        <v>0.19229075449909822</v>
      </c>
      <c r="BH589" s="13" t="s">
        <v>50</v>
      </c>
      <c r="BI589" s="13">
        <v>2.5000000000000001E-2</v>
      </c>
      <c r="BJ589" s="18">
        <f>ABS(_xlfn.NORM.S.INV(Table1347456[[#This Row],[p_value]]/2))</f>
        <v>2.2414027276049446</v>
      </c>
      <c r="BK589" s="19">
        <f>(Table1347456[[#This Row],[lnrr]]/Table1347456[[#This Row],[z_from_p]])^2</f>
        <v>8.2672273886851833E-3</v>
      </c>
      <c r="BL589" s="16">
        <f>Table1347456[[#This Row],[v_from_sd_and_n]]</f>
        <v>3.6975734265832456E-2</v>
      </c>
      <c r="BM589" s="20">
        <f>SQRT(Table1347456[[#This Row],[v]])</f>
        <v>0.19229075449909822</v>
      </c>
      <c r="BN589" s="20">
        <f>Table1347456[[#This Row],[lnrr]]-(1.96*Table1347456[[#This Row],[se]])</f>
        <v>-0.58068784123544315</v>
      </c>
      <c r="BO589" s="20">
        <f>Table1347456[[#This Row],[lnrr]]+(1.96 * Table1347456[[#This Row],[se]])</f>
        <v>0.17309191640102184</v>
      </c>
    </row>
    <row r="590" spans="1:67">
      <c r="A590" s="13" t="s">
        <v>221</v>
      </c>
      <c r="B590" s="13" t="s">
        <v>222</v>
      </c>
      <c r="C590" s="13" t="s">
        <v>43</v>
      </c>
      <c r="D590" s="13" t="s">
        <v>146</v>
      </c>
      <c r="E590" s="13" t="s">
        <v>91</v>
      </c>
      <c r="F590" s="13" t="s">
        <v>587</v>
      </c>
      <c r="G590" s="13" t="s">
        <v>223</v>
      </c>
      <c r="H590" s="13">
        <v>15</v>
      </c>
      <c r="I590" s="13">
        <v>1150</v>
      </c>
      <c r="K590" s="13" t="s">
        <v>865</v>
      </c>
      <c r="L590" s="13" t="s">
        <v>866</v>
      </c>
      <c r="N590" s="13" t="s">
        <v>99</v>
      </c>
      <c r="O590" s="13" t="s">
        <v>644</v>
      </c>
      <c r="P590" s="13" t="s">
        <v>85</v>
      </c>
      <c r="Q590" s="13" t="s">
        <v>48</v>
      </c>
      <c r="R590" s="4">
        <v>3</v>
      </c>
      <c r="S590" s="13" t="s">
        <v>594</v>
      </c>
      <c r="T590" s="13">
        <v>1095</v>
      </c>
      <c r="U590" s="4" t="s">
        <v>224</v>
      </c>
      <c r="V590" s="4">
        <v>400</v>
      </c>
      <c r="W590" s="4" t="s">
        <v>42</v>
      </c>
      <c r="X590" s="4">
        <v>598</v>
      </c>
      <c r="Y590" s="4">
        <v>6</v>
      </c>
      <c r="AA590" s="4" t="s">
        <v>49</v>
      </c>
      <c r="AB590" s="4">
        <v>0</v>
      </c>
      <c r="AC590" s="4" t="s">
        <v>49</v>
      </c>
      <c r="AD590" s="4">
        <v>0</v>
      </c>
      <c r="AE590" s="4" t="s">
        <v>49</v>
      </c>
      <c r="AF590" s="4">
        <v>0</v>
      </c>
      <c r="AG590" s="4" t="s">
        <v>792</v>
      </c>
      <c r="AH590" s="4" t="s">
        <v>722</v>
      </c>
      <c r="AI590" s="4" t="s">
        <v>64</v>
      </c>
      <c r="AJ590" s="13">
        <v>0</v>
      </c>
      <c r="AK590" s="13">
        <v>15</v>
      </c>
      <c r="AP590" s="13" t="s">
        <v>50</v>
      </c>
      <c r="AQ590" s="13" t="s">
        <v>49</v>
      </c>
      <c r="AR590" s="13" t="s">
        <v>49</v>
      </c>
      <c r="AS590" s="13" t="s">
        <v>49</v>
      </c>
      <c r="AT590" s="13" t="s">
        <v>990</v>
      </c>
      <c r="AU590" s="13" t="s">
        <v>998</v>
      </c>
      <c r="AV590" s="14">
        <f>116.6/1000</f>
        <v>0.1166</v>
      </c>
      <c r="AW590" s="14">
        <f>145.9/1000</f>
        <v>0.1459</v>
      </c>
      <c r="AX590" s="14">
        <f>Table1347456[[#This Row],[treatment_mean]]/Table1347456[[#This Row],[control_mean]]</f>
        <v>0.79917751884852639</v>
      </c>
      <c r="AY590" s="14">
        <f>LN(Table1347456[[#This Row],[rr]])</f>
        <v>-0.22417218161234795</v>
      </c>
      <c r="AZ590" s="13">
        <v>3</v>
      </c>
      <c r="BA590" s="13">
        <v>3</v>
      </c>
      <c r="BB590" s="14">
        <f>2.1/1000</f>
        <v>2.1000000000000003E-3</v>
      </c>
      <c r="BC590" s="14">
        <f>12.7/1000</f>
        <v>1.2699999999999999E-2</v>
      </c>
      <c r="BD590" s="15">
        <f>Table1347456[[#This Row],[treatment_se]]*Table1347456[[#This Row],[treatment_n]]</f>
        <v>6.3000000000000009E-3</v>
      </c>
      <c r="BE590" s="14">
        <f>Table1347456[[#This Row],[control_se]]*Table1347456[[#This Row],[control_n]]</f>
        <v>3.8099999999999995E-2</v>
      </c>
      <c r="BF59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2.3704089349644655E-2</v>
      </c>
      <c r="BG590" s="17">
        <f>SQRT(Table1347456[[#This Row],[v_from_sd_and_n]])</f>
        <v>0.15396132420073769</v>
      </c>
      <c r="BH590" s="13" t="s">
        <v>50</v>
      </c>
      <c r="BI590" s="13">
        <v>2.5000000000000001E-2</v>
      </c>
      <c r="BJ590" s="18">
        <f>ABS(_xlfn.NORM.S.INV(Table1347456[[#This Row],[p_value]]/2))</f>
        <v>2.2414027276049446</v>
      </c>
      <c r="BK590" s="19">
        <f>(Table1347456[[#This Row],[lnrr]]/Table1347456[[#This Row],[z_from_p]])^2</f>
        <v>1.0002847424316015E-2</v>
      </c>
      <c r="BL590" s="16">
        <f>Table1347456[[#This Row],[v_from_sd_and_n]]</f>
        <v>2.3704089349644655E-2</v>
      </c>
      <c r="BM590" s="20">
        <f>SQRT(Table1347456[[#This Row],[v]])</f>
        <v>0.15396132420073769</v>
      </c>
      <c r="BN590" s="20">
        <f>Table1347456[[#This Row],[lnrr]]-(1.96*Table1347456[[#This Row],[se]])</f>
        <v>-0.52593637704579377</v>
      </c>
      <c r="BO590" s="20">
        <f>Table1347456[[#This Row],[lnrr]]+(1.96 * Table1347456[[#This Row],[se]])</f>
        <v>7.7592013821097899E-2</v>
      </c>
    </row>
    <row r="591" spans="1:67">
      <c r="A591" s="13" t="s">
        <v>221</v>
      </c>
      <c r="B591" s="13" t="s">
        <v>222</v>
      </c>
      <c r="C591" s="13" t="s">
        <v>43</v>
      </c>
      <c r="D591" s="13" t="s">
        <v>146</v>
      </c>
      <c r="E591" s="13" t="s">
        <v>91</v>
      </c>
      <c r="F591" s="13" t="s">
        <v>587</v>
      </c>
      <c r="G591" s="13" t="s">
        <v>223</v>
      </c>
      <c r="H591" s="13">
        <v>15</v>
      </c>
      <c r="I591" s="13">
        <v>1150</v>
      </c>
      <c r="K591" s="13" t="s">
        <v>865</v>
      </c>
      <c r="L591" s="13" t="s">
        <v>866</v>
      </c>
      <c r="N591" s="13" t="s">
        <v>99</v>
      </c>
      <c r="O591" s="13" t="s">
        <v>644</v>
      </c>
      <c r="P591" s="13" t="s">
        <v>85</v>
      </c>
      <c r="Q591" s="13" t="s">
        <v>48</v>
      </c>
      <c r="R591" s="4">
        <v>3</v>
      </c>
      <c r="S591" s="13" t="s">
        <v>594</v>
      </c>
      <c r="T591" s="13">
        <v>1095</v>
      </c>
      <c r="U591" s="4" t="s">
        <v>224</v>
      </c>
      <c r="V591" s="4">
        <v>400</v>
      </c>
      <c r="W591" s="4" t="s">
        <v>42</v>
      </c>
      <c r="X591" s="4">
        <v>598</v>
      </c>
      <c r="Y591" s="4">
        <v>12</v>
      </c>
      <c r="AA591" s="4" t="s">
        <v>49</v>
      </c>
      <c r="AB591" s="4">
        <v>0</v>
      </c>
      <c r="AC591" s="4" t="s">
        <v>49</v>
      </c>
      <c r="AD591" s="4">
        <v>0</v>
      </c>
      <c r="AE591" s="4" t="s">
        <v>49</v>
      </c>
      <c r="AF591" s="4">
        <v>0</v>
      </c>
      <c r="AG591" s="4" t="s">
        <v>792</v>
      </c>
      <c r="AH591" s="4" t="s">
        <v>722</v>
      </c>
      <c r="AI591" s="4" t="s">
        <v>64</v>
      </c>
      <c r="AJ591" s="13">
        <v>0</v>
      </c>
      <c r="AK591" s="13">
        <v>15</v>
      </c>
      <c r="AP591" s="13" t="s">
        <v>50</v>
      </c>
      <c r="AQ591" s="13" t="s">
        <v>49</v>
      </c>
      <c r="AR591" s="13" t="s">
        <v>49</v>
      </c>
      <c r="AS591" s="13" t="s">
        <v>49</v>
      </c>
      <c r="AT591" s="13" t="s">
        <v>990</v>
      </c>
      <c r="AU591" s="13" t="s">
        <v>998</v>
      </c>
      <c r="AV591" s="14">
        <f>114.2/1000</f>
        <v>0.1142</v>
      </c>
      <c r="AW591" s="14">
        <f>145.9/1000</f>
        <v>0.1459</v>
      </c>
      <c r="AX591" s="14">
        <f>Table1347456[[#This Row],[treatment_mean]]/Table1347456[[#This Row],[control_mean]]</f>
        <v>0.78272789581905411</v>
      </c>
      <c r="AY591" s="14">
        <f>LN(Table1347456[[#This Row],[rr]])</f>
        <v>-0.24497015830683017</v>
      </c>
      <c r="AZ591" s="13">
        <v>3</v>
      </c>
      <c r="BA591" s="13">
        <v>3</v>
      </c>
      <c r="BB591" s="14">
        <f>7.1/1000</f>
        <v>7.0999999999999995E-3</v>
      </c>
      <c r="BC591" s="14">
        <f>12.7/1000</f>
        <v>1.2699999999999999E-2</v>
      </c>
      <c r="BD591" s="15">
        <f>Table1347456[[#This Row],[treatment_se]]*Table1347456[[#This Row],[treatment_n]]</f>
        <v>2.1299999999999999E-2</v>
      </c>
      <c r="BE591" s="14">
        <f>Table1347456[[#This Row],[control_se]]*Table1347456[[#This Row],[control_n]]</f>
        <v>3.8099999999999995E-2</v>
      </c>
      <c r="BF59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3.432691179328004E-2</v>
      </c>
      <c r="BG591" s="17">
        <f>SQRT(Table1347456[[#This Row],[v_from_sd_and_n]])</f>
        <v>0.18527523254142753</v>
      </c>
      <c r="BH591" s="13" t="s">
        <v>50</v>
      </c>
      <c r="BI591" s="13">
        <v>2.5000000000000001E-2</v>
      </c>
      <c r="BJ591" s="18">
        <f>ABS(_xlfn.NORM.S.INV(Table1347456[[#This Row],[p_value]]/2))</f>
        <v>2.2414027276049446</v>
      </c>
      <c r="BK591" s="19">
        <f>(Table1347456[[#This Row],[lnrr]]/Table1347456[[#This Row],[z_from_p]])^2</f>
        <v>1.1945011535571261E-2</v>
      </c>
      <c r="BL591" s="16">
        <f>Table1347456[[#This Row],[v_from_sd_and_n]]</f>
        <v>3.432691179328004E-2</v>
      </c>
      <c r="BM591" s="20">
        <f>SQRT(Table1347456[[#This Row],[v]])</f>
        <v>0.18527523254142753</v>
      </c>
      <c r="BN591" s="20">
        <f>Table1347456[[#This Row],[lnrr]]-(1.96*Table1347456[[#This Row],[se]])</f>
        <v>-0.60810961408802811</v>
      </c>
      <c r="BO591" s="20">
        <f>Table1347456[[#This Row],[lnrr]]+(1.96 * Table1347456[[#This Row],[se]])</f>
        <v>0.11816929747436777</v>
      </c>
    </row>
    <row r="592" spans="1:67">
      <c r="A592" s="13" t="s">
        <v>221</v>
      </c>
      <c r="B592" s="13" t="s">
        <v>222</v>
      </c>
      <c r="C592" s="13" t="s">
        <v>43</v>
      </c>
      <c r="D592" s="13" t="s">
        <v>146</v>
      </c>
      <c r="E592" s="13" t="s">
        <v>91</v>
      </c>
      <c r="F592" s="13" t="s">
        <v>587</v>
      </c>
      <c r="G592" s="13" t="s">
        <v>223</v>
      </c>
      <c r="H592" s="13">
        <v>15</v>
      </c>
      <c r="I592" s="13">
        <v>1150</v>
      </c>
      <c r="J592" s="13" t="s">
        <v>656</v>
      </c>
      <c r="K592" s="13" t="s">
        <v>865</v>
      </c>
      <c r="L592" s="13" t="s">
        <v>866</v>
      </c>
      <c r="M592" s="13" t="s">
        <v>803</v>
      </c>
      <c r="N592" s="13" t="s">
        <v>84</v>
      </c>
      <c r="O592" s="13" t="s">
        <v>644</v>
      </c>
      <c r="P592" s="13" t="s">
        <v>85</v>
      </c>
      <c r="Q592" s="13" t="s">
        <v>48</v>
      </c>
      <c r="R592" s="4">
        <v>3</v>
      </c>
      <c r="S592" s="13" t="s">
        <v>594</v>
      </c>
      <c r="T592" s="13">
        <v>1095</v>
      </c>
      <c r="U592" s="4" t="s">
        <v>224</v>
      </c>
      <c r="V592" s="4">
        <v>400</v>
      </c>
      <c r="W592" s="4" t="s">
        <v>42</v>
      </c>
      <c r="X592" s="4">
        <v>598</v>
      </c>
      <c r="Y592" s="4">
        <v>2.4</v>
      </c>
      <c r="AA592" s="4" t="s">
        <v>49</v>
      </c>
      <c r="AB592" s="4">
        <v>0</v>
      </c>
      <c r="AC592" s="4" t="s">
        <v>49</v>
      </c>
      <c r="AD592" s="4">
        <v>0</v>
      </c>
      <c r="AE592" s="4" t="s">
        <v>49</v>
      </c>
      <c r="AF592" s="4">
        <v>0</v>
      </c>
      <c r="AG592" s="4" t="s">
        <v>792</v>
      </c>
      <c r="AH592" s="4" t="s">
        <v>722</v>
      </c>
      <c r="AI592" s="4" t="s">
        <v>64</v>
      </c>
      <c r="AJ592" s="13">
        <v>0</v>
      </c>
      <c r="AK592" s="13">
        <v>15</v>
      </c>
      <c r="AP592" s="13" t="s">
        <v>50</v>
      </c>
      <c r="AQ592" s="13" t="s">
        <v>49</v>
      </c>
      <c r="AR592" s="13" t="s">
        <v>49</v>
      </c>
      <c r="AS592" s="13" t="s">
        <v>49</v>
      </c>
      <c r="AT592" s="13" t="s">
        <v>990</v>
      </c>
      <c r="AU592" s="13" t="s">
        <v>998</v>
      </c>
      <c r="AV592" s="23">
        <f>28.4/1000</f>
        <v>2.8399999999999998E-2</v>
      </c>
      <c r="AW592" s="23">
        <f>31/1000</f>
        <v>3.1E-2</v>
      </c>
      <c r="AX592" s="14">
        <f>Table1347456[[#This Row],[treatment_mean]]/Table1347456[[#This Row],[control_mean]]</f>
        <v>0.91612903225806441</v>
      </c>
      <c r="AY592" s="14">
        <f>LN(Table1347456[[#This Row],[rr]])</f>
        <v>-8.7598059317986005E-2</v>
      </c>
      <c r="AZ592" s="13">
        <v>3</v>
      </c>
      <c r="BA592" s="13">
        <v>3</v>
      </c>
      <c r="BB592" s="14">
        <f>0.4/1000</f>
        <v>4.0000000000000002E-4</v>
      </c>
      <c r="BC592" s="14">
        <f>2/1000</f>
        <v>2E-3</v>
      </c>
      <c r="BD592" s="15">
        <f>Table1347456[[#This Row],[treatment_se]]*Table1347456[[#This Row],[treatment_n]]</f>
        <v>1.2000000000000001E-3</v>
      </c>
      <c r="BE592" s="14">
        <f>Table1347456[[#This Row],[control_se]]*Table1347456[[#This Row],[control_n]]</f>
        <v>6.0000000000000001E-3</v>
      </c>
      <c r="BF59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1.3082112731790784E-2</v>
      </c>
      <c r="BG592" s="17">
        <f>SQRT(Table1347456[[#This Row],[v_from_sd_and_n]])</f>
        <v>0.11437706383620269</v>
      </c>
      <c r="BH592" s="13" t="s">
        <v>50</v>
      </c>
      <c r="BI592" s="13">
        <v>2.5000000000000001E-2</v>
      </c>
      <c r="BJ592" s="18">
        <f>ABS(_xlfn.NORM.S.INV(Table1347456[[#This Row],[p_value]]/2))</f>
        <v>2.2414027276049446</v>
      </c>
      <c r="BK592" s="19">
        <f>(Table1347456[[#This Row],[lnrr]]/Table1347456[[#This Row],[z_from_p]])^2</f>
        <v>1.527387307390139E-3</v>
      </c>
      <c r="BL592" s="16">
        <f>Table1347456[[#This Row],[v_from_sd_and_n]]</f>
        <v>1.3082112731790784E-2</v>
      </c>
      <c r="BM592" s="20">
        <f>SQRT(Table1347456[[#This Row],[v]])</f>
        <v>0.11437706383620269</v>
      </c>
      <c r="BN592" s="20">
        <f>Table1347456[[#This Row],[lnrr]]-(1.96*Table1347456[[#This Row],[se]])</f>
        <v>-0.31177710443694329</v>
      </c>
      <c r="BO592" s="20">
        <f>Table1347456[[#This Row],[lnrr]]+(1.96 * Table1347456[[#This Row],[se]])</f>
        <v>0.13658098580097128</v>
      </c>
    </row>
    <row r="593" spans="1:67">
      <c r="A593" s="13" t="s">
        <v>221</v>
      </c>
      <c r="B593" s="13" t="s">
        <v>222</v>
      </c>
      <c r="C593" s="13" t="s">
        <v>43</v>
      </c>
      <c r="D593" s="13" t="s">
        <v>146</v>
      </c>
      <c r="E593" s="13" t="s">
        <v>91</v>
      </c>
      <c r="F593" s="13" t="s">
        <v>587</v>
      </c>
      <c r="G593" s="13" t="s">
        <v>223</v>
      </c>
      <c r="H593" s="13">
        <v>15</v>
      </c>
      <c r="I593" s="13">
        <v>1150</v>
      </c>
      <c r="J593" s="13" t="s">
        <v>656</v>
      </c>
      <c r="K593" s="13" t="s">
        <v>865</v>
      </c>
      <c r="L593" s="13" t="s">
        <v>866</v>
      </c>
      <c r="M593" s="13" t="s">
        <v>803</v>
      </c>
      <c r="N593" s="13" t="s">
        <v>84</v>
      </c>
      <c r="O593" s="13" t="s">
        <v>644</v>
      </c>
      <c r="P593" s="13" t="s">
        <v>85</v>
      </c>
      <c r="Q593" s="13" t="s">
        <v>48</v>
      </c>
      <c r="R593" s="4">
        <v>3</v>
      </c>
      <c r="S593" s="13" t="s">
        <v>594</v>
      </c>
      <c r="T593" s="13">
        <v>1095</v>
      </c>
      <c r="U593" s="4" t="s">
        <v>224</v>
      </c>
      <c r="V593" s="4">
        <v>400</v>
      </c>
      <c r="W593" s="4" t="s">
        <v>42</v>
      </c>
      <c r="X593" s="4">
        <v>598</v>
      </c>
      <c r="Y593" s="4">
        <v>6</v>
      </c>
      <c r="AA593" s="4" t="s">
        <v>49</v>
      </c>
      <c r="AB593" s="4">
        <v>0</v>
      </c>
      <c r="AC593" s="4" t="s">
        <v>49</v>
      </c>
      <c r="AD593" s="4">
        <v>0</v>
      </c>
      <c r="AE593" s="4" t="s">
        <v>49</v>
      </c>
      <c r="AF593" s="4">
        <v>0</v>
      </c>
      <c r="AG593" s="4" t="s">
        <v>792</v>
      </c>
      <c r="AH593" s="4" t="s">
        <v>722</v>
      </c>
      <c r="AI593" s="4" t="s">
        <v>64</v>
      </c>
      <c r="AJ593" s="13">
        <v>0</v>
      </c>
      <c r="AK593" s="13">
        <v>15</v>
      </c>
      <c r="AP593" s="13" t="s">
        <v>50</v>
      </c>
      <c r="AQ593" s="13" t="s">
        <v>49</v>
      </c>
      <c r="AR593" s="13" t="s">
        <v>49</v>
      </c>
      <c r="AS593" s="13" t="s">
        <v>49</v>
      </c>
      <c r="AT593" s="13" t="s">
        <v>990</v>
      </c>
      <c r="AU593" s="13" t="s">
        <v>998</v>
      </c>
      <c r="AV593" s="23">
        <f>30.8/1000</f>
        <v>3.0800000000000001E-2</v>
      </c>
      <c r="AW593" s="23">
        <f>31/1000</f>
        <v>3.1E-2</v>
      </c>
      <c r="AX593" s="14">
        <f>Table1347456[[#This Row],[treatment_mean]]/Table1347456[[#This Row],[control_mean]]</f>
        <v>0.99354838709677418</v>
      </c>
      <c r="AY593" s="14">
        <f>LN(Table1347456[[#This Row],[rr]])</f>
        <v>-6.4725145056174788E-3</v>
      </c>
      <c r="AZ593" s="13">
        <v>3</v>
      </c>
      <c r="BA593" s="13">
        <v>3</v>
      </c>
      <c r="BB593" s="14">
        <f>1.5/1000</f>
        <v>1.5E-3</v>
      </c>
      <c r="BC593" s="14">
        <f>2/1000</f>
        <v>2E-3</v>
      </c>
      <c r="BD593" s="15">
        <f>Table1347456[[#This Row],[treatment_se]]*Table1347456[[#This Row],[treatment_n]]</f>
        <v>4.5000000000000005E-3</v>
      </c>
      <c r="BE593" s="14">
        <f>Table1347456[[#This Row],[control_se]]*Table1347456[[#This Row],[control_n]]</f>
        <v>6.0000000000000001E-3</v>
      </c>
      <c r="BF59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1.9602442201500273E-2</v>
      </c>
      <c r="BG593" s="17">
        <f>SQRT(Table1347456[[#This Row],[v_from_sd_and_n]])</f>
        <v>0.14000872187653265</v>
      </c>
      <c r="BH593" s="13" t="s">
        <v>50</v>
      </c>
      <c r="BI593" s="13">
        <v>2.5000000000000001E-2</v>
      </c>
      <c r="BJ593" s="18">
        <f>ABS(_xlfn.NORM.S.INV(Table1347456[[#This Row],[p_value]]/2))</f>
        <v>2.2414027276049446</v>
      </c>
      <c r="BK593" s="19">
        <f>(Table1347456[[#This Row],[lnrr]]/Table1347456[[#This Row],[z_from_p]])^2</f>
        <v>8.3388521283001934E-6</v>
      </c>
      <c r="BL593" s="16">
        <f>Table1347456[[#This Row],[v_from_sd_and_n]]</f>
        <v>1.9602442201500273E-2</v>
      </c>
      <c r="BM593" s="20">
        <f>SQRT(Table1347456[[#This Row],[v]])</f>
        <v>0.14000872187653265</v>
      </c>
      <c r="BN593" s="20">
        <f>Table1347456[[#This Row],[lnrr]]-(1.96*Table1347456[[#This Row],[se]])</f>
        <v>-0.28088960938362145</v>
      </c>
      <c r="BO593" s="20">
        <f>Table1347456[[#This Row],[lnrr]]+(1.96 * Table1347456[[#This Row],[se]])</f>
        <v>0.2679445803723865</v>
      </c>
    </row>
    <row r="594" spans="1:67">
      <c r="A594" s="13" t="s">
        <v>221</v>
      </c>
      <c r="B594" s="13" t="s">
        <v>222</v>
      </c>
      <c r="C594" s="13" t="s">
        <v>43</v>
      </c>
      <c r="D594" s="13" t="s">
        <v>146</v>
      </c>
      <c r="E594" s="13" t="s">
        <v>91</v>
      </c>
      <c r="F594" s="13" t="s">
        <v>587</v>
      </c>
      <c r="G594" s="13" t="s">
        <v>223</v>
      </c>
      <c r="H594" s="13">
        <v>15</v>
      </c>
      <c r="I594" s="13">
        <v>1150</v>
      </c>
      <c r="J594" s="13" t="s">
        <v>656</v>
      </c>
      <c r="K594" s="13" t="s">
        <v>865</v>
      </c>
      <c r="L594" s="13" t="s">
        <v>866</v>
      </c>
      <c r="M594" s="13" t="s">
        <v>803</v>
      </c>
      <c r="N594" s="13" t="s">
        <v>84</v>
      </c>
      <c r="O594" s="13" t="s">
        <v>644</v>
      </c>
      <c r="P594" s="13" t="s">
        <v>85</v>
      </c>
      <c r="Q594" s="13" t="s">
        <v>48</v>
      </c>
      <c r="R594" s="4">
        <v>3</v>
      </c>
      <c r="S594" s="13" t="s">
        <v>594</v>
      </c>
      <c r="T594" s="13">
        <v>1095</v>
      </c>
      <c r="U594" s="4" t="s">
        <v>224</v>
      </c>
      <c r="V594" s="4">
        <v>400</v>
      </c>
      <c r="W594" s="4" t="s">
        <v>42</v>
      </c>
      <c r="X594" s="4">
        <v>598</v>
      </c>
      <c r="Y594" s="4">
        <v>12</v>
      </c>
      <c r="AA594" s="4" t="s">
        <v>49</v>
      </c>
      <c r="AB594" s="4">
        <v>0</v>
      </c>
      <c r="AC594" s="4" t="s">
        <v>49</v>
      </c>
      <c r="AD594" s="4">
        <v>0</v>
      </c>
      <c r="AE594" s="4" t="s">
        <v>49</v>
      </c>
      <c r="AF594" s="4">
        <v>0</v>
      </c>
      <c r="AG594" s="4" t="s">
        <v>792</v>
      </c>
      <c r="AH594" s="4" t="s">
        <v>722</v>
      </c>
      <c r="AI594" s="4" t="s">
        <v>64</v>
      </c>
      <c r="AJ594" s="13">
        <v>0</v>
      </c>
      <c r="AK594" s="13">
        <v>15</v>
      </c>
      <c r="AP594" s="13" t="s">
        <v>50</v>
      </c>
      <c r="AQ594" s="13" t="s">
        <v>49</v>
      </c>
      <c r="AR594" s="13" t="s">
        <v>49</v>
      </c>
      <c r="AS594" s="13" t="s">
        <v>49</v>
      </c>
      <c r="AT594" s="13" t="s">
        <v>990</v>
      </c>
      <c r="AU594" s="13" t="s">
        <v>998</v>
      </c>
      <c r="AV594" s="23">
        <f>38.7/1000</f>
        <v>3.8700000000000005E-2</v>
      </c>
      <c r="AW594" s="23">
        <f>31/1000</f>
        <v>3.1E-2</v>
      </c>
      <c r="AX594" s="14">
        <f>Table1347456[[#This Row],[treatment_mean]]/Table1347456[[#This Row],[control_mean]]</f>
        <v>1.2483870967741937</v>
      </c>
      <c r="AY594" s="14">
        <f>LN(Table1347456[[#This Row],[rr]])</f>
        <v>0.22185239555059</v>
      </c>
      <c r="AZ594" s="13">
        <v>3</v>
      </c>
      <c r="BA594" s="13">
        <v>3</v>
      </c>
      <c r="BB594" s="14">
        <f>1.1/1000</f>
        <v>1.1000000000000001E-3</v>
      </c>
      <c r="BC594" s="14">
        <f>2/1000</f>
        <v>2E-3</v>
      </c>
      <c r="BD594" s="15">
        <f>Table1347456[[#This Row],[treatment_se]]*Table1347456[[#This Row],[treatment_n]]</f>
        <v>3.3E-3</v>
      </c>
      <c r="BE594" s="14">
        <f>Table1347456[[#This Row],[control_se]]*Table1347456[[#This Row],[control_n]]</f>
        <v>6.0000000000000001E-3</v>
      </c>
      <c r="BF59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1.4910725264045027E-2</v>
      </c>
      <c r="BG594" s="17">
        <f>SQRT(Table1347456[[#This Row],[v_from_sd_and_n]])</f>
        <v>0.12210948064767546</v>
      </c>
      <c r="BH594" s="13" t="s">
        <v>50</v>
      </c>
      <c r="BI594" s="13">
        <v>2.5000000000000001E-2</v>
      </c>
      <c r="BJ594" s="18">
        <f>ABS(_xlfn.NORM.S.INV(Table1347456[[#This Row],[p_value]]/2))</f>
        <v>2.2414027276049446</v>
      </c>
      <c r="BK594" s="19">
        <f>(Table1347456[[#This Row],[lnrr]]/Table1347456[[#This Row],[z_from_p]])^2</f>
        <v>9.7968949885469479E-3</v>
      </c>
      <c r="BL594" s="16">
        <f>Table1347456[[#This Row],[v_from_sd_and_n]]</f>
        <v>1.4910725264045027E-2</v>
      </c>
      <c r="BM594" s="20">
        <f>SQRT(Table1347456[[#This Row],[v]])</f>
        <v>0.12210948064767546</v>
      </c>
      <c r="BN594" s="20">
        <f>Table1347456[[#This Row],[lnrr]]-(1.96*Table1347456[[#This Row],[se]])</f>
        <v>-1.7482186518853915E-2</v>
      </c>
      <c r="BO594" s="20">
        <f>Table1347456[[#This Row],[lnrr]]+(1.96 * Table1347456[[#This Row],[se]])</f>
        <v>0.46118697762003391</v>
      </c>
    </row>
    <row r="595" spans="1:67">
      <c r="A595" s="13" t="s">
        <v>221</v>
      </c>
      <c r="B595" s="13" t="s">
        <v>222</v>
      </c>
      <c r="C595" s="13" t="s">
        <v>43</v>
      </c>
      <c r="D595" s="13" t="s">
        <v>146</v>
      </c>
      <c r="E595" s="13" t="s">
        <v>91</v>
      </c>
      <c r="F595" s="13" t="s">
        <v>587</v>
      </c>
      <c r="G595" s="13" t="s">
        <v>223</v>
      </c>
      <c r="H595" s="13">
        <v>15</v>
      </c>
      <c r="I595" s="13">
        <v>1150</v>
      </c>
      <c r="K595" s="13" t="s">
        <v>865</v>
      </c>
      <c r="L595" s="13" t="s">
        <v>866</v>
      </c>
      <c r="N595" s="13" t="s">
        <v>86</v>
      </c>
      <c r="O595" s="13" t="s">
        <v>644</v>
      </c>
      <c r="P595" s="13" t="s">
        <v>85</v>
      </c>
      <c r="Q595" s="13" t="s">
        <v>48</v>
      </c>
      <c r="R595" s="4">
        <v>3</v>
      </c>
      <c r="S595" s="13" t="s">
        <v>594</v>
      </c>
      <c r="T595" s="13">
        <v>1095</v>
      </c>
      <c r="U595" s="4" t="s">
        <v>224</v>
      </c>
      <c r="V595" s="4">
        <v>400</v>
      </c>
      <c r="W595" s="4" t="s">
        <v>42</v>
      </c>
      <c r="X595" s="4">
        <v>598</v>
      </c>
      <c r="Y595" s="4">
        <v>2.4</v>
      </c>
      <c r="AA595" s="4" t="s">
        <v>49</v>
      </c>
      <c r="AB595" s="4">
        <v>0</v>
      </c>
      <c r="AC595" s="4" t="s">
        <v>49</v>
      </c>
      <c r="AD595" s="4">
        <v>0</v>
      </c>
      <c r="AE595" s="4" t="s">
        <v>49</v>
      </c>
      <c r="AF595" s="4">
        <v>0</v>
      </c>
      <c r="AG595" s="4" t="s">
        <v>792</v>
      </c>
      <c r="AH595" s="4" t="s">
        <v>722</v>
      </c>
      <c r="AI595" s="4" t="s">
        <v>64</v>
      </c>
      <c r="AJ595" s="13">
        <v>0</v>
      </c>
      <c r="AK595" s="13">
        <v>15</v>
      </c>
      <c r="AP595" s="13" t="s">
        <v>50</v>
      </c>
      <c r="AQ595" s="13" t="s">
        <v>49</v>
      </c>
      <c r="AR595" s="13" t="s">
        <v>49</v>
      </c>
      <c r="AS595" s="13" t="s">
        <v>49</v>
      </c>
      <c r="AT595" s="13" t="s">
        <v>990</v>
      </c>
      <c r="AU595" s="13" t="s">
        <v>998</v>
      </c>
      <c r="AV595" s="14">
        <f>86.7/1000</f>
        <v>8.6699999999999999E-2</v>
      </c>
      <c r="AW595" s="14">
        <f>74.2/1000</f>
        <v>7.4200000000000002E-2</v>
      </c>
      <c r="AX595" s="14">
        <f>Table1347456[[#This Row],[treatment_mean]]/Table1347456[[#This Row],[control_mean]]</f>
        <v>1.1684636118598382</v>
      </c>
      <c r="AY595" s="14">
        <f>LN(Table1347456[[#This Row],[rr]])</f>
        <v>0.1556897336131613</v>
      </c>
      <c r="AZ595" s="13">
        <v>3</v>
      </c>
      <c r="BA595" s="13">
        <v>3</v>
      </c>
      <c r="BB595" s="14">
        <f>9.5/1000</f>
        <v>9.4999999999999998E-3</v>
      </c>
      <c r="BC595" s="14">
        <f>5.2/1000</f>
        <v>5.1999999999999998E-3</v>
      </c>
      <c r="BD595" s="15">
        <f>Table1347456[[#This Row],[treatment_se]]*Table1347456[[#This Row],[treatment_n]]</f>
        <v>2.8499999999999998E-2</v>
      </c>
      <c r="BE595" s="14">
        <f>Table1347456[[#This Row],[control_se]]*Table1347456[[#This Row],[control_n]]</f>
        <v>1.5599999999999999E-2</v>
      </c>
      <c r="BF59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5.0752867350320738E-2</v>
      </c>
      <c r="BG595" s="17">
        <f>SQRT(Table1347456[[#This Row],[v_from_sd_and_n]])</f>
        <v>0.22528397046909648</v>
      </c>
      <c r="BH595" s="13" t="s">
        <v>50</v>
      </c>
      <c r="BI595" s="13">
        <v>2.5000000000000001E-2</v>
      </c>
      <c r="BJ595" s="18">
        <f>ABS(_xlfn.NORM.S.INV(Table1347456[[#This Row],[p_value]]/2))</f>
        <v>2.2414027276049446</v>
      </c>
      <c r="BK595" s="19">
        <f>(Table1347456[[#This Row],[lnrr]]/Table1347456[[#This Row],[z_from_p]])^2</f>
        <v>4.824809370431277E-3</v>
      </c>
      <c r="BL595" s="16">
        <f>Table1347456[[#This Row],[v_from_sd_and_n]]</f>
        <v>5.0752867350320738E-2</v>
      </c>
      <c r="BM595" s="20">
        <f>SQRT(Table1347456[[#This Row],[v]])</f>
        <v>0.22528397046909648</v>
      </c>
      <c r="BN595" s="20">
        <f>Table1347456[[#This Row],[lnrr]]-(1.96*Table1347456[[#This Row],[se]])</f>
        <v>-0.28586684850626781</v>
      </c>
      <c r="BO595" s="20">
        <f>Table1347456[[#This Row],[lnrr]]+(1.96 * Table1347456[[#This Row],[se]])</f>
        <v>0.59724631573259046</v>
      </c>
    </row>
    <row r="596" spans="1:67">
      <c r="A596" s="13" t="s">
        <v>221</v>
      </c>
      <c r="B596" s="13" t="s">
        <v>222</v>
      </c>
      <c r="C596" s="13" t="s">
        <v>43</v>
      </c>
      <c r="D596" s="13" t="s">
        <v>146</v>
      </c>
      <c r="E596" s="13" t="s">
        <v>91</v>
      </c>
      <c r="F596" s="13" t="s">
        <v>587</v>
      </c>
      <c r="G596" s="13" t="s">
        <v>223</v>
      </c>
      <c r="H596" s="13">
        <v>15</v>
      </c>
      <c r="I596" s="13">
        <v>1150</v>
      </c>
      <c r="K596" s="13" t="s">
        <v>865</v>
      </c>
      <c r="L596" s="13" t="s">
        <v>866</v>
      </c>
      <c r="N596" s="13" t="s">
        <v>86</v>
      </c>
      <c r="O596" s="13" t="s">
        <v>644</v>
      </c>
      <c r="P596" s="13" t="s">
        <v>85</v>
      </c>
      <c r="Q596" s="13" t="s">
        <v>48</v>
      </c>
      <c r="R596" s="4">
        <v>3</v>
      </c>
      <c r="S596" s="13" t="s">
        <v>594</v>
      </c>
      <c r="T596" s="13">
        <v>1095</v>
      </c>
      <c r="U596" s="4" t="s">
        <v>224</v>
      </c>
      <c r="V596" s="4">
        <v>400</v>
      </c>
      <c r="W596" s="4" t="s">
        <v>42</v>
      </c>
      <c r="X596" s="4">
        <v>598</v>
      </c>
      <c r="Y596" s="4">
        <v>6</v>
      </c>
      <c r="AA596" s="4" t="s">
        <v>49</v>
      </c>
      <c r="AB596" s="4">
        <v>0</v>
      </c>
      <c r="AC596" s="4" t="s">
        <v>49</v>
      </c>
      <c r="AD596" s="4">
        <v>0</v>
      </c>
      <c r="AE596" s="4" t="s">
        <v>49</v>
      </c>
      <c r="AF596" s="4">
        <v>0</v>
      </c>
      <c r="AG596" s="4" t="s">
        <v>792</v>
      </c>
      <c r="AH596" s="4" t="s">
        <v>722</v>
      </c>
      <c r="AI596" s="4" t="s">
        <v>64</v>
      </c>
      <c r="AJ596" s="13">
        <v>0</v>
      </c>
      <c r="AK596" s="13">
        <v>15</v>
      </c>
      <c r="AP596" s="13" t="s">
        <v>50</v>
      </c>
      <c r="AQ596" s="13" t="s">
        <v>49</v>
      </c>
      <c r="AR596" s="13" t="s">
        <v>49</v>
      </c>
      <c r="AS596" s="13" t="s">
        <v>49</v>
      </c>
      <c r="AT596" s="13" t="s">
        <v>990</v>
      </c>
      <c r="AU596" s="13" t="s">
        <v>998</v>
      </c>
      <c r="AV596" s="14">
        <f>88.3/1000</f>
        <v>8.8300000000000003E-2</v>
      </c>
      <c r="AW596" s="14">
        <f>74.2/1000</f>
        <v>7.4200000000000002E-2</v>
      </c>
      <c r="AX596" s="14">
        <f>Table1347456[[#This Row],[treatment_mean]]/Table1347456[[#This Row],[control_mean]]</f>
        <v>1.1900269541778976</v>
      </c>
      <c r="AY596" s="14">
        <f>LN(Table1347456[[#This Row],[rr]])</f>
        <v>0.17397595743657959</v>
      </c>
      <c r="AZ596" s="13">
        <v>3</v>
      </c>
      <c r="BA596" s="13">
        <v>3</v>
      </c>
      <c r="BB596" s="14">
        <f>8.8/1000</f>
        <v>8.8000000000000005E-3</v>
      </c>
      <c r="BC596" s="14">
        <f>5.2/1000</f>
        <v>5.1999999999999998E-3</v>
      </c>
      <c r="BD596" s="15">
        <f>Table1347456[[#This Row],[treatment_se]]*Table1347456[[#This Row],[treatment_n]]</f>
        <v>2.64E-2</v>
      </c>
      <c r="BE596" s="14">
        <f>Table1347456[[#This Row],[control_se]]*Table1347456[[#This Row],[control_n]]</f>
        <v>1.5599999999999999E-2</v>
      </c>
      <c r="BF59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4.4530477662691685E-2</v>
      </c>
      <c r="BG596" s="17">
        <f>SQRT(Table1347456[[#This Row],[v_from_sd_and_n]])</f>
        <v>0.21102245772119063</v>
      </c>
      <c r="BH596" s="13" t="s">
        <v>50</v>
      </c>
      <c r="BI596" s="13">
        <v>2.5000000000000001E-2</v>
      </c>
      <c r="BJ596" s="18">
        <f>ABS(_xlfn.NORM.S.INV(Table1347456[[#This Row],[p_value]]/2))</f>
        <v>2.2414027276049446</v>
      </c>
      <c r="BK596" s="19">
        <f>(Table1347456[[#This Row],[lnrr]]/Table1347456[[#This Row],[z_from_p]])^2</f>
        <v>6.0247451151260421E-3</v>
      </c>
      <c r="BL596" s="16">
        <f>Table1347456[[#This Row],[v_from_sd_and_n]]</f>
        <v>4.4530477662691685E-2</v>
      </c>
      <c r="BM596" s="20">
        <f>SQRT(Table1347456[[#This Row],[v]])</f>
        <v>0.21102245772119063</v>
      </c>
      <c r="BN596" s="20">
        <f>Table1347456[[#This Row],[lnrr]]-(1.96*Table1347456[[#This Row],[se]])</f>
        <v>-0.23962805969695403</v>
      </c>
      <c r="BO596" s="20">
        <f>Table1347456[[#This Row],[lnrr]]+(1.96 * Table1347456[[#This Row],[se]])</f>
        <v>0.58757997457011324</v>
      </c>
    </row>
    <row r="597" spans="1:67">
      <c r="A597" s="13" t="s">
        <v>221</v>
      </c>
      <c r="B597" s="13" t="s">
        <v>222</v>
      </c>
      <c r="C597" s="13" t="s">
        <v>43</v>
      </c>
      <c r="D597" s="13" t="s">
        <v>146</v>
      </c>
      <c r="E597" s="13" t="s">
        <v>91</v>
      </c>
      <c r="F597" s="13" t="s">
        <v>587</v>
      </c>
      <c r="G597" s="13" t="s">
        <v>223</v>
      </c>
      <c r="H597" s="13">
        <v>15</v>
      </c>
      <c r="I597" s="13">
        <v>1150</v>
      </c>
      <c r="K597" s="13" t="s">
        <v>865</v>
      </c>
      <c r="L597" s="13" t="s">
        <v>866</v>
      </c>
      <c r="N597" s="13" t="s">
        <v>86</v>
      </c>
      <c r="O597" s="13" t="s">
        <v>644</v>
      </c>
      <c r="P597" s="13" t="s">
        <v>85</v>
      </c>
      <c r="Q597" s="13" t="s">
        <v>48</v>
      </c>
      <c r="R597" s="4">
        <v>3</v>
      </c>
      <c r="S597" s="13" t="s">
        <v>594</v>
      </c>
      <c r="T597" s="13">
        <v>1095</v>
      </c>
      <c r="U597" s="4" t="s">
        <v>224</v>
      </c>
      <c r="V597" s="4">
        <v>400</v>
      </c>
      <c r="W597" s="4" t="s">
        <v>42</v>
      </c>
      <c r="X597" s="4">
        <v>598</v>
      </c>
      <c r="Y597" s="4">
        <v>12</v>
      </c>
      <c r="AA597" s="4" t="s">
        <v>49</v>
      </c>
      <c r="AB597" s="4">
        <v>0</v>
      </c>
      <c r="AC597" s="4" t="s">
        <v>49</v>
      </c>
      <c r="AD597" s="4">
        <v>0</v>
      </c>
      <c r="AE597" s="4" t="s">
        <v>49</v>
      </c>
      <c r="AF597" s="4">
        <v>0</v>
      </c>
      <c r="AG597" s="4" t="s">
        <v>792</v>
      </c>
      <c r="AH597" s="4" t="s">
        <v>722</v>
      </c>
      <c r="AI597" s="4" t="s">
        <v>64</v>
      </c>
      <c r="AJ597" s="13">
        <v>0</v>
      </c>
      <c r="AK597" s="13">
        <v>15</v>
      </c>
      <c r="AP597" s="13" t="s">
        <v>50</v>
      </c>
      <c r="AQ597" s="13" t="s">
        <v>49</v>
      </c>
      <c r="AR597" s="13" t="s">
        <v>49</v>
      </c>
      <c r="AS597" s="13" t="s">
        <v>49</v>
      </c>
      <c r="AT597" s="13" t="s">
        <v>990</v>
      </c>
      <c r="AU597" s="13" t="s">
        <v>998</v>
      </c>
      <c r="AV597" s="14">
        <f>149.2/1000</f>
        <v>0.1492</v>
      </c>
      <c r="AW597" s="14">
        <f>74.2/1000</f>
        <v>7.4200000000000002E-2</v>
      </c>
      <c r="AX597" s="14">
        <f>Table1347456[[#This Row],[treatment_mean]]/Table1347456[[#This Row],[control_mean]]</f>
        <v>2.0107816711590294</v>
      </c>
      <c r="AY597" s="14">
        <f>LN(Table1347456[[#This Row],[rr]])</f>
        <v>0.69852353759632557</v>
      </c>
      <c r="AZ597" s="13">
        <v>3</v>
      </c>
      <c r="BA597" s="13">
        <v>3</v>
      </c>
      <c r="BB597" s="14">
        <f>9.5/1000</f>
        <v>9.4999999999999998E-3</v>
      </c>
      <c r="BC597" s="14">
        <f>5.2/1000</f>
        <v>5.1999999999999998E-3</v>
      </c>
      <c r="BD597" s="15">
        <f>Table1347456[[#This Row],[treatment_se]]*Table1347456[[#This Row],[treatment_n]]</f>
        <v>2.8499999999999998E-2</v>
      </c>
      <c r="BE597" s="14">
        <f>Table1347456[[#This Row],[control_se]]*Table1347456[[#This Row],[control_n]]</f>
        <v>1.5599999999999999E-2</v>
      </c>
      <c r="BF59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2.6896704964730813E-2</v>
      </c>
      <c r="BG597" s="17">
        <f>SQRT(Table1347456[[#This Row],[v_from_sd_and_n]])</f>
        <v>0.16400214926863249</v>
      </c>
      <c r="BH597" s="13" t="s">
        <v>50</v>
      </c>
      <c r="BI597" s="13">
        <v>2.5000000000000001E-2</v>
      </c>
      <c r="BJ597" s="18">
        <f>ABS(_xlfn.NORM.S.INV(Table1347456[[#This Row],[p_value]]/2))</f>
        <v>2.2414027276049446</v>
      </c>
      <c r="BK597" s="19">
        <f>(Table1347456[[#This Row],[lnrr]]/Table1347456[[#This Row],[z_from_p]])^2</f>
        <v>9.7123046658202997E-2</v>
      </c>
      <c r="BL597" s="16">
        <f>Table1347456[[#This Row],[v_from_sd_and_n]]</f>
        <v>2.6896704964730813E-2</v>
      </c>
      <c r="BM597" s="20">
        <f>SQRT(Table1347456[[#This Row],[v]])</f>
        <v>0.16400214926863249</v>
      </c>
      <c r="BN597" s="20">
        <f>Table1347456[[#This Row],[lnrr]]-(1.96*Table1347456[[#This Row],[se]])</f>
        <v>0.3770793250298059</v>
      </c>
      <c r="BO597" s="20">
        <f>Table1347456[[#This Row],[lnrr]]+(1.96 * Table1347456[[#This Row],[se]])</f>
        <v>1.0199677501628452</v>
      </c>
    </row>
    <row r="598" spans="1:67">
      <c r="A598" s="13" t="s">
        <v>221</v>
      </c>
      <c r="B598" s="13" t="s">
        <v>222</v>
      </c>
      <c r="C598" s="13" t="s">
        <v>43</v>
      </c>
      <c r="D598" s="13" t="s">
        <v>146</v>
      </c>
      <c r="E598" s="13" t="s">
        <v>91</v>
      </c>
      <c r="F598" s="13" t="s">
        <v>587</v>
      </c>
      <c r="G598" s="13" t="s">
        <v>223</v>
      </c>
      <c r="H598" s="13">
        <v>15</v>
      </c>
      <c r="I598" s="13">
        <v>1150</v>
      </c>
      <c r="K598" s="13" t="s">
        <v>865</v>
      </c>
      <c r="L598" s="13" t="s">
        <v>866</v>
      </c>
      <c r="N598" s="13" t="s">
        <v>614</v>
      </c>
      <c r="O598" s="13" t="s">
        <v>614</v>
      </c>
      <c r="P598" s="13" t="s">
        <v>87</v>
      </c>
      <c r="Q598" s="13" t="s">
        <v>87</v>
      </c>
      <c r="R598" s="4">
        <v>3</v>
      </c>
      <c r="S598" s="13" t="s">
        <v>594</v>
      </c>
      <c r="T598" s="13">
        <v>1095</v>
      </c>
      <c r="U598" s="4" t="s">
        <v>224</v>
      </c>
      <c r="V598" s="4">
        <v>400</v>
      </c>
      <c r="W598" s="4" t="s">
        <v>42</v>
      </c>
      <c r="X598" s="4">
        <v>598</v>
      </c>
      <c r="Y598" s="4">
        <v>2.4</v>
      </c>
      <c r="AA598" s="4" t="s">
        <v>49</v>
      </c>
      <c r="AB598" s="4">
        <v>0</v>
      </c>
      <c r="AC598" s="4" t="s">
        <v>49</v>
      </c>
      <c r="AD598" s="4">
        <v>0</v>
      </c>
      <c r="AE598" s="4" t="s">
        <v>49</v>
      </c>
      <c r="AF598" s="4">
        <v>0</v>
      </c>
      <c r="AG598" s="4" t="s">
        <v>792</v>
      </c>
      <c r="AH598" s="4" t="s">
        <v>722</v>
      </c>
      <c r="AI598" s="4" t="s">
        <v>64</v>
      </c>
      <c r="AJ598" s="13">
        <v>0</v>
      </c>
      <c r="AK598" s="13">
        <v>15</v>
      </c>
      <c r="AP598" s="13" t="s">
        <v>50</v>
      </c>
      <c r="AQ598" s="13" t="s">
        <v>49</v>
      </c>
      <c r="AR598" s="13" t="s">
        <v>49</v>
      </c>
      <c r="AS598" s="13" t="s">
        <v>49</v>
      </c>
      <c r="AT598" s="13" t="s">
        <v>990</v>
      </c>
      <c r="AU598" s="13" t="s">
        <v>998</v>
      </c>
      <c r="AV598" s="14">
        <v>19.8</v>
      </c>
      <c r="AW598" s="14">
        <v>17.7</v>
      </c>
      <c r="AX598" s="14">
        <f>Table1347456[[#This Row],[treatment_mean]]/Table1347456[[#This Row],[control_mean]]</f>
        <v>1.1186440677966103</v>
      </c>
      <c r="AY598" s="14">
        <f>LN(Table1347456[[#This Row],[rr]])</f>
        <v>0.11211729812070621</v>
      </c>
      <c r="AZ598" s="13">
        <v>3</v>
      </c>
      <c r="BA598" s="13">
        <v>3</v>
      </c>
      <c r="BB598" s="14">
        <v>0.9</v>
      </c>
      <c r="BC598" s="14">
        <v>0.5</v>
      </c>
      <c r="BD598" s="15">
        <f>Table1347456[[#This Row],[treatment_se]]*Table1347456[[#This Row],[treatment_n]]</f>
        <v>2.7</v>
      </c>
      <c r="BE598" s="14">
        <f>Table1347456[[#This Row],[control_se]]*Table1347456[[#This Row],[control_n]]</f>
        <v>1.5</v>
      </c>
      <c r="BF59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8.5922952066432266E-3</v>
      </c>
      <c r="BG598" s="17">
        <f>SQRT(Table1347456[[#This Row],[v_from_sd_and_n]])</f>
        <v>9.2694634184742469E-2</v>
      </c>
      <c r="BH598" s="13" t="s">
        <v>50</v>
      </c>
      <c r="BI598" s="13">
        <v>2.5000000000000001E-2</v>
      </c>
      <c r="BJ598" s="18">
        <f>ABS(_xlfn.NORM.S.INV(Table1347456[[#This Row],[p_value]]/2))</f>
        <v>2.2414027276049446</v>
      </c>
      <c r="BK598" s="19">
        <f>(Table1347456[[#This Row],[lnrr]]/Table1347456[[#This Row],[z_from_p]])^2</f>
        <v>2.5021045599374439E-3</v>
      </c>
      <c r="BL598" s="16">
        <f>Table1347456[[#This Row],[v_from_sd_and_n]]</f>
        <v>8.5922952066432266E-3</v>
      </c>
      <c r="BM598" s="20">
        <f>SQRT(Table1347456[[#This Row],[v]])</f>
        <v>9.2694634184742469E-2</v>
      </c>
      <c r="BN598" s="20">
        <f>Table1347456[[#This Row],[lnrr]]-(1.96*Table1347456[[#This Row],[se]])</f>
        <v>-6.9564184881389032E-2</v>
      </c>
      <c r="BO598" s="20">
        <f>Table1347456[[#This Row],[lnrr]]+(1.96 * Table1347456[[#This Row],[se]])</f>
        <v>0.29379878112280144</v>
      </c>
    </row>
    <row r="599" spans="1:67">
      <c r="A599" s="13" t="s">
        <v>221</v>
      </c>
      <c r="B599" s="13" t="s">
        <v>222</v>
      </c>
      <c r="C599" s="13" t="s">
        <v>43</v>
      </c>
      <c r="D599" s="13" t="s">
        <v>146</v>
      </c>
      <c r="E599" s="13" t="s">
        <v>91</v>
      </c>
      <c r="F599" s="13" t="s">
        <v>587</v>
      </c>
      <c r="G599" s="13" t="s">
        <v>223</v>
      </c>
      <c r="H599" s="13">
        <v>15</v>
      </c>
      <c r="I599" s="13">
        <v>1150</v>
      </c>
      <c r="K599" s="13" t="s">
        <v>865</v>
      </c>
      <c r="L599" s="13" t="s">
        <v>866</v>
      </c>
      <c r="N599" s="13" t="s">
        <v>614</v>
      </c>
      <c r="O599" s="13" t="s">
        <v>614</v>
      </c>
      <c r="P599" s="13" t="s">
        <v>87</v>
      </c>
      <c r="Q599" s="13" t="s">
        <v>87</v>
      </c>
      <c r="R599" s="4">
        <v>3</v>
      </c>
      <c r="S599" s="13" t="s">
        <v>594</v>
      </c>
      <c r="T599" s="13">
        <v>1095</v>
      </c>
      <c r="U599" s="4" t="s">
        <v>224</v>
      </c>
      <c r="V599" s="4">
        <v>400</v>
      </c>
      <c r="W599" s="4" t="s">
        <v>42</v>
      </c>
      <c r="X599" s="4">
        <v>598</v>
      </c>
      <c r="Y599" s="4">
        <v>6</v>
      </c>
      <c r="AA599" s="4" t="s">
        <v>49</v>
      </c>
      <c r="AB599" s="4">
        <v>0</v>
      </c>
      <c r="AC599" s="4" t="s">
        <v>49</v>
      </c>
      <c r="AD599" s="4">
        <v>0</v>
      </c>
      <c r="AE599" s="4" t="s">
        <v>49</v>
      </c>
      <c r="AF599" s="4">
        <v>0</v>
      </c>
      <c r="AG599" s="4" t="s">
        <v>792</v>
      </c>
      <c r="AH599" s="4" t="s">
        <v>722</v>
      </c>
      <c r="AI599" s="4" t="s">
        <v>64</v>
      </c>
      <c r="AJ599" s="13">
        <v>0</v>
      </c>
      <c r="AK599" s="13">
        <v>15</v>
      </c>
      <c r="AP599" s="13" t="s">
        <v>50</v>
      </c>
      <c r="AQ599" s="13" t="s">
        <v>49</v>
      </c>
      <c r="AR599" s="13" t="s">
        <v>49</v>
      </c>
      <c r="AS599" s="13" t="s">
        <v>49</v>
      </c>
      <c r="AT599" s="13" t="s">
        <v>990</v>
      </c>
      <c r="AU599" s="13" t="s">
        <v>998</v>
      </c>
      <c r="AV599" s="14">
        <v>18.5</v>
      </c>
      <c r="AW599" s="14">
        <v>17.7</v>
      </c>
      <c r="AX599" s="14">
        <f>Table1347456[[#This Row],[treatment_mean]]/Table1347456[[#This Row],[control_mean]]</f>
        <v>1.0451977401129944</v>
      </c>
      <c r="AY599" s="14">
        <f>LN(Table1347456[[#This Row],[rr]])</f>
        <v>4.4206092504495705E-2</v>
      </c>
      <c r="AZ599" s="13">
        <v>3</v>
      </c>
      <c r="BA599" s="13">
        <v>3</v>
      </c>
      <c r="BB599" s="14">
        <v>0.6</v>
      </c>
      <c r="BC599" s="14">
        <v>0.5</v>
      </c>
      <c r="BD599" s="15">
        <f>Table1347456[[#This Row],[treatment_se]]*Table1347456[[#This Row],[treatment_n]]</f>
        <v>1.7999999999999998</v>
      </c>
      <c r="BE599" s="14">
        <f>Table1347456[[#This Row],[control_se]]*Table1347456[[#This Row],[control_n]]</f>
        <v>1.5</v>
      </c>
      <c r="BF59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5.5495361196580941E-3</v>
      </c>
      <c r="BG599" s="17">
        <f>SQRT(Table1347456[[#This Row],[v_from_sd_and_n]])</f>
        <v>7.4495208702695062E-2</v>
      </c>
      <c r="BH599" s="13" t="s">
        <v>50</v>
      </c>
      <c r="BI599" s="13">
        <v>2.5000000000000001E-2</v>
      </c>
      <c r="BJ599" s="18">
        <f>ABS(_xlfn.NORM.S.INV(Table1347456[[#This Row],[p_value]]/2))</f>
        <v>2.2414027276049446</v>
      </c>
      <c r="BK599" s="19">
        <f>(Table1347456[[#This Row],[lnrr]]/Table1347456[[#This Row],[z_from_p]])^2</f>
        <v>3.8897748508918365E-4</v>
      </c>
      <c r="BL599" s="16">
        <f>Table1347456[[#This Row],[v_from_sd_and_n]]</f>
        <v>5.5495361196580941E-3</v>
      </c>
      <c r="BM599" s="20">
        <f>SQRT(Table1347456[[#This Row],[v]])</f>
        <v>7.4495208702695062E-2</v>
      </c>
      <c r="BN599" s="20">
        <f>Table1347456[[#This Row],[lnrr]]-(1.96*Table1347456[[#This Row],[se]])</f>
        <v>-0.10180451655278663</v>
      </c>
      <c r="BO599" s="20">
        <f>Table1347456[[#This Row],[lnrr]]+(1.96 * Table1347456[[#This Row],[se]])</f>
        <v>0.19021670156177803</v>
      </c>
    </row>
    <row r="600" spans="1:67">
      <c r="A600" s="13" t="s">
        <v>221</v>
      </c>
      <c r="B600" s="13" t="s">
        <v>222</v>
      </c>
      <c r="C600" s="13" t="s">
        <v>43</v>
      </c>
      <c r="D600" s="13" t="s">
        <v>146</v>
      </c>
      <c r="E600" s="13" t="s">
        <v>91</v>
      </c>
      <c r="F600" s="13" t="s">
        <v>587</v>
      </c>
      <c r="G600" s="13" t="s">
        <v>223</v>
      </c>
      <c r="H600" s="13">
        <v>15</v>
      </c>
      <c r="I600" s="13">
        <v>1150</v>
      </c>
      <c r="K600" s="13" t="s">
        <v>865</v>
      </c>
      <c r="L600" s="13" t="s">
        <v>866</v>
      </c>
      <c r="N600" s="13" t="s">
        <v>614</v>
      </c>
      <c r="O600" s="13" t="s">
        <v>614</v>
      </c>
      <c r="P600" s="13" t="s">
        <v>87</v>
      </c>
      <c r="Q600" s="13" t="s">
        <v>87</v>
      </c>
      <c r="R600" s="4">
        <v>3</v>
      </c>
      <c r="S600" s="13" t="s">
        <v>594</v>
      </c>
      <c r="T600" s="13">
        <v>1095</v>
      </c>
      <c r="U600" s="4" t="s">
        <v>224</v>
      </c>
      <c r="V600" s="4">
        <v>400</v>
      </c>
      <c r="W600" s="4" t="s">
        <v>42</v>
      </c>
      <c r="X600" s="4">
        <v>598</v>
      </c>
      <c r="Y600" s="4">
        <v>12</v>
      </c>
      <c r="AA600" s="4" t="s">
        <v>49</v>
      </c>
      <c r="AB600" s="4">
        <v>0</v>
      </c>
      <c r="AC600" s="4" t="s">
        <v>49</v>
      </c>
      <c r="AD600" s="4">
        <v>0</v>
      </c>
      <c r="AE600" s="4" t="s">
        <v>49</v>
      </c>
      <c r="AF600" s="4">
        <v>0</v>
      </c>
      <c r="AG600" s="4" t="s">
        <v>792</v>
      </c>
      <c r="AH600" s="4" t="s">
        <v>722</v>
      </c>
      <c r="AI600" s="4" t="s">
        <v>64</v>
      </c>
      <c r="AJ600" s="13">
        <v>0</v>
      </c>
      <c r="AK600" s="13">
        <v>15</v>
      </c>
      <c r="AP600" s="13" t="s">
        <v>50</v>
      </c>
      <c r="AQ600" s="13" t="s">
        <v>49</v>
      </c>
      <c r="AR600" s="13" t="s">
        <v>49</v>
      </c>
      <c r="AS600" s="13" t="s">
        <v>49</v>
      </c>
      <c r="AT600" s="13" t="s">
        <v>990</v>
      </c>
      <c r="AU600" s="13" t="s">
        <v>998</v>
      </c>
      <c r="AV600" s="14">
        <v>19</v>
      </c>
      <c r="AW600" s="14">
        <v>17.7</v>
      </c>
      <c r="AX600" s="14">
        <f>Table1347456[[#This Row],[treatment_mean]]/Table1347456[[#This Row],[control_mean]]</f>
        <v>1.0734463276836159</v>
      </c>
      <c r="AY600" s="14">
        <f>LN(Table1347456[[#This Row],[rr]])</f>
        <v>7.0874339586657092E-2</v>
      </c>
      <c r="AZ600" s="13">
        <v>3</v>
      </c>
      <c r="BA600" s="13">
        <v>3</v>
      </c>
      <c r="BB600" s="14">
        <v>0.8</v>
      </c>
      <c r="BC600" s="14">
        <v>0.5</v>
      </c>
      <c r="BD600" s="15">
        <f>Table1347456[[#This Row],[treatment_se]]*Table1347456[[#This Row],[treatment_n]]</f>
        <v>2.4000000000000004</v>
      </c>
      <c r="BE600" s="14">
        <f>Table1347456[[#This Row],[control_se]]*Table1347456[[#This Row],[control_n]]</f>
        <v>1.5</v>
      </c>
      <c r="BF60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7.712507655991914E-3</v>
      </c>
      <c r="BG600" s="17">
        <f>SQRT(Table1347456[[#This Row],[v_from_sd_and_n]])</f>
        <v>8.7820883939937172E-2</v>
      </c>
      <c r="BH600" s="13" t="s">
        <v>50</v>
      </c>
      <c r="BI600" s="13">
        <v>2.5000000000000001E-2</v>
      </c>
      <c r="BJ600" s="18">
        <f>ABS(_xlfn.NORM.S.INV(Table1347456[[#This Row],[p_value]]/2))</f>
        <v>2.2414027276049446</v>
      </c>
      <c r="BK600" s="19">
        <f>(Table1347456[[#This Row],[lnrr]]/Table1347456[[#This Row],[z_from_p]])^2</f>
        <v>9.9985784401885941E-4</v>
      </c>
      <c r="BL600" s="16">
        <f>Table1347456[[#This Row],[v_from_sd_and_n]]</f>
        <v>7.712507655991914E-3</v>
      </c>
      <c r="BM600" s="20">
        <f>SQRT(Table1347456[[#This Row],[v]])</f>
        <v>8.7820883939937172E-2</v>
      </c>
      <c r="BN600" s="20">
        <f>Table1347456[[#This Row],[lnrr]]-(1.96*Table1347456[[#This Row],[se]])</f>
        <v>-0.10125459293561975</v>
      </c>
      <c r="BO600" s="20">
        <f>Table1347456[[#This Row],[lnrr]]+(1.96 * Table1347456[[#This Row],[se]])</f>
        <v>0.24300327210893394</v>
      </c>
    </row>
    <row r="601" spans="1:67">
      <c r="A601" s="13" t="s">
        <v>225</v>
      </c>
      <c r="B601" s="13" t="s">
        <v>226</v>
      </c>
      <c r="C601" s="13" t="s">
        <v>43</v>
      </c>
      <c r="D601" s="13" t="s">
        <v>90</v>
      </c>
      <c r="E601" s="13" t="s">
        <v>91</v>
      </c>
      <c r="F601" s="13" t="s">
        <v>587</v>
      </c>
      <c r="G601" s="13" t="s">
        <v>227</v>
      </c>
      <c r="H601" s="13">
        <v>13.9</v>
      </c>
      <c r="I601" s="13">
        <v>615</v>
      </c>
      <c r="K601" s="13" t="s">
        <v>825</v>
      </c>
      <c r="L601" s="13" t="s">
        <v>867</v>
      </c>
      <c r="N601" s="13" t="s">
        <v>61</v>
      </c>
      <c r="O601" s="13" t="s">
        <v>642</v>
      </c>
      <c r="P601" s="13" t="s">
        <v>71</v>
      </c>
      <c r="Q601" s="13" t="s">
        <v>48</v>
      </c>
      <c r="R601" s="4">
        <v>3</v>
      </c>
      <c r="S601" s="13" t="s">
        <v>594</v>
      </c>
      <c r="T601" s="13">
        <v>1460</v>
      </c>
      <c r="U601" s="4" t="s">
        <v>93</v>
      </c>
      <c r="V601" s="4">
        <v>450</v>
      </c>
      <c r="W601" s="4" t="s">
        <v>601</v>
      </c>
      <c r="X601" s="4">
        <v>450</v>
      </c>
      <c r="Y601" s="4">
        <v>3</v>
      </c>
      <c r="AA601" s="4" t="s">
        <v>50</v>
      </c>
      <c r="AB601" s="4">
        <v>200</v>
      </c>
      <c r="AC601" s="4" t="s">
        <v>49</v>
      </c>
      <c r="AD601" s="4">
        <v>0</v>
      </c>
      <c r="AE601" s="4" t="s">
        <v>49</v>
      </c>
      <c r="AF601" s="4">
        <v>0</v>
      </c>
      <c r="AG601" s="4" t="s">
        <v>46</v>
      </c>
      <c r="AH601" s="4" t="s">
        <v>757</v>
      </c>
      <c r="AI601" s="4" t="s">
        <v>64</v>
      </c>
      <c r="AJ601" s="13">
        <v>0</v>
      </c>
      <c r="AK601" s="13">
        <v>20</v>
      </c>
      <c r="AM601" s="13" t="s">
        <v>515</v>
      </c>
      <c r="AP601" s="13" t="s">
        <v>49</v>
      </c>
      <c r="AQ601" s="13" t="s">
        <v>49</v>
      </c>
      <c r="AR601" s="13" t="s">
        <v>49</v>
      </c>
      <c r="AS601" s="13" t="s">
        <v>49</v>
      </c>
      <c r="AT601" s="13" t="s">
        <v>992</v>
      </c>
      <c r="AU601" s="4" t="s">
        <v>1000</v>
      </c>
      <c r="AV601" s="14">
        <f>(141.45*2)/1.4/1000</f>
        <v>0.20207142857142857</v>
      </c>
      <c r="AW601" s="14">
        <f>(137.64*2)/1.4/1000</f>
        <v>0.19662857142857143</v>
      </c>
      <c r="AX601" s="14">
        <f>Table1347456[[#This Row],[treatment_mean]]/Table1347456[[#This Row],[control_mean]]</f>
        <v>1.0276809067131647</v>
      </c>
      <c r="AY601" s="14">
        <f>LN(Table1347456[[#This Row],[rr]])</f>
        <v>2.7304716818296482E-2</v>
      </c>
      <c r="AZ601" s="13">
        <v>3</v>
      </c>
      <c r="BA601" s="13">
        <v>3</v>
      </c>
      <c r="BB601" s="14">
        <f>(4.08*2)/1.4/1000</f>
        <v>5.8285714285714295E-3</v>
      </c>
      <c r="BC601" s="14">
        <f>(1.14*2)/1.4/1000</f>
        <v>1.6285714285714287E-3</v>
      </c>
      <c r="BD601" s="15">
        <f>Table1347456[[#This Row],[treatment_se]]*SQRT(Table1347456[[#This Row],[treatment_n]])</f>
        <v>1.0095381849830028E-2</v>
      </c>
      <c r="BE601" s="14">
        <f>Table1347456[[#This Row],[control_se]]*SQRT(Table1347456[[#This Row],[control_n]])</f>
        <v>2.8207684580407429E-3</v>
      </c>
      <c r="BF60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9.0058235200520496E-4</v>
      </c>
      <c r="BG601" s="17">
        <f>SQRT(Table1347456[[#This Row],[v_from_sd_and_n]])</f>
        <v>3.0009704297197015E-2</v>
      </c>
      <c r="BH601" s="13" t="s">
        <v>50</v>
      </c>
      <c r="BI601" s="13">
        <v>2.5000000000000001E-2</v>
      </c>
      <c r="BJ601" s="18">
        <f>ABS(_xlfn.NORM.S.INV(Table1347456[[#This Row],[p_value]]/2))</f>
        <v>2.2414027276049446</v>
      </c>
      <c r="BK601" s="19">
        <f>(Table1347456[[#This Row],[lnrr]]/Table1347456[[#This Row],[z_from_p]])^2</f>
        <v>1.4840056735557444E-4</v>
      </c>
      <c r="BL601" s="16">
        <f>Table1347456[[#This Row],[v_from_sd_and_n]]</f>
        <v>9.0058235200520496E-4</v>
      </c>
      <c r="BM601" s="20">
        <f>SQRT(Table1347456[[#This Row],[v]])</f>
        <v>3.0009704297197015E-2</v>
      </c>
      <c r="BN601" s="20">
        <f>Table1347456[[#This Row],[lnrr]]-(1.96*Table1347456[[#This Row],[se]])</f>
        <v>-3.1514303604209662E-2</v>
      </c>
      <c r="BO601" s="20">
        <f>Table1347456[[#This Row],[lnrr]]+(1.96 * Table1347456[[#This Row],[se]])</f>
        <v>8.6123737240802634E-2</v>
      </c>
    </row>
    <row r="602" spans="1:67">
      <c r="A602" s="13" t="s">
        <v>225</v>
      </c>
      <c r="B602" s="13" t="s">
        <v>226</v>
      </c>
      <c r="C602" s="13" t="s">
        <v>43</v>
      </c>
      <c r="D602" s="13" t="s">
        <v>90</v>
      </c>
      <c r="E602" s="13" t="s">
        <v>91</v>
      </c>
      <c r="F602" s="13" t="s">
        <v>587</v>
      </c>
      <c r="G602" s="13" t="s">
        <v>227</v>
      </c>
      <c r="H602" s="13">
        <v>13.9</v>
      </c>
      <c r="I602" s="13">
        <v>615</v>
      </c>
      <c r="K602" s="13" t="s">
        <v>825</v>
      </c>
      <c r="L602" s="13" t="s">
        <v>867</v>
      </c>
      <c r="N602" s="13" t="s">
        <v>61</v>
      </c>
      <c r="O602" s="13" t="s">
        <v>642</v>
      </c>
      <c r="P602" s="13" t="s">
        <v>71</v>
      </c>
      <c r="Q602" s="13" t="s">
        <v>48</v>
      </c>
      <c r="R602" s="4">
        <v>3</v>
      </c>
      <c r="S602" s="13" t="s">
        <v>594</v>
      </c>
      <c r="T602" s="13">
        <v>1460</v>
      </c>
      <c r="U602" s="4" t="s">
        <v>93</v>
      </c>
      <c r="V602" s="4">
        <v>450</v>
      </c>
      <c r="W602" s="4" t="s">
        <v>601</v>
      </c>
      <c r="X602" s="4">
        <v>450</v>
      </c>
      <c r="Y602" s="4">
        <v>6</v>
      </c>
      <c r="AA602" s="4" t="s">
        <v>50</v>
      </c>
      <c r="AB602" s="4">
        <v>200</v>
      </c>
      <c r="AC602" s="4" t="s">
        <v>49</v>
      </c>
      <c r="AD602" s="4">
        <v>0</v>
      </c>
      <c r="AE602" s="4" t="s">
        <v>49</v>
      </c>
      <c r="AF602" s="4">
        <v>0</v>
      </c>
      <c r="AG602" s="4" t="s">
        <v>46</v>
      </c>
      <c r="AH602" s="4" t="s">
        <v>757</v>
      </c>
      <c r="AI602" s="4" t="s">
        <v>64</v>
      </c>
      <c r="AJ602" s="13">
        <v>0</v>
      </c>
      <c r="AK602" s="13">
        <v>20</v>
      </c>
      <c r="AM602" s="13" t="s">
        <v>515</v>
      </c>
      <c r="AP602" s="13" t="s">
        <v>49</v>
      </c>
      <c r="AQ602" s="13" t="s">
        <v>49</v>
      </c>
      <c r="AR602" s="13" t="s">
        <v>49</v>
      </c>
      <c r="AS602" s="13" t="s">
        <v>49</v>
      </c>
      <c r="AT602" s="13" t="s">
        <v>992</v>
      </c>
      <c r="AU602" s="4" t="s">
        <v>1000</v>
      </c>
      <c r="AV602" s="14">
        <f>(143.32*2)/1.4/1000</f>
        <v>0.20474285714285714</v>
      </c>
      <c r="AW602" s="14">
        <f>(137.64*2)/1.4/1000</f>
        <v>0.19662857142857143</v>
      </c>
      <c r="AX602" s="14">
        <f>Table1347456[[#This Row],[treatment_mean]]/Table1347456[[#This Row],[control_mean]]</f>
        <v>1.0412670735251381</v>
      </c>
      <c r="AY602" s="14">
        <f>LN(Table1347456[[#This Row],[rr]])</f>
        <v>4.0438311507473526E-2</v>
      </c>
      <c r="AZ602" s="13">
        <v>3</v>
      </c>
      <c r="BA602" s="13">
        <v>3</v>
      </c>
      <c r="BB602" s="14">
        <f>(2.4*2)/1.4/1000</f>
        <v>3.4285714285714288E-3</v>
      </c>
      <c r="BC602" s="14">
        <f>(1.14*2)/1.4/1000</f>
        <v>1.6285714285714287E-3</v>
      </c>
      <c r="BD602" s="15">
        <f>Table1347456[[#This Row],[treatment_se]]*SQRT(Table1347456[[#This Row],[treatment_n]])</f>
        <v>5.9384599116647221E-3</v>
      </c>
      <c r="BE602" s="14">
        <f>Table1347456[[#This Row],[control_se]]*SQRT(Table1347456[[#This Row],[control_n]])</f>
        <v>2.8207684580407429E-3</v>
      </c>
      <c r="BF60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3.4901934417929439E-4</v>
      </c>
      <c r="BG602" s="17">
        <f>SQRT(Table1347456[[#This Row],[v_from_sd_and_n]])</f>
        <v>1.8682059420184232E-2</v>
      </c>
      <c r="BH602" s="13" t="s">
        <v>50</v>
      </c>
      <c r="BI602" s="13">
        <v>2.5000000000000001E-2</v>
      </c>
      <c r="BJ602" s="18">
        <f>ABS(_xlfn.NORM.S.INV(Table1347456[[#This Row],[p_value]]/2))</f>
        <v>2.2414027276049446</v>
      </c>
      <c r="BK602" s="19">
        <f>(Table1347456[[#This Row],[lnrr]]/Table1347456[[#This Row],[z_from_p]])^2</f>
        <v>3.2549643375768048E-4</v>
      </c>
      <c r="BL602" s="16">
        <f>Table1347456[[#This Row],[v_from_sd_and_n]]</f>
        <v>3.4901934417929439E-4</v>
      </c>
      <c r="BM602" s="20">
        <f>SQRT(Table1347456[[#This Row],[v]])</f>
        <v>1.8682059420184232E-2</v>
      </c>
      <c r="BN602" s="20">
        <f>Table1347456[[#This Row],[lnrr]]-(1.96*Table1347456[[#This Row],[se]])</f>
        <v>3.821475043912434E-3</v>
      </c>
      <c r="BO602" s="20">
        <f>Table1347456[[#This Row],[lnrr]]+(1.96 * Table1347456[[#This Row],[se]])</f>
        <v>7.7055147971034618E-2</v>
      </c>
    </row>
    <row r="603" spans="1:67">
      <c r="A603" s="13" t="s">
        <v>225</v>
      </c>
      <c r="B603" s="13" t="s">
        <v>226</v>
      </c>
      <c r="C603" s="13" t="s">
        <v>43</v>
      </c>
      <c r="D603" s="13" t="s">
        <v>90</v>
      </c>
      <c r="E603" s="13" t="s">
        <v>91</v>
      </c>
      <c r="F603" s="13" t="s">
        <v>587</v>
      </c>
      <c r="G603" s="13" t="s">
        <v>227</v>
      </c>
      <c r="H603" s="13">
        <v>13.9</v>
      </c>
      <c r="I603" s="13">
        <v>615</v>
      </c>
      <c r="K603" s="13" t="s">
        <v>825</v>
      </c>
      <c r="L603" s="13" t="s">
        <v>867</v>
      </c>
      <c r="N603" s="13" t="s">
        <v>61</v>
      </c>
      <c r="O603" s="13" t="s">
        <v>642</v>
      </c>
      <c r="P603" s="13" t="s">
        <v>71</v>
      </c>
      <c r="Q603" s="13" t="s">
        <v>48</v>
      </c>
      <c r="R603" s="4">
        <v>3</v>
      </c>
      <c r="S603" s="13" t="s">
        <v>594</v>
      </c>
      <c r="T603" s="13">
        <v>1460</v>
      </c>
      <c r="U603" s="4" t="s">
        <v>93</v>
      </c>
      <c r="V603" s="4">
        <v>450</v>
      </c>
      <c r="W603" s="4" t="s">
        <v>601</v>
      </c>
      <c r="X603" s="4">
        <v>450</v>
      </c>
      <c r="Y603" s="4">
        <v>6</v>
      </c>
      <c r="AA603" s="4" t="s">
        <v>50</v>
      </c>
      <c r="AB603" s="4">
        <v>200</v>
      </c>
      <c r="AC603" s="4" t="s">
        <v>49</v>
      </c>
      <c r="AD603" s="4">
        <v>0</v>
      </c>
      <c r="AE603" s="4" t="s">
        <v>49</v>
      </c>
      <c r="AF603" s="4">
        <v>0</v>
      </c>
      <c r="AG603" s="4" t="s">
        <v>46</v>
      </c>
      <c r="AH603" s="4" t="s">
        <v>757</v>
      </c>
      <c r="AI603" s="4" t="s">
        <v>64</v>
      </c>
      <c r="AJ603" s="13">
        <v>0</v>
      </c>
      <c r="AK603" s="13">
        <v>20</v>
      </c>
      <c r="AM603" s="13" t="s">
        <v>515</v>
      </c>
      <c r="AP603" s="13" t="s">
        <v>49</v>
      </c>
      <c r="AQ603" s="13" t="s">
        <v>49</v>
      </c>
      <c r="AR603" s="13" t="s">
        <v>49</v>
      </c>
      <c r="AS603" s="13" t="s">
        <v>49</v>
      </c>
      <c r="AT603" s="13" t="s">
        <v>992</v>
      </c>
      <c r="AU603" s="4" t="s">
        <v>1000</v>
      </c>
      <c r="AV603" s="14">
        <f>(142.74*2)/1.4/1000</f>
        <v>0.20391428571428574</v>
      </c>
      <c r="AW603" s="14">
        <f>(137.64*2)/1.4/1000</f>
        <v>0.19662857142857143</v>
      </c>
      <c r="AX603" s="14">
        <f>Table1347456[[#This Row],[treatment_mean]]/Table1347456[[#This Row],[control_mean]]</f>
        <v>1.0370531822144726</v>
      </c>
      <c r="AY603" s="14">
        <f>LN(Table1347456[[#This Row],[rr]])</f>
        <v>3.6383212613641761E-2</v>
      </c>
      <c r="AZ603" s="13">
        <v>3</v>
      </c>
      <c r="BA603" s="13">
        <v>3</v>
      </c>
      <c r="BB603" s="14">
        <f>(0.87*2)/1.4/1000</f>
        <v>1.242857142857143E-3</v>
      </c>
      <c r="BC603" s="14">
        <f>(1.14*2)/1.4/1000</f>
        <v>1.6285714285714287E-3</v>
      </c>
      <c r="BD603" s="15">
        <f>Table1347456[[#This Row],[treatment_se]]*SQRT(Table1347456[[#This Row],[treatment_n]])</f>
        <v>2.1526917179784618E-3</v>
      </c>
      <c r="BE603" s="14">
        <f>Table1347456[[#This Row],[control_se]]*SQRT(Table1347456[[#This Row],[control_n]])</f>
        <v>2.8207684580407429E-3</v>
      </c>
      <c r="BF60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1.0574840847494745E-4</v>
      </c>
      <c r="BG603" s="17">
        <f>SQRT(Table1347456[[#This Row],[v_from_sd_and_n]])</f>
        <v>1.0283404517714327E-2</v>
      </c>
      <c r="BH603" s="13" t="s">
        <v>50</v>
      </c>
      <c r="BI603" s="13">
        <v>2.5000000000000001E-2</v>
      </c>
      <c r="BJ603" s="18">
        <f>ABS(_xlfn.NORM.S.INV(Table1347456[[#This Row],[p_value]]/2))</f>
        <v>2.2414027276049446</v>
      </c>
      <c r="BK603" s="19">
        <f>(Table1347456[[#This Row],[lnrr]]/Table1347456[[#This Row],[z_from_p]])^2</f>
        <v>2.6348888305468529E-4</v>
      </c>
      <c r="BL603" s="16">
        <f>Table1347456[[#This Row],[v_from_sd_and_n]]</f>
        <v>1.0574840847494745E-4</v>
      </c>
      <c r="BM603" s="20">
        <f>SQRT(Table1347456[[#This Row],[v]])</f>
        <v>1.0283404517714327E-2</v>
      </c>
      <c r="BN603" s="20">
        <f>Table1347456[[#This Row],[lnrr]]-(1.96*Table1347456[[#This Row],[se]])</f>
        <v>1.622773975892168E-2</v>
      </c>
      <c r="BO603" s="20">
        <f>Table1347456[[#This Row],[lnrr]]+(1.96 * Table1347456[[#This Row],[se]])</f>
        <v>5.6538685468361841E-2</v>
      </c>
    </row>
    <row r="604" spans="1:67">
      <c r="A604" s="13" t="s">
        <v>225</v>
      </c>
      <c r="B604" s="13" t="s">
        <v>226</v>
      </c>
      <c r="C604" s="13" t="s">
        <v>43</v>
      </c>
      <c r="D604" s="13" t="s">
        <v>90</v>
      </c>
      <c r="E604" s="13" t="s">
        <v>91</v>
      </c>
      <c r="F604" s="13" t="s">
        <v>587</v>
      </c>
      <c r="G604" s="13" t="s">
        <v>227</v>
      </c>
      <c r="H604" s="13">
        <v>13.9</v>
      </c>
      <c r="I604" s="13">
        <v>615</v>
      </c>
      <c r="K604" s="13" t="s">
        <v>825</v>
      </c>
      <c r="L604" s="13" t="s">
        <v>867</v>
      </c>
      <c r="N604" s="13" t="s">
        <v>139</v>
      </c>
      <c r="O604" s="13" t="s">
        <v>643</v>
      </c>
      <c r="P604" s="13" t="s">
        <v>422</v>
      </c>
      <c r="Q604" s="13" t="s">
        <v>422</v>
      </c>
      <c r="R604" s="4">
        <v>3</v>
      </c>
      <c r="S604" s="13" t="s">
        <v>594</v>
      </c>
      <c r="T604" s="13">
        <v>1460</v>
      </c>
      <c r="U604" s="4" t="s">
        <v>93</v>
      </c>
      <c r="V604" s="4">
        <v>450</v>
      </c>
      <c r="W604" s="4" t="s">
        <v>601</v>
      </c>
      <c r="X604" s="4">
        <v>450</v>
      </c>
      <c r="Y604" s="4">
        <v>3</v>
      </c>
      <c r="AA604" s="4" t="s">
        <v>50</v>
      </c>
      <c r="AB604" s="4">
        <v>200</v>
      </c>
      <c r="AC604" s="4" t="s">
        <v>49</v>
      </c>
      <c r="AD604" s="4">
        <v>0</v>
      </c>
      <c r="AE604" s="4" t="s">
        <v>49</v>
      </c>
      <c r="AF604" s="4">
        <v>0</v>
      </c>
      <c r="AG604" s="4" t="s">
        <v>46</v>
      </c>
      <c r="AH604" s="4" t="s">
        <v>757</v>
      </c>
      <c r="AI604" s="4" t="s">
        <v>64</v>
      </c>
      <c r="AJ604" s="13">
        <v>0</v>
      </c>
      <c r="AK604" s="13">
        <v>20</v>
      </c>
      <c r="AM604" s="13" t="s">
        <v>515</v>
      </c>
      <c r="AP604" s="13" t="s">
        <v>49</v>
      </c>
      <c r="AQ604" s="13" t="s">
        <v>49</v>
      </c>
      <c r="AR604" s="13" t="s">
        <v>49</v>
      </c>
      <c r="AS604" s="13" t="s">
        <v>49</v>
      </c>
      <c r="AT604" s="13" t="s">
        <v>992</v>
      </c>
      <c r="AU604" s="4" t="s">
        <v>1000</v>
      </c>
      <c r="AV604" s="14">
        <f>41.58/100</f>
        <v>0.4158</v>
      </c>
      <c r="AW604" s="14">
        <f>39.12/100</f>
        <v>0.39119999999999999</v>
      </c>
      <c r="AX604" s="14">
        <f>Table1347456[[#This Row],[treatment_mean]]/Table1347456[[#This Row],[control_mean]]</f>
        <v>1.0628834355828221</v>
      </c>
      <c r="AY604" s="14">
        <f>LN(Table1347456[[#This Row],[rr]])</f>
        <v>6.0985437263250251E-2</v>
      </c>
      <c r="AZ604" s="13">
        <v>3</v>
      </c>
      <c r="BA604" s="13">
        <v>3</v>
      </c>
      <c r="BB604" s="14">
        <f>2.36/100</f>
        <v>2.3599999999999999E-2</v>
      </c>
      <c r="BC604" s="14">
        <f>1.87/100</f>
        <v>1.8700000000000001E-2</v>
      </c>
      <c r="BD604" s="15">
        <f>Table1347456[[#This Row],[treatment_se]]*SQRT(Table1347456[[#This Row],[treatment_n]])</f>
        <v>4.0876399058625501E-2</v>
      </c>
      <c r="BE604" s="14">
        <f>Table1347456[[#This Row],[control_se]]*SQRT(Table1347456[[#This Row],[control_n]])</f>
        <v>3.2389350101538004E-2</v>
      </c>
      <c r="BF60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5.5064734104452572E-3</v>
      </c>
      <c r="BG604" s="17">
        <f>SQRT(Table1347456[[#This Row],[v_from_sd_and_n]])</f>
        <v>7.4205615760838867E-2</v>
      </c>
      <c r="BH604" s="13" t="s">
        <v>50</v>
      </c>
      <c r="BI604" s="13">
        <v>2.5000000000000001E-2</v>
      </c>
      <c r="BJ604" s="18">
        <f>ABS(_xlfn.NORM.S.INV(Table1347456[[#This Row],[p_value]]/2))</f>
        <v>2.2414027276049446</v>
      </c>
      <c r="BK604" s="19">
        <f>(Table1347456[[#This Row],[lnrr]]/Table1347456[[#This Row],[z_from_p]])^2</f>
        <v>7.4030808412434276E-4</v>
      </c>
      <c r="BL604" s="16">
        <f>Table1347456[[#This Row],[v_from_sd_and_n]]</f>
        <v>5.5064734104452572E-3</v>
      </c>
      <c r="BM604" s="20">
        <f>SQRT(Table1347456[[#This Row],[v]])</f>
        <v>7.4205615760838867E-2</v>
      </c>
      <c r="BN604" s="20">
        <f>Table1347456[[#This Row],[lnrr]]-(1.96*Table1347456[[#This Row],[se]])</f>
        <v>-8.4457569627993917E-2</v>
      </c>
      <c r="BO604" s="20">
        <f>Table1347456[[#This Row],[lnrr]]+(1.96 * Table1347456[[#This Row],[se]])</f>
        <v>0.20642844415449443</v>
      </c>
    </row>
    <row r="605" spans="1:67">
      <c r="A605" s="13" t="s">
        <v>225</v>
      </c>
      <c r="B605" s="13" t="s">
        <v>226</v>
      </c>
      <c r="C605" s="13" t="s">
        <v>43</v>
      </c>
      <c r="D605" s="13" t="s">
        <v>90</v>
      </c>
      <c r="E605" s="13" t="s">
        <v>91</v>
      </c>
      <c r="F605" s="13" t="s">
        <v>587</v>
      </c>
      <c r="G605" s="13" t="s">
        <v>227</v>
      </c>
      <c r="H605" s="13">
        <v>13.9</v>
      </c>
      <c r="I605" s="13">
        <v>615</v>
      </c>
      <c r="K605" s="13" t="s">
        <v>825</v>
      </c>
      <c r="L605" s="13" t="s">
        <v>867</v>
      </c>
      <c r="N605" s="13" t="s">
        <v>139</v>
      </c>
      <c r="O605" s="13" t="s">
        <v>643</v>
      </c>
      <c r="P605" s="13" t="s">
        <v>422</v>
      </c>
      <c r="Q605" s="13" t="s">
        <v>422</v>
      </c>
      <c r="R605" s="4">
        <v>3</v>
      </c>
      <c r="S605" s="13" t="s">
        <v>594</v>
      </c>
      <c r="T605" s="13">
        <v>1460</v>
      </c>
      <c r="U605" s="4" t="s">
        <v>93</v>
      </c>
      <c r="V605" s="4">
        <v>450</v>
      </c>
      <c r="W605" s="4" t="s">
        <v>601</v>
      </c>
      <c r="X605" s="4">
        <v>450</v>
      </c>
      <c r="Y605" s="4">
        <v>6</v>
      </c>
      <c r="AA605" s="4" t="s">
        <v>50</v>
      </c>
      <c r="AB605" s="4">
        <v>200</v>
      </c>
      <c r="AC605" s="4" t="s">
        <v>49</v>
      </c>
      <c r="AD605" s="4">
        <v>0</v>
      </c>
      <c r="AE605" s="4" t="s">
        <v>49</v>
      </c>
      <c r="AF605" s="4">
        <v>0</v>
      </c>
      <c r="AG605" s="4" t="s">
        <v>46</v>
      </c>
      <c r="AH605" s="4" t="s">
        <v>757</v>
      </c>
      <c r="AI605" s="4" t="s">
        <v>64</v>
      </c>
      <c r="AJ605" s="13">
        <v>0</v>
      </c>
      <c r="AK605" s="13">
        <v>20</v>
      </c>
      <c r="AM605" s="13" t="s">
        <v>515</v>
      </c>
      <c r="AP605" s="13" t="s">
        <v>49</v>
      </c>
      <c r="AQ605" s="13" t="s">
        <v>49</v>
      </c>
      <c r="AR605" s="13" t="s">
        <v>49</v>
      </c>
      <c r="AS605" s="13" t="s">
        <v>49</v>
      </c>
      <c r="AT605" s="13" t="s">
        <v>992</v>
      </c>
      <c r="AU605" s="4" t="s">
        <v>1000</v>
      </c>
      <c r="AV605" s="14">
        <f>44.64/100</f>
        <v>0.44640000000000002</v>
      </c>
      <c r="AW605" s="14">
        <f>39.12/100</f>
        <v>0.39119999999999999</v>
      </c>
      <c r="AX605" s="14">
        <f>Table1347456[[#This Row],[treatment_mean]]/Table1347456[[#This Row],[control_mean]]</f>
        <v>1.1411042944785277</v>
      </c>
      <c r="AY605" s="14">
        <f>LN(Table1347456[[#This Row],[rr]])</f>
        <v>0.13199647290643898</v>
      </c>
      <c r="AZ605" s="13">
        <v>3</v>
      </c>
      <c r="BA605" s="13">
        <v>3</v>
      </c>
      <c r="BB605" s="14">
        <f>3.15/100</f>
        <v>3.15E-2</v>
      </c>
      <c r="BC605" s="14">
        <f>1.87/100</f>
        <v>1.8700000000000001E-2</v>
      </c>
      <c r="BD605" s="15">
        <f>Table1347456[[#This Row],[treatment_se]]*SQRT(Table1347456[[#This Row],[treatment_n]])</f>
        <v>5.4559600438419634E-2</v>
      </c>
      <c r="BE605" s="14">
        <f>Table1347456[[#This Row],[control_se]]*SQRT(Table1347456[[#This Row],[control_n]])</f>
        <v>3.2389350101538004E-2</v>
      </c>
      <c r="BF60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7.2643473400189184E-3</v>
      </c>
      <c r="BG605" s="17">
        <f>SQRT(Table1347456[[#This Row],[v_from_sd_and_n]])</f>
        <v>8.5231140670642899E-2</v>
      </c>
      <c r="BH605" s="13" t="s">
        <v>50</v>
      </c>
      <c r="BI605" s="13">
        <v>2.5000000000000001E-2</v>
      </c>
      <c r="BJ605" s="18">
        <f>ABS(_xlfn.NORM.S.INV(Table1347456[[#This Row],[p_value]]/2))</f>
        <v>2.2414027276049446</v>
      </c>
      <c r="BK605" s="19">
        <f>(Table1347456[[#This Row],[lnrr]]/Table1347456[[#This Row],[z_from_p]])^2</f>
        <v>3.4680460922329099E-3</v>
      </c>
      <c r="BL605" s="16">
        <f>Table1347456[[#This Row],[v_from_sd_and_n]]</f>
        <v>7.2643473400189184E-3</v>
      </c>
      <c r="BM605" s="20">
        <f>SQRT(Table1347456[[#This Row],[v]])</f>
        <v>8.5231140670642899E-2</v>
      </c>
      <c r="BN605" s="20">
        <f>Table1347456[[#This Row],[lnrr]]-(1.96*Table1347456[[#This Row],[se]])</f>
        <v>-3.5056562808021108E-2</v>
      </c>
      <c r="BO605" s="20">
        <f>Table1347456[[#This Row],[lnrr]]+(1.96 * Table1347456[[#This Row],[se]])</f>
        <v>0.29904950862089907</v>
      </c>
    </row>
    <row r="606" spans="1:67">
      <c r="A606" s="13" t="s">
        <v>225</v>
      </c>
      <c r="B606" s="13" t="s">
        <v>226</v>
      </c>
      <c r="C606" s="13" t="s">
        <v>43</v>
      </c>
      <c r="D606" s="13" t="s">
        <v>90</v>
      </c>
      <c r="E606" s="13" t="s">
        <v>91</v>
      </c>
      <c r="F606" s="13" t="s">
        <v>587</v>
      </c>
      <c r="G606" s="13" t="s">
        <v>227</v>
      </c>
      <c r="H606" s="13">
        <v>13.9</v>
      </c>
      <c r="I606" s="13">
        <v>615</v>
      </c>
      <c r="K606" s="13" t="s">
        <v>825</v>
      </c>
      <c r="L606" s="13" t="s">
        <v>867</v>
      </c>
      <c r="N606" s="13" t="s">
        <v>139</v>
      </c>
      <c r="O606" s="13" t="s">
        <v>643</v>
      </c>
      <c r="P606" s="13" t="s">
        <v>422</v>
      </c>
      <c r="Q606" s="13" t="s">
        <v>422</v>
      </c>
      <c r="R606" s="4">
        <v>3</v>
      </c>
      <c r="S606" s="13" t="s">
        <v>594</v>
      </c>
      <c r="T606" s="13">
        <v>1460</v>
      </c>
      <c r="U606" s="4" t="s">
        <v>93</v>
      </c>
      <c r="V606" s="4">
        <v>450</v>
      </c>
      <c r="W606" s="4" t="s">
        <v>601</v>
      </c>
      <c r="X606" s="4">
        <v>450</v>
      </c>
      <c r="Y606" s="4">
        <v>6</v>
      </c>
      <c r="AA606" s="4" t="s">
        <v>50</v>
      </c>
      <c r="AB606" s="4">
        <v>200</v>
      </c>
      <c r="AC606" s="4" t="s">
        <v>49</v>
      </c>
      <c r="AD606" s="4">
        <v>0</v>
      </c>
      <c r="AE606" s="4" t="s">
        <v>49</v>
      </c>
      <c r="AF606" s="4">
        <v>0</v>
      </c>
      <c r="AG606" s="4" t="s">
        <v>46</v>
      </c>
      <c r="AH606" s="4" t="s">
        <v>757</v>
      </c>
      <c r="AI606" s="4" t="s">
        <v>64</v>
      </c>
      <c r="AJ606" s="13">
        <v>0</v>
      </c>
      <c r="AK606" s="13">
        <v>20</v>
      </c>
      <c r="AM606" s="13" t="s">
        <v>515</v>
      </c>
      <c r="AP606" s="13" t="s">
        <v>49</v>
      </c>
      <c r="AQ606" s="13" t="s">
        <v>49</v>
      </c>
      <c r="AR606" s="13" t="s">
        <v>49</v>
      </c>
      <c r="AS606" s="13" t="s">
        <v>49</v>
      </c>
      <c r="AT606" s="13" t="s">
        <v>992</v>
      </c>
      <c r="AU606" s="4" t="s">
        <v>1000</v>
      </c>
      <c r="AV606" s="14">
        <f>44.31/100</f>
        <v>0.44310000000000005</v>
      </c>
      <c r="AW606" s="14">
        <f>39.12/100</f>
        <v>0.39119999999999999</v>
      </c>
      <c r="AX606" s="14">
        <f>Table1347456[[#This Row],[treatment_mean]]/Table1347456[[#This Row],[control_mean]]</f>
        <v>1.1326687116564418</v>
      </c>
      <c r="AY606" s="14">
        <f>LN(Table1347456[[#This Row],[rr]])</f>
        <v>0.12457654004478159</v>
      </c>
      <c r="AZ606" s="13">
        <v>3</v>
      </c>
      <c r="BA606" s="13">
        <v>3</v>
      </c>
      <c r="BB606" s="14">
        <f>2.33/100</f>
        <v>2.3300000000000001E-2</v>
      </c>
      <c r="BC606" s="14">
        <f>1.87/100</f>
        <v>1.8700000000000001E-2</v>
      </c>
      <c r="BD606" s="15">
        <f>Table1347456[[#This Row],[treatment_se]]*SQRT(Table1347456[[#This Row],[treatment_n]])</f>
        <v>4.0356783816354838E-2</v>
      </c>
      <c r="BE606" s="14">
        <f>Table1347456[[#This Row],[control_se]]*SQRT(Table1347456[[#This Row],[control_n]])</f>
        <v>3.2389350101538004E-2</v>
      </c>
      <c r="BF60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5.050080484939685E-3</v>
      </c>
      <c r="BG606" s="17">
        <f>SQRT(Table1347456[[#This Row],[v_from_sd_and_n]])</f>
        <v>7.1063918305562662E-2</v>
      </c>
      <c r="BH606" s="13" t="s">
        <v>50</v>
      </c>
      <c r="BI606" s="13">
        <v>2.5000000000000001E-2</v>
      </c>
      <c r="BJ606" s="18">
        <f>ABS(_xlfn.NORM.S.INV(Table1347456[[#This Row],[p_value]]/2))</f>
        <v>2.2414027276049446</v>
      </c>
      <c r="BK606" s="19">
        <f>(Table1347456[[#This Row],[lnrr]]/Table1347456[[#This Row],[z_from_p]])^2</f>
        <v>3.0891054755011623E-3</v>
      </c>
      <c r="BL606" s="16">
        <f>Table1347456[[#This Row],[v_from_sd_and_n]]</f>
        <v>5.050080484939685E-3</v>
      </c>
      <c r="BM606" s="20">
        <f>SQRT(Table1347456[[#This Row],[v]])</f>
        <v>7.1063918305562662E-2</v>
      </c>
      <c r="BN606" s="20">
        <f>Table1347456[[#This Row],[lnrr]]-(1.96*Table1347456[[#This Row],[se]])</f>
        <v>-1.4708739834121229E-2</v>
      </c>
      <c r="BO606" s="20">
        <f>Table1347456[[#This Row],[lnrr]]+(1.96 * Table1347456[[#This Row],[se]])</f>
        <v>0.2638618199236844</v>
      </c>
    </row>
    <row r="607" spans="1:67">
      <c r="A607" s="13" t="s">
        <v>225</v>
      </c>
      <c r="B607" s="13" t="s">
        <v>226</v>
      </c>
      <c r="C607" s="13" t="s">
        <v>43</v>
      </c>
      <c r="D607" s="13" t="s">
        <v>90</v>
      </c>
      <c r="E607" s="13" t="s">
        <v>91</v>
      </c>
      <c r="F607" s="13" t="s">
        <v>587</v>
      </c>
      <c r="G607" s="13" t="s">
        <v>227</v>
      </c>
      <c r="H607" s="13">
        <v>13.9</v>
      </c>
      <c r="I607" s="13">
        <v>615</v>
      </c>
      <c r="K607" s="13" t="s">
        <v>825</v>
      </c>
      <c r="L607" s="13" t="s">
        <v>867</v>
      </c>
      <c r="N607" s="13" t="s">
        <v>81</v>
      </c>
      <c r="O607" s="13" t="s">
        <v>82</v>
      </c>
      <c r="P607" s="13" t="s">
        <v>71</v>
      </c>
      <c r="Q607" s="13" t="s">
        <v>83</v>
      </c>
      <c r="R607" s="4">
        <v>3</v>
      </c>
      <c r="S607" s="13" t="s">
        <v>594</v>
      </c>
      <c r="T607" s="13">
        <v>1460</v>
      </c>
      <c r="U607" s="4" t="s">
        <v>93</v>
      </c>
      <c r="V607" s="4">
        <v>450</v>
      </c>
      <c r="W607" s="4" t="s">
        <v>601</v>
      </c>
      <c r="X607" s="4">
        <v>450</v>
      </c>
      <c r="Y607" s="4">
        <v>3</v>
      </c>
      <c r="AA607" s="4" t="s">
        <v>50</v>
      </c>
      <c r="AB607" s="4">
        <v>200</v>
      </c>
      <c r="AC607" s="4" t="s">
        <v>49</v>
      </c>
      <c r="AD607" s="4">
        <v>0</v>
      </c>
      <c r="AE607" s="4" t="s">
        <v>49</v>
      </c>
      <c r="AF607" s="4">
        <v>0</v>
      </c>
      <c r="AG607" s="4" t="s">
        <v>46</v>
      </c>
      <c r="AH607" s="4" t="s">
        <v>757</v>
      </c>
      <c r="AI607" s="4" t="s">
        <v>64</v>
      </c>
      <c r="AJ607" s="13">
        <v>0</v>
      </c>
      <c r="AK607" s="13">
        <v>20</v>
      </c>
      <c r="AM607" s="13" t="s">
        <v>515</v>
      </c>
      <c r="AP607" s="13" t="s">
        <v>49</v>
      </c>
      <c r="AQ607" s="13" t="s">
        <v>49</v>
      </c>
      <c r="AR607" s="13" t="s">
        <v>49</v>
      </c>
      <c r="AS607" s="13" t="s">
        <v>49</v>
      </c>
      <c r="AT607" s="13" t="s">
        <v>992</v>
      </c>
      <c r="AU607" s="4" t="s">
        <v>1000</v>
      </c>
      <c r="AV607" s="14">
        <f>17433/1000</f>
        <v>17.433</v>
      </c>
      <c r="AW607" s="14">
        <f>18069/1000</f>
        <v>18.068999999999999</v>
      </c>
      <c r="AX607" s="14">
        <f>Table1347456[[#This Row],[treatment_mean]]/Table1347456[[#This Row],[control_mean]]</f>
        <v>0.96480159389008802</v>
      </c>
      <c r="AY607" s="14">
        <f>LN(Table1347456[[#This Row],[rr]])</f>
        <v>-3.5832800968615484E-2</v>
      </c>
      <c r="AZ607" s="13">
        <v>3</v>
      </c>
      <c r="BA607" s="13">
        <v>3</v>
      </c>
      <c r="BB607" s="14">
        <f>324/1000</f>
        <v>0.32400000000000001</v>
      </c>
      <c r="BC607" s="14">
        <f>265/1000</f>
        <v>0.26500000000000001</v>
      </c>
      <c r="BD607" s="15">
        <f>Table1347456[[#This Row],[treatment_se]]*SQRT(Table1347456[[#This Row],[treatment_n]])</f>
        <v>0.56118446165231628</v>
      </c>
      <c r="BE607" s="14">
        <f>Table1347456[[#This Row],[control_se]]*SQRT(Table1347456[[#This Row],[control_n]])</f>
        <v>0.45899346400575247</v>
      </c>
      <c r="BF60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5.6051026286350577E-4</v>
      </c>
      <c r="BG607" s="17">
        <f>SQRT(Table1347456[[#This Row],[v_from_sd_and_n]])</f>
        <v>2.3675097948340273E-2</v>
      </c>
      <c r="BH607" s="13" t="s">
        <v>50</v>
      </c>
      <c r="BI607" s="13">
        <v>2.5000000000000001E-2</v>
      </c>
      <c r="BJ607" s="18">
        <f>ABS(_xlfn.NORM.S.INV(Table1347456[[#This Row],[p_value]]/2))</f>
        <v>2.2414027276049446</v>
      </c>
      <c r="BK607" s="19">
        <f>(Table1347456[[#This Row],[lnrr]]/Table1347456[[#This Row],[z_from_p]])^2</f>
        <v>2.5557697316042592E-4</v>
      </c>
      <c r="BL607" s="16">
        <f>Table1347456[[#This Row],[v_from_sd_and_n]]</f>
        <v>5.6051026286350577E-4</v>
      </c>
      <c r="BM607" s="20">
        <f>SQRT(Table1347456[[#This Row],[v]])</f>
        <v>2.3675097948340273E-2</v>
      </c>
      <c r="BN607" s="20">
        <f>Table1347456[[#This Row],[lnrr]]-(1.96*Table1347456[[#This Row],[se]])</f>
        <v>-8.2235992947362418E-2</v>
      </c>
      <c r="BO607" s="20">
        <f>Table1347456[[#This Row],[lnrr]]+(1.96 * Table1347456[[#This Row],[se]])</f>
        <v>1.057039101013145E-2</v>
      </c>
    </row>
    <row r="608" spans="1:67">
      <c r="A608" s="13" t="s">
        <v>225</v>
      </c>
      <c r="B608" s="13" t="s">
        <v>226</v>
      </c>
      <c r="C608" s="13" t="s">
        <v>43</v>
      </c>
      <c r="D608" s="13" t="s">
        <v>90</v>
      </c>
      <c r="E608" s="13" t="s">
        <v>91</v>
      </c>
      <c r="F608" s="13" t="s">
        <v>587</v>
      </c>
      <c r="G608" s="13" t="s">
        <v>227</v>
      </c>
      <c r="H608" s="13">
        <v>13.9</v>
      </c>
      <c r="I608" s="13">
        <v>615</v>
      </c>
      <c r="K608" s="13" t="s">
        <v>825</v>
      </c>
      <c r="L608" s="13" t="s">
        <v>867</v>
      </c>
      <c r="N608" s="13" t="s">
        <v>81</v>
      </c>
      <c r="O608" s="13" t="s">
        <v>82</v>
      </c>
      <c r="P608" s="13" t="s">
        <v>71</v>
      </c>
      <c r="Q608" s="13" t="s">
        <v>83</v>
      </c>
      <c r="R608" s="4">
        <v>3</v>
      </c>
      <c r="S608" s="13" t="s">
        <v>594</v>
      </c>
      <c r="T608" s="13">
        <v>1460</v>
      </c>
      <c r="U608" s="4" t="s">
        <v>93</v>
      </c>
      <c r="V608" s="4">
        <v>450</v>
      </c>
      <c r="W608" s="4" t="s">
        <v>601</v>
      </c>
      <c r="X608" s="4">
        <v>450</v>
      </c>
      <c r="Y608" s="4">
        <v>6</v>
      </c>
      <c r="AA608" s="4" t="s">
        <v>50</v>
      </c>
      <c r="AB608" s="4">
        <v>200</v>
      </c>
      <c r="AC608" s="4" t="s">
        <v>49</v>
      </c>
      <c r="AD608" s="4">
        <v>0</v>
      </c>
      <c r="AE608" s="4" t="s">
        <v>49</v>
      </c>
      <c r="AF608" s="4">
        <v>0</v>
      </c>
      <c r="AG608" s="4" t="s">
        <v>46</v>
      </c>
      <c r="AH608" s="4" t="s">
        <v>757</v>
      </c>
      <c r="AI608" s="4" t="s">
        <v>64</v>
      </c>
      <c r="AJ608" s="13">
        <v>0</v>
      </c>
      <c r="AK608" s="13">
        <v>20</v>
      </c>
      <c r="AM608" s="13" t="s">
        <v>515</v>
      </c>
      <c r="AP608" s="13" t="s">
        <v>49</v>
      </c>
      <c r="AQ608" s="13" t="s">
        <v>49</v>
      </c>
      <c r="AR608" s="13" t="s">
        <v>49</v>
      </c>
      <c r="AS608" s="13" t="s">
        <v>49</v>
      </c>
      <c r="AT608" s="13" t="s">
        <v>992</v>
      </c>
      <c r="AU608" s="4" t="s">
        <v>1000</v>
      </c>
      <c r="AV608" s="14">
        <f>18132/1000</f>
        <v>18.132000000000001</v>
      </c>
      <c r="AW608" s="14">
        <f>18069/1000</f>
        <v>18.068999999999999</v>
      </c>
      <c r="AX608" s="14">
        <f>Table1347456[[#This Row],[treatment_mean]]/Table1347456[[#This Row],[control_mean]]</f>
        <v>1.0034866345674913</v>
      </c>
      <c r="AY608" s="14">
        <f>LN(Table1347456[[#This Row],[rr]])</f>
        <v>3.4805703489091504E-3</v>
      </c>
      <c r="AZ608" s="13">
        <v>3</v>
      </c>
      <c r="BA608" s="13">
        <v>3</v>
      </c>
      <c r="BB608" s="14">
        <f>92/1000</f>
        <v>9.1999999999999998E-2</v>
      </c>
      <c r="BC608" s="14">
        <f>265/1000</f>
        <v>0.26500000000000001</v>
      </c>
      <c r="BD608" s="15">
        <f>Table1347456[[#This Row],[treatment_se]]*SQRT(Table1347456[[#This Row],[treatment_n]])</f>
        <v>0.1593486742963367</v>
      </c>
      <c r="BE608" s="14">
        <f>Table1347456[[#This Row],[control_se]]*SQRT(Table1347456[[#This Row],[control_n]])</f>
        <v>0.45899346400575247</v>
      </c>
      <c r="BF60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2.4083611718006448E-4</v>
      </c>
      <c r="BG608" s="17">
        <f>SQRT(Table1347456[[#This Row],[v_from_sd_and_n]])</f>
        <v>1.5518895488405883E-2</v>
      </c>
      <c r="BH608" s="13" t="s">
        <v>50</v>
      </c>
      <c r="BI608" s="13">
        <v>2.5000000000000001E-2</v>
      </c>
      <c r="BJ608" s="18">
        <f>ABS(_xlfn.NORM.S.INV(Table1347456[[#This Row],[p_value]]/2))</f>
        <v>2.2414027276049446</v>
      </c>
      <c r="BK608" s="19">
        <f>(Table1347456[[#This Row],[lnrr]]/Table1347456[[#This Row],[z_from_p]])^2</f>
        <v>2.4113543782687333E-6</v>
      </c>
      <c r="BL608" s="16">
        <f>Table1347456[[#This Row],[v_from_sd_and_n]]</f>
        <v>2.4083611718006448E-4</v>
      </c>
      <c r="BM608" s="20">
        <f>SQRT(Table1347456[[#This Row],[v]])</f>
        <v>1.5518895488405883E-2</v>
      </c>
      <c r="BN608" s="20">
        <f>Table1347456[[#This Row],[lnrr]]-(1.96*Table1347456[[#This Row],[se]])</f>
        <v>-2.6936464808366381E-2</v>
      </c>
      <c r="BO608" s="20">
        <f>Table1347456[[#This Row],[lnrr]]+(1.96 * Table1347456[[#This Row],[se]])</f>
        <v>3.3897605506184682E-2</v>
      </c>
    </row>
    <row r="609" spans="1:67">
      <c r="A609" s="13" t="s">
        <v>225</v>
      </c>
      <c r="B609" s="13" t="s">
        <v>226</v>
      </c>
      <c r="C609" s="13" t="s">
        <v>43</v>
      </c>
      <c r="D609" s="13" t="s">
        <v>90</v>
      </c>
      <c r="E609" s="13" t="s">
        <v>91</v>
      </c>
      <c r="F609" s="13" t="s">
        <v>587</v>
      </c>
      <c r="G609" s="13" t="s">
        <v>227</v>
      </c>
      <c r="H609" s="13">
        <v>13.9</v>
      </c>
      <c r="I609" s="13">
        <v>615</v>
      </c>
      <c r="K609" s="13" t="s">
        <v>825</v>
      </c>
      <c r="L609" s="13" t="s">
        <v>867</v>
      </c>
      <c r="N609" s="13" t="s">
        <v>81</v>
      </c>
      <c r="O609" s="13" t="s">
        <v>82</v>
      </c>
      <c r="P609" s="13" t="s">
        <v>71</v>
      </c>
      <c r="Q609" s="13" t="s">
        <v>83</v>
      </c>
      <c r="R609" s="4">
        <v>3</v>
      </c>
      <c r="S609" s="13" t="s">
        <v>594</v>
      </c>
      <c r="T609" s="13">
        <v>1460</v>
      </c>
      <c r="U609" s="4" t="s">
        <v>93</v>
      </c>
      <c r="V609" s="4">
        <v>450</v>
      </c>
      <c r="W609" s="4" t="s">
        <v>601</v>
      </c>
      <c r="X609" s="4">
        <v>450</v>
      </c>
      <c r="Y609" s="4">
        <v>6</v>
      </c>
      <c r="AA609" s="4" t="s">
        <v>50</v>
      </c>
      <c r="AB609" s="4">
        <v>200</v>
      </c>
      <c r="AC609" s="4" t="s">
        <v>49</v>
      </c>
      <c r="AD609" s="4">
        <v>0</v>
      </c>
      <c r="AE609" s="4" t="s">
        <v>49</v>
      </c>
      <c r="AF609" s="4">
        <v>0</v>
      </c>
      <c r="AG609" s="4" t="s">
        <v>46</v>
      </c>
      <c r="AH609" s="4" t="s">
        <v>757</v>
      </c>
      <c r="AI609" s="4" t="s">
        <v>64</v>
      </c>
      <c r="AJ609" s="13">
        <v>0</v>
      </c>
      <c r="AK609" s="13">
        <v>20</v>
      </c>
      <c r="AM609" s="13" t="s">
        <v>515</v>
      </c>
      <c r="AP609" s="13" t="s">
        <v>49</v>
      </c>
      <c r="AQ609" s="13" t="s">
        <v>49</v>
      </c>
      <c r="AR609" s="13" t="s">
        <v>49</v>
      </c>
      <c r="AS609" s="13" t="s">
        <v>49</v>
      </c>
      <c r="AT609" s="13" t="s">
        <v>992</v>
      </c>
      <c r="AU609" s="4" t="s">
        <v>1000</v>
      </c>
      <c r="AV609" s="14">
        <f>17463/1000</f>
        <v>17.463000000000001</v>
      </c>
      <c r="AW609" s="14">
        <f>18069/1000</f>
        <v>18.068999999999999</v>
      </c>
      <c r="AX609" s="14">
        <f>Table1347456[[#This Row],[treatment_mean]]/Table1347456[[#This Row],[control_mean]]</f>
        <v>0.96646189606508393</v>
      </c>
      <c r="AY609" s="14">
        <f>LN(Table1347456[[#This Row],[rr]])</f>
        <v>-3.4113405771985482E-2</v>
      </c>
      <c r="AZ609" s="13">
        <v>3</v>
      </c>
      <c r="BA609" s="13">
        <v>3</v>
      </c>
      <c r="BB609" s="14">
        <f>304/1000</f>
        <v>0.30399999999999999</v>
      </c>
      <c r="BC609" s="14">
        <f>265/1000</f>
        <v>0.26500000000000001</v>
      </c>
      <c r="BD609" s="15">
        <f>Table1347456[[#This Row],[treatment_se]]*SQRT(Table1347456[[#This Row],[treatment_n]])</f>
        <v>0.52654344550093868</v>
      </c>
      <c r="BE609" s="14">
        <f>Table1347456[[#This Row],[control_se]]*SQRT(Table1347456[[#This Row],[control_n]])</f>
        <v>0.45899346400575247</v>
      </c>
      <c r="BF60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5.1813826092749339E-4</v>
      </c>
      <c r="BG609" s="17">
        <f>SQRT(Table1347456[[#This Row],[v_from_sd_and_n]])</f>
        <v>2.2762650569024104E-2</v>
      </c>
      <c r="BH609" s="13" t="s">
        <v>50</v>
      </c>
      <c r="BI609" s="13">
        <v>2.5000000000000001E-2</v>
      </c>
      <c r="BJ609" s="18">
        <f>ABS(_xlfn.NORM.S.INV(Table1347456[[#This Row],[p_value]]/2))</f>
        <v>2.2414027276049446</v>
      </c>
      <c r="BK609" s="19">
        <f>(Table1347456[[#This Row],[lnrr]]/Table1347456[[#This Row],[z_from_p]])^2</f>
        <v>2.316382995105444E-4</v>
      </c>
      <c r="BL609" s="16">
        <f>Table1347456[[#This Row],[v_from_sd_and_n]]</f>
        <v>5.1813826092749339E-4</v>
      </c>
      <c r="BM609" s="20">
        <f>SQRT(Table1347456[[#This Row],[v]])</f>
        <v>2.2762650569024104E-2</v>
      </c>
      <c r="BN609" s="20">
        <f>Table1347456[[#This Row],[lnrr]]-(1.96*Table1347456[[#This Row],[se]])</f>
        <v>-7.8728200887272726E-2</v>
      </c>
      <c r="BO609" s="20">
        <f>Table1347456[[#This Row],[lnrr]]+(1.96 * Table1347456[[#This Row],[se]])</f>
        <v>1.0501389343301762E-2</v>
      </c>
    </row>
    <row r="610" spans="1:67">
      <c r="A610" s="13" t="s">
        <v>225</v>
      </c>
      <c r="B610" s="13" t="s">
        <v>226</v>
      </c>
      <c r="C610" s="13" t="s">
        <v>43</v>
      </c>
      <c r="D610" s="13" t="s">
        <v>90</v>
      </c>
      <c r="E610" s="13" t="s">
        <v>91</v>
      </c>
      <c r="F610" s="13" t="s">
        <v>587</v>
      </c>
      <c r="G610" s="13" t="s">
        <v>227</v>
      </c>
      <c r="H610" s="13">
        <v>13.9</v>
      </c>
      <c r="I610" s="13">
        <v>615</v>
      </c>
      <c r="K610" s="13" t="s">
        <v>825</v>
      </c>
      <c r="L610" s="13" t="s">
        <v>867</v>
      </c>
      <c r="N610" s="13" t="s">
        <v>47</v>
      </c>
      <c r="O610" s="13" t="s">
        <v>645</v>
      </c>
      <c r="P610" s="13" t="s">
        <v>48</v>
      </c>
      <c r="Q610" s="13" t="s">
        <v>48</v>
      </c>
      <c r="R610" s="4">
        <v>3</v>
      </c>
      <c r="S610" s="13" t="s">
        <v>594</v>
      </c>
      <c r="T610" s="13">
        <v>1460</v>
      </c>
      <c r="U610" s="4" t="s">
        <v>93</v>
      </c>
      <c r="V610" s="4">
        <v>450</v>
      </c>
      <c r="W610" s="4" t="s">
        <v>601</v>
      </c>
      <c r="X610" s="4">
        <v>450</v>
      </c>
      <c r="Y610" s="4">
        <v>3</v>
      </c>
      <c r="AA610" s="4" t="s">
        <v>50</v>
      </c>
      <c r="AB610" s="4">
        <v>200</v>
      </c>
      <c r="AC610" s="4" t="s">
        <v>49</v>
      </c>
      <c r="AD610" s="4">
        <v>0</v>
      </c>
      <c r="AE610" s="4" t="s">
        <v>49</v>
      </c>
      <c r="AF610" s="4">
        <v>0</v>
      </c>
      <c r="AG610" s="4" t="s">
        <v>46</v>
      </c>
      <c r="AH610" s="4" t="s">
        <v>757</v>
      </c>
      <c r="AI610" s="4" t="s">
        <v>64</v>
      </c>
      <c r="AJ610" s="13">
        <v>0</v>
      </c>
      <c r="AK610" s="13">
        <v>20</v>
      </c>
      <c r="AM610" s="13" t="s">
        <v>515</v>
      </c>
      <c r="AP610" s="13" t="s">
        <v>49</v>
      </c>
      <c r="AQ610" s="13" t="s">
        <v>49</v>
      </c>
      <c r="AR610" s="13" t="s">
        <v>49</v>
      </c>
      <c r="AS610" s="13" t="s">
        <v>49</v>
      </c>
      <c r="AT610" s="13" t="s">
        <v>992</v>
      </c>
      <c r="AU610" s="4" t="s">
        <v>1000</v>
      </c>
      <c r="AV610" s="14">
        <v>0.76</v>
      </c>
      <c r="AW610" s="14">
        <v>0.72</v>
      </c>
      <c r="AX610" s="14">
        <f>Table1347456[[#This Row],[treatment_mean]]/Table1347456[[#This Row],[control_mean]]</f>
        <v>1.0555555555555556</v>
      </c>
      <c r="AY610" s="14">
        <f>LN(Table1347456[[#This Row],[rr]])</f>
        <v>5.4067221270275793E-2</v>
      </c>
      <c r="AZ610" s="13">
        <v>3</v>
      </c>
      <c r="BA610" s="13">
        <v>3</v>
      </c>
      <c r="BB610" s="14">
        <v>0.01</v>
      </c>
      <c r="BC610" s="14">
        <v>0.03</v>
      </c>
      <c r="BD610" s="15">
        <f>Table1347456[[#This Row],[treatment_se]]*SQRT(Table1347456[[#This Row],[treatment_n]])</f>
        <v>1.7320508075688773E-2</v>
      </c>
      <c r="BE610" s="14">
        <f>Table1347456[[#This Row],[control_se]]*SQRT(Table1347456[[#This Row],[control_n]])</f>
        <v>5.1961524227066312E-2</v>
      </c>
      <c r="BF61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1.9092413050169281E-3</v>
      </c>
      <c r="BG610" s="17">
        <f>SQRT(Table1347456[[#This Row],[v_from_sd_and_n]])</f>
        <v>4.3694865888533496E-2</v>
      </c>
      <c r="BH610" s="13" t="s">
        <v>50</v>
      </c>
      <c r="BI610" s="13">
        <v>2.5000000000000001E-2</v>
      </c>
      <c r="BJ610" s="18">
        <f>ABS(_xlfn.NORM.S.INV(Table1347456[[#This Row],[p_value]]/2))</f>
        <v>2.2414027276049446</v>
      </c>
      <c r="BK610" s="19">
        <f>(Table1347456[[#This Row],[lnrr]]/Table1347456[[#This Row],[z_from_p]])^2</f>
        <v>5.8187313702887827E-4</v>
      </c>
      <c r="BL610" s="16">
        <f>Table1347456[[#This Row],[v_from_sd_and_n]]</f>
        <v>1.9092413050169281E-3</v>
      </c>
      <c r="BM610" s="20">
        <f>SQRT(Table1347456[[#This Row],[v]])</f>
        <v>4.3694865888533496E-2</v>
      </c>
      <c r="BN610" s="20">
        <f>Table1347456[[#This Row],[lnrr]]-(1.96*Table1347456[[#This Row],[se]])</f>
        <v>-3.157471587124986E-2</v>
      </c>
      <c r="BO610" s="20">
        <f>Table1347456[[#This Row],[lnrr]]+(1.96 * Table1347456[[#This Row],[se]])</f>
        <v>0.13970915841180145</v>
      </c>
    </row>
    <row r="611" spans="1:67">
      <c r="A611" s="13" t="s">
        <v>225</v>
      </c>
      <c r="B611" s="13" t="s">
        <v>226</v>
      </c>
      <c r="C611" s="13" t="s">
        <v>43</v>
      </c>
      <c r="D611" s="13" t="s">
        <v>90</v>
      </c>
      <c r="E611" s="13" t="s">
        <v>91</v>
      </c>
      <c r="F611" s="13" t="s">
        <v>587</v>
      </c>
      <c r="G611" s="13" t="s">
        <v>227</v>
      </c>
      <c r="H611" s="13">
        <v>13.9</v>
      </c>
      <c r="I611" s="13">
        <v>615</v>
      </c>
      <c r="K611" s="13" t="s">
        <v>825</v>
      </c>
      <c r="L611" s="13" t="s">
        <v>867</v>
      </c>
      <c r="N611" s="13" t="s">
        <v>47</v>
      </c>
      <c r="O611" s="13" t="s">
        <v>645</v>
      </c>
      <c r="P611" s="13" t="s">
        <v>48</v>
      </c>
      <c r="Q611" s="13" t="s">
        <v>48</v>
      </c>
      <c r="R611" s="4">
        <v>3</v>
      </c>
      <c r="S611" s="13" t="s">
        <v>594</v>
      </c>
      <c r="T611" s="13">
        <v>1460</v>
      </c>
      <c r="U611" s="4" t="s">
        <v>93</v>
      </c>
      <c r="V611" s="4">
        <v>450</v>
      </c>
      <c r="W611" s="4" t="s">
        <v>601</v>
      </c>
      <c r="X611" s="4">
        <v>450</v>
      </c>
      <c r="Y611" s="4">
        <v>6</v>
      </c>
      <c r="AA611" s="4" t="s">
        <v>50</v>
      </c>
      <c r="AB611" s="4">
        <v>200</v>
      </c>
      <c r="AC611" s="4" t="s">
        <v>49</v>
      </c>
      <c r="AD611" s="4">
        <v>0</v>
      </c>
      <c r="AE611" s="4" t="s">
        <v>49</v>
      </c>
      <c r="AF611" s="4">
        <v>0</v>
      </c>
      <c r="AG611" s="4" t="s">
        <v>46</v>
      </c>
      <c r="AH611" s="4" t="s">
        <v>757</v>
      </c>
      <c r="AI611" s="4" t="s">
        <v>64</v>
      </c>
      <c r="AJ611" s="13">
        <v>0</v>
      </c>
      <c r="AK611" s="13">
        <v>20</v>
      </c>
      <c r="AM611" s="13" t="s">
        <v>515</v>
      </c>
      <c r="AP611" s="13" t="s">
        <v>49</v>
      </c>
      <c r="AQ611" s="13" t="s">
        <v>49</v>
      </c>
      <c r="AR611" s="13" t="s">
        <v>49</v>
      </c>
      <c r="AS611" s="13" t="s">
        <v>49</v>
      </c>
      <c r="AT611" s="13" t="s">
        <v>992</v>
      </c>
      <c r="AU611" s="4" t="s">
        <v>1000</v>
      </c>
      <c r="AV611" s="14">
        <v>0.79</v>
      </c>
      <c r="AW611" s="14">
        <v>0.72</v>
      </c>
      <c r="AX611" s="14">
        <f>Table1347456[[#This Row],[treatment_mean]]/Table1347456[[#This Row],[control_mean]]</f>
        <v>1.0972222222222223</v>
      </c>
      <c r="AY611" s="14">
        <f>LN(Table1347456[[#This Row],[rr]])</f>
        <v>9.2781733450966269E-2</v>
      </c>
      <c r="AZ611" s="13">
        <v>3</v>
      </c>
      <c r="BA611" s="13">
        <v>3</v>
      </c>
      <c r="BB611" s="14">
        <v>0.09</v>
      </c>
      <c r="BC611" s="14">
        <v>0.03</v>
      </c>
      <c r="BD611" s="15">
        <f>Table1347456[[#This Row],[treatment_se]]*SQRT(Table1347456[[#This Row],[treatment_n]])</f>
        <v>0.15588457268119893</v>
      </c>
      <c r="BE611" s="14">
        <f>Table1347456[[#This Row],[control_se]]*SQRT(Table1347456[[#This Row],[control_n]])</f>
        <v>5.1961524227066312E-2</v>
      </c>
      <c r="BF61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1.4714800423721263E-2</v>
      </c>
      <c r="BG611" s="17">
        <f>SQRT(Table1347456[[#This Row],[v_from_sd_and_n]])</f>
        <v>0.12130457709303991</v>
      </c>
      <c r="BH611" s="13" t="s">
        <v>50</v>
      </c>
      <c r="BI611" s="13">
        <v>2.5000000000000001E-2</v>
      </c>
      <c r="BJ611" s="18">
        <f>ABS(_xlfn.NORM.S.INV(Table1347456[[#This Row],[p_value]]/2))</f>
        <v>2.2414027276049446</v>
      </c>
      <c r="BK611" s="19">
        <f>(Table1347456[[#This Row],[lnrr]]/Table1347456[[#This Row],[z_from_p]])^2</f>
        <v>1.7135041959951539E-3</v>
      </c>
      <c r="BL611" s="16">
        <f>Table1347456[[#This Row],[v_from_sd_and_n]]</f>
        <v>1.4714800423721263E-2</v>
      </c>
      <c r="BM611" s="20">
        <f>SQRT(Table1347456[[#This Row],[v]])</f>
        <v>0.12130457709303991</v>
      </c>
      <c r="BN611" s="20">
        <f>Table1347456[[#This Row],[lnrr]]-(1.96*Table1347456[[#This Row],[se]])</f>
        <v>-0.14497523765139195</v>
      </c>
      <c r="BO611" s="20">
        <f>Table1347456[[#This Row],[lnrr]]+(1.96 * Table1347456[[#This Row],[se]])</f>
        <v>0.33053870455332446</v>
      </c>
    </row>
    <row r="612" spans="1:67">
      <c r="A612" s="13" t="s">
        <v>225</v>
      </c>
      <c r="B612" s="13" t="s">
        <v>226</v>
      </c>
      <c r="C612" s="13" t="s">
        <v>43</v>
      </c>
      <c r="D612" s="13" t="s">
        <v>90</v>
      </c>
      <c r="E612" s="13" t="s">
        <v>91</v>
      </c>
      <c r="F612" s="13" t="s">
        <v>587</v>
      </c>
      <c r="G612" s="13" t="s">
        <v>227</v>
      </c>
      <c r="H612" s="13">
        <v>13.9</v>
      </c>
      <c r="I612" s="13">
        <v>615</v>
      </c>
      <c r="K612" s="13" t="s">
        <v>825</v>
      </c>
      <c r="L612" s="13" t="s">
        <v>867</v>
      </c>
      <c r="N612" s="13" t="s">
        <v>47</v>
      </c>
      <c r="O612" s="13" t="s">
        <v>645</v>
      </c>
      <c r="P612" s="13" t="s">
        <v>48</v>
      </c>
      <c r="Q612" s="13" t="s">
        <v>48</v>
      </c>
      <c r="R612" s="4">
        <v>3</v>
      </c>
      <c r="S612" s="13" t="s">
        <v>594</v>
      </c>
      <c r="T612" s="13">
        <v>1460</v>
      </c>
      <c r="U612" s="4" t="s">
        <v>93</v>
      </c>
      <c r="V612" s="4">
        <v>450</v>
      </c>
      <c r="W612" s="4" t="s">
        <v>601</v>
      </c>
      <c r="X612" s="4">
        <v>450</v>
      </c>
      <c r="Y612" s="4">
        <v>6</v>
      </c>
      <c r="AA612" s="4" t="s">
        <v>50</v>
      </c>
      <c r="AB612" s="4">
        <v>200</v>
      </c>
      <c r="AC612" s="4" t="s">
        <v>49</v>
      </c>
      <c r="AD612" s="4">
        <v>0</v>
      </c>
      <c r="AE612" s="4" t="s">
        <v>49</v>
      </c>
      <c r="AF612" s="4">
        <v>0</v>
      </c>
      <c r="AG612" s="4" t="s">
        <v>46</v>
      </c>
      <c r="AH612" s="4" t="s">
        <v>757</v>
      </c>
      <c r="AI612" s="4" t="s">
        <v>64</v>
      </c>
      <c r="AJ612" s="13">
        <v>0</v>
      </c>
      <c r="AK612" s="13">
        <v>20</v>
      </c>
      <c r="AM612" s="13" t="s">
        <v>515</v>
      </c>
      <c r="AP612" s="13" t="s">
        <v>49</v>
      </c>
      <c r="AQ612" s="13" t="s">
        <v>49</v>
      </c>
      <c r="AR612" s="13" t="s">
        <v>49</v>
      </c>
      <c r="AS612" s="13" t="s">
        <v>49</v>
      </c>
      <c r="AT612" s="13" t="s">
        <v>992</v>
      </c>
      <c r="AU612" s="4" t="s">
        <v>1000</v>
      </c>
      <c r="AV612" s="14">
        <v>0.85</v>
      </c>
      <c r="AW612" s="14">
        <v>0.72</v>
      </c>
      <c r="AX612" s="14">
        <f>Table1347456[[#This Row],[treatment_mean]]/Table1347456[[#This Row],[control_mean]]</f>
        <v>1.1805555555555556</v>
      </c>
      <c r="AY612" s="14">
        <f>LN(Table1347456[[#This Row],[rr]])</f>
        <v>0.16598513747426116</v>
      </c>
      <c r="AZ612" s="13">
        <v>3</v>
      </c>
      <c r="BA612" s="13">
        <v>3</v>
      </c>
      <c r="BB612" s="14">
        <v>0.04</v>
      </c>
      <c r="BC612" s="14">
        <v>0.03</v>
      </c>
      <c r="BD612" s="15">
        <f>Table1347456[[#This Row],[treatment_se]]*SQRT(Table1347456[[#This Row],[treatment_n]])</f>
        <v>6.9282032302755092E-2</v>
      </c>
      <c r="BE612" s="14">
        <f>Table1347456[[#This Row],[control_se]]*SQRT(Table1347456[[#This Row],[control_n]])</f>
        <v>5.1961524227066312E-2</v>
      </c>
      <c r="BF61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3.95064398308343E-3</v>
      </c>
      <c r="BG612" s="17">
        <f>SQRT(Table1347456[[#This Row],[v_from_sd_and_n]])</f>
        <v>6.2854148495413015E-2</v>
      </c>
      <c r="BH612" s="13" t="s">
        <v>50</v>
      </c>
      <c r="BI612" s="13">
        <v>2.5000000000000001E-2</v>
      </c>
      <c r="BJ612" s="18">
        <f>ABS(_xlfn.NORM.S.INV(Table1347456[[#This Row],[p_value]]/2))</f>
        <v>2.2414027276049446</v>
      </c>
      <c r="BK612" s="19">
        <f>(Table1347456[[#This Row],[lnrr]]/Table1347456[[#This Row],[z_from_p]])^2</f>
        <v>5.4840147318453844E-3</v>
      </c>
      <c r="BL612" s="16">
        <f>Table1347456[[#This Row],[v_from_sd_and_n]]</f>
        <v>3.95064398308343E-3</v>
      </c>
      <c r="BM612" s="20">
        <f>SQRT(Table1347456[[#This Row],[v]])</f>
        <v>6.2854148495413015E-2</v>
      </c>
      <c r="BN612" s="20">
        <f>Table1347456[[#This Row],[lnrr]]-(1.96*Table1347456[[#This Row],[se]])</f>
        <v>4.2791006423251662E-2</v>
      </c>
      <c r="BO612" s="20">
        <f>Table1347456[[#This Row],[lnrr]]+(1.96 * Table1347456[[#This Row],[se]])</f>
        <v>0.28917926852527065</v>
      </c>
    </row>
    <row r="613" spans="1:67">
      <c r="A613" s="13" t="s">
        <v>225</v>
      </c>
      <c r="B613" s="13" t="s">
        <v>226</v>
      </c>
      <c r="C613" s="13" t="s">
        <v>43</v>
      </c>
      <c r="D613" s="13" t="s">
        <v>90</v>
      </c>
      <c r="E613" s="13" t="s">
        <v>91</v>
      </c>
      <c r="F613" s="13" t="s">
        <v>587</v>
      </c>
      <c r="G613" s="13" t="s">
        <v>227</v>
      </c>
      <c r="H613" s="13">
        <v>13.9</v>
      </c>
      <c r="I613" s="13">
        <v>615</v>
      </c>
      <c r="K613" s="13" t="s">
        <v>825</v>
      </c>
      <c r="L613" s="13" t="s">
        <v>867</v>
      </c>
      <c r="N613" s="13" t="s">
        <v>617</v>
      </c>
      <c r="O613" s="13" t="s">
        <v>54</v>
      </c>
      <c r="P613" s="13" t="s">
        <v>85</v>
      </c>
      <c r="Q613" s="13" t="s">
        <v>48</v>
      </c>
      <c r="R613" s="4">
        <v>3</v>
      </c>
      <c r="S613" s="13" t="s">
        <v>594</v>
      </c>
      <c r="T613" s="13">
        <v>1460</v>
      </c>
      <c r="U613" s="4" t="s">
        <v>93</v>
      </c>
      <c r="V613" s="4">
        <v>450</v>
      </c>
      <c r="W613" s="4" t="s">
        <v>601</v>
      </c>
      <c r="X613" s="4">
        <v>450</v>
      </c>
      <c r="Y613" s="4">
        <v>3</v>
      </c>
      <c r="AA613" s="4" t="s">
        <v>50</v>
      </c>
      <c r="AB613" s="4">
        <v>200</v>
      </c>
      <c r="AC613" s="4" t="s">
        <v>49</v>
      </c>
      <c r="AD613" s="4">
        <v>0</v>
      </c>
      <c r="AE613" s="4" t="s">
        <v>49</v>
      </c>
      <c r="AF613" s="4">
        <v>0</v>
      </c>
      <c r="AG613" s="4" t="s">
        <v>46</v>
      </c>
      <c r="AH613" s="4" t="s">
        <v>757</v>
      </c>
      <c r="AI613" s="4" t="s">
        <v>64</v>
      </c>
      <c r="AJ613" s="13">
        <v>0</v>
      </c>
      <c r="AK613" s="13">
        <v>20</v>
      </c>
      <c r="AM613" s="13" t="s">
        <v>515</v>
      </c>
      <c r="AP613" s="13" t="s">
        <v>49</v>
      </c>
      <c r="AQ613" s="13" t="s">
        <v>49</v>
      </c>
      <c r="AR613" s="13" t="s">
        <v>49</v>
      </c>
      <c r="AS613" s="13" t="s">
        <v>49</v>
      </c>
      <c r="AT613" s="13" t="s">
        <v>992</v>
      </c>
      <c r="AU613" s="4" t="s">
        <v>1000</v>
      </c>
      <c r="AV613" s="14">
        <f>44.35/1000</f>
        <v>4.4350000000000001E-2</v>
      </c>
      <c r="AW613" s="14">
        <f>42.85/1000</f>
        <v>4.2849999999999999E-2</v>
      </c>
      <c r="AX613" s="14">
        <f>Table1347456[[#This Row],[treatment_mean]]/Table1347456[[#This Row],[control_mean]]</f>
        <v>1.0350058343057176</v>
      </c>
      <c r="AY613" s="14">
        <f>LN(Table1347456[[#This Row],[rr]])</f>
        <v>3.4407063711799656E-2</v>
      </c>
      <c r="AZ613" s="13">
        <v>3</v>
      </c>
      <c r="BA613" s="13">
        <v>3</v>
      </c>
      <c r="BB613" s="14" t="s">
        <v>46</v>
      </c>
      <c r="BC613" s="14" t="s">
        <v>46</v>
      </c>
      <c r="BD613" s="15" t="s">
        <v>46</v>
      </c>
      <c r="BE613" s="14" t="s">
        <v>46</v>
      </c>
      <c r="BF61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13" s="17" t="s">
        <v>46</v>
      </c>
      <c r="BH613" s="13" t="s">
        <v>50</v>
      </c>
      <c r="BI613" s="13">
        <v>2.5000000000000001E-2</v>
      </c>
      <c r="BJ613" s="18">
        <f>ABS(_xlfn.NORM.S.INV(Table1347456[[#This Row],[p_value]]/2))</f>
        <v>2.2414027276049446</v>
      </c>
      <c r="BK613" s="19">
        <f>(Table1347456[[#This Row],[lnrr]]/Table1347456[[#This Row],[z_from_p]])^2</f>
        <v>2.3564348178448094E-4</v>
      </c>
      <c r="BL613" s="16">
        <f>Table1347456[[#This Row],[v_from_z_from_p]]</f>
        <v>2.3564348178448094E-4</v>
      </c>
      <c r="BM613" s="20">
        <f>SQRT(Table1347456[[#This Row],[v]])</f>
        <v>1.535068343053432E-2</v>
      </c>
      <c r="BN613" s="20">
        <f>Table1347456[[#This Row],[lnrr]]-(1.96*Table1347456[[#This Row],[se]])</f>
        <v>4.3197241879523868E-3</v>
      </c>
      <c r="BO613" s="20">
        <f>Table1347456[[#This Row],[lnrr]]+(1.96 * Table1347456[[#This Row],[se]])</f>
        <v>6.4494403235646924E-2</v>
      </c>
    </row>
    <row r="614" spans="1:67">
      <c r="A614" s="13" t="s">
        <v>225</v>
      </c>
      <c r="B614" s="13" t="s">
        <v>226</v>
      </c>
      <c r="C614" s="13" t="s">
        <v>43</v>
      </c>
      <c r="D614" s="13" t="s">
        <v>90</v>
      </c>
      <c r="E614" s="13" t="s">
        <v>91</v>
      </c>
      <c r="F614" s="13" t="s">
        <v>587</v>
      </c>
      <c r="G614" s="13" t="s">
        <v>227</v>
      </c>
      <c r="H614" s="13">
        <v>13.9</v>
      </c>
      <c r="I614" s="13">
        <v>615</v>
      </c>
      <c r="K614" s="13" t="s">
        <v>825</v>
      </c>
      <c r="L614" s="13" t="s">
        <v>867</v>
      </c>
      <c r="N614" s="13" t="s">
        <v>617</v>
      </c>
      <c r="O614" s="13" t="s">
        <v>54</v>
      </c>
      <c r="P614" s="13" t="s">
        <v>85</v>
      </c>
      <c r="Q614" s="13" t="s">
        <v>48</v>
      </c>
      <c r="R614" s="4">
        <v>3</v>
      </c>
      <c r="S614" s="13" t="s">
        <v>594</v>
      </c>
      <c r="T614" s="13">
        <v>1460</v>
      </c>
      <c r="U614" s="4" t="s">
        <v>93</v>
      </c>
      <c r="V614" s="4">
        <v>450</v>
      </c>
      <c r="W614" s="4" t="s">
        <v>601</v>
      </c>
      <c r="X614" s="4">
        <v>450</v>
      </c>
      <c r="Y614" s="4">
        <v>6</v>
      </c>
      <c r="AA614" s="4" t="s">
        <v>50</v>
      </c>
      <c r="AB614" s="4">
        <v>200</v>
      </c>
      <c r="AC614" s="4" t="s">
        <v>49</v>
      </c>
      <c r="AD614" s="4">
        <v>0</v>
      </c>
      <c r="AE614" s="4" t="s">
        <v>49</v>
      </c>
      <c r="AF614" s="4">
        <v>0</v>
      </c>
      <c r="AG614" s="4" t="s">
        <v>46</v>
      </c>
      <c r="AH614" s="4" t="s">
        <v>757</v>
      </c>
      <c r="AI614" s="4" t="s">
        <v>64</v>
      </c>
      <c r="AJ614" s="13">
        <v>0</v>
      </c>
      <c r="AK614" s="13">
        <v>20</v>
      </c>
      <c r="AM614" s="13" t="s">
        <v>515</v>
      </c>
      <c r="AP614" s="13" t="s">
        <v>49</v>
      </c>
      <c r="AQ614" s="13" t="s">
        <v>49</v>
      </c>
      <c r="AR614" s="13" t="s">
        <v>49</v>
      </c>
      <c r="AS614" s="13" t="s">
        <v>49</v>
      </c>
      <c r="AT614" s="13" t="s">
        <v>992</v>
      </c>
      <c r="AU614" s="4" t="s">
        <v>1000</v>
      </c>
      <c r="AV614" s="14">
        <f>43.9/1000</f>
        <v>4.3900000000000002E-2</v>
      </c>
      <c r="AW614" s="14">
        <f>42.85/1000</f>
        <v>4.2849999999999999E-2</v>
      </c>
      <c r="AX614" s="14">
        <f>Table1347456[[#This Row],[treatment_mean]]/Table1347456[[#This Row],[control_mean]]</f>
        <v>1.0245040840140023</v>
      </c>
      <c r="AY614" s="14">
        <f>LN(Table1347456[[#This Row],[rr]])</f>
        <v>2.420867503733682E-2</v>
      </c>
      <c r="AZ614" s="13">
        <v>3</v>
      </c>
      <c r="BA614" s="13">
        <v>3</v>
      </c>
      <c r="BB614" s="14" t="s">
        <v>46</v>
      </c>
      <c r="BC614" s="14" t="s">
        <v>46</v>
      </c>
      <c r="BD614" s="15" t="s">
        <v>46</v>
      </c>
      <c r="BE614" s="14" t="s">
        <v>46</v>
      </c>
      <c r="BF61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14" s="17" t="s">
        <v>46</v>
      </c>
      <c r="BH614" s="13" t="s">
        <v>50</v>
      </c>
      <c r="BI614" s="13">
        <v>2.5000000000000001E-2</v>
      </c>
      <c r="BJ614" s="18">
        <f>ABS(_xlfn.NORM.S.INV(Table1347456[[#This Row],[p_value]]/2))</f>
        <v>2.2414027276049446</v>
      </c>
      <c r="BK614" s="19">
        <f>(Table1347456[[#This Row],[lnrr]]/Table1347456[[#This Row],[z_from_p]])^2</f>
        <v>1.1665470219909703E-4</v>
      </c>
      <c r="BL614" s="16">
        <f>Table1347456[[#This Row],[v_from_z_from_p]]</f>
        <v>1.1665470219909703E-4</v>
      </c>
      <c r="BM614" s="20">
        <f>SQRT(Table1347456[[#This Row],[v]])</f>
        <v>1.0800680635918138E-2</v>
      </c>
      <c r="BN614" s="20">
        <f>Table1347456[[#This Row],[lnrr]]-(1.96*Table1347456[[#This Row],[se]])</f>
        <v>3.0393409909372712E-3</v>
      </c>
      <c r="BO614" s="20">
        <f>Table1347456[[#This Row],[lnrr]]+(1.96 * Table1347456[[#This Row],[se]])</f>
        <v>4.5378009083736369E-2</v>
      </c>
    </row>
    <row r="615" spans="1:67">
      <c r="A615" s="13" t="s">
        <v>225</v>
      </c>
      <c r="B615" s="13" t="s">
        <v>226</v>
      </c>
      <c r="C615" s="13" t="s">
        <v>43</v>
      </c>
      <c r="D615" s="13" t="s">
        <v>90</v>
      </c>
      <c r="E615" s="13" t="s">
        <v>91</v>
      </c>
      <c r="F615" s="13" t="s">
        <v>587</v>
      </c>
      <c r="G615" s="13" t="s">
        <v>227</v>
      </c>
      <c r="H615" s="13">
        <v>13.9</v>
      </c>
      <c r="I615" s="13">
        <v>615</v>
      </c>
      <c r="K615" s="13" t="s">
        <v>825</v>
      </c>
      <c r="L615" s="13" t="s">
        <v>867</v>
      </c>
      <c r="N615" s="13" t="s">
        <v>617</v>
      </c>
      <c r="O615" s="13" t="s">
        <v>54</v>
      </c>
      <c r="P615" s="13" t="s">
        <v>85</v>
      </c>
      <c r="Q615" s="13" t="s">
        <v>48</v>
      </c>
      <c r="R615" s="4">
        <v>3</v>
      </c>
      <c r="S615" s="13" t="s">
        <v>594</v>
      </c>
      <c r="T615" s="13">
        <v>1460</v>
      </c>
      <c r="U615" s="4" t="s">
        <v>93</v>
      </c>
      <c r="V615" s="4">
        <v>450</v>
      </c>
      <c r="W615" s="4" t="s">
        <v>601</v>
      </c>
      <c r="X615" s="4">
        <v>450</v>
      </c>
      <c r="Y615" s="4">
        <v>6</v>
      </c>
      <c r="AA615" s="4" t="s">
        <v>50</v>
      </c>
      <c r="AB615" s="4">
        <v>200</v>
      </c>
      <c r="AC615" s="4" t="s">
        <v>49</v>
      </c>
      <c r="AD615" s="4">
        <v>0</v>
      </c>
      <c r="AE615" s="4" t="s">
        <v>49</v>
      </c>
      <c r="AF615" s="4">
        <v>0</v>
      </c>
      <c r="AG615" s="4" t="s">
        <v>46</v>
      </c>
      <c r="AH615" s="4" t="s">
        <v>757</v>
      </c>
      <c r="AI615" s="4" t="s">
        <v>64</v>
      </c>
      <c r="AJ615" s="13">
        <v>0</v>
      </c>
      <c r="AK615" s="13">
        <v>20</v>
      </c>
      <c r="AM615" s="13" t="s">
        <v>515</v>
      </c>
      <c r="AP615" s="13" t="s">
        <v>49</v>
      </c>
      <c r="AQ615" s="13" t="s">
        <v>49</v>
      </c>
      <c r="AR615" s="13" t="s">
        <v>49</v>
      </c>
      <c r="AS615" s="13" t="s">
        <v>49</v>
      </c>
      <c r="AT615" s="13" t="s">
        <v>992</v>
      </c>
      <c r="AU615" s="4" t="s">
        <v>1000</v>
      </c>
      <c r="AV615" s="14">
        <f>42.4/1000</f>
        <v>4.24E-2</v>
      </c>
      <c r="AW615" s="14">
        <f>42.85/1000</f>
        <v>4.2849999999999999E-2</v>
      </c>
      <c r="AX615" s="14">
        <f>Table1347456[[#This Row],[treatment_mean]]/Table1347456[[#This Row],[control_mean]]</f>
        <v>0.98949824970828471</v>
      </c>
      <c r="AY615" s="14">
        <f>LN(Table1347456[[#This Row],[rr]])</f>
        <v>-1.0557282805876726E-2</v>
      </c>
      <c r="AZ615" s="13">
        <v>3</v>
      </c>
      <c r="BA615" s="13">
        <v>3</v>
      </c>
      <c r="BB615" s="14" t="s">
        <v>46</v>
      </c>
      <c r="BC615" s="14" t="s">
        <v>46</v>
      </c>
      <c r="BD615" s="15" t="s">
        <v>46</v>
      </c>
      <c r="BE615" s="14" t="s">
        <v>46</v>
      </c>
      <c r="BF61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15" s="17" t="s">
        <v>46</v>
      </c>
      <c r="BH615" s="13" t="s">
        <v>50</v>
      </c>
      <c r="BI615" s="13">
        <v>2.5000000000000001E-2</v>
      </c>
      <c r="BJ615" s="18">
        <f>ABS(_xlfn.NORM.S.INV(Table1347456[[#This Row],[p_value]]/2))</f>
        <v>2.2414027276049446</v>
      </c>
      <c r="BK615" s="19">
        <f>(Table1347456[[#This Row],[lnrr]]/Table1347456[[#This Row],[z_from_p]])^2</f>
        <v>2.2185259794436213E-5</v>
      </c>
      <c r="BL615" s="16">
        <f>Table1347456[[#This Row],[v_from_z_from_p]]</f>
        <v>2.2185259794436213E-5</v>
      </c>
      <c r="BM615" s="20">
        <f>SQRT(Table1347456[[#This Row],[v]])</f>
        <v>4.7101231188193173E-3</v>
      </c>
      <c r="BN615" s="20">
        <f>Table1347456[[#This Row],[lnrr]]-(1.96*Table1347456[[#This Row],[se]])</f>
        <v>-1.9789124118762588E-2</v>
      </c>
      <c r="BO615" s="20">
        <f>Table1347456[[#This Row],[lnrr]]+(1.96 * Table1347456[[#This Row],[se]])</f>
        <v>-1.3254414929908635E-3</v>
      </c>
    </row>
    <row r="616" spans="1:67">
      <c r="A616" s="13" t="s">
        <v>225</v>
      </c>
      <c r="B616" s="13" t="s">
        <v>226</v>
      </c>
      <c r="C616" s="13" t="s">
        <v>43</v>
      </c>
      <c r="D616" s="13" t="s">
        <v>90</v>
      </c>
      <c r="E616" s="13" t="s">
        <v>91</v>
      </c>
      <c r="F616" s="13" t="s">
        <v>587</v>
      </c>
      <c r="G616" s="13" t="s">
        <v>227</v>
      </c>
      <c r="H616" s="13">
        <v>13.9</v>
      </c>
      <c r="I616" s="13">
        <v>615</v>
      </c>
      <c r="K616" s="13" t="s">
        <v>825</v>
      </c>
      <c r="L616" s="13" t="s">
        <v>867</v>
      </c>
      <c r="N616" s="13" t="s">
        <v>53</v>
      </c>
      <c r="O616" s="13" t="s">
        <v>54</v>
      </c>
      <c r="P616" s="13" t="s">
        <v>85</v>
      </c>
      <c r="Q616" s="13" t="s">
        <v>48</v>
      </c>
      <c r="R616" s="4">
        <v>3</v>
      </c>
      <c r="S616" s="13" t="s">
        <v>594</v>
      </c>
      <c r="T616" s="13">
        <v>1460</v>
      </c>
      <c r="U616" s="4" t="s">
        <v>93</v>
      </c>
      <c r="V616" s="4">
        <v>450</v>
      </c>
      <c r="W616" s="4" t="s">
        <v>601</v>
      </c>
      <c r="X616" s="4">
        <v>450</v>
      </c>
      <c r="Y616" s="4">
        <v>3</v>
      </c>
      <c r="AA616" s="4" t="s">
        <v>50</v>
      </c>
      <c r="AB616" s="4">
        <v>200</v>
      </c>
      <c r="AC616" s="4" t="s">
        <v>49</v>
      </c>
      <c r="AD616" s="4">
        <v>0</v>
      </c>
      <c r="AE616" s="4" t="s">
        <v>49</v>
      </c>
      <c r="AF616" s="4">
        <v>0</v>
      </c>
      <c r="AG616" s="4" t="s">
        <v>46</v>
      </c>
      <c r="AH616" s="4" t="s">
        <v>757</v>
      </c>
      <c r="AI616" s="4" t="s">
        <v>64</v>
      </c>
      <c r="AJ616" s="13">
        <v>0</v>
      </c>
      <c r="AK616" s="13">
        <v>20</v>
      </c>
      <c r="AM616" s="13" t="s">
        <v>515</v>
      </c>
      <c r="AP616" s="13" t="s">
        <v>49</v>
      </c>
      <c r="AQ616" s="13" t="s">
        <v>49</v>
      </c>
      <c r="AR616" s="13" t="s">
        <v>49</v>
      </c>
      <c r="AS616" s="13" t="s">
        <v>49</v>
      </c>
      <c r="AT616" s="13" t="s">
        <v>992</v>
      </c>
      <c r="AU616" s="4" t="s">
        <v>1000</v>
      </c>
      <c r="AV616" s="14">
        <f>95.05/1000</f>
        <v>9.5049999999999996E-2</v>
      </c>
      <c r="AW616" s="14">
        <f>78.35/1000</f>
        <v>7.8349999999999989E-2</v>
      </c>
      <c r="AX616" s="14">
        <f>Table1347456[[#This Row],[treatment_mean]]/Table1347456[[#This Row],[control_mean]]</f>
        <v>1.2131461391193363</v>
      </c>
      <c r="AY616" s="14">
        <f>LN(Table1347456[[#This Row],[rr]])</f>
        <v>0.19321710013240834</v>
      </c>
      <c r="AZ616" s="13">
        <v>3</v>
      </c>
      <c r="BA616" s="13">
        <v>3</v>
      </c>
      <c r="BB616" s="14" t="s">
        <v>46</v>
      </c>
      <c r="BC616" s="14" t="s">
        <v>46</v>
      </c>
      <c r="BD616" s="15" t="s">
        <v>46</v>
      </c>
      <c r="BE616" s="14" t="s">
        <v>46</v>
      </c>
      <c r="BF61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16" s="17" t="s">
        <v>46</v>
      </c>
      <c r="BH616" s="13" t="s">
        <v>50</v>
      </c>
      <c r="BI616" s="13">
        <v>2.5000000000000001E-2</v>
      </c>
      <c r="BJ616" s="18">
        <f>ABS(_xlfn.NORM.S.INV(Table1347456[[#This Row],[p_value]]/2))</f>
        <v>2.2414027276049446</v>
      </c>
      <c r="BK616" s="19">
        <f>(Table1347456[[#This Row],[lnrr]]/Table1347456[[#This Row],[z_from_p]])^2</f>
        <v>7.4310695727624332E-3</v>
      </c>
      <c r="BL616" s="16">
        <f>Table1347456[[#This Row],[v_from_z_from_p]]</f>
        <v>7.4310695727624332E-3</v>
      </c>
      <c r="BM616" s="20">
        <f>SQRT(Table1347456[[#This Row],[v]])</f>
        <v>8.6203651736817002E-2</v>
      </c>
      <c r="BN616" s="20">
        <f>Table1347456[[#This Row],[lnrr]]-(1.96*Table1347456[[#This Row],[se]])</f>
        <v>2.4257942728247023E-2</v>
      </c>
      <c r="BO616" s="20">
        <f>Table1347456[[#This Row],[lnrr]]+(1.96 * Table1347456[[#This Row],[se]])</f>
        <v>0.36217625753656968</v>
      </c>
    </row>
    <row r="617" spans="1:67">
      <c r="A617" s="13" t="s">
        <v>225</v>
      </c>
      <c r="B617" s="13" t="s">
        <v>226</v>
      </c>
      <c r="C617" s="13" t="s">
        <v>43</v>
      </c>
      <c r="D617" s="13" t="s">
        <v>90</v>
      </c>
      <c r="E617" s="13" t="s">
        <v>91</v>
      </c>
      <c r="F617" s="13" t="s">
        <v>587</v>
      </c>
      <c r="G617" s="13" t="s">
        <v>227</v>
      </c>
      <c r="H617" s="13">
        <v>13.9</v>
      </c>
      <c r="I617" s="13">
        <v>615</v>
      </c>
      <c r="K617" s="13" t="s">
        <v>825</v>
      </c>
      <c r="L617" s="13" t="s">
        <v>867</v>
      </c>
      <c r="N617" s="13" t="s">
        <v>53</v>
      </c>
      <c r="O617" s="13" t="s">
        <v>54</v>
      </c>
      <c r="P617" s="13" t="s">
        <v>85</v>
      </c>
      <c r="Q617" s="13" t="s">
        <v>48</v>
      </c>
      <c r="R617" s="4">
        <v>3</v>
      </c>
      <c r="S617" s="13" t="s">
        <v>594</v>
      </c>
      <c r="T617" s="13">
        <v>1460</v>
      </c>
      <c r="U617" s="4" t="s">
        <v>93</v>
      </c>
      <c r="V617" s="4">
        <v>450</v>
      </c>
      <c r="W617" s="4" t="s">
        <v>601</v>
      </c>
      <c r="X617" s="4">
        <v>450</v>
      </c>
      <c r="Y617" s="4">
        <v>6</v>
      </c>
      <c r="AA617" s="4" t="s">
        <v>50</v>
      </c>
      <c r="AB617" s="4">
        <v>200</v>
      </c>
      <c r="AC617" s="4" t="s">
        <v>49</v>
      </c>
      <c r="AD617" s="4">
        <v>0</v>
      </c>
      <c r="AE617" s="4" t="s">
        <v>49</v>
      </c>
      <c r="AF617" s="4">
        <v>0</v>
      </c>
      <c r="AG617" s="4" t="s">
        <v>46</v>
      </c>
      <c r="AH617" s="4" t="s">
        <v>757</v>
      </c>
      <c r="AI617" s="4" t="s">
        <v>64</v>
      </c>
      <c r="AJ617" s="13">
        <v>0</v>
      </c>
      <c r="AK617" s="13">
        <v>20</v>
      </c>
      <c r="AM617" s="13" t="s">
        <v>515</v>
      </c>
      <c r="AP617" s="13" t="s">
        <v>49</v>
      </c>
      <c r="AQ617" s="13" t="s">
        <v>49</v>
      </c>
      <c r="AR617" s="13" t="s">
        <v>49</v>
      </c>
      <c r="AS617" s="13" t="s">
        <v>49</v>
      </c>
      <c r="AT617" s="13" t="s">
        <v>992</v>
      </c>
      <c r="AU617" s="4" t="s">
        <v>1000</v>
      </c>
      <c r="AV617" s="14">
        <f>98.4/1000</f>
        <v>9.8400000000000001E-2</v>
      </c>
      <c r="AW617" s="14">
        <f>78.35/1000</f>
        <v>7.8349999999999989E-2</v>
      </c>
      <c r="AX617" s="14">
        <f>Table1347456[[#This Row],[treatment_mean]]/Table1347456[[#This Row],[control_mean]]</f>
        <v>1.255902999361838</v>
      </c>
      <c r="AY617" s="14">
        <f>LN(Table1347456[[#This Row],[rr]])</f>
        <v>0.227854835256178</v>
      </c>
      <c r="AZ617" s="13">
        <v>3</v>
      </c>
      <c r="BA617" s="13">
        <v>3</v>
      </c>
      <c r="BB617" s="14" t="s">
        <v>46</v>
      </c>
      <c r="BC617" s="14" t="s">
        <v>46</v>
      </c>
      <c r="BD617" s="15" t="s">
        <v>46</v>
      </c>
      <c r="BE617" s="14" t="s">
        <v>46</v>
      </c>
      <c r="BF61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17" s="17" t="s">
        <v>46</v>
      </c>
      <c r="BH617" s="13" t="s">
        <v>50</v>
      </c>
      <c r="BI617" s="13">
        <v>2.5000000000000001E-2</v>
      </c>
      <c r="BJ617" s="18">
        <f>ABS(_xlfn.NORM.S.INV(Table1347456[[#This Row],[p_value]]/2))</f>
        <v>2.2414027276049446</v>
      </c>
      <c r="BK617" s="19">
        <f>(Table1347456[[#This Row],[lnrr]]/Table1347456[[#This Row],[z_from_p]])^2</f>
        <v>1.0334196280303977E-2</v>
      </c>
      <c r="BL617" s="16">
        <f>Table1347456[[#This Row],[v_from_z_from_p]]</f>
        <v>1.0334196280303977E-2</v>
      </c>
      <c r="BM617" s="20">
        <f>SQRT(Table1347456[[#This Row],[v]])</f>
        <v>0.10165724902978625</v>
      </c>
      <c r="BN617" s="20">
        <f>Table1347456[[#This Row],[lnrr]]-(1.96*Table1347456[[#This Row],[se]])</f>
        <v>2.8606627157796966E-2</v>
      </c>
      <c r="BO617" s="20">
        <f>Table1347456[[#This Row],[lnrr]]+(1.96 * Table1347456[[#This Row],[se]])</f>
        <v>0.42710304335455906</v>
      </c>
    </row>
    <row r="618" spans="1:67">
      <c r="A618" s="13" t="s">
        <v>225</v>
      </c>
      <c r="B618" s="13" t="s">
        <v>226</v>
      </c>
      <c r="C618" s="13" t="s">
        <v>43</v>
      </c>
      <c r="D618" s="13" t="s">
        <v>90</v>
      </c>
      <c r="E618" s="13" t="s">
        <v>91</v>
      </c>
      <c r="F618" s="13" t="s">
        <v>587</v>
      </c>
      <c r="G618" s="13" t="s">
        <v>227</v>
      </c>
      <c r="H618" s="13">
        <v>13.9</v>
      </c>
      <c r="I618" s="13">
        <v>615</v>
      </c>
      <c r="K618" s="13" t="s">
        <v>825</v>
      </c>
      <c r="L618" s="13" t="s">
        <v>867</v>
      </c>
      <c r="N618" s="13" t="s">
        <v>53</v>
      </c>
      <c r="O618" s="13" t="s">
        <v>54</v>
      </c>
      <c r="P618" s="13" t="s">
        <v>85</v>
      </c>
      <c r="Q618" s="13" t="s">
        <v>48</v>
      </c>
      <c r="R618" s="4">
        <v>3</v>
      </c>
      <c r="S618" s="13" t="s">
        <v>594</v>
      </c>
      <c r="T618" s="13">
        <v>1460</v>
      </c>
      <c r="U618" s="4" t="s">
        <v>93</v>
      </c>
      <c r="V618" s="4">
        <v>450</v>
      </c>
      <c r="W618" s="4" t="s">
        <v>601</v>
      </c>
      <c r="X618" s="4">
        <v>450</v>
      </c>
      <c r="Y618" s="4">
        <v>6</v>
      </c>
      <c r="AA618" s="4" t="s">
        <v>50</v>
      </c>
      <c r="AB618" s="4">
        <v>200</v>
      </c>
      <c r="AC618" s="4" t="s">
        <v>49</v>
      </c>
      <c r="AD618" s="4">
        <v>0</v>
      </c>
      <c r="AE618" s="4" t="s">
        <v>49</v>
      </c>
      <c r="AF618" s="4">
        <v>0</v>
      </c>
      <c r="AG618" s="4" t="s">
        <v>46</v>
      </c>
      <c r="AH618" s="4" t="s">
        <v>757</v>
      </c>
      <c r="AI618" s="4" t="s">
        <v>64</v>
      </c>
      <c r="AJ618" s="13">
        <v>0</v>
      </c>
      <c r="AK618" s="13">
        <v>20</v>
      </c>
      <c r="AM618" s="13" t="s">
        <v>515</v>
      </c>
      <c r="AP618" s="13" t="s">
        <v>49</v>
      </c>
      <c r="AQ618" s="13" t="s">
        <v>49</v>
      </c>
      <c r="AR618" s="13" t="s">
        <v>49</v>
      </c>
      <c r="AS618" s="13" t="s">
        <v>49</v>
      </c>
      <c r="AT618" s="13" t="s">
        <v>992</v>
      </c>
      <c r="AU618" s="4" t="s">
        <v>1000</v>
      </c>
      <c r="AV618" s="14">
        <f>89.85/1000</f>
        <v>8.9849999999999999E-2</v>
      </c>
      <c r="AW618" s="14">
        <f>78.35/1000</f>
        <v>7.8349999999999989E-2</v>
      </c>
      <c r="AX618" s="14">
        <f>Table1347456[[#This Row],[treatment_mean]]/Table1347456[[#This Row],[control_mean]]</f>
        <v>1.1467772814294832</v>
      </c>
      <c r="AY618" s="14">
        <f>LN(Table1347456[[#This Row],[rr]])</f>
        <v>0.13695564442753833</v>
      </c>
      <c r="AZ618" s="13">
        <v>3</v>
      </c>
      <c r="BA618" s="13">
        <v>3</v>
      </c>
      <c r="BB618" s="14" t="s">
        <v>46</v>
      </c>
      <c r="BC618" s="14" t="s">
        <v>46</v>
      </c>
      <c r="BD618" s="15" t="s">
        <v>46</v>
      </c>
      <c r="BE618" s="14" t="s">
        <v>46</v>
      </c>
      <c r="BF61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18" s="17" t="s">
        <v>46</v>
      </c>
      <c r="BH618" s="13" t="s">
        <v>50</v>
      </c>
      <c r="BI618" s="13">
        <v>2.5000000000000001E-2</v>
      </c>
      <c r="BJ618" s="18">
        <f>ABS(_xlfn.NORM.S.INV(Table1347456[[#This Row],[p_value]]/2))</f>
        <v>2.2414027276049446</v>
      </c>
      <c r="BK618" s="19">
        <f>(Table1347456[[#This Row],[lnrr]]/Table1347456[[#This Row],[z_from_p]])^2</f>
        <v>3.7335337309038993E-3</v>
      </c>
      <c r="BL618" s="16">
        <f>Table1347456[[#This Row],[v_from_z_from_p]]</f>
        <v>3.7335337309038993E-3</v>
      </c>
      <c r="BM618" s="20">
        <f>SQRT(Table1347456[[#This Row],[v]])</f>
        <v>6.1102649131636669E-2</v>
      </c>
      <c r="BN618" s="20">
        <f>Table1347456[[#This Row],[lnrr]]-(1.96*Table1347456[[#This Row],[se]])</f>
        <v>1.7194452129530455E-2</v>
      </c>
      <c r="BO618" s="20">
        <f>Table1347456[[#This Row],[lnrr]]+(1.96 * Table1347456[[#This Row],[se]])</f>
        <v>0.25671683672554618</v>
      </c>
    </row>
    <row r="619" spans="1:67">
      <c r="A619" s="13" t="s">
        <v>225</v>
      </c>
      <c r="B619" s="13" t="s">
        <v>226</v>
      </c>
      <c r="C619" s="13" t="s">
        <v>43</v>
      </c>
      <c r="D619" s="13" t="s">
        <v>90</v>
      </c>
      <c r="E619" s="13" t="s">
        <v>91</v>
      </c>
      <c r="F619" s="13" t="s">
        <v>587</v>
      </c>
      <c r="G619" s="13" t="s">
        <v>227</v>
      </c>
      <c r="H619" s="13">
        <v>13.9</v>
      </c>
      <c r="I619" s="13">
        <v>615</v>
      </c>
      <c r="K619" s="13" t="s">
        <v>825</v>
      </c>
      <c r="L619" s="13" t="s">
        <v>867</v>
      </c>
      <c r="N619" s="13" t="s">
        <v>69</v>
      </c>
      <c r="O619" s="13" t="s">
        <v>70</v>
      </c>
      <c r="P619" s="13" t="s">
        <v>71</v>
      </c>
      <c r="Q619" s="13" t="s">
        <v>71</v>
      </c>
      <c r="R619" s="4">
        <v>3</v>
      </c>
      <c r="S619" s="13" t="s">
        <v>594</v>
      </c>
      <c r="T619" s="13">
        <v>1460</v>
      </c>
      <c r="U619" s="4" t="s">
        <v>93</v>
      </c>
      <c r="V619" s="4">
        <v>450</v>
      </c>
      <c r="W619" s="4" t="s">
        <v>601</v>
      </c>
      <c r="X619" s="4">
        <v>450</v>
      </c>
      <c r="Y619" s="4">
        <v>3</v>
      </c>
      <c r="AA619" s="4" t="s">
        <v>50</v>
      </c>
      <c r="AB619" s="4">
        <v>200</v>
      </c>
      <c r="AC619" s="4" t="s">
        <v>49</v>
      </c>
      <c r="AD619" s="4">
        <v>0</v>
      </c>
      <c r="AE619" s="4" t="s">
        <v>49</v>
      </c>
      <c r="AF619" s="4">
        <v>0</v>
      </c>
      <c r="AG619" s="4" t="s">
        <v>46</v>
      </c>
      <c r="AH619" s="4" t="s">
        <v>757</v>
      </c>
      <c r="AI619" s="4" t="s">
        <v>64</v>
      </c>
      <c r="AJ619" s="13">
        <v>0</v>
      </c>
      <c r="AK619" s="13">
        <v>20</v>
      </c>
      <c r="AM619" s="13" t="s">
        <v>515</v>
      </c>
      <c r="AP619" s="13" t="s">
        <v>49</v>
      </c>
      <c r="AQ619" s="13" t="s">
        <v>49</v>
      </c>
      <c r="AR619" s="13" t="s">
        <v>49</v>
      </c>
      <c r="AS619" s="13" t="s">
        <v>49</v>
      </c>
      <c r="AT619" s="13" t="s">
        <v>992</v>
      </c>
      <c r="AU619" s="4" t="s">
        <v>1000</v>
      </c>
      <c r="AV619" s="14">
        <v>2.09</v>
      </c>
      <c r="AW619" s="14">
        <v>2.63</v>
      </c>
      <c r="AX619" s="14">
        <f>Table1347456[[#This Row],[treatment_mean]]/Table1347456[[#This Row],[control_mean]]</f>
        <v>0.79467680608365021</v>
      </c>
      <c r="AY619" s="14">
        <f>LN(Table1347456[[#This Row],[rr]])</f>
        <v>-0.22981978021295352</v>
      </c>
      <c r="AZ619" s="13">
        <v>3</v>
      </c>
      <c r="BA619" s="13">
        <v>3</v>
      </c>
      <c r="BB619" s="14" t="s">
        <v>46</v>
      </c>
      <c r="BC619" s="14" t="s">
        <v>46</v>
      </c>
      <c r="BD619" s="15" t="s">
        <v>46</v>
      </c>
      <c r="BE619" s="14" t="s">
        <v>46</v>
      </c>
      <c r="BF61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19" s="17" t="s">
        <v>46</v>
      </c>
      <c r="BH619" s="13" t="s">
        <v>50</v>
      </c>
      <c r="BI619" s="13">
        <v>2.5000000000000001E-2</v>
      </c>
      <c r="BJ619" s="18">
        <f>ABS(_xlfn.NORM.S.INV(Table1347456[[#This Row],[p_value]]/2))</f>
        <v>2.2414027276049446</v>
      </c>
      <c r="BK619" s="19">
        <f>(Table1347456[[#This Row],[lnrr]]/Table1347456[[#This Row],[z_from_p]])^2</f>
        <v>1.0513202211963207E-2</v>
      </c>
      <c r="BL619" s="16">
        <f>Table1347456[[#This Row],[v_from_z_from_p]]</f>
        <v>1.0513202211963207E-2</v>
      </c>
      <c r="BM619" s="20">
        <f>SQRT(Table1347456[[#This Row],[v]])</f>
        <v>0.10253390762066569</v>
      </c>
      <c r="BN619" s="20">
        <f>Table1347456[[#This Row],[lnrr]]-(1.96*Table1347456[[#This Row],[se]])</f>
        <v>-0.43078623914945824</v>
      </c>
      <c r="BO619" s="20">
        <f>Table1347456[[#This Row],[lnrr]]+(1.96 * Table1347456[[#This Row],[se]])</f>
        <v>-2.8853321276448768E-2</v>
      </c>
    </row>
    <row r="620" spans="1:67">
      <c r="A620" s="13" t="s">
        <v>225</v>
      </c>
      <c r="B620" s="13" t="s">
        <v>226</v>
      </c>
      <c r="C620" s="13" t="s">
        <v>43</v>
      </c>
      <c r="D620" s="13" t="s">
        <v>90</v>
      </c>
      <c r="E620" s="13" t="s">
        <v>91</v>
      </c>
      <c r="F620" s="13" t="s">
        <v>587</v>
      </c>
      <c r="G620" s="13" t="s">
        <v>227</v>
      </c>
      <c r="H620" s="13">
        <v>13.9</v>
      </c>
      <c r="I620" s="13">
        <v>615</v>
      </c>
      <c r="K620" s="13" t="s">
        <v>825</v>
      </c>
      <c r="L620" s="13" t="s">
        <v>867</v>
      </c>
      <c r="N620" s="13" t="s">
        <v>69</v>
      </c>
      <c r="O620" s="13" t="s">
        <v>70</v>
      </c>
      <c r="P620" s="13" t="s">
        <v>71</v>
      </c>
      <c r="Q620" s="13" t="s">
        <v>71</v>
      </c>
      <c r="R620" s="4">
        <v>3</v>
      </c>
      <c r="S620" s="13" t="s">
        <v>594</v>
      </c>
      <c r="T620" s="13">
        <v>1460</v>
      </c>
      <c r="U620" s="4" t="s">
        <v>93</v>
      </c>
      <c r="V620" s="4">
        <v>450</v>
      </c>
      <c r="W620" s="4" t="s">
        <v>601</v>
      </c>
      <c r="X620" s="4">
        <v>450</v>
      </c>
      <c r="Y620" s="4">
        <v>6</v>
      </c>
      <c r="AA620" s="4" t="s">
        <v>50</v>
      </c>
      <c r="AB620" s="4">
        <v>200</v>
      </c>
      <c r="AC620" s="4" t="s">
        <v>49</v>
      </c>
      <c r="AD620" s="4">
        <v>0</v>
      </c>
      <c r="AE620" s="4" t="s">
        <v>49</v>
      </c>
      <c r="AF620" s="4">
        <v>0</v>
      </c>
      <c r="AG620" s="4" t="s">
        <v>46</v>
      </c>
      <c r="AH620" s="4" t="s">
        <v>757</v>
      </c>
      <c r="AI620" s="4" t="s">
        <v>64</v>
      </c>
      <c r="AJ620" s="13">
        <v>0</v>
      </c>
      <c r="AK620" s="13">
        <v>20</v>
      </c>
      <c r="AM620" s="13" t="s">
        <v>515</v>
      </c>
      <c r="AP620" s="13" t="s">
        <v>49</v>
      </c>
      <c r="AQ620" s="13" t="s">
        <v>49</v>
      </c>
      <c r="AR620" s="13" t="s">
        <v>49</v>
      </c>
      <c r="AS620" s="13" t="s">
        <v>49</v>
      </c>
      <c r="AT620" s="13" t="s">
        <v>992</v>
      </c>
      <c r="AU620" s="4" t="s">
        <v>1000</v>
      </c>
      <c r="AV620" s="14">
        <v>2.25</v>
      </c>
      <c r="AW620" s="14">
        <v>2.63</v>
      </c>
      <c r="AX620" s="14">
        <f>Table1347456[[#This Row],[treatment_mean]]/Table1347456[[#This Row],[control_mean]]</f>
        <v>0.85551330798479086</v>
      </c>
      <c r="AY620" s="14">
        <f>LN(Table1347456[[#This Row],[rr]])</f>
        <v>-0.15605362997334443</v>
      </c>
      <c r="AZ620" s="13">
        <v>3</v>
      </c>
      <c r="BA620" s="13">
        <v>3</v>
      </c>
      <c r="BB620" s="14" t="s">
        <v>46</v>
      </c>
      <c r="BC620" s="14" t="s">
        <v>46</v>
      </c>
      <c r="BD620" s="15" t="s">
        <v>46</v>
      </c>
      <c r="BE620" s="14" t="s">
        <v>46</v>
      </c>
      <c r="BF62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20" s="17" t="s">
        <v>46</v>
      </c>
      <c r="BH620" s="13" t="s">
        <v>50</v>
      </c>
      <c r="BI620" s="13">
        <v>2.5000000000000001E-2</v>
      </c>
      <c r="BJ620" s="18">
        <f>ABS(_xlfn.NORM.S.INV(Table1347456[[#This Row],[p_value]]/2))</f>
        <v>2.2414027276049446</v>
      </c>
      <c r="BK620" s="19">
        <f>(Table1347456[[#This Row],[lnrr]]/Table1347456[[#This Row],[z_from_p]])^2</f>
        <v>4.8473899526918418E-3</v>
      </c>
      <c r="BL620" s="16">
        <f>Table1347456[[#This Row],[v_from_z_from_p]]</f>
        <v>4.8473899526918418E-3</v>
      </c>
      <c r="BM620" s="20">
        <f>SQRT(Table1347456[[#This Row],[v]])</f>
        <v>6.9623199816525538E-2</v>
      </c>
      <c r="BN620" s="20">
        <f>Table1347456[[#This Row],[lnrr]]-(1.96*Table1347456[[#This Row],[se]])</f>
        <v>-0.29251510161373451</v>
      </c>
      <c r="BO620" s="20">
        <f>Table1347456[[#This Row],[lnrr]]+(1.96 * Table1347456[[#This Row],[se]])</f>
        <v>-1.9592158332954385E-2</v>
      </c>
    </row>
    <row r="621" spans="1:67">
      <c r="A621" s="13" t="s">
        <v>225</v>
      </c>
      <c r="B621" s="13" t="s">
        <v>226</v>
      </c>
      <c r="C621" s="13" t="s">
        <v>43</v>
      </c>
      <c r="D621" s="13" t="s">
        <v>90</v>
      </c>
      <c r="E621" s="13" t="s">
        <v>91</v>
      </c>
      <c r="F621" s="13" t="s">
        <v>587</v>
      </c>
      <c r="G621" s="13" t="s">
        <v>227</v>
      </c>
      <c r="H621" s="13">
        <v>13.9</v>
      </c>
      <c r="I621" s="13">
        <v>615</v>
      </c>
      <c r="K621" s="13" t="s">
        <v>825</v>
      </c>
      <c r="L621" s="13" t="s">
        <v>867</v>
      </c>
      <c r="N621" s="13" t="s">
        <v>69</v>
      </c>
      <c r="O621" s="13" t="s">
        <v>70</v>
      </c>
      <c r="P621" s="13" t="s">
        <v>71</v>
      </c>
      <c r="Q621" s="13" t="s">
        <v>71</v>
      </c>
      <c r="R621" s="4">
        <v>3</v>
      </c>
      <c r="S621" s="13" t="s">
        <v>594</v>
      </c>
      <c r="T621" s="13">
        <v>1460</v>
      </c>
      <c r="U621" s="4" t="s">
        <v>93</v>
      </c>
      <c r="V621" s="4">
        <v>450</v>
      </c>
      <c r="W621" s="4" t="s">
        <v>601</v>
      </c>
      <c r="X621" s="4">
        <v>450</v>
      </c>
      <c r="Y621" s="4">
        <v>6</v>
      </c>
      <c r="AA621" s="4" t="s">
        <v>50</v>
      </c>
      <c r="AB621" s="4">
        <v>200</v>
      </c>
      <c r="AC621" s="4" t="s">
        <v>49</v>
      </c>
      <c r="AD621" s="4">
        <v>0</v>
      </c>
      <c r="AE621" s="4" t="s">
        <v>49</v>
      </c>
      <c r="AF621" s="4">
        <v>0</v>
      </c>
      <c r="AG621" s="4" t="s">
        <v>46</v>
      </c>
      <c r="AH621" s="4" t="s">
        <v>757</v>
      </c>
      <c r="AI621" s="4" t="s">
        <v>64</v>
      </c>
      <c r="AJ621" s="13">
        <v>0</v>
      </c>
      <c r="AK621" s="13">
        <v>20</v>
      </c>
      <c r="AM621" s="13" t="s">
        <v>515</v>
      </c>
      <c r="AP621" s="13" t="s">
        <v>49</v>
      </c>
      <c r="AQ621" s="13" t="s">
        <v>49</v>
      </c>
      <c r="AR621" s="13" t="s">
        <v>49</v>
      </c>
      <c r="AS621" s="13" t="s">
        <v>49</v>
      </c>
      <c r="AT621" s="13" t="s">
        <v>992</v>
      </c>
      <c r="AU621" s="4" t="s">
        <v>1000</v>
      </c>
      <c r="AV621" s="14">
        <v>2.21</v>
      </c>
      <c r="AW621" s="14">
        <v>2.63</v>
      </c>
      <c r="AX621" s="14">
        <f>Table1347456[[#This Row],[treatment_mean]]/Table1347456[[#This Row],[control_mean]]</f>
        <v>0.84030418250950567</v>
      </c>
      <c r="AY621" s="14">
        <f>LN(Table1347456[[#This Row],[rr]])</f>
        <v>-0.17399133066001177</v>
      </c>
      <c r="AZ621" s="13">
        <v>3</v>
      </c>
      <c r="BA621" s="13">
        <v>3</v>
      </c>
      <c r="BB621" s="14" t="s">
        <v>46</v>
      </c>
      <c r="BC621" s="14" t="s">
        <v>46</v>
      </c>
      <c r="BD621" s="15" t="s">
        <v>46</v>
      </c>
      <c r="BE621" s="14" t="s">
        <v>46</v>
      </c>
      <c r="BF62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21" s="17" t="s">
        <v>46</v>
      </c>
      <c r="BH621" s="13" t="s">
        <v>50</v>
      </c>
      <c r="BI621" s="13">
        <v>2.5000000000000001E-2</v>
      </c>
      <c r="BJ621" s="18">
        <f>ABS(_xlfn.NORM.S.INV(Table1347456[[#This Row],[p_value]]/2))</f>
        <v>2.2414027276049446</v>
      </c>
      <c r="BK621" s="19">
        <f>(Table1347456[[#This Row],[lnrr]]/Table1347456[[#This Row],[z_from_p]])^2</f>
        <v>6.0258099041494298E-3</v>
      </c>
      <c r="BL621" s="16">
        <f>Table1347456[[#This Row],[v_from_z_from_p]]</f>
        <v>6.0258099041494298E-3</v>
      </c>
      <c r="BM621" s="20">
        <f>SQRT(Table1347456[[#This Row],[v]])</f>
        <v>7.7626090357233821E-2</v>
      </c>
      <c r="BN621" s="20">
        <f>Table1347456[[#This Row],[lnrr]]-(1.96*Table1347456[[#This Row],[se]])</f>
        <v>-0.32613846776019007</v>
      </c>
      <c r="BO621" s="20">
        <f>Table1347456[[#This Row],[lnrr]]+(1.96 * Table1347456[[#This Row],[se]])</f>
        <v>-2.1844193559833469E-2</v>
      </c>
    </row>
    <row r="622" spans="1:67">
      <c r="A622" s="13" t="s">
        <v>225</v>
      </c>
      <c r="B622" s="13" t="s">
        <v>226</v>
      </c>
      <c r="C622" s="13" t="s">
        <v>43</v>
      </c>
      <c r="D622" s="13" t="s">
        <v>90</v>
      </c>
      <c r="E622" s="13" t="s">
        <v>91</v>
      </c>
      <c r="F622" s="13" t="s">
        <v>587</v>
      </c>
      <c r="G622" s="13" t="s">
        <v>227</v>
      </c>
      <c r="H622" s="13">
        <v>13.9</v>
      </c>
      <c r="I622" s="13">
        <v>615</v>
      </c>
      <c r="K622" s="13" t="s">
        <v>825</v>
      </c>
      <c r="L622" s="13" t="s">
        <v>867</v>
      </c>
      <c r="N622" s="13" t="s">
        <v>69</v>
      </c>
      <c r="O622" s="13" t="s">
        <v>70</v>
      </c>
      <c r="P622" s="13" t="s">
        <v>71</v>
      </c>
      <c r="Q622" s="13" t="s">
        <v>71</v>
      </c>
      <c r="R622" s="4">
        <v>3</v>
      </c>
      <c r="S622" s="13" t="s">
        <v>594</v>
      </c>
      <c r="T622" s="13">
        <v>1460</v>
      </c>
      <c r="U622" s="4" t="s">
        <v>93</v>
      </c>
      <c r="V622" s="4">
        <v>450</v>
      </c>
      <c r="W622" s="4" t="s">
        <v>601</v>
      </c>
      <c r="X622" s="4">
        <v>450</v>
      </c>
      <c r="Y622" s="4">
        <v>3</v>
      </c>
      <c r="AA622" s="4" t="s">
        <v>50</v>
      </c>
      <c r="AB622" s="4">
        <v>200</v>
      </c>
      <c r="AC622" s="4" t="s">
        <v>49</v>
      </c>
      <c r="AD622" s="4">
        <v>0</v>
      </c>
      <c r="AE622" s="4" t="s">
        <v>49</v>
      </c>
      <c r="AF622" s="4">
        <v>0</v>
      </c>
      <c r="AG622" s="4" t="s">
        <v>46</v>
      </c>
      <c r="AH622" s="4" t="s">
        <v>757</v>
      </c>
      <c r="AI622" s="4" t="s">
        <v>64</v>
      </c>
      <c r="AJ622" s="13">
        <v>0</v>
      </c>
      <c r="AK622" s="13">
        <v>20</v>
      </c>
      <c r="AM622" s="13" t="s">
        <v>515</v>
      </c>
      <c r="AP622" s="13" t="s">
        <v>49</v>
      </c>
      <c r="AQ622" s="13" t="s">
        <v>49</v>
      </c>
      <c r="AR622" s="13" t="s">
        <v>49</v>
      </c>
      <c r="AS622" s="13" t="s">
        <v>49</v>
      </c>
      <c r="AT622" s="13" t="s">
        <v>992</v>
      </c>
      <c r="AU622" s="4" t="s">
        <v>1000</v>
      </c>
      <c r="AV622" s="14">
        <v>2.06</v>
      </c>
      <c r="AW622" s="14">
        <v>2.2200000000000002</v>
      </c>
      <c r="AX622" s="14">
        <f>Table1347456[[#This Row],[treatment_mean]]/Table1347456[[#This Row],[control_mean]]</f>
        <v>0.92792792792792789</v>
      </c>
      <c r="AY622" s="14">
        <f>LN(Table1347456[[#This Row],[rr]])</f>
        <v>-7.4801213082698409E-2</v>
      </c>
      <c r="AZ622" s="13">
        <v>3</v>
      </c>
      <c r="BA622" s="13">
        <v>3</v>
      </c>
      <c r="BB622" s="14" t="s">
        <v>46</v>
      </c>
      <c r="BC622" s="14" t="s">
        <v>46</v>
      </c>
      <c r="BD622" s="15" t="s">
        <v>46</v>
      </c>
      <c r="BE622" s="14" t="s">
        <v>46</v>
      </c>
      <c r="BF62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22" s="17" t="s">
        <v>46</v>
      </c>
      <c r="BH622" s="13" t="s">
        <v>50</v>
      </c>
      <c r="BI622" s="13">
        <v>2.5000000000000001E-2</v>
      </c>
      <c r="BJ622" s="18">
        <f>ABS(_xlfn.NORM.S.INV(Table1347456[[#This Row],[p_value]]/2))</f>
        <v>2.2414027276049446</v>
      </c>
      <c r="BK622" s="19">
        <f>(Table1347456[[#This Row],[lnrr]]/Table1347456[[#This Row],[z_from_p]])^2</f>
        <v>1.1137237727978325E-3</v>
      </c>
      <c r="BL622" s="16">
        <f>Table1347456[[#This Row],[v_from_z_from_p]]</f>
        <v>1.1137237727978325E-3</v>
      </c>
      <c r="BM622" s="20">
        <f>SQRT(Table1347456[[#This Row],[v]])</f>
        <v>3.3372500247926172E-2</v>
      </c>
      <c r="BN622" s="20">
        <f>Table1347456[[#This Row],[lnrr]]-(1.96*Table1347456[[#This Row],[se]])</f>
        <v>-0.1402113135686337</v>
      </c>
      <c r="BO622" s="20">
        <f>Table1347456[[#This Row],[lnrr]]+(1.96 * Table1347456[[#This Row],[se]])</f>
        <v>-9.3911125967631182E-3</v>
      </c>
    </row>
    <row r="623" spans="1:67">
      <c r="A623" s="13" t="s">
        <v>225</v>
      </c>
      <c r="B623" s="13" t="s">
        <v>226</v>
      </c>
      <c r="C623" s="13" t="s">
        <v>43</v>
      </c>
      <c r="D623" s="13" t="s">
        <v>90</v>
      </c>
      <c r="E623" s="13" t="s">
        <v>91</v>
      </c>
      <c r="F623" s="13" t="s">
        <v>587</v>
      </c>
      <c r="G623" s="13" t="s">
        <v>227</v>
      </c>
      <c r="H623" s="13">
        <v>13.9</v>
      </c>
      <c r="I623" s="13">
        <v>615</v>
      </c>
      <c r="K623" s="13" t="s">
        <v>825</v>
      </c>
      <c r="L623" s="13" t="s">
        <v>867</v>
      </c>
      <c r="N623" s="13" t="s">
        <v>69</v>
      </c>
      <c r="O623" s="13" t="s">
        <v>70</v>
      </c>
      <c r="P623" s="13" t="s">
        <v>71</v>
      </c>
      <c r="Q623" s="13" t="s">
        <v>71</v>
      </c>
      <c r="R623" s="4">
        <v>3</v>
      </c>
      <c r="S623" s="13" t="s">
        <v>594</v>
      </c>
      <c r="T623" s="13">
        <v>1460</v>
      </c>
      <c r="U623" s="4" t="s">
        <v>93</v>
      </c>
      <c r="V623" s="4">
        <v>450</v>
      </c>
      <c r="W623" s="4" t="s">
        <v>601</v>
      </c>
      <c r="X623" s="4">
        <v>450</v>
      </c>
      <c r="Y623" s="4">
        <v>6</v>
      </c>
      <c r="AA623" s="4" t="s">
        <v>50</v>
      </c>
      <c r="AB623" s="4">
        <v>200</v>
      </c>
      <c r="AC623" s="4" t="s">
        <v>49</v>
      </c>
      <c r="AD623" s="4">
        <v>0</v>
      </c>
      <c r="AE623" s="4" t="s">
        <v>49</v>
      </c>
      <c r="AF623" s="4">
        <v>0</v>
      </c>
      <c r="AG623" s="4" t="s">
        <v>46</v>
      </c>
      <c r="AH623" s="4" t="s">
        <v>757</v>
      </c>
      <c r="AI623" s="4" t="s">
        <v>64</v>
      </c>
      <c r="AJ623" s="13">
        <v>0</v>
      </c>
      <c r="AK623" s="13">
        <v>20</v>
      </c>
      <c r="AM623" s="13" t="s">
        <v>515</v>
      </c>
      <c r="AP623" s="13" t="s">
        <v>49</v>
      </c>
      <c r="AQ623" s="13" t="s">
        <v>49</v>
      </c>
      <c r="AR623" s="13" t="s">
        <v>49</v>
      </c>
      <c r="AS623" s="13" t="s">
        <v>49</v>
      </c>
      <c r="AT623" s="13" t="s">
        <v>992</v>
      </c>
      <c r="AU623" s="4" t="s">
        <v>1000</v>
      </c>
      <c r="AV623" s="14">
        <v>1.98</v>
      </c>
      <c r="AW623" s="14">
        <v>2.2200000000000002</v>
      </c>
      <c r="AX623" s="14">
        <f>Table1347456[[#This Row],[treatment_mean]]/Table1347456[[#This Row],[control_mean]]</f>
        <v>0.89189189189189177</v>
      </c>
      <c r="AY623" s="14">
        <f>LN(Table1347456[[#This Row],[rr]])</f>
        <v>-0.11441035117774434</v>
      </c>
      <c r="AZ623" s="13">
        <v>3</v>
      </c>
      <c r="BA623" s="13">
        <v>3</v>
      </c>
      <c r="BB623" s="14" t="s">
        <v>46</v>
      </c>
      <c r="BC623" s="14" t="s">
        <v>46</v>
      </c>
      <c r="BD623" s="15" t="s">
        <v>46</v>
      </c>
      <c r="BE623" s="14" t="s">
        <v>46</v>
      </c>
      <c r="BF62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23" s="17" t="s">
        <v>46</v>
      </c>
      <c r="BH623" s="13" t="s">
        <v>50</v>
      </c>
      <c r="BI623" s="13">
        <v>2.5000000000000001E-2</v>
      </c>
      <c r="BJ623" s="18">
        <f>ABS(_xlfn.NORM.S.INV(Table1347456[[#This Row],[p_value]]/2))</f>
        <v>2.2414027276049446</v>
      </c>
      <c r="BK623" s="19">
        <f>(Table1347456[[#This Row],[lnrr]]/Table1347456[[#This Row],[z_from_p]])^2</f>
        <v>2.6054986057737206E-3</v>
      </c>
      <c r="BL623" s="16">
        <f>Table1347456[[#This Row],[v_from_z_from_p]]</f>
        <v>2.6054986057737206E-3</v>
      </c>
      <c r="BM623" s="20">
        <f>SQRT(Table1347456[[#This Row],[v]])</f>
        <v>5.104408492444272E-2</v>
      </c>
      <c r="BN623" s="20">
        <f>Table1347456[[#This Row],[lnrr]]-(1.96*Table1347456[[#This Row],[se]])</f>
        <v>-0.21445675762965205</v>
      </c>
      <c r="BO623" s="20">
        <f>Table1347456[[#This Row],[lnrr]]+(1.96 * Table1347456[[#This Row],[se]])</f>
        <v>-1.4363944725836617E-2</v>
      </c>
    </row>
    <row r="624" spans="1:67">
      <c r="A624" s="13" t="s">
        <v>225</v>
      </c>
      <c r="B624" s="13" t="s">
        <v>226</v>
      </c>
      <c r="C624" s="13" t="s">
        <v>43</v>
      </c>
      <c r="D624" s="13" t="s">
        <v>90</v>
      </c>
      <c r="E624" s="13" t="s">
        <v>91</v>
      </c>
      <c r="F624" s="13" t="s">
        <v>587</v>
      </c>
      <c r="G624" s="13" t="s">
        <v>227</v>
      </c>
      <c r="H624" s="13">
        <v>13.9</v>
      </c>
      <c r="I624" s="13">
        <v>615</v>
      </c>
      <c r="K624" s="13" t="s">
        <v>825</v>
      </c>
      <c r="L624" s="13" t="s">
        <v>867</v>
      </c>
      <c r="N624" s="13" t="s">
        <v>69</v>
      </c>
      <c r="O624" s="13" t="s">
        <v>70</v>
      </c>
      <c r="P624" s="13" t="s">
        <v>71</v>
      </c>
      <c r="Q624" s="13" t="s">
        <v>71</v>
      </c>
      <c r="R624" s="4">
        <v>3</v>
      </c>
      <c r="S624" s="13" t="s">
        <v>594</v>
      </c>
      <c r="T624" s="13">
        <v>1460</v>
      </c>
      <c r="U624" s="4" t="s">
        <v>93</v>
      </c>
      <c r="V624" s="4">
        <v>450</v>
      </c>
      <c r="W624" s="4" t="s">
        <v>601</v>
      </c>
      <c r="X624" s="4">
        <v>450</v>
      </c>
      <c r="Y624" s="4">
        <v>6</v>
      </c>
      <c r="AA624" s="4" t="s">
        <v>50</v>
      </c>
      <c r="AB624" s="4">
        <v>200</v>
      </c>
      <c r="AC624" s="4" t="s">
        <v>49</v>
      </c>
      <c r="AD624" s="4">
        <v>0</v>
      </c>
      <c r="AE624" s="4" t="s">
        <v>49</v>
      </c>
      <c r="AF624" s="4">
        <v>0</v>
      </c>
      <c r="AG624" s="4" t="s">
        <v>46</v>
      </c>
      <c r="AH624" s="4" t="s">
        <v>757</v>
      </c>
      <c r="AI624" s="4" t="s">
        <v>64</v>
      </c>
      <c r="AJ624" s="13">
        <v>0</v>
      </c>
      <c r="AK624" s="13">
        <v>20</v>
      </c>
      <c r="AM624" s="13" t="s">
        <v>515</v>
      </c>
      <c r="AP624" s="13" t="s">
        <v>49</v>
      </c>
      <c r="AQ624" s="13" t="s">
        <v>49</v>
      </c>
      <c r="AR624" s="13" t="s">
        <v>49</v>
      </c>
      <c r="AS624" s="13" t="s">
        <v>49</v>
      </c>
      <c r="AT624" s="13" t="s">
        <v>992</v>
      </c>
      <c r="AU624" s="4" t="s">
        <v>1000</v>
      </c>
      <c r="AV624" s="14">
        <v>1.97</v>
      </c>
      <c r="AW624" s="14">
        <v>2.2200000000000002</v>
      </c>
      <c r="AX624" s="14">
        <f>Table1347456[[#This Row],[treatment_mean]]/Table1347456[[#This Row],[control_mean]]</f>
        <v>0.88738738738738732</v>
      </c>
      <c r="AY624" s="14">
        <f>LN(Table1347456[[#This Row],[rr]])</f>
        <v>-0.11947365313429102</v>
      </c>
      <c r="AZ624" s="13">
        <v>3</v>
      </c>
      <c r="BA624" s="13">
        <v>3</v>
      </c>
      <c r="BB624" s="14" t="s">
        <v>46</v>
      </c>
      <c r="BC624" s="14" t="s">
        <v>46</v>
      </c>
      <c r="BD624" s="15" t="s">
        <v>46</v>
      </c>
      <c r="BE624" s="14" t="s">
        <v>46</v>
      </c>
      <c r="BF62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24" s="17" t="s">
        <v>46</v>
      </c>
      <c r="BH624" s="13" t="s">
        <v>50</v>
      </c>
      <c r="BI624" s="13">
        <v>2.5000000000000001E-2</v>
      </c>
      <c r="BJ624" s="18">
        <f>ABS(_xlfn.NORM.S.INV(Table1347456[[#This Row],[p_value]]/2))</f>
        <v>2.2414027276049446</v>
      </c>
      <c r="BK624" s="19">
        <f>(Table1347456[[#This Row],[lnrr]]/Table1347456[[#This Row],[z_from_p]])^2</f>
        <v>2.8412175875508596E-3</v>
      </c>
      <c r="BL624" s="16">
        <f>Table1347456[[#This Row],[v_from_z_from_p]]</f>
        <v>2.8412175875508596E-3</v>
      </c>
      <c r="BM624" s="20">
        <f>SQRT(Table1347456[[#This Row],[v]])</f>
        <v>5.3303072965363449E-2</v>
      </c>
      <c r="BN624" s="20">
        <f>Table1347456[[#This Row],[lnrr]]-(1.96*Table1347456[[#This Row],[se]])</f>
        <v>-0.22394767614640337</v>
      </c>
      <c r="BO624" s="20">
        <f>Table1347456[[#This Row],[lnrr]]+(1.96 * Table1347456[[#This Row],[se]])</f>
        <v>-1.499963012217867E-2</v>
      </c>
    </row>
    <row r="625" spans="1:67">
      <c r="A625" s="13" t="s">
        <v>228</v>
      </c>
      <c r="B625" s="13" t="s">
        <v>229</v>
      </c>
      <c r="C625" s="13" t="s">
        <v>43</v>
      </c>
      <c r="D625" s="13" t="s">
        <v>230</v>
      </c>
      <c r="E625" s="13" t="s">
        <v>231</v>
      </c>
      <c r="F625" s="13" t="s">
        <v>586</v>
      </c>
      <c r="G625" s="13" t="s">
        <v>46</v>
      </c>
      <c r="H625" s="13">
        <v>26.3</v>
      </c>
      <c r="I625" s="13" t="s">
        <v>46</v>
      </c>
      <c r="K625" s="13" t="s">
        <v>868</v>
      </c>
      <c r="L625" s="13" t="s">
        <v>869</v>
      </c>
      <c r="N625" s="13" t="s">
        <v>213</v>
      </c>
      <c r="O625" s="13" t="s">
        <v>642</v>
      </c>
      <c r="P625" s="13" t="s">
        <v>418</v>
      </c>
      <c r="Q625" s="13" t="s">
        <v>48</v>
      </c>
      <c r="R625" s="4">
        <v>3</v>
      </c>
      <c r="S625" s="13" t="s">
        <v>596</v>
      </c>
      <c r="T625" s="13">
        <v>90</v>
      </c>
      <c r="U625" s="4" t="s">
        <v>232</v>
      </c>
      <c r="V625" s="4">
        <v>300</v>
      </c>
      <c r="W625" s="4" t="s">
        <v>42</v>
      </c>
      <c r="X625" s="4">
        <v>205.5</v>
      </c>
      <c r="Y625" s="4">
        <v>16</v>
      </c>
      <c r="AA625" s="4" t="s">
        <v>49</v>
      </c>
      <c r="AB625" s="4">
        <v>0</v>
      </c>
      <c r="AC625" s="4" t="s">
        <v>49</v>
      </c>
      <c r="AD625" s="4">
        <v>0</v>
      </c>
      <c r="AE625" s="4" t="s">
        <v>49</v>
      </c>
      <c r="AF625" s="4">
        <v>0</v>
      </c>
      <c r="AG625" s="4" t="s">
        <v>790</v>
      </c>
      <c r="AH625" s="4" t="s">
        <v>789</v>
      </c>
      <c r="AI625" s="4" t="s">
        <v>64</v>
      </c>
      <c r="AJ625" s="13">
        <v>0</v>
      </c>
      <c r="AK625" s="13">
        <v>20</v>
      </c>
      <c r="AL625" s="13" t="s">
        <v>516</v>
      </c>
      <c r="AO625" s="13" t="s">
        <v>517</v>
      </c>
      <c r="AP625" s="13" t="s">
        <v>50</v>
      </c>
      <c r="AQ625" s="13" t="s">
        <v>49</v>
      </c>
      <c r="AR625" s="13" t="s">
        <v>50</v>
      </c>
      <c r="AS625" s="13" t="s">
        <v>49</v>
      </c>
      <c r="AT625" s="13" t="s">
        <v>990</v>
      </c>
      <c r="AU625" s="13" t="s">
        <v>998</v>
      </c>
      <c r="AV625" s="14">
        <f>10.73/3</f>
        <v>3.5766666666666667</v>
      </c>
      <c r="AW625" s="14">
        <f>11.3/3</f>
        <v>3.7666666666666671</v>
      </c>
      <c r="AX625" s="14">
        <f>Table1347456[[#This Row],[treatment_mean]]/Table1347456[[#This Row],[control_mean]]</f>
        <v>0.94955752212389366</v>
      </c>
      <c r="AY625" s="14">
        <f>LN(Table1347456[[#This Row],[rr]])</f>
        <v>-5.1759169075687936E-2</v>
      </c>
      <c r="AZ625" s="13">
        <v>3</v>
      </c>
      <c r="BA625" s="13">
        <v>3</v>
      </c>
      <c r="BB625" s="14">
        <f>Table1347456[[#This Row],[treatment_sd]]*Table1347456[[#This Row],[treatment_n]]</f>
        <v>0.40439254444166006</v>
      </c>
      <c r="BC625" s="14">
        <f>Table1347456[[#This Row],[control_sd]]*Table1347456[[#This Row],[control_n]]</f>
        <v>0.46783187150941308</v>
      </c>
      <c r="BD625" s="15">
        <f>SQRT(0.16353333)/3</f>
        <v>0.13479751481388669</v>
      </c>
      <c r="BE625" s="14">
        <f>SQRT(0.21886666)/3</f>
        <v>0.15594395716980436</v>
      </c>
      <c r="BF62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1.0448114904802099E-3</v>
      </c>
      <c r="BG625" s="17">
        <f>SQRT(Table1347456[[#This Row],[v_from_sd_and_n]])</f>
        <v>3.2323543903480169E-2</v>
      </c>
      <c r="BH625" s="13" t="s">
        <v>50</v>
      </c>
      <c r="BI625" s="13">
        <v>2.5000000000000001E-2</v>
      </c>
      <c r="BJ625" s="18">
        <f>ABS(_xlfn.NORM.S.INV(Table1347456[[#This Row],[p_value]]/2))</f>
        <v>2.2414027276049446</v>
      </c>
      <c r="BK625" s="19">
        <f>(Table1347456[[#This Row],[lnrr]]/Table1347456[[#This Row],[z_from_p]])^2</f>
        <v>5.3325483172171563E-4</v>
      </c>
      <c r="BL625" s="16">
        <f>Table1347456[[#This Row],[v_from_sd_and_n]]</f>
        <v>1.0448114904802099E-3</v>
      </c>
      <c r="BM625" s="20">
        <f>SQRT(Table1347456[[#This Row],[v]])</f>
        <v>3.2323543903480169E-2</v>
      </c>
      <c r="BN625" s="20">
        <f>Table1347456[[#This Row],[lnrr]]-(1.96*Table1347456[[#This Row],[se]])</f>
        <v>-0.11511331512650906</v>
      </c>
      <c r="BO625" s="20">
        <f>Table1347456[[#This Row],[lnrr]]+(1.96 * Table1347456[[#This Row],[se]])</f>
        <v>1.1594976975133189E-2</v>
      </c>
    </row>
    <row r="626" spans="1:67">
      <c r="A626" s="13" t="s">
        <v>228</v>
      </c>
      <c r="B626" s="13" t="s">
        <v>229</v>
      </c>
      <c r="C626" s="13" t="s">
        <v>43</v>
      </c>
      <c r="D626" s="13" t="s">
        <v>230</v>
      </c>
      <c r="E626" s="13" t="s">
        <v>231</v>
      </c>
      <c r="F626" s="13" t="s">
        <v>586</v>
      </c>
      <c r="G626" s="13" t="s">
        <v>46</v>
      </c>
      <c r="H626" s="13">
        <v>26.3</v>
      </c>
      <c r="I626" s="13" t="s">
        <v>46</v>
      </c>
      <c r="K626" s="13" t="s">
        <v>868</v>
      </c>
      <c r="L626" s="13" t="s">
        <v>869</v>
      </c>
      <c r="N626" s="13" t="s">
        <v>213</v>
      </c>
      <c r="O626" s="13" t="s">
        <v>642</v>
      </c>
      <c r="P626" s="13" t="s">
        <v>418</v>
      </c>
      <c r="Q626" s="13" t="s">
        <v>48</v>
      </c>
      <c r="R626" s="4">
        <v>3</v>
      </c>
      <c r="S626" s="13" t="s">
        <v>596</v>
      </c>
      <c r="T626" s="13">
        <v>90</v>
      </c>
      <c r="U626" s="4" t="s">
        <v>232</v>
      </c>
      <c r="V626" s="4">
        <v>300</v>
      </c>
      <c r="W626" s="4" t="s">
        <v>42</v>
      </c>
      <c r="X626" s="4">
        <v>205.5</v>
      </c>
      <c r="Y626" s="4">
        <v>16</v>
      </c>
      <c r="AA626" s="4" t="s">
        <v>49</v>
      </c>
      <c r="AB626" s="4">
        <v>0</v>
      </c>
      <c r="AC626" s="4" t="s">
        <v>49</v>
      </c>
      <c r="AD626" s="4">
        <v>0</v>
      </c>
      <c r="AE626" s="4" t="s">
        <v>50</v>
      </c>
      <c r="AF626" s="4">
        <v>16</v>
      </c>
      <c r="AG626" s="4" t="s">
        <v>790</v>
      </c>
      <c r="AH626" s="4" t="s">
        <v>789</v>
      </c>
      <c r="AI626" s="4" t="s">
        <v>64</v>
      </c>
      <c r="AJ626" s="13">
        <v>0</v>
      </c>
      <c r="AK626" s="13">
        <v>20</v>
      </c>
      <c r="AL626" s="13" t="s">
        <v>516</v>
      </c>
      <c r="AO626" s="13" t="s">
        <v>517</v>
      </c>
      <c r="AP626" s="13" t="s">
        <v>50</v>
      </c>
      <c r="AQ626" s="13" t="s">
        <v>49</v>
      </c>
      <c r="AR626" s="13" t="s">
        <v>50</v>
      </c>
      <c r="AS626" s="13" t="s">
        <v>49</v>
      </c>
      <c r="AT626" s="13" t="s">
        <v>995</v>
      </c>
      <c r="AU626" s="13" t="s">
        <v>1002</v>
      </c>
      <c r="AV626" s="14">
        <f>10.8/3</f>
        <v>3.6</v>
      </c>
      <c r="AW626" s="14">
        <f>9.95/3</f>
        <v>3.3166666666666664</v>
      </c>
      <c r="AX626" s="14">
        <f>Table1347456[[#This Row],[treatment_mean]]/Table1347456[[#This Row],[control_mean]]</f>
        <v>1.085427135678392</v>
      </c>
      <c r="AY626" s="14">
        <f>LN(Table1347456[[#This Row],[rr]])</f>
        <v>8.1973582959672636E-2</v>
      </c>
      <c r="AZ626" s="13">
        <v>3</v>
      </c>
      <c r="BA626" s="13">
        <v>3</v>
      </c>
      <c r="BB626" s="14">
        <f>Table1347456[[#This Row],[treatment_sd]]*Table1347456[[#This Row],[treatment_n]]</f>
        <v>0.62814541787710276</v>
      </c>
      <c r="BC626" s="14">
        <f>Table1347456[[#This Row],[control_sd]]*Table1347456[[#This Row],[control_n]]</f>
        <v>0.26185236298341857</v>
      </c>
      <c r="BD626" s="15">
        <f>SQRT(0.394566666)/3</f>
        <v>0.20938180595903425</v>
      </c>
      <c r="BE626" s="14">
        <f>SQRT(0.06856666)/3</f>
        <v>8.7284120994472858E-2</v>
      </c>
      <c r="BF62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1.3584494118574725E-3</v>
      </c>
      <c r="BG626" s="17">
        <f>SQRT(Table1347456[[#This Row],[v_from_sd_and_n]])</f>
        <v>3.685714872121109E-2</v>
      </c>
      <c r="BH626" s="13" t="s">
        <v>50</v>
      </c>
      <c r="BI626" s="13">
        <v>2.5000000000000001E-2</v>
      </c>
      <c r="BJ626" s="18">
        <f>ABS(_xlfn.NORM.S.INV(Table1347456[[#This Row],[p_value]]/2))</f>
        <v>2.2414027276049446</v>
      </c>
      <c r="BK626" s="19">
        <f>(Table1347456[[#This Row],[lnrr]]/Table1347456[[#This Row],[z_from_p]])^2</f>
        <v>1.3375438958416754E-3</v>
      </c>
      <c r="BL626" s="16">
        <f>Table1347456[[#This Row],[v_from_sd_and_n]]</f>
        <v>1.3584494118574725E-3</v>
      </c>
      <c r="BM626" s="20">
        <f>SQRT(Table1347456[[#This Row],[v]])</f>
        <v>3.685714872121109E-2</v>
      </c>
      <c r="BN626" s="20">
        <f>Table1347456[[#This Row],[lnrr]]-(1.96*Table1347456[[#This Row],[se]])</f>
        <v>9.7335714660989059E-3</v>
      </c>
      <c r="BO626" s="20">
        <f>Table1347456[[#This Row],[lnrr]]+(1.96 * Table1347456[[#This Row],[se]])</f>
        <v>0.15421359445324637</v>
      </c>
    </row>
    <row r="627" spans="1:67">
      <c r="A627" s="13" t="s">
        <v>228</v>
      </c>
      <c r="B627" s="13" t="s">
        <v>229</v>
      </c>
      <c r="C627" s="13" t="s">
        <v>43</v>
      </c>
      <c r="D627" s="13" t="s">
        <v>230</v>
      </c>
      <c r="E627" s="13" t="s">
        <v>231</v>
      </c>
      <c r="F627" s="13" t="s">
        <v>586</v>
      </c>
      <c r="G627" s="13" t="s">
        <v>46</v>
      </c>
      <c r="H627" s="13">
        <v>26.3</v>
      </c>
      <c r="I627" s="13" t="s">
        <v>46</v>
      </c>
      <c r="K627" s="13" t="s">
        <v>868</v>
      </c>
      <c r="L627" s="13" t="s">
        <v>869</v>
      </c>
      <c r="N627" s="13" t="s">
        <v>213</v>
      </c>
      <c r="O627" s="13" t="s">
        <v>642</v>
      </c>
      <c r="P627" s="13" t="s">
        <v>418</v>
      </c>
      <c r="Q627" s="13" t="s">
        <v>48</v>
      </c>
      <c r="R627" s="4">
        <v>3</v>
      </c>
      <c r="S627" s="13" t="s">
        <v>596</v>
      </c>
      <c r="T627" s="13">
        <v>90</v>
      </c>
      <c r="U627" s="4" t="s">
        <v>233</v>
      </c>
      <c r="V627" s="4">
        <v>300</v>
      </c>
      <c r="W627" s="4" t="s">
        <v>42</v>
      </c>
      <c r="X627" s="4">
        <v>466</v>
      </c>
      <c r="Y627" s="4">
        <v>16</v>
      </c>
      <c r="AA627" s="4" t="s">
        <v>49</v>
      </c>
      <c r="AB627" s="4">
        <v>0</v>
      </c>
      <c r="AC627" s="4" t="s">
        <v>49</v>
      </c>
      <c r="AD627" s="4">
        <v>0</v>
      </c>
      <c r="AE627" s="4" t="s">
        <v>49</v>
      </c>
      <c r="AF627" s="4">
        <v>0</v>
      </c>
      <c r="AG627" s="4" t="s">
        <v>718</v>
      </c>
      <c r="AH627" s="4" t="s">
        <v>789</v>
      </c>
      <c r="AI627" s="4" t="s">
        <v>64</v>
      </c>
      <c r="AJ627" s="13">
        <v>0</v>
      </c>
      <c r="AK627" s="13">
        <v>20</v>
      </c>
      <c r="AL627" s="13" t="s">
        <v>516</v>
      </c>
      <c r="AO627" s="13" t="s">
        <v>517</v>
      </c>
      <c r="AP627" s="13" t="s">
        <v>50</v>
      </c>
      <c r="AQ627" s="13" t="s">
        <v>49</v>
      </c>
      <c r="AR627" s="13" t="s">
        <v>50</v>
      </c>
      <c r="AS627" s="13" t="s">
        <v>49</v>
      </c>
      <c r="AT627" s="13" t="s">
        <v>990</v>
      </c>
      <c r="AU627" s="13" t="s">
        <v>998</v>
      </c>
      <c r="AV627" s="14">
        <f>12.18/3</f>
        <v>4.0599999999999996</v>
      </c>
      <c r="AW627" s="14">
        <f>11.3/3</f>
        <v>3.7666666666666671</v>
      </c>
      <c r="AX627" s="14">
        <f>Table1347456[[#This Row],[treatment_mean]]/Table1347456[[#This Row],[control_mean]]</f>
        <v>1.07787610619469</v>
      </c>
      <c r="AY627" s="14">
        <f>LN(Table1347456[[#This Row],[rr]])</f>
        <v>7.4992536563455822E-2</v>
      </c>
      <c r="AZ627" s="13">
        <v>3</v>
      </c>
      <c r="BA627" s="13">
        <v>3</v>
      </c>
      <c r="BB627" s="14">
        <f>Table1347456[[#This Row],[treatment_sd]]*Table1347456[[#This Row],[treatment_n]]</f>
        <v>0.23194827009486405</v>
      </c>
      <c r="BC627" s="14">
        <f>Table1347456[[#This Row],[control_sd]]*Table1347456[[#This Row],[control_n]]</f>
        <v>0.46783187150941308</v>
      </c>
      <c r="BD627" s="15">
        <f>SQRT(0.0538)/3</f>
        <v>7.7316090031621348E-2</v>
      </c>
      <c r="BE627" s="14">
        <f>SQRT(0.21886666)/3</f>
        <v>0.15594395716980436</v>
      </c>
      <c r="BF62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6.9223233440870481E-4</v>
      </c>
      <c r="BG627" s="17">
        <f>SQRT(Table1347456[[#This Row],[v_from_sd_and_n]])</f>
        <v>2.6310308519831248E-2</v>
      </c>
      <c r="BH627" s="13" t="s">
        <v>50</v>
      </c>
      <c r="BI627" s="13">
        <v>2.5000000000000001E-2</v>
      </c>
      <c r="BJ627" s="18">
        <f>ABS(_xlfn.NORM.S.INV(Table1347456[[#This Row],[p_value]]/2))</f>
        <v>2.2414027276049446</v>
      </c>
      <c r="BK627" s="19">
        <f>(Table1347456[[#This Row],[lnrr]]/Table1347456[[#This Row],[z_from_p]])^2</f>
        <v>1.1194283330743708E-3</v>
      </c>
      <c r="BL627" s="16">
        <f>Table1347456[[#This Row],[v_from_sd_and_n]]</f>
        <v>6.9223233440870481E-4</v>
      </c>
      <c r="BM627" s="20">
        <f>SQRT(Table1347456[[#This Row],[v]])</f>
        <v>2.6310308519831248E-2</v>
      </c>
      <c r="BN627" s="20">
        <f>Table1347456[[#This Row],[lnrr]]-(1.96*Table1347456[[#This Row],[se]])</f>
        <v>2.3424331864586576E-2</v>
      </c>
      <c r="BO627" s="20">
        <f>Table1347456[[#This Row],[lnrr]]+(1.96 * Table1347456[[#This Row],[se]])</f>
        <v>0.12656074126232508</v>
      </c>
    </row>
    <row r="628" spans="1:67">
      <c r="A628" s="13" t="s">
        <v>228</v>
      </c>
      <c r="B628" s="13" t="s">
        <v>229</v>
      </c>
      <c r="C628" s="13" t="s">
        <v>43</v>
      </c>
      <c r="D628" s="13" t="s">
        <v>230</v>
      </c>
      <c r="E628" s="13" t="s">
        <v>231</v>
      </c>
      <c r="F628" s="13" t="s">
        <v>586</v>
      </c>
      <c r="G628" s="13" t="s">
        <v>46</v>
      </c>
      <c r="H628" s="13">
        <v>26.3</v>
      </c>
      <c r="I628" s="13" t="s">
        <v>46</v>
      </c>
      <c r="K628" s="13" t="s">
        <v>868</v>
      </c>
      <c r="L628" s="13" t="s">
        <v>869</v>
      </c>
      <c r="N628" s="13" t="s">
        <v>213</v>
      </c>
      <c r="O628" s="13" t="s">
        <v>642</v>
      </c>
      <c r="P628" s="13" t="s">
        <v>418</v>
      </c>
      <c r="Q628" s="13" t="s">
        <v>48</v>
      </c>
      <c r="R628" s="4">
        <v>3</v>
      </c>
      <c r="S628" s="13" t="s">
        <v>596</v>
      </c>
      <c r="T628" s="13">
        <v>90</v>
      </c>
      <c r="U628" s="4" t="s">
        <v>233</v>
      </c>
      <c r="V628" s="4">
        <v>300</v>
      </c>
      <c r="W628" s="4" t="s">
        <v>42</v>
      </c>
      <c r="X628" s="4">
        <v>466</v>
      </c>
      <c r="Y628" s="4">
        <v>16</v>
      </c>
      <c r="AA628" s="4" t="s">
        <v>49</v>
      </c>
      <c r="AB628" s="4">
        <v>0</v>
      </c>
      <c r="AC628" s="4" t="s">
        <v>49</v>
      </c>
      <c r="AD628" s="4">
        <v>0</v>
      </c>
      <c r="AE628" s="4" t="s">
        <v>50</v>
      </c>
      <c r="AF628" s="4">
        <v>16</v>
      </c>
      <c r="AG628" s="4" t="s">
        <v>718</v>
      </c>
      <c r="AH628" s="4" t="s">
        <v>789</v>
      </c>
      <c r="AI628" s="4" t="s">
        <v>64</v>
      </c>
      <c r="AJ628" s="13">
        <v>0</v>
      </c>
      <c r="AK628" s="13">
        <v>20</v>
      </c>
      <c r="AL628" s="13" t="s">
        <v>516</v>
      </c>
      <c r="AO628" s="13" t="s">
        <v>517</v>
      </c>
      <c r="AP628" s="13" t="s">
        <v>50</v>
      </c>
      <c r="AQ628" s="13" t="s">
        <v>49</v>
      </c>
      <c r="AR628" s="13" t="s">
        <v>50</v>
      </c>
      <c r="AS628" s="13" t="s">
        <v>49</v>
      </c>
      <c r="AT628" s="13" t="s">
        <v>995</v>
      </c>
      <c r="AU628" s="13" t="s">
        <v>1002</v>
      </c>
      <c r="AV628" s="14">
        <f>10.78/3</f>
        <v>3.5933333333333333</v>
      </c>
      <c r="AW628" s="14">
        <f>9.95/3</f>
        <v>3.3166666666666664</v>
      </c>
      <c r="AX628" s="14">
        <f>Table1347456[[#This Row],[treatment_mean]]/Table1347456[[#This Row],[control_mean]]</f>
        <v>1.0834170854271357</v>
      </c>
      <c r="AY628" s="14">
        <f>LN(Table1347456[[#This Row],[rr]])</f>
        <v>8.012001431034968E-2</v>
      </c>
      <c r="AZ628" s="13">
        <v>3</v>
      </c>
      <c r="BA628" s="13">
        <v>3</v>
      </c>
      <c r="BB628" s="14">
        <f>Table1347456[[#This Row],[treatment_sd]]*Table1347456[[#This Row],[treatment_n]]</f>
        <v>0.4440345324408902</v>
      </c>
      <c r="BC628" s="14">
        <f>Table1347456[[#This Row],[control_sd]]*Table1347456[[#This Row],[control_n]]</f>
        <v>0.26185236298341857</v>
      </c>
      <c r="BD628" s="15">
        <f>SQRT(0.197166666)/3</f>
        <v>0.14801151081363007</v>
      </c>
      <c r="BE628" s="14">
        <f>SQRT(0.06856666)/3</f>
        <v>8.7284120994472858E-2</v>
      </c>
      <c r="BF62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7.9641317613194924E-4</v>
      </c>
      <c r="BG628" s="17">
        <f>SQRT(Table1347456[[#This Row],[v_from_sd_and_n]])</f>
        <v>2.8220793329244827E-2</v>
      </c>
      <c r="BH628" s="13" t="s">
        <v>50</v>
      </c>
      <c r="BI628" s="13">
        <v>2.5000000000000001E-2</v>
      </c>
      <c r="BJ628" s="18">
        <f>ABS(_xlfn.NORM.S.INV(Table1347456[[#This Row],[p_value]]/2))</f>
        <v>2.2414027276049446</v>
      </c>
      <c r="BK628" s="19">
        <f>(Table1347456[[#This Row],[lnrr]]/Table1347456[[#This Row],[z_from_p]])^2</f>
        <v>1.2777392746871749E-3</v>
      </c>
      <c r="BL628" s="16">
        <f>Table1347456[[#This Row],[v_from_sd_and_n]]</f>
        <v>7.9641317613194924E-4</v>
      </c>
      <c r="BM628" s="20">
        <f>SQRT(Table1347456[[#This Row],[v]])</f>
        <v>2.8220793329244827E-2</v>
      </c>
      <c r="BN628" s="20">
        <f>Table1347456[[#This Row],[lnrr]]-(1.96*Table1347456[[#This Row],[se]])</f>
        <v>2.4807259385029819E-2</v>
      </c>
      <c r="BO628" s="20">
        <f>Table1347456[[#This Row],[lnrr]]+(1.96 * Table1347456[[#This Row],[se]])</f>
        <v>0.13543276923566955</v>
      </c>
    </row>
    <row r="629" spans="1:67">
      <c r="A629" s="13" t="s">
        <v>228</v>
      </c>
      <c r="B629" s="13" t="s">
        <v>229</v>
      </c>
      <c r="C629" s="13" t="s">
        <v>43</v>
      </c>
      <c r="D629" s="13" t="s">
        <v>230</v>
      </c>
      <c r="E629" s="13" t="s">
        <v>231</v>
      </c>
      <c r="F629" s="13" t="s">
        <v>586</v>
      </c>
      <c r="G629" s="13" t="s">
        <v>46</v>
      </c>
      <c r="H629" s="13">
        <v>26.3</v>
      </c>
      <c r="I629" s="13" t="s">
        <v>46</v>
      </c>
      <c r="K629" s="13" t="s">
        <v>868</v>
      </c>
      <c r="L629" s="13" t="s">
        <v>869</v>
      </c>
      <c r="N629" s="13" t="s">
        <v>61</v>
      </c>
      <c r="O629" s="13" t="s">
        <v>642</v>
      </c>
      <c r="P629" s="13" t="s">
        <v>62</v>
      </c>
      <c r="Q629" s="13" t="s">
        <v>48</v>
      </c>
      <c r="R629" s="4">
        <v>3</v>
      </c>
      <c r="S629" s="13" t="s">
        <v>596</v>
      </c>
      <c r="T629" s="13">
        <v>90</v>
      </c>
      <c r="U629" s="4" t="s">
        <v>232</v>
      </c>
      <c r="V629" s="4">
        <v>300</v>
      </c>
      <c r="W629" s="4" t="s">
        <v>42</v>
      </c>
      <c r="X629" s="4">
        <v>205.5</v>
      </c>
      <c r="Y629" s="4">
        <v>16</v>
      </c>
      <c r="AA629" s="4" t="s">
        <v>49</v>
      </c>
      <c r="AB629" s="4">
        <v>0</v>
      </c>
      <c r="AC629" s="4" t="s">
        <v>49</v>
      </c>
      <c r="AD629" s="4">
        <v>0</v>
      </c>
      <c r="AE629" s="4" t="s">
        <v>49</v>
      </c>
      <c r="AF629" s="4">
        <v>0</v>
      </c>
      <c r="AG629" s="4" t="s">
        <v>790</v>
      </c>
      <c r="AH629" s="4" t="s">
        <v>789</v>
      </c>
      <c r="AI629" s="4" t="s">
        <v>64</v>
      </c>
      <c r="AJ629" s="13">
        <v>0</v>
      </c>
      <c r="AK629" s="13">
        <v>20</v>
      </c>
      <c r="AL629" s="13" t="s">
        <v>516</v>
      </c>
      <c r="AO629" s="13" t="s">
        <v>517</v>
      </c>
      <c r="AP629" s="13" t="s">
        <v>50</v>
      </c>
      <c r="AQ629" s="13" t="s">
        <v>49</v>
      </c>
      <c r="AR629" s="13" t="s">
        <v>50</v>
      </c>
      <c r="AS629" s="13" t="s">
        <v>49</v>
      </c>
      <c r="AT629" s="13" t="s">
        <v>990</v>
      </c>
      <c r="AU629" s="13" t="s">
        <v>998</v>
      </c>
      <c r="AV629" s="14">
        <f>31.32/800</f>
        <v>3.9149999999999997E-2</v>
      </c>
      <c r="AW629" s="14">
        <f>30.38/800</f>
        <v>3.7975000000000002E-2</v>
      </c>
      <c r="AX629" s="14">
        <f>Table1347456[[#This Row],[treatment_mean]]/Table1347456[[#This Row],[control_mean]]</f>
        <v>1.0309414088215931</v>
      </c>
      <c r="AY629" s="14">
        <f>LN(Table1347456[[#This Row],[rr]])</f>
        <v>3.0472373954975533E-2</v>
      </c>
      <c r="AZ629" s="13">
        <v>3</v>
      </c>
      <c r="BA629" s="13">
        <v>3</v>
      </c>
      <c r="BB629" s="14">
        <f>Table1347456[[#This Row],[treatment_sd]]*Table1347456[[#This Row],[treatment_n]]</f>
        <v>7.4693435893825374E-3</v>
      </c>
      <c r="BC629" s="14">
        <f>Table1347456[[#This Row],[control_sd]]*Table1347456[[#This Row],[control_n]]</f>
        <v>8.2449132016731985E-3</v>
      </c>
      <c r="BD629" s="15">
        <f>SQRT(3.96736666)/800</f>
        <v>2.4897811964608458E-3</v>
      </c>
      <c r="BE629" s="14">
        <f>SQRT(4.83403333)/800</f>
        <v>2.7483044005577328E-3</v>
      </c>
      <c r="BF62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3.0940218152464101E-3</v>
      </c>
      <c r="BG629" s="17">
        <f>SQRT(Table1347456[[#This Row],[v_from_sd_and_n]])</f>
        <v>5.5623932036906652E-2</v>
      </c>
      <c r="BH629" s="13" t="s">
        <v>50</v>
      </c>
      <c r="BI629" s="13">
        <v>2.5000000000000001E-2</v>
      </c>
      <c r="BJ629" s="18">
        <f>ABS(_xlfn.NORM.S.INV(Table1347456[[#This Row],[p_value]]/2))</f>
        <v>2.2414027276049446</v>
      </c>
      <c r="BK629" s="19">
        <f>(Table1347456[[#This Row],[lnrr]]/Table1347456[[#This Row],[z_from_p]])^2</f>
        <v>1.8483013743353954E-4</v>
      </c>
      <c r="BL629" s="16">
        <f>Table1347456[[#This Row],[v_from_sd_and_n]]</f>
        <v>3.0940218152464101E-3</v>
      </c>
      <c r="BM629" s="20">
        <f>SQRT(Table1347456[[#This Row],[v]])</f>
        <v>5.5623932036906652E-2</v>
      </c>
      <c r="BN629" s="20">
        <f>Table1347456[[#This Row],[lnrr]]-(1.96*Table1347456[[#This Row],[se]])</f>
        <v>-7.8550532837361492E-2</v>
      </c>
      <c r="BO629" s="20">
        <f>Table1347456[[#This Row],[lnrr]]+(1.96 * Table1347456[[#This Row],[se]])</f>
        <v>0.13949528074731257</v>
      </c>
    </row>
    <row r="630" spans="1:67">
      <c r="A630" s="13" t="s">
        <v>228</v>
      </c>
      <c r="B630" s="13" t="s">
        <v>229</v>
      </c>
      <c r="C630" s="13" t="s">
        <v>43</v>
      </c>
      <c r="D630" s="13" t="s">
        <v>230</v>
      </c>
      <c r="E630" s="13" t="s">
        <v>231</v>
      </c>
      <c r="F630" s="13" t="s">
        <v>586</v>
      </c>
      <c r="G630" s="13" t="s">
        <v>46</v>
      </c>
      <c r="H630" s="13">
        <v>26.3</v>
      </c>
      <c r="I630" s="13" t="s">
        <v>46</v>
      </c>
      <c r="K630" s="13" t="s">
        <v>868</v>
      </c>
      <c r="L630" s="13" t="s">
        <v>869</v>
      </c>
      <c r="N630" s="13" t="s">
        <v>61</v>
      </c>
      <c r="O630" s="13" t="s">
        <v>642</v>
      </c>
      <c r="P630" s="13" t="s">
        <v>62</v>
      </c>
      <c r="Q630" s="13" t="s">
        <v>48</v>
      </c>
      <c r="R630" s="4">
        <v>3</v>
      </c>
      <c r="S630" s="13" t="s">
        <v>596</v>
      </c>
      <c r="T630" s="13">
        <v>90</v>
      </c>
      <c r="U630" s="4" t="s">
        <v>232</v>
      </c>
      <c r="V630" s="4">
        <v>300</v>
      </c>
      <c r="W630" s="4" t="s">
        <v>42</v>
      </c>
      <c r="X630" s="4">
        <v>205.5</v>
      </c>
      <c r="Y630" s="4">
        <v>16</v>
      </c>
      <c r="AA630" s="4" t="s">
        <v>49</v>
      </c>
      <c r="AB630" s="4">
        <v>0</v>
      </c>
      <c r="AC630" s="4" t="s">
        <v>49</v>
      </c>
      <c r="AD630" s="4">
        <v>0</v>
      </c>
      <c r="AE630" s="4" t="s">
        <v>50</v>
      </c>
      <c r="AF630" s="4">
        <v>16</v>
      </c>
      <c r="AG630" s="4" t="s">
        <v>790</v>
      </c>
      <c r="AH630" s="4" t="s">
        <v>789</v>
      </c>
      <c r="AI630" s="4" t="s">
        <v>64</v>
      </c>
      <c r="AJ630" s="13">
        <v>0</v>
      </c>
      <c r="AK630" s="13">
        <v>20</v>
      </c>
      <c r="AL630" s="13" t="s">
        <v>516</v>
      </c>
      <c r="AO630" s="13" t="s">
        <v>517</v>
      </c>
      <c r="AP630" s="13" t="s">
        <v>50</v>
      </c>
      <c r="AQ630" s="13" t="s">
        <v>49</v>
      </c>
      <c r="AR630" s="13" t="s">
        <v>50</v>
      </c>
      <c r="AS630" s="13" t="s">
        <v>49</v>
      </c>
      <c r="AT630" s="13" t="s">
        <v>995</v>
      </c>
      <c r="AU630" s="13" t="s">
        <v>1002</v>
      </c>
      <c r="AV630" s="14">
        <f>32.06/800</f>
        <v>4.0075E-2</v>
      </c>
      <c r="AW630" s="14">
        <f>31.1/800</f>
        <v>3.8875E-2</v>
      </c>
      <c r="AX630" s="14">
        <f>Table1347456[[#This Row],[treatment_mean]]/Table1347456[[#This Row],[control_mean]]</f>
        <v>1.0308681672025723</v>
      </c>
      <c r="AY630" s="14">
        <f>LN(Table1347456[[#This Row],[rr]])</f>
        <v>3.0401327996218447E-2</v>
      </c>
      <c r="AZ630" s="13">
        <v>3</v>
      </c>
      <c r="BA630" s="13">
        <v>3</v>
      </c>
      <c r="BB630" s="14">
        <f>Table1347456[[#This Row],[treatment_sd]]*Table1347456[[#This Row],[treatment_n]]</f>
        <v>9.1816052518064618E-3</v>
      </c>
      <c r="BC630" s="14">
        <f>Table1347456[[#This Row],[control_sd]]*Table1347456[[#This Row],[control_n]]</f>
        <v>4.2904326704890725E-3</v>
      </c>
      <c r="BD630" s="15">
        <f>SQRT(5.9948)/800</f>
        <v>3.0605350839354871E-3</v>
      </c>
      <c r="BE630" s="14">
        <f>SQRT(1.309)/800</f>
        <v>1.4301442234963577E-3</v>
      </c>
      <c r="BF63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2.3952606973150492E-3</v>
      </c>
      <c r="BG630" s="17">
        <f>SQRT(Table1347456[[#This Row],[v_from_sd_and_n]])</f>
        <v>4.8941400647254156E-2</v>
      </c>
      <c r="BH630" s="13" t="s">
        <v>50</v>
      </c>
      <c r="BI630" s="13">
        <v>2.5000000000000001E-2</v>
      </c>
      <c r="BJ630" s="18">
        <f>ABS(_xlfn.NORM.S.INV(Table1347456[[#This Row],[p_value]]/2))</f>
        <v>2.2414027276049446</v>
      </c>
      <c r="BK630" s="19">
        <f>(Table1347456[[#This Row],[lnrr]]/Table1347456[[#This Row],[z_from_p]])^2</f>
        <v>1.8396928383197192E-4</v>
      </c>
      <c r="BL630" s="16">
        <f>Table1347456[[#This Row],[v_from_sd_and_n]]</f>
        <v>2.3952606973150492E-3</v>
      </c>
      <c r="BM630" s="20">
        <f>SQRT(Table1347456[[#This Row],[v]])</f>
        <v>4.8941400647254156E-2</v>
      </c>
      <c r="BN630" s="20">
        <f>Table1347456[[#This Row],[lnrr]]-(1.96*Table1347456[[#This Row],[se]])</f>
        <v>-6.5523817272399698E-2</v>
      </c>
      <c r="BO630" s="20">
        <f>Table1347456[[#This Row],[lnrr]]+(1.96 * Table1347456[[#This Row],[se]])</f>
        <v>0.12632647326483659</v>
      </c>
    </row>
    <row r="631" spans="1:67">
      <c r="A631" s="13" t="s">
        <v>228</v>
      </c>
      <c r="B631" s="13" t="s">
        <v>229</v>
      </c>
      <c r="C631" s="13" t="s">
        <v>43</v>
      </c>
      <c r="D631" s="13" t="s">
        <v>230</v>
      </c>
      <c r="E631" s="13" t="s">
        <v>231</v>
      </c>
      <c r="F631" s="13" t="s">
        <v>586</v>
      </c>
      <c r="G631" s="13" t="s">
        <v>46</v>
      </c>
      <c r="H631" s="13">
        <v>26.3</v>
      </c>
      <c r="I631" s="13" t="s">
        <v>46</v>
      </c>
      <c r="K631" s="13" t="s">
        <v>868</v>
      </c>
      <c r="L631" s="13" t="s">
        <v>869</v>
      </c>
      <c r="N631" s="13" t="s">
        <v>61</v>
      </c>
      <c r="O631" s="13" t="s">
        <v>642</v>
      </c>
      <c r="P631" s="13" t="s">
        <v>62</v>
      </c>
      <c r="Q631" s="13" t="s">
        <v>48</v>
      </c>
      <c r="R631" s="4">
        <v>3</v>
      </c>
      <c r="S631" s="13" t="s">
        <v>596</v>
      </c>
      <c r="T631" s="13">
        <v>90</v>
      </c>
      <c r="U631" s="4" t="s">
        <v>233</v>
      </c>
      <c r="V631" s="4">
        <v>300</v>
      </c>
      <c r="W631" s="4" t="s">
        <v>42</v>
      </c>
      <c r="X631" s="4">
        <v>466</v>
      </c>
      <c r="Y631" s="4">
        <v>16</v>
      </c>
      <c r="AA631" s="4" t="s">
        <v>49</v>
      </c>
      <c r="AB631" s="4">
        <v>0</v>
      </c>
      <c r="AC631" s="4" t="s">
        <v>49</v>
      </c>
      <c r="AD631" s="4">
        <v>0</v>
      </c>
      <c r="AE631" s="4" t="s">
        <v>49</v>
      </c>
      <c r="AF631" s="4">
        <v>0</v>
      </c>
      <c r="AG631" s="4" t="s">
        <v>718</v>
      </c>
      <c r="AH631" s="4" t="s">
        <v>789</v>
      </c>
      <c r="AI631" s="4" t="s">
        <v>64</v>
      </c>
      <c r="AJ631" s="13">
        <v>0</v>
      </c>
      <c r="AK631" s="13">
        <v>20</v>
      </c>
      <c r="AL631" s="13" t="s">
        <v>516</v>
      </c>
      <c r="AO631" s="13" t="s">
        <v>517</v>
      </c>
      <c r="AP631" s="13" t="s">
        <v>50</v>
      </c>
      <c r="AQ631" s="13" t="s">
        <v>49</v>
      </c>
      <c r="AR631" s="13" t="s">
        <v>50</v>
      </c>
      <c r="AS631" s="13" t="s">
        <v>49</v>
      </c>
      <c r="AT631" s="13" t="s">
        <v>990</v>
      </c>
      <c r="AU631" s="13" t="s">
        <v>998</v>
      </c>
      <c r="AV631" s="14">
        <f>31.88/800</f>
        <v>3.9849999999999997E-2</v>
      </c>
      <c r="AW631" s="14">
        <f>30.38/800</f>
        <v>3.7975000000000002E-2</v>
      </c>
      <c r="AX631" s="14">
        <f>Table1347456[[#This Row],[treatment_mean]]/Table1347456[[#This Row],[control_mean]]</f>
        <v>1.0493745885450954</v>
      </c>
      <c r="AY631" s="14">
        <f>LN(Table1347456[[#This Row],[rr]])</f>
        <v>4.8194356754387394E-2</v>
      </c>
      <c r="AZ631" s="13">
        <v>3</v>
      </c>
      <c r="BA631" s="13">
        <v>3</v>
      </c>
      <c r="BB631" s="14">
        <f>Table1347456[[#This Row],[treatment_sd]]*Table1347456[[#This Row],[treatment_n]]</f>
        <v>3.2678117534903992E-3</v>
      </c>
      <c r="BC631" s="14">
        <f>Table1347456[[#This Row],[control_sd]]*Table1347456[[#This Row],[control_n]]</f>
        <v>8.2449132016731985E-3</v>
      </c>
      <c r="BD631" s="15">
        <f>SQRT(0.75936666)/800</f>
        <v>1.0892705844967997E-3</v>
      </c>
      <c r="BE631" s="14">
        <f>SQRT(4.83403333)/800</f>
        <v>2.7483044005577328E-3</v>
      </c>
      <c r="BF63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1.9949278674055108E-3</v>
      </c>
      <c r="BG631" s="17">
        <f>SQRT(Table1347456[[#This Row],[v_from_sd_and_n]])</f>
        <v>4.4664615384054418E-2</v>
      </c>
      <c r="BH631" s="13" t="s">
        <v>50</v>
      </c>
      <c r="BI631" s="13">
        <v>2.5000000000000001E-2</v>
      </c>
      <c r="BJ631" s="18">
        <f>ABS(_xlfn.NORM.S.INV(Table1347456[[#This Row],[p_value]]/2))</f>
        <v>2.2414027276049446</v>
      </c>
      <c r="BK631" s="19">
        <f>(Table1347456[[#This Row],[lnrr]]/Table1347456[[#This Row],[z_from_p]])^2</f>
        <v>4.6233054180922368E-4</v>
      </c>
      <c r="BL631" s="16">
        <f>Table1347456[[#This Row],[v_from_sd_and_n]]</f>
        <v>1.9949278674055108E-3</v>
      </c>
      <c r="BM631" s="20">
        <f>SQRT(Table1347456[[#This Row],[v]])</f>
        <v>4.4664615384054418E-2</v>
      </c>
      <c r="BN631" s="20">
        <f>Table1347456[[#This Row],[lnrr]]-(1.96*Table1347456[[#This Row],[se]])</f>
        <v>-3.9348289398359271E-2</v>
      </c>
      <c r="BO631" s="20">
        <f>Table1347456[[#This Row],[lnrr]]+(1.96 * Table1347456[[#This Row],[se]])</f>
        <v>0.13573700290713406</v>
      </c>
    </row>
    <row r="632" spans="1:67">
      <c r="A632" s="13" t="s">
        <v>228</v>
      </c>
      <c r="B632" s="13" t="s">
        <v>229</v>
      </c>
      <c r="C632" s="13" t="s">
        <v>43</v>
      </c>
      <c r="D632" s="13" t="s">
        <v>230</v>
      </c>
      <c r="E632" s="13" t="s">
        <v>231</v>
      </c>
      <c r="F632" s="13" t="s">
        <v>586</v>
      </c>
      <c r="G632" s="13" t="s">
        <v>46</v>
      </c>
      <c r="H632" s="13">
        <v>26.3</v>
      </c>
      <c r="I632" s="13" t="s">
        <v>46</v>
      </c>
      <c r="K632" s="13" t="s">
        <v>868</v>
      </c>
      <c r="L632" s="13" t="s">
        <v>869</v>
      </c>
      <c r="N632" s="13" t="s">
        <v>61</v>
      </c>
      <c r="O632" s="13" t="s">
        <v>642</v>
      </c>
      <c r="P632" s="13" t="s">
        <v>62</v>
      </c>
      <c r="Q632" s="13" t="s">
        <v>48</v>
      </c>
      <c r="R632" s="4">
        <v>3</v>
      </c>
      <c r="S632" s="13" t="s">
        <v>596</v>
      </c>
      <c r="T632" s="13">
        <v>90</v>
      </c>
      <c r="U632" s="4" t="s">
        <v>233</v>
      </c>
      <c r="V632" s="4">
        <v>300</v>
      </c>
      <c r="W632" s="4" t="s">
        <v>42</v>
      </c>
      <c r="X632" s="4">
        <v>466</v>
      </c>
      <c r="Y632" s="4">
        <v>16</v>
      </c>
      <c r="AA632" s="4" t="s">
        <v>49</v>
      </c>
      <c r="AB632" s="4">
        <v>0</v>
      </c>
      <c r="AC632" s="4" t="s">
        <v>49</v>
      </c>
      <c r="AD632" s="4">
        <v>0</v>
      </c>
      <c r="AE632" s="4" t="s">
        <v>50</v>
      </c>
      <c r="AF632" s="4">
        <v>16</v>
      </c>
      <c r="AG632" s="4" t="s">
        <v>718</v>
      </c>
      <c r="AH632" s="4" t="s">
        <v>789</v>
      </c>
      <c r="AI632" s="4" t="s">
        <v>64</v>
      </c>
      <c r="AJ632" s="13">
        <v>0</v>
      </c>
      <c r="AK632" s="13">
        <v>20</v>
      </c>
      <c r="AL632" s="13" t="s">
        <v>516</v>
      </c>
      <c r="AO632" s="13" t="s">
        <v>517</v>
      </c>
      <c r="AP632" s="13" t="s">
        <v>50</v>
      </c>
      <c r="AQ632" s="13" t="s">
        <v>49</v>
      </c>
      <c r="AR632" s="13" t="s">
        <v>50</v>
      </c>
      <c r="AS632" s="13" t="s">
        <v>49</v>
      </c>
      <c r="AT632" s="13" t="s">
        <v>995</v>
      </c>
      <c r="AU632" s="13" t="s">
        <v>1002</v>
      </c>
      <c r="AV632" s="14">
        <f>31.55/800</f>
        <v>3.94375E-2</v>
      </c>
      <c r="AW632" s="14">
        <f>30.38/800</f>
        <v>3.7975000000000002E-2</v>
      </c>
      <c r="AX632" s="14">
        <f>Table1347456[[#This Row],[treatment_mean]]/Table1347456[[#This Row],[control_mean]]</f>
        <v>1.0385121790651743</v>
      </c>
      <c r="AY632" s="14">
        <f>LN(Table1347456[[#This Row],[rr]])</f>
        <v>3.7789091819595257E-2</v>
      </c>
      <c r="AZ632" s="13">
        <v>3</v>
      </c>
      <c r="BA632" s="13">
        <v>3</v>
      </c>
      <c r="BB632" s="14">
        <f>Table1347456[[#This Row],[treatment_sd]]*Table1347456[[#This Row],[treatment_n]]</f>
        <v>5.9001853744712974E-3</v>
      </c>
      <c r="BC632" s="14">
        <f>Table1347456[[#This Row],[control_sd]]*Table1347456[[#This Row],[control_n]]</f>
        <v>4.2904326704890725E-3</v>
      </c>
      <c r="BD632" s="15">
        <f>SQRT(2.47553333)/800</f>
        <v>1.9667284581570991E-3</v>
      </c>
      <c r="BE632" s="14">
        <f>SQRT(1.309)/800</f>
        <v>1.4301442234963577E-3</v>
      </c>
      <c r="BF63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1.3017513711961765E-3</v>
      </c>
      <c r="BG632" s="17">
        <f>SQRT(Table1347456[[#This Row],[v_from_sd_and_n]])</f>
        <v>3.6079791728835915E-2</v>
      </c>
      <c r="BH632" s="13" t="s">
        <v>50</v>
      </c>
      <c r="BI632" s="13">
        <v>2.5000000000000001E-2</v>
      </c>
      <c r="BJ632" s="18">
        <f>ABS(_xlfn.NORM.S.INV(Table1347456[[#This Row],[p_value]]/2))</f>
        <v>2.2414027276049446</v>
      </c>
      <c r="BK632" s="19">
        <f>(Table1347456[[#This Row],[lnrr]]/Table1347456[[#This Row],[z_from_p]])^2</f>
        <v>2.8424518536177912E-4</v>
      </c>
      <c r="BL632" s="16">
        <f>Table1347456[[#This Row],[v_from_sd_and_n]]</f>
        <v>1.3017513711961765E-3</v>
      </c>
      <c r="BM632" s="20">
        <f>SQRT(Table1347456[[#This Row],[v]])</f>
        <v>3.6079791728835915E-2</v>
      </c>
      <c r="BN632" s="20">
        <f>Table1347456[[#This Row],[lnrr]]-(1.96*Table1347456[[#This Row],[se]])</f>
        <v>-3.2927299968923136E-2</v>
      </c>
      <c r="BO632" s="20">
        <f>Table1347456[[#This Row],[lnrr]]+(1.96 * Table1347456[[#This Row],[se]])</f>
        <v>0.10850548360811366</v>
      </c>
    </row>
    <row r="633" spans="1:67">
      <c r="A633" s="13" t="s">
        <v>228</v>
      </c>
      <c r="B633" s="13" t="s">
        <v>229</v>
      </c>
      <c r="C633" s="13" t="s">
        <v>43</v>
      </c>
      <c r="D633" s="13" t="s">
        <v>230</v>
      </c>
      <c r="E633" s="13" t="s">
        <v>231</v>
      </c>
      <c r="F633" s="13" t="s">
        <v>586</v>
      </c>
      <c r="G633" s="13" t="s">
        <v>46</v>
      </c>
      <c r="H633" s="13">
        <v>26.3</v>
      </c>
      <c r="I633" s="13" t="s">
        <v>46</v>
      </c>
      <c r="K633" s="13" t="s">
        <v>868</v>
      </c>
      <c r="L633" s="13" t="s">
        <v>869</v>
      </c>
      <c r="N633" s="13" t="s">
        <v>80</v>
      </c>
      <c r="O633" s="13" t="s">
        <v>642</v>
      </c>
      <c r="P633" s="13" t="s">
        <v>62</v>
      </c>
      <c r="Q633" s="13" t="s">
        <v>48</v>
      </c>
      <c r="R633" s="4">
        <v>3</v>
      </c>
      <c r="S633" s="13" t="s">
        <v>596</v>
      </c>
      <c r="T633" s="13">
        <v>90</v>
      </c>
      <c r="U633" s="4" t="s">
        <v>232</v>
      </c>
      <c r="V633" s="4">
        <v>300</v>
      </c>
      <c r="W633" s="4" t="s">
        <v>42</v>
      </c>
      <c r="X633" s="4">
        <v>205.5</v>
      </c>
      <c r="Y633" s="4">
        <v>16</v>
      </c>
      <c r="AA633" s="4" t="s">
        <v>49</v>
      </c>
      <c r="AB633" s="4">
        <v>0</v>
      </c>
      <c r="AC633" s="4" t="s">
        <v>49</v>
      </c>
      <c r="AD633" s="4">
        <v>0</v>
      </c>
      <c r="AE633" s="4" t="s">
        <v>49</v>
      </c>
      <c r="AF633" s="4">
        <v>0</v>
      </c>
      <c r="AG633" s="4" t="s">
        <v>790</v>
      </c>
      <c r="AH633" s="4" t="s">
        <v>789</v>
      </c>
      <c r="AI633" s="4" t="s">
        <v>64</v>
      </c>
      <c r="AJ633" s="13">
        <v>0</v>
      </c>
      <c r="AK633" s="13">
        <v>20</v>
      </c>
      <c r="AL633" s="13" t="s">
        <v>516</v>
      </c>
      <c r="AO633" s="13" t="s">
        <v>517</v>
      </c>
      <c r="AP633" s="13" t="s">
        <v>50</v>
      </c>
      <c r="AQ633" s="13" t="s">
        <v>49</v>
      </c>
      <c r="AR633" s="13" t="s">
        <v>50</v>
      </c>
      <c r="AS633" s="13" t="s">
        <v>49</v>
      </c>
      <c r="AT633" s="13" t="s">
        <v>990</v>
      </c>
      <c r="AU633" s="13" t="s">
        <v>998</v>
      </c>
      <c r="AV633" s="14">
        <f>63.32/800</f>
        <v>7.9149999999999998E-2</v>
      </c>
      <c r="AW633" s="14">
        <f>47.64/800</f>
        <v>5.9549999999999999E-2</v>
      </c>
      <c r="AX633" s="14">
        <f>Table1347456[[#This Row],[treatment_mean]]/Table1347456[[#This Row],[control_mean]]</f>
        <v>1.3291351805205709</v>
      </c>
      <c r="AY633" s="14">
        <f>LN(Table1347456[[#This Row],[rr]])</f>
        <v>0.284528490525712</v>
      </c>
      <c r="AZ633" s="13">
        <v>3</v>
      </c>
      <c r="BA633" s="13">
        <v>3</v>
      </c>
      <c r="BB633" s="14">
        <f>Table1347456[[#This Row],[treatment_sd]]*Table1347456[[#This Row],[treatment_n]]</f>
        <v>1.2930795360543373E-2</v>
      </c>
      <c r="BC633" s="14">
        <f>Table1347456[[#This Row],[control_sd]]*Table1347456[[#This Row],[control_n]]</f>
        <v>1.1934881907930635E-2</v>
      </c>
      <c r="BD633" s="15">
        <f>SQRT(11.89016666)/800</f>
        <v>4.3102651201811244E-3</v>
      </c>
      <c r="BE633" s="14">
        <f>SQRT(10.12916666)/800</f>
        <v>3.9782939693102119E-3</v>
      </c>
      <c r="BF63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2.4761967214121886E-3</v>
      </c>
      <c r="BG633" s="17">
        <f>SQRT(Table1347456[[#This Row],[v_from_sd_and_n]])</f>
        <v>4.976139790452222E-2</v>
      </c>
      <c r="BH633" s="13" t="s">
        <v>50</v>
      </c>
      <c r="BI633" s="13">
        <v>2.5000000000000001E-2</v>
      </c>
      <c r="BJ633" s="18">
        <f>ABS(_xlfn.NORM.S.INV(Table1347456[[#This Row],[p_value]]/2))</f>
        <v>2.2414027276049446</v>
      </c>
      <c r="BK633" s="19">
        <f>(Table1347456[[#This Row],[lnrr]]/Table1347456[[#This Row],[z_from_p]])^2</f>
        <v>1.6114310496374712E-2</v>
      </c>
      <c r="BL633" s="16">
        <f>Table1347456[[#This Row],[v_from_sd_and_n]]</f>
        <v>2.4761967214121886E-3</v>
      </c>
      <c r="BM633" s="20">
        <f>SQRT(Table1347456[[#This Row],[v]])</f>
        <v>4.976139790452222E-2</v>
      </c>
      <c r="BN633" s="20">
        <f>Table1347456[[#This Row],[lnrr]]-(1.96*Table1347456[[#This Row],[se]])</f>
        <v>0.18699615063284847</v>
      </c>
      <c r="BO633" s="20">
        <f>Table1347456[[#This Row],[lnrr]]+(1.96 * Table1347456[[#This Row],[se]])</f>
        <v>0.38206083041857553</v>
      </c>
    </row>
    <row r="634" spans="1:67">
      <c r="A634" s="13" t="s">
        <v>228</v>
      </c>
      <c r="B634" s="13" t="s">
        <v>229</v>
      </c>
      <c r="C634" s="13" t="s">
        <v>43</v>
      </c>
      <c r="D634" s="13" t="s">
        <v>230</v>
      </c>
      <c r="E634" s="13" t="s">
        <v>231</v>
      </c>
      <c r="F634" s="13" t="s">
        <v>586</v>
      </c>
      <c r="G634" s="13" t="s">
        <v>46</v>
      </c>
      <c r="H634" s="13">
        <v>26.3</v>
      </c>
      <c r="I634" s="13" t="s">
        <v>46</v>
      </c>
      <c r="K634" s="13" t="s">
        <v>868</v>
      </c>
      <c r="L634" s="13" t="s">
        <v>869</v>
      </c>
      <c r="N634" s="13" t="s">
        <v>80</v>
      </c>
      <c r="O634" s="13" t="s">
        <v>642</v>
      </c>
      <c r="P634" s="13" t="s">
        <v>62</v>
      </c>
      <c r="Q634" s="13" t="s">
        <v>48</v>
      </c>
      <c r="R634" s="4">
        <v>3</v>
      </c>
      <c r="S634" s="13" t="s">
        <v>596</v>
      </c>
      <c r="T634" s="13">
        <v>90</v>
      </c>
      <c r="U634" s="4" t="s">
        <v>232</v>
      </c>
      <c r="V634" s="4">
        <v>300</v>
      </c>
      <c r="W634" s="4" t="s">
        <v>42</v>
      </c>
      <c r="X634" s="4">
        <v>205.5</v>
      </c>
      <c r="Y634" s="4">
        <v>16</v>
      </c>
      <c r="AA634" s="4" t="s">
        <v>49</v>
      </c>
      <c r="AB634" s="4">
        <v>0</v>
      </c>
      <c r="AC634" s="4" t="s">
        <v>49</v>
      </c>
      <c r="AD634" s="4">
        <v>0</v>
      </c>
      <c r="AE634" s="4" t="s">
        <v>50</v>
      </c>
      <c r="AF634" s="4">
        <v>16</v>
      </c>
      <c r="AG634" s="4" t="s">
        <v>790</v>
      </c>
      <c r="AH634" s="4" t="s">
        <v>789</v>
      </c>
      <c r="AI634" s="4" t="s">
        <v>64</v>
      </c>
      <c r="AJ634" s="13">
        <v>0</v>
      </c>
      <c r="AK634" s="13">
        <v>20</v>
      </c>
      <c r="AL634" s="13" t="s">
        <v>516</v>
      </c>
      <c r="AO634" s="13" t="s">
        <v>517</v>
      </c>
      <c r="AP634" s="13" t="s">
        <v>50</v>
      </c>
      <c r="AQ634" s="13" t="s">
        <v>49</v>
      </c>
      <c r="AR634" s="13" t="s">
        <v>50</v>
      </c>
      <c r="AS634" s="13" t="s">
        <v>49</v>
      </c>
      <c r="AT634" s="13" t="s">
        <v>995</v>
      </c>
      <c r="AU634" s="13" t="s">
        <v>1002</v>
      </c>
      <c r="AV634" s="14">
        <f>53.5/800</f>
        <v>6.6875000000000004E-2</v>
      </c>
      <c r="AW634" s="14">
        <f>62.37/800</f>
        <v>7.796249999999999E-2</v>
      </c>
      <c r="AX634" s="14">
        <f>Table1347456[[#This Row],[treatment_mean]]/Table1347456[[#This Row],[control_mean]]</f>
        <v>0.85778419111752457</v>
      </c>
      <c r="AY634" s="14">
        <f>LN(Table1347456[[#This Row],[rr]])</f>
        <v>-0.15340273663607024</v>
      </c>
      <c r="AZ634" s="13">
        <v>3</v>
      </c>
      <c r="BA634" s="13">
        <v>3</v>
      </c>
      <c r="BB634" s="14">
        <f>Table1347456[[#This Row],[treatment_sd]]*Table1347456[[#This Row],[treatment_n]]</f>
        <v>9.9318144065548269E-3</v>
      </c>
      <c r="BC634" s="14">
        <f>Table1347456[[#This Row],[control_sd]]*Table1347456[[#This Row],[control_n]]</f>
        <v>6.7036603737249401E-3</v>
      </c>
      <c r="BD634" s="15">
        <f>SQRT(7.01446666)/800</f>
        <v>3.3106048021849421E-3</v>
      </c>
      <c r="BE634" s="14">
        <f>SQRT(3.19566666)/800</f>
        <v>2.2345534579083135E-3</v>
      </c>
      <c r="BF63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1.0907291018077163E-3</v>
      </c>
      <c r="BG634" s="17">
        <f>SQRT(Table1347456[[#This Row],[v_from_sd_and_n]])</f>
        <v>3.3026188121061083E-2</v>
      </c>
      <c r="BH634" s="13" t="s">
        <v>50</v>
      </c>
      <c r="BI634" s="13">
        <v>2.5000000000000001E-2</v>
      </c>
      <c r="BJ634" s="18">
        <f>ABS(_xlfn.NORM.S.INV(Table1347456[[#This Row],[p_value]]/2))</f>
        <v>2.2414027276049446</v>
      </c>
      <c r="BK634" s="19">
        <f>(Table1347456[[#This Row],[lnrr]]/Table1347456[[#This Row],[z_from_p]])^2</f>
        <v>4.6841028498722575E-3</v>
      </c>
      <c r="BL634" s="16">
        <f>Table1347456[[#This Row],[v_from_sd_and_n]]</f>
        <v>1.0907291018077163E-3</v>
      </c>
      <c r="BM634" s="20">
        <f>SQRT(Table1347456[[#This Row],[v]])</f>
        <v>3.3026188121061083E-2</v>
      </c>
      <c r="BN634" s="20">
        <f>Table1347456[[#This Row],[lnrr]]-(1.96*Table1347456[[#This Row],[se]])</f>
        <v>-0.21813406535334995</v>
      </c>
      <c r="BO634" s="20">
        <f>Table1347456[[#This Row],[lnrr]]+(1.96 * Table1347456[[#This Row],[se]])</f>
        <v>-8.867140791879051E-2</v>
      </c>
    </row>
    <row r="635" spans="1:67">
      <c r="A635" s="13" t="s">
        <v>228</v>
      </c>
      <c r="B635" s="13" t="s">
        <v>229</v>
      </c>
      <c r="C635" s="13" t="s">
        <v>43</v>
      </c>
      <c r="D635" s="13" t="s">
        <v>230</v>
      </c>
      <c r="E635" s="13" t="s">
        <v>231</v>
      </c>
      <c r="F635" s="13" t="s">
        <v>586</v>
      </c>
      <c r="G635" s="13" t="s">
        <v>46</v>
      </c>
      <c r="H635" s="13">
        <v>26.3</v>
      </c>
      <c r="I635" s="13" t="s">
        <v>46</v>
      </c>
      <c r="K635" s="13" t="s">
        <v>868</v>
      </c>
      <c r="L635" s="13" t="s">
        <v>869</v>
      </c>
      <c r="N635" s="13" t="s">
        <v>80</v>
      </c>
      <c r="O635" s="13" t="s">
        <v>642</v>
      </c>
      <c r="P635" s="13" t="s">
        <v>62</v>
      </c>
      <c r="Q635" s="13" t="s">
        <v>48</v>
      </c>
      <c r="R635" s="4">
        <v>3</v>
      </c>
      <c r="S635" s="13" t="s">
        <v>596</v>
      </c>
      <c r="T635" s="13">
        <v>90</v>
      </c>
      <c r="U635" s="4" t="s">
        <v>233</v>
      </c>
      <c r="V635" s="4">
        <v>300</v>
      </c>
      <c r="W635" s="4" t="s">
        <v>42</v>
      </c>
      <c r="X635" s="4">
        <v>466</v>
      </c>
      <c r="Y635" s="4">
        <v>16</v>
      </c>
      <c r="AA635" s="4" t="s">
        <v>49</v>
      </c>
      <c r="AB635" s="4">
        <v>0</v>
      </c>
      <c r="AC635" s="4" t="s">
        <v>49</v>
      </c>
      <c r="AD635" s="4">
        <v>0</v>
      </c>
      <c r="AE635" s="4" t="s">
        <v>49</v>
      </c>
      <c r="AF635" s="4">
        <v>0</v>
      </c>
      <c r="AG635" s="4" t="s">
        <v>718</v>
      </c>
      <c r="AH635" s="4" t="s">
        <v>789</v>
      </c>
      <c r="AI635" s="4" t="s">
        <v>64</v>
      </c>
      <c r="AJ635" s="13">
        <v>0</v>
      </c>
      <c r="AK635" s="13">
        <v>20</v>
      </c>
      <c r="AL635" s="13" t="s">
        <v>516</v>
      </c>
      <c r="AO635" s="13" t="s">
        <v>517</v>
      </c>
      <c r="AP635" s="13" t="s">
        <v>50</v>
      </c>
      <c r="AQ635" s="13" t="s">
        <v>49</v>
      </c>
      <c r="AR635" s="13" t="s">
        <v>50</v>
      </c>
      <c r="AS635" s="13" t="s">
        <v>49</v>
      </c>
      <c r="AT635" s="13" t="s">
        <v>990</v>
      </c>
      <c r="AU635" s="13" t="s">
        <v>998</v>
      </c>
      <c r="AV635" s="14">
        <f>79.18/800</f>
        <v>9.8975000000000007E-2</v>
      </c>
      <c r="AW635" s="14">
        <f>47.64/800</f>
        <v>5.9549999999999999E-2</v>
      </c>
      <c r="AX635" s="14">
        <f>Table1347456[[#This Row],[treatment_mean]]/Table1347456[[#This Row],[control_mean]]</f>
        <v>1.6620486985726282</v>
      </c>
      <c r="AY635" s="14">
        <f>LN(Table1347456[[#This Row],[rr]])</f>
        <v>0.50805099719088531</v>
      </c>
      <c r="AZ635" s="13">
        <v>3</v>
      </c>
      <c r="BA635" s="13">
        <v>3</v>
      </c>
      <c r="BB635" s="14">
        <f>Table1347456[[#This Row],[treatment_sd]]*Table1347456[[#This Row],[treatment_n]]</f>
        <v>2.0734267378921905E-2</v>
      </c>
      <c r="BC635" s="14">
        <f>Table1347456[[#This Row],[control_sd]]*Table1347456[[#This Row],[control_n]]</f>
        <v>1.1934881907930635E-2</v>
      </c>
      <c r="BD635" s="15">
        <f>SQRT(30.571366666)/800</f>
        <v>6.911422459640635E-3</v>
      </c>
      <c r="BE635" s="14">
        <f>SQRT(10.12916666)/800</f>
        <v>3.9782939693102119E-3</v>
      </c>
      <c r="BF63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3.1130868455476477E-3</v>
      </c>
      <c r="BG635" s="17">
        <f>SQRT(Table1347456[[#This Row],[v_from_sd_and_n]])</f>
        <v>5.5795043198725525E-2</v>
      </c>
      <c r="BH635" s="13" t="s">
        <v>50</v>
      </c>
      <c r="BI635" s="13">
        <v>2.5000000000000001E-2</v>
      </c>
      <c r="BJ635" s="18">
        <f>ABS(_xlfn.NORM.S.INV(Table1347456[[#This Row],[p_value]]/2))</f>
        <v>2.2414027276049446</v>
      </c>
      <c r="BK635" s="19">
        <f>(Table1347456[[#This Row],[lnrr]]/Table1347456[[#This Row],[z_from_p]])^2</f>
        <v>5.137771958257837E-2</v>
      </c>
      <c r="BL635" s="16">
        <f>Table1347456[[#This Row],[v_from_sd_and_n]]</f>
        <v>3.1130868455476477E-3</v>
      </c>
      <c r="BM635" s="20">
        <f>SQRT(Table1347456[[#This Row],[v]])</f>
        <v>5.5795043198725525E-2</v>
      </c>
      <c r="BN635" s="20">
        <f>Table1347456[[#This Row],[lnrr]]-(1.96*Table1347456[[#This Row],[se]])</f>
        <v>0.39869271252138327</v>
      </c>
      <c r="BO635" s="20">
        <f>Table1347456[[#This Row],[lnrr]]+(1.96 * Table1347456[[#This Row],[se]])</f>
        <v>0.61740928186038735</v>
      </c>
    </row>
    <row r="636" spans="1:67">
      <c r="A636" s="13" t="s">
        <v>228</v>
      </c>
      <c r="B636" s="13" t="s">
        <v>229</v>
      </c>
      <c r="C636" s="13" t="s">
        <v>43</v>
      </c>
      <c r="D636" s="13" t="s">
        <v>230</v>
      </c>
      <c r="E636" s="13" t="s">
        <v>231</v>
      </c>
      <c r="F636" s="13" t="s">
        <v>586</v>
      </c>
      <c r="G636" s="13" t="s">
        <v>46</v>
      </c>
      <c r="H636" s="13">
        <v>26.3</v>
      </c>
      <c r="I636" s="13" t="s">
        <v>46</v>
      </c>
      <c r="K636" s="13" t="s">
        <v>868</v>
      </c>
      <c r="L636" s="13" t="s">
        <v>869</v>
      </c>
      <c r="N636" s="13" t="s">
        <v>80</v>
      </c>
      <c r="O636" s="13" t="s">
        <v>642</v>
      </c>
      <c r="P636" s="13" t="s">
        <v>62</v>
      </c>
      <c r="Q636" s="13" t="s">
        <v>48</v>
      </c>
      <c r="R636" s="4">
        <v>3</v>
      </c>
      <c r="S636" s="13" t="s">
        <v>596</v>
      </c>
      <c r="T636" s="13">
        <v>90</v>
      </c>
      <c r="U636" s="4" t="s">
        <v>233</v>
      </c>
      <c r="V636" s="4">
        <v>300</v>
      </c>
      <c r="W636" s="4" t="s">
        <v>42</v>
      </c>
      <c r="X636" s="4">
        <v>466</v>
      </c>
      <c r="Y636" s="4">
        <v>16</v>
      </c>
      <c r="AA636" s="4" t="s">
        <v>49</v>
      </c>
      <c r="AB636" s="4">
        <v>0</v>
      </c>
      <c r="AC636" s="4" t="s">
        <v>49</v>
      </c>
      <c r="AD636" s="4">
        <v>0</v>
      </c>
      <c r="AE636" s="4" t="s">
        <v>50</v>
      </c>
      <c r="AF636" s="4">
        <v>16</v>
      </c>
      <c r="AG636" s="4" t="s">
        <v>718</v>
      </c>
      <c r="AH636" s="4" t="s">
        <v>789</v>
      </c>
      <c r="AI636" s="4" t="s">
        <v>64</v>
      </c>
      <c r="AJ636" s="13">
        <v>0</v>
      </c>
      <c r="AK636" s="13">
        <v>20</v>
      </c>
      <c r="AL636" s="13" t="s">
        <v>516</v>
      </c>
      <c r="AO636" s="13" t="s">
        <v>517</v>
      </c>
      <c r="AP636" s="13" t="s">
        <v>50</v>
      </c>
      <c r="AQ636" s="13" t="s">
        <v>49</v>
      </c>
      <c r="AR636" s="13" t="s">
        <v>50</v>
      </c>
      <c r="AS636" s="13" t="s">
        <v>49</v>
      </c>
      <c r="AT636" s="13" t="s">
        <v>995</v>
      </c>
      <c r="AU636" s="13" t="s">
        <v>1002</v>
      </c>
      <c r="AV636" s="14">
        <f>86.63/800</f>
        <v>0.10828749999999999</v>
      </c>
      <c r="AW636" s="14">
        <f>62.37/800</f>
        <v>7.796249999999999E-2</v>
      </c>
      <c r="AX636" s="14">
        <f>Table1347456[[#This Row],[treatment_mean]]/Table1347456[[#This Row],[control_mean]]</f>
        <v>1.3889690556357224</v>
      </c>
      <c r="AY636" s="14">
        <f>LN(Table1347456[[#This Row],[rr]])</f>
        <v>0.32856178536401776</v>
      </c>
      <c r="AZ636" s="13">
        <v>3</v>
      </c>
      <c r="BA636" s="13">
        <v>3</v>
      </c>
      <c r="BB636" s="14">
        <f>Table1347456[[#This Row],[treatment_sd]]*Table1347456[[#This Row],[treatment_n]]</f>
        <v>1.9221643073710555E-2</v>
      </c>
      <c r="BC636" s="14">
        <f>Table1347456[[#This Row],[control_sd]]*Table1347456[[#This Row],[control_n]]</f>
        <v>4.2904326704890725E-3</v>
      </c>
      <c r="BD636" s="15">
        <f>SQRT(26.27353333)/800</f>
        <v>6.4072143579035189E-3</v>
      </c>
      <c r="BE636" s="14">
        <f>SQRT(1.309)/800</f>
        <v>1.4301442234963577E-3</v>
      </c>
      <c r="BF63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1.2791399009920092E-3</v>
      </c>
      <c r="BG636" s="17">
        <f>SQRT(Table1347456[[#This Row],[v_from_sd_and_n]])</f>
        <v>3.5765065371001478E-2</v>
      </c>
      <c r="BH636" s="13" t="s">
        <v>50</v>
      </c>
      <c r="BI636" s="13">
        <v>2.5000000000000001E-2</v>
      </c>
      <c r="BJ636" s="18">
        <f>ABS(_xlfn.NORM.S.INV(Table1347456[[#This Row],[p_value]]/2))</f>
        <v>2.2414027276049446</v>
      </c>
      <c r="BK636" s="19">
        <f>(Table1347456[[#This Row],[lnrr]]/Table1347456[[#This Row],[z_from_p]])^2</f>
        <v>2.1487916480705221E-2</v>
      </c>
      <c r="BL636" s="16">
        <f>Table1347456[[#This Row],[v_from_sd_and_n]]</f>
        <v>1.2791399009920092E-3</v>
      </c>
      <c r="BM636" s="20">
        <f>SQRT(Table1347456[[#This Row],[v]])</f>
        <v>3.5765065371001478E-2</v>
      </c>
      <c r="BN636" s="20">
        <f>Table1347456[[#This Row],[lnrr]]-(1.96*Table1347456[[#This Row],[se]])</f>
        <v>0.25846225723685484</v>
      </c>
      <c r="BO636" s="20">
        <f>Table1347456[[#This Row],[lnrr]]+(1.96 * Table1347456[[#This Row],[se]])</f>
        <v>0.39866131349118067</v>
      </c>
    </row>
    <row r="637" spans="1:67">
      <c r="A637" s="13" t="s">
        <v>234</v>
      </c>
      <c r="B637" s="13" t="s">
        <v>235</v>
      </c>
      <c r="C637" s="13" t="s">
        <v>236</v>
      </c>
      <c r="D637" s="13" t="s">
        <v>237</v>
      </c>
      <c r="E637" s="13" t="s">
        <v>238</v>
      </c>
      <c r="F637" s="13" t="s">
        <v>586</v>
      </c>
      <c r="G637" s="13" t="s">
        <v>46</v>
      </c>
      <c r="H637" s="13">
        <v>15</v>
      </c>
      <c r="I637" s="13">
        <v>121.5</v>
      </c>
      <c r="K637" s="13" t="s">
        <v>870</v>
      </c>
      <c r="L637" s="13" t="s">
        <v>871</v>
      </c>
      <c r="N637" s="13" t="s">
        <v>239</v>
      </c>
      <c r="O637" s="13" t="s">
        <v>54</v>
      </c>
      <c r="P637" s="13" t="s">
        <v>240</v>
      </c>
      <c r="Q637" s="13" t="s">
        <v>640</v>
      </c>
      <c r="R637" s="4">
        <v>4</v>
      </c>
      <c r="S637" s="13" t="s">
        <v>594</v>
      </c>
      <c r="T637" s="13">
        <v>150</v>
      </c>
      <c r="U637" s="4" t="s">
        <v>186</v>
      </c>
      <c r="V637" s="4">
        <v>500</v>
      </c>
      <c r="W637" s="4" t="s">
        <v>601</v>
      </c>
      <c r="X637" s="4">
        <v>606.1</v>
      </c>
      <c r="Y637" s="4">
        <v>5</v>
      </c>
      <c r="AA637" s="4" t="s">
        <v>49</v>
      </c>
      <c r="AB637" s="4">
        <v>0</v>
      </c>
      <c r="AC637" s="4" t="s">
        <v>49</v>
      </c>
      <c r="AD637" s="4">
        <v>0</v>
      </c>
      <c r="AE637" s="4" t="s">
        <v>49</v>
      </c>
      <c r="AF637" s="4" t="s">
        <v>677</v>
      </c>
      <c r="AG637" s="4" t="s">
        <v>747</v>
      </c>
      <c r="AH637" s="4" t="s">
        <v>746</v>
      </c>
      <c r="AI637" s="4" t="s">
        <v>241</v>
      </c>
      <c r="AJ637" s="13">
        <v>0</v>
      </c>
      <c r="AK637" s="13">
        <v>5</v>
      </c>
      <c r="AP637" s="13" t="s">
        <v>49</v>
      </c>
      <c r="AQ637" s="13" t="s">
        <v>49</v>
      </c>
      <c r="AR637" s="13" t="s">
        <v>49</v>
      </c>
      <c r="AS637" s="13" t="s">
        <v>49</v>
      </c>
      <c r="AT637" s="13" t="s">
        <v>990</v>
      </c>
      <c r="AU637" s="13" t="s">
        <v>998</v>
      </c>
      <c r="AV637" s="14">
        <f>3.22/1000</f>
        <v>3.2200000000000002E-3</v>
      </c>
      <c r="AW637" s="14">
        <f>2.21/1000</f>
        <v>2.2100000000000002E-3</v>
      </c>
      <c r="AX637" s="14">
        <f>Table1347456[[#This Row],[treatment_mean]]/Table1347456[[#This Row],[control_mean]]</f>
        <v>1.4570135746606334</v>
      </c>
      <c r="AY637" s="14">
        <f>LN(Table1347456[[#This Row],[rr]])</f>
        <v>0.37638884402665546</v>
      </c>
      <c r="AZ637" s="13">
        <v>4</v>
      </c>
      <c r="BA637" s="13">
        <v>4</v>
      </c>
      <c r="BB637" s="14">
        <f>1.26/1000</f>
        <v>1.2600000000000001E-3</v>
      </c>
      <c r="BC637" s="14">
        <f>0.59/1000</f>
        <v>5.8999999999999992E-4</v>
      </c>
      <c r="BD637" s="15">
        <f>Table1347456[[#This Row],[treatment_se]]*SQRT(Table1347456[[#This Row],[treatment_n]])</f>
        <v>2.5200000000000001E-3</v>
      </c>
      <c r="BE637" s="14">
        <f>Table1347456[[#This Row],[control_se]]*SQRT(Table1347456[[#This Row],[control_n]])</f>
        <v>1.1799999999999998E-3</v>
      </c>
      <c r="BF63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0.22439117960370536</v>
      </c>
      <c r="BG637" s="17">
        <f>SQRT(Table1347456[[#This Row],[v_from_sd_and_n]])</f>
        <v>0.47369946126600709</v>
      </c>
      <c r="BH637" s="13" t="s">
        <v>50</v>
      </c>
      <c r="BI637" s="13">
        <v>2.5000000000000001E-2</v>
      </c>
      <c r="BJ637" s="18">
        <f>ABS(_xlfn.NORM.S.INV(Table1347456[[#This Row],[p_value]]/2))</f>
        <v>2.2414027276049446</v>
      </c>
      <c r="BK637" s="19">
        <f>(Table1347456[[#This Row],[lnrr]]/Table1347456[[#This Row],[z_from_p]])^2</f>
        <v>2.8198999066784095E-2</v>
      </c>
      <c r="BL637" s="16">
        <f>Table1347456[[#This Row],[v_from_sd_and_n]]</f>
        <v>0.22439117960370536</v>
      </c>
      <c r="BM637" s="20">
        <f>SQRT(Table1347456[[#This Row],[v]])</f>
        <v>0.47369946126600709</v>
      </c>
      <c r="BN637" s="20">
        <f>Table1347456[[#This Row],[lnrr]]-(1.96*Table1347456[[#This Row],[se]])</f>
        <v>-0.55206210005471834</v>
      </c>
      <c r="BO637" s="20">
        <f>Table1347456[[#This Row],[lnrr]]+(1.96 * Table1347456[[#This Row],[se]])</f>
        <v>1.3048397881080294</v>
      </c>
    </row>
    <row r="638" spans="1:67">
      <c r="A638" s="13" t="s">
        <v>234</v>
      </c>
      <c r="B638" s="13" t="s">
        <v>235</v>
      </c>
      <c r="C638" s="13" t="s">
        <v>236</v>
      </c>
      <c r="D638" s="13" t="s">
        <v>237</v>
      </c>
      <c r="E638" s="13" t="s">
        <v>238</v>
      </c>
      <c r="F638" s="13" t="s">
        <v>586</v>
      </c>
      <c r="G638" s="13" t="s">
        <v>46</v>
      </c>
      <c r="H638" s="13">
        <v>15</v>
      </c>
      <c r="I638" s="13">
        <v>121.5</v>
      </c>
      <c r="K638" s="13" t="s">
        <v>870</v>
      </c>
      <c r="L638" s="13" t="s">
        <v>871</v>
      </c>
      <c r="N638" s="13" t="s">
        <v>239</v>
      </c>
      <c r="O638" s="13" t="s">
        <v>54</v>
      </c>
      <c r="P638" s="13" t="s">
        <v>240</v>
      </c>
      <c r="Q638" s="13" t="s">
        <v>640</v>
      </c>
      <c r="R638" s="4">
        <v>4</v>
      </c>
      <c r="S638" s="13" t="s">
        <v>594</v>
      </c>
      <c r="T638" s="13">
        <v>150</v>
      </c>
      <c r="U638" s="4" t="s">
        <v>186</v>
      </c>
      <c r="V638" s="4">
        <v>500</v>
      </c>
      <c r="W638" s="4" t="s">
        <v>601</v>
      </c>
      <c r="X638" s="4">
        <v>606.1</v>
      </c>
      <c r="Y638" s="4">
        <v>10</v>
      </c>
      <c r="AA638" s="4" t="s">
        <v>49</v>
      </c>
      <c r="AB638" s="4">
        <v>0</v>
      </c>
      <c r="AC638" s="4" t="s">
        <v>49</v>
      </c>
      <c r="AD638" s="4">
        <v>0</v>
      </c>
      <c r="AE638" s="4" t="s">
        <v>49</v>
      </c>
      <c r="AF638" s="4">
        <v>0</v>
      </c>
      <c r="AG638" s="4" t="s">
        <v>747</v>
      </c>
      <c r="AH638" s="4" t="s">
        <v>746</v>
      </c>
      <c r="AI638" s="4" t="s">
        <v>241</v>
      </c>
      <c r="AJ638" s="13">
        <v>0</v>
      </c>
      <c r="AK638" s="13">
        <v>5</v>
      </c>
      <c r="AP638" s="13" t="s">
        <v>49</v>
      </c>
      <c r="AQ638" s="13" t="s">
        <v>49</v>
      </c>
      <c r="AR638" s="13" t="s">
        <v>49</v>
      </c>
      <c r="AS638" s="13" t="s">
        <v>49</v>
      </c>
      <c r="AT638" s="13" t="s">
        <v>990</v>
      </c>
      <c r="AU638" s="13" t="s">
        <v>998</v>
      </c>
      <c r="AV638" s="14">
        <f>3.59/1000</f>
        <v>3.5899999999999999E-3</v>
      </c>
      <c r="AW638" s="14">
        <f>2.21/1000</f>
        <v>2.2100000000000002E-3</v>
      </c>
      <c r="AX638" s="14">
        <f>Table1347456[[#This Row],[treatment_mean]]/Table1347456[[#This Row],[control_mean]]</f>
        <v>1.6244343891402713</v>
      </c>
      <c r="AY638" s="14">
        <f>LN(Table1347456[[#This Row],[rr]])</f>
        <v>0.48515968697052592</v>
      </c>
      <c r="AZ638" s="13">
        <v>4</v>
      </c>
      <c r="BA638" s="13">
        <v>4</v>
      </c>
      <c r="BB638" s="14">
        <f>1.75/1000</f>
        <v>1.75E-3</v>
      </c>
      <c r="BC638" s="14">
        <f>0.59/1000</f>
        <v>5.8999999999999992E-4</v>
      </c>
      <c r="BD638" s="15">
        <f>Table1347456[[#This Row],[treatment_se]]*SQRT(Table1347456[[#This Row],[treatment_n]])</f>
        <v>3.5000000000000001E-3</v>
      </c>
      <c r="BE638" s="14">
        <f>Table1347456[[#This Row],[control_se]]*SQRT(Table1347456[[#This Row],[control_n]])</f>
        <v>1.1799999999999998E-3</v>
      </c>
      <c r="BF63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0.30889438972049826</v>
      </c>
      <c r="BG638" s="17">
        <f>SQRT(Table1347456[[#This Row],[v_from_sd_and_n]])</f>
        <v>0.55578268209840642</v>
      </c>
      <c r="BH638" s="13" t="s">
        <v>50</v>
      </c>
      <c r="BI638" s="13">
        <v>2.5000000000000001E-2</v>
      </c>
      <c r="BJ638" s="18">
        <f>ABS(_xlfn.NORM.S.INV(Table1347456[[#This Row],[p_value]]/2))</f>
        <v>2.2414027276049446</v>
      </c>
      <c r="BK638" s="19">
        <f>(Table1347456[[#This Row],[lnrr]]/Table1347456[[#This Row],[z_from_p]])^2</f>
        <v>4.6852160476020283E-2</v>
      </c>
      <c r="BL638" s="16">
        <f>Table1347456[[#This Row],[v_from_sd_and_n]]</f>
        <v>0.30889438972049826</v>
      </c>
      <c r="BM638" s="20">
        <f>SQRT(Table1347456[[#This Row],[v]])</f>
        <v>0.55578268209840642</v>
      </c>
      <c r="BN638" s="20">
        <f>Table1347456[[#This Row],[lnrr]]-(1.96*Table1347456[[#This Row],[se]])</f>
        <v>-0.60417436994235074</v>
      </c>
      <c r="BO638" s="20">
        <f>Table1347456[[#This Row],[lnrr]]+(1.96 * Table1347456[[#This Row],[se]])</f>
        <v>1.5744937438834026</v>
      </c>
    </row>
    <row r="639" spans="1:67">
      <c r="A639" s="13" t="s">
        <v>234</v>
      </c>
      <c r="B639" s="13" t="s">
        <v>235</v>
      </c>
      <c r="C639" s="13" t="s">
        <v>236</v>
      </c>
      <c r="D639" s="13" t="s">
        <v>237</v>
      </c>
      <c r="E639" s="13" t="s">
        <v>238</v>
      </c>
      <c r="F639" s="13" t="s">
        <v>586</v>
      </c>
      <c r="G639" s="13" t="s">
        <v>46</v>
      </c>
      <c r="H639" s="13">
        <v>15</v>
      </c>
      <c r="I639" s="13">
        <v>121.5</v>
      </c>
      <c r="K639" s="13" t="s">
        <v>870</v>
      </c>
      <c r="L639" s="13" t="s">
        <v>871</v>
      </c>
      <c r="N639" s="13" t="s">
        <v>620</v>
      </c>
      <c r="O639" s="13" t="s">
        <v>54</v>
      </c>
      <c r="P639" s="13" t="s">
        <v>619</v>
      </c>
      <c r="Q639" s="13" t="s">
        <v>641</v>
      </c>
      <c r="R639" s="4">
        <v>4</v>
      </c>
      <c r="S639" s="13" t="s">
        <v>594</v>
      </c>
      <c r="T639" s="13">
        <v>150</v>
      </c>
      <c r="U639" s="4" t="s">
        <v>186</v>
      </c>
      <c r="V639" s="4">
        <v>500</v>
      </c>
      <c r="W639" s="4" t="s">
        <v>601</v>
      </c>
      <c r="X639" s="4">
        <v>606.1</v>
      </c>
      <c r="Y639" s="4">
        <v>5</v>
      </c>
      <c r="AA639" s="4" t="s">
        <v>49</v>
      </c>
      <c r="AB639" s="4">
        <v>0</v>
      </c>
      <c r="AC639" s="4" t="s">
        <v>49</v>
      </c>
      <c r="AD639" s="4">
        <v>0</v>
      </c>
      <c r="AE639" s="4" t="s">
        <v>49</v>
      </c>
      <c r="AF639" s="4">
        <v>0</v>
      </c>
      <c r="AG639" s="4" t="s">
        <v>747</v>
      </c>
      <c r="AH639" s="4" t="s">
        <v>746</v>
      </c>
      <c r="AI639" s="4" t="s">
        <v>241</v>
      </c>
      <c r="AJ639" s="13">
        <v>0</v>
      </c>
      <c r="AK639" s="13">
        <v>5</v>
      </c>
      <c r="AP639" s="13" t="s">
        <v>49</v>
      </c>
      <c r="AQ639" s="13" t="s">
        <v>49</v>
      </c>
      <c r="AR639" s="13" t="s">
        <v>49</v>
      </c>
      <c r="AS639" s="13" t="s">
        <v>49</v>
      </c>
      <c r="AT639" s="13" t="s">
        <v>990</v>
      </c>
      <c r="AU639" s="13" t="s">
        <v>998</v>
      </c>
      <c r="AV639" s="14">
        <f>2.22/1000</f>
        <v>2.2200000000000002E-3</v>
      </c>
      <c r="AW639" s="14">
        <f>0.99/1000</f>
        <v>9.8999999999999999E-4</v>
      </c>
      <c r="AX639" s="14">
        <f>Table1347456[[#This Row],[treatment_mean]]/Table1347456[[#This Row],[control_mean]]</f>
        <v>2.2424242424242427</v>
      </c>
      <c r="AY639" s="14">
        <f>LN(Table1347456[[#This Row],[rr]])</f>
        <v>0.80755753173768963</v>
      </c>
      <c r="AZ639" s="13">
        <v>4</v>
      </c>
      <c r="BA639" s="13">
        <v>4</v>
      </c>
      <c r="BB639" s="14">
        <f>1.51/1000</f>
        <v>1.5100000000000001E-3</v>
      </c>
      <c r="BC639" s="14">
        <f>0.78/1000</f>
        <v>7.7999999999999999E-4</v>
      </c>
      <c r="BD639" s="15">
        <f>Table1347456[[#This Row],[treatment_se]]*SQRT(Table1347456[[#This Row],[treatment_n]])</f>
        <v>3.0200000000000001E-3</v>
      </c>
      <c r="BE639" s="14">
        <f>Table1347456[[#This Row],[control_se]]*SQRT(Table1347456[[#This Row],[control_n]])</f>
        <v>1.56E-3</v>
      </c>
      <c r="BF63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1.0833980618992902</v>
      </c>
      <c r="BG639" s="17">
        <f>SQRT(Table1347456[[#This Row],[v_from_sd_and_n]])</f>
        <v>1.0408640938659044</v>
      </c>
      <c r="BH639" s="13" t="s">
        <v>50</v>
      </c>
      <c r="BI639" s="13">
        <v>2.5000000000000001E-2</v>
      </c>
      <c r="BJ639" s="18">
        <f>ABS(_xlfn.NORM.S.INV(Table1347456[[#This Row],[p_value]]/2))</f>
        <v>2.2414027276049446</v>
      </c>
      <c r="BK639" s="19">
        <f>(Table1347456[[#This Row],[lnrr]]/Table1347456[[#This Row],[z_from_p]])^2</f>
        <v>0.12980970164350467</v>
      </c>
      <c r="BL639" s="16">
        <f>Table1347456[[#This Row],[v_from_sd_and_n]]</f>
        <v>1.0833980618992902</v>
      </c>
      <c r="BM639" s="20">
        <f>SQRT(Table1347456[[#This Row],[v]])</f>
        <v>1.0408640938659044</v>
      </c>
      <c r="BN639" s="20">
        <f>Table1347456[[#This Row],[lnrr]]-(1.96*Table1347456[[#This Row],[se]])</f>
        <v>-1.2325360922394832</v>
      </c>
      <c r="BO639" s="20">
        <f>Table1347456[[#This Row],[lnrr]]+(1.96 * Table1347456[[#This Row],[se]])</f>
        <v>2.8476511557148623</v>
      </c>
    </row>
    <row r="640" spans="1:67">
      <c r="A640" s="13" t="s">
        <v>234</v>
      </c>
      <c r="B640" s="13" t="s">
        <v>235</v>
      </c>
      <c r="C640" s="13" t="s">
        <v>236</v>
      </c>
      <c r="D640" s="13" t="s">
        <v>237</v>
      </c>
      <c r="E640" s="13" t="s">
        <v>238</v>
      </c>
      <c r="F640" s="13" t="s">
        <v>586</v>
      </c>
      <c r="G640" s="13" t="s">
        <v>46</v>
      </c>
      <c r="H640" s="13">
        <v>15</v>
      </c>
      <c r="I640" s="13">
        <v>121.5</v>
      </c>
      <c r="K640" s="13" t="s">
        <v>870</v>
      </c>
      <c r="L640" s="13" t="s">
        <v>871</v>
      </c>
      <c r="N640" s="13" t="s">
        <v>620</v>
      </c>
      <c r="O640" s="13" t="s">
        <v>54</v>
      </c>
      <c r="P640" s="13" t="s">
        <v>619</v>
      </c>
      <c r="Q640" s="13" t="s">
        <v>641</v>
      </c>
      <c r="R640" s="4">
        <v>4</v>
      </c>
      <c r="S640" s="13" t="s">
        <v>594</v>
      </c>
      <c r="T640" s="13">
        <v>150</v>
      </c>
      <c r="U640" s="4" t="s">
        <v>186</v>
      </c>
      <c r="V640" s="4">
        <v>500</v>
      </c>
      <c r="W640" s="4" t="s">
        <v>601</v>
      </c>
      <c r="X640" s="4">
        <v>606.1</v>
      </c>
      <c r="Y640" s="4">
        <v>10</v>
      </c>
      <c r="AA640" s="4" t="s">
        <v>49</v>
      </c>
      <c r="AB640" s="4">
        <v>0</v>
      </c>
      <c r="AC640" s="4" t="s">
        <v>49</v>
      </c>
      <c r="AD640" s="4">
        <v>0</v>
      </c>
      <c r="AE640" s="4" t="s">
        <v>49</v>
      </c>
      <c r="AF640" s="4">
        <v>0</v>
      </c>
      <c r="AG640" s="4" t="s">
        <v>747</v>
      </c>
      <c r="AH640" s="4" t="s">
        <v>746</v>
      </c>
      <c r="AI640" s="4" t="s">
        <v>241</v>
      </c>
      <c r="AJ640" s="13">
        <v>0</v>
      </c>
      <c r="AK640" s="13">
        <v>5</v>
      </c>
      <c r="AP640" s="13" t="s">
        <v>49</v>
      </c>
      <c r="AQ640" s="13" t="s">
        <v>49</v>
      </c>
      <c r="AR640" s="13" t="s">
        <v>49</v>
      </c>
      <c r="AS640" s="13" t="s">
        <v>49</v>
      </c>
      <c r="AT640" s="13" t="s">
        <v>990</v>
      </c>
      <c r="AU640" s="13" t="s">
        <v>998</v>
      </c>
      <c r="AV640" s="14">
        <f>2.79/1000</f>
        <v>2.7899999999999999E-3</v>
      </c>
      <c r="AW640" s="14">
        <f>2.21/1000</f>
        <v>2.2100000000000002E-3</v>
      </c>
      <c r="AX640" s="14">
        <f>Table1347456[[#This Row],[treatment_mean]]/Table1347456[[#This Row],[control_mean]]</f>
        <v>1.2624434389140271</v>
      </c>
      <c r="AY640" s="14">
        <f>LN(Table1347456[[#This Row],[rr]])</f>
        <v>0.23304908030361277</v>
      </c>
      <c r="AZ640" s="13">
        <v>4</v>
      </c>
      <c r="BA640" s="13">
        <v>4</v>
      </c>
      <c r="BB640" s="14">
        <f>2.35/1000</f>
        <v>2.3500000000000001E-3</v>
      </c>
      <c r="BC640" s="14">
        <f>0.59/1000</f>
        <v>5.8999999999999992E-4</v>
      </c>
      <c r="BD640" s="15">
        <f>Table1347456[[#This Row],[treatment_se]]*SQRT(Table1347456[[#This Row],[treatment_n]])</f>
        <v>4.7000000000000002E-3</v>
      </c>
      <c r="BE640" s="14">
        <f>Table1347456[[#This Row],[control_se]]*SQRT(Table1347456[[#This Row],[control_n]])</f>
        <v>1.1799999999999998E-3</v>
      </c>
      <c r="BF64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0.78073111242541959</v>
      </c>
      <c r="BG640" s="17">
        <f>SQRT(Table1347456[[#This Row],[v_from_sd_and_n]])</f>
        <v>0.88358990059043774</v>
      </c>
      <c r="BH640" s="13" t="s">
        <v>50</v>
      </c>
      <c r="BI640" s="13">
        <v>2.5000000000000001E-2</v>
      </c>
      <c r="BJ640" s="18">
        <f>ABS(_xlfn.NORM.S.INV(Table1347456[[#This Row],[p_value]]/2))</f>
        <v>2.2414027276049446</v>
      </c>
      <c r="BK640" s="19">
        <f>(Table1347456[[#This Row],[lnrr]]/Table1347456[[#This Row],[z_from_p]])^2</f>
        <v>1.0810729344843657E-2</v>
      </c>
      <c r="BL640" s="16">
        <f>Table1347456[[#This Row],[v_from_sd_and_n]]</f>
        <v>0.78073111242541959</v>
      </c>
      <c r="BM640" s="20">
        <f>SQRT(Table1347456[[#This Row],[v]])</f>
        <v>0.88358990059043774</v>
      </c>
      <c r="BN640" s="20">
        <f>Table1347456[[#This Row],[lnrr]]-(1.96*Table1347456[[#This Row],[se]])</f>
        <v>-1.4987871248536453</v>
      </c>
      <c r="BO640" s="20">
        <f>Table1347456[[#This Row],[lnrr]]+(1.96 * Table1347456[[#This Row],[se]])</f>
        <v>1.9648852854608707</v>
      </c>
    </row>
    <row r="641" spans="1:67">
      <c r="A641" s="13" t="s">
        <v>242</v>
      </c>
      <c r="B641" s="13" t="s">
        <v>243</v>
      </c>
      <c r="C641" s="13" t="s">
        <v>43</v>
      </c>
      <c r="D641" s="13" t="s">
        <v>244</v>
      </c>
      <c r="E641" s="13" t="s">
        <v>245</v>
      </c>
      <c r="F641" s="13" t="s">
        <v>586</v>
      </c>
      <c r="G641" s="13" t="s">
        <v>46</v>
      </c>
      <c r="H641" s="13">
        <v>8</v>
      </c>
      <c r="I641" s="13">
        <v>1392</v>
      </c>
      <c r="K641" s="13" t="s">
        <v>872</v>
      </c>
      <c r="L641" s="13" t="s">
        <v>873</v>
      </c>
      <c r="N641" s="13" t="s">
        <v>47</v>
      </c>
      <c r="O641" s="13" t="s">
        <v>645</v>
      </c>
      <c r="P641" s="13" t="s">
        <v>48</v>
      </c>
      <c r="Q641" s="13" t="s">
        <v>48</v>
      </c>
      <c r="R641" s="4">
        <v>4</v>
      </c>
      <c r="S641" s="13" t="s">
        <v>594</v>
      </c>
      <c r="T641" s="13">
        <v>730</v>
      </c>
      <c r="U641" s="4" t="s">
        <v>246</v>
      </c>
      <c r="V641" s="4" t="s">
        <v>46</v>
      </c>
      <c r="W641" s="4" t="s">
        <v>46</v>
      </c>
      <c r="X641" s="4">
        <v>743</v>
      </c>
      <c r="Y641" s="4">
        <v>28.7</v>
      </c>
      <c r="AA641" s="4" t="s">
        <v>49</v>
      </c>
      <c r="AB641" s="4">
        <v>0</v>
      </c>
      <c r="AC641" s="4" t="s">
        <v>50</v>
      </c>
      <c r="AD641" s="4">
        <v>7.5</v>
      </c>
      <c r="AE641" s="4" t="s">
        <v>49</v>
      </c>
      <c r="AF641" s="4">
        <v>0</v>
      </c>
      <c r="AG641" s="4" t="s">
        <v>46</v>
      </c>
      <c r="AH641" s="4" t="s">
        <v>767</v>
      </c>
      <c r="AI641" s="4" t="s">
        <v>64</v>
      </c>
      <c r="AJ641" s="13">
        <v>0</v>
      </c>
      <c r="AK641" s="13">
        <v>25</v>
      </c>
      <c r="AP641" s="13" t="s">
        <v>50</v>
      </c>
      <c r="AQ641" s="13" t="s">
        <v>49</v>
      </c>
      <c r="AR641" s="13" t="s">
        <v>50</v>
      </c>
      <c r="AS641" s="13" t="s">
        <v>49</v>
      </c>
      <c r="AT641" s="13" t="s">
        <v>993</v>
      </c>
      <c r="AU641" s="13" t="s">
        <v>1001</v>
      </c>
      <c r="AV641" s="14">
        <v>4.9000000000000004</v>
      </c>
      <c r="AW641" s="14">
        <v>4.3</v>
      </c>
      <c r="AX641" s="14">
        <f>Table1347456[[#This Row],[treatment_mean]]/Table1347456[[#This Row],[control_mean]]</f>
        <v>1.1395348837209303</v>
      </c>
      <c r="AY641" s="14">
        <f>LN(Table1347456[[#This Row],[rr]])</f>
        <v>0.13062018241706422</v>
      </c>
      <c r="AZ641" s="13">
        <v>4</v>
      </c>
      <c r="BA641" s="13">
        <v>4</v>
      </c>
      <c r="BB641" s="14">
        <f>Table1347456[[#This Row],[treatment_sd]]/SQRT(Table1347456[[#This Row],[treatment_n]])</f>
        <v>0.105</v>
      </c>
      <c r="BC641" s="14">
        <f>Table1347456[[#This Row],[control_sd]]/SQRT(Table1347456[[#This Row],[control_n]])</f>
        <v>0.17505034989967885</v>
      </c>
      <c r="BD641" s="15">
        <v>0.21</v>
      </c>
      <c r="BE641" s="14">
        <f>SQRT(0.1225705)</f>
        <v>0.35010069979935771</v>
      </c>
      <c r="BF64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2.1164375945077864E-3</v>
      </c>
      <c r="BG641" s="17">
        <f>SQRT(Table1347456[[#This Row],[v_from_sd_and_n]])</f>
        <v>4.6004756216154283E-2</v>
      </c>
      <c r="BH641" s="13" t="s">
        <v>50</v>
      </c>
      <c r="BI641" s="13">
        <v>2.5000000000000001E-2</v>
      </c>
      <c r="BJ641" s="18">
        <f>ABS(_xlfn.NORM.S.INV(Table1347456[[#This Row],[p_value]]/2))</f>
        <v>2.2414027276049446</v>
      </c>
      <c r="BK641" s="19">
        <f>(Table1347456[[#This Row],[lnrr]]/Table1347456[[#This Row],[z_from_p]])^2</f>
        <v>3.3961024232091637E-3</v>
      </c>
      <c r="BL641" s="16">
        <f>Table1347456[[#This Row],[v_from_sd_and_n]]</f>
        <v>2.1164375945077864E-3</v>
      </c>
      <c r="BM641" s="20">
        <f>SQRT(Table1347456[[#This Row],[v]])</f>
        <v>4.6004756216154283E-2</v>
      </c>
      <c r="BN641" s="20">
        <f>Table1347456[[#This Row],[lnrr]]-(1.96*Table1347456[[#This Row],[se]])</f>
        <v>4.0450860233401831E-2</v>
      </c>
      <c r="BO641" s="20">
        <f>Table1347456[[#This Row],[lnrr]]+(1.96 * Table1347456[[#This Row],[se]])</f>
        <v>0.2207895046007266</v>
      </c>
    </row>
    <row r="642" spans="1:67">
      <c r="A642" s="13" t="s">
        <v>242</v>
      </c>
      <c r="B642" s="13" t="s">
        <v>243</v>
      </c>
      <c r="C642" s="13" t="s">
        <v>43</v>
      </c>
      <c r="D642" s="13" t="s">
        <v>244</v>
      </c>
      <c r="E642" s="13" t="s">
        <v>245</v>
      </c>
      <c r="F642" s="13" t="s">
        <v>586</v>
      </c>
      <c r="G642" s="13" t="s">
        <v>46</v>
      </c>
      <c r="H642" s="13">
        <v>8</v>
      </c>
      <c r="I642" s="13">
        <v>1392</v>
      </c>
      <c r="K642" s="13" t="s">
        <v>872</v>
      </c>
      <c r="L642" s="13" t="s">
        <v>873</v>
      </c>
      <c r="N642" s="13" t="s">
        <v>617</v>
      </c>
      <c r="O642" s="13" t="s">
        <v>54</v>
      </c>
      <c r="P642" s="13" t="s">
        <v>85</v>
      </c>
      <c r="Q642" s="13" t="s">
        <v>48</v>
      </c>
      <c r="R642" s="4">
        <v>4</v>
      </c>
      <c r="S642" s="13" t="s">
        <v>594</v>
      </c>
      <c r="T642" s="13">
        <v>730</v>
      </c>
      <c r="U642" s="4" t="s">
        <v>246</v>
      </c>
      <c r="V642" s="4" t="s">
        <v>46</v>
      </c>
      <c r="W642" s="4" t="s">
        <v>46</v>
      </c>
      <c r="X642" s="4">
        <v>743</v>
      </c>
      <c r="Y642" s="4">
        <v>28.7</v>
      </c>
      <c r="AA642" s="4" t="s">
        <v>49</v>
      </c>
      <c r="AB642" s="4">
        <v>0</v>
      </c>
      <c r="AC642" s="4" t="s">
        <v>50</v>
      </c>
      <c r="AD642" s="4">
        <v>7.5</v>
      </c>
      <c r="AE642" s="4" t="s">
        <v>49</v>
      </c>
      <c r="AF642" s="4">
        <v>0</v>
      </c>
      <c r="AG642" s="4" t="s">
        <v>46</v>
      </c>
      <c r="AH642" s="4" t="s">
        <v>767</v>
      </c>
      <c r="AI642" s="4" t="s">
        <v>64</v>
      </c>
      <c r="AJ642" s="13">
        <v>0</v>
      </c>
      <c r="AK642" s="13">
        <v>25</v>
      </c>
      <c r="AP642" s="13" t="s">
        <v>50</v>
      </c>
      <c r="AQ642" s="13" t="s">
        <v>49</v>
      </c>
      <c r="AR642" s="13" t="s">
        <v>50</v>
      </c>
      <c r="AS642" s="13" t="s">
        <v>49</v>
      </c>
      <c r="AT642" s="13" t="s">
        <v>993</v>
      </c>
      <c r="AU642" s="13" t="s">
        <v>1001</v>
      </c>
      <c r="AV642" s="14">
        <f>8.3/1000</f>
        <v>8.3000000000000001E-3</v>
      </c>
      <c r="AW642" s="14">
        <f>9.75/1000</f>
        <v>9.75E-3</v>
      </c>
      <c r="AX642" s="14">
        <f>Table1347456[[#This Row],[treatment_mean]]/Table1347456[[#This Row],[control_mean]]</f>
        <v>0.85128205128205126</v>
      </c>
      <c r="AY642" s="14">
        <f>LN(Table1347456[[#This Row],[rr]])</f>
        <v>-0.16101177020720361</v>
      </c>
      <c r="AZ642" s="13">
        <v>4</v>
      </c>
      <c r="BA642" s="13">
        <v>4</v>
      </c>
      <c r="BB642" s="14">
        <f>Table1347456[[#This Row],[treatment_sd]]/SQRT(Table1347456[[#This Row],[treatment_n]])</f>
        <v>8.4999999999999995E-4</v>
      </c>
      <c r="BC642" s="14">
        <f>Table1347456[[#This Row],[control_sd]]/SQRT(Table1347456[[#This Row],[control_n]])</f>
        <v>9.5524865872713999E-5</v>
      </c>
      <c r="BD642" s="15">
        <f>SQRT(2.89)/1000</f>
        <v>1.6999999999999999E-3</v>
      </c>
      <c r="BE642" s="14">
        <f>SQRT(0.0365)/1000</f>
        <v>1.91049731745428E-4</v>
      </c>
      <c r="BF64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1.0583723549410206E-2</v>
      </c>
      <c r="BG642" s="17">
        <f>SQRT(Table1347456[[#This Row],[v_from_sd_and_n]])</f>
        <v>0.10287722561096896</v>
      </c>
      <c r="BH642" s="13" t="s">
        <v>50</v>
      </c>
      <c r="BI642" s="13">
        <v>2.5000000000000001E-2</v>
      </c>
      <c r="BJ642" s="18">
        <f>ABS(_xlfn.NORM.S.INV(Table1347456[[#This Row],[p_value]]/2))</f>
        <v>2.2414027276049446</v>
      </c>
      <c r="BK642" s="19">
        <f>(Table1347456[[#This Row],[lnrr]]/Table1347456[[#This Row],[z_from_p]])^2</f>
        <v>5.1603060218036812E-3</v>
      </c>
      <c r="BL642" s="16">
        <f>Table1347456[[#This Row],[v_from_sd_and_n]]</f>
        <v>1.0583723549410206E-2</v>
      </c>
      <c r="BM642" s="20">
        <f>SQRT(Table1347456[[#This Row],[v]])</f>
        <v>0.10287722561096896</v>
      </c>
      <c r="BN642" s="20">
        <f>Table1347456[[#This Row],[lnrr]]-(1.96*Table1347456[[#This Row],[se]])</f>
        <v>-0.36265113240470276</v>
      </c>
      <c r="BO642" s="20">
        <f>Table1347456[[#This Row],[lnrr]]+(1.96 * Table1347456[[#This Row],[se]])</f>
        <v>4.0627591990295531E-2</v>
      </c>
    </row>
    <row r="643" spans="1:67">
      <c r="A643" s="13" t="s">
        <v>242</v>
      </c>
      <c r="B643" s="13" t="s">
        <v>243</v>
      </c>
      <c r="C643" s="13" t="s">
        <v>43</v>
      </c>
      <c r="D643" s="13" t="s">
        <v>244</v>
      </c>
      <c r="E643" s="13" t="s">
        <v>245</v>
      </c>
      <c r="F643" s="13" t="s">
        <v>586</v>
      </c>
      <c r="G643" s="13" t="s">
        <v>46</v>
      </c>
      <c r="H643" s="13">
        <v>8</v>
      </c>
      <c r="I643" s="13">
        <v>1392</v>
      </c>
      <c r="K643" s="13" t="s">
        <v>872</v>
      </c>
      <c r="L643" s="13" t="s">
        <v>873</v>
      </c>
      <c r="N643" s="13" t="s">
        <v>53</v>
      </c>
      <c r="O643" s="13" t="s">
        <v>54</v>
      </c>
      <c r="P643" s="13" t="s">
        <v>85</v>
      </c>
      <c r="Q643" s="13" t="s">
        <v>48</v>
      </c>
      <c r="R643" s="4">
        <v>4</v>
      </c>
      <c r="S643" s="13" t="s">
        <v>594</v>
      </c>
      <c r="T643" s="13">
        <v>730</v>
      </c>
      <c r="U643" s="4" t="s">
        <v>246</v>
      </c>
      <c r="V643" s="4" t="s">
        <v>46</v>
      </c>
      <c r="W643" s="4" t="s">
        <v>46</v>
      </c>
      <c r="X643" s="4">
        <v>743</v>
      </c>
      <c r="Y643" s="4">
        <v>28.7</v>
      </c>
      <c r="AA643" s="4" t="s">
        <v>49</v>
      </c>
      <c r="AB643" s="4">
        <v>0</v>
      </c>
      <c r="AC643" s="4" t="s">
        <v>50</v>
      </c>
      <c r="AD643" s="4">
        <v>7.5</v>
      </c>
      <c r="AE643" s="4" t="s">
        <v>49</v>
      </c>
      <c r="AF643" s="4">
        <v>0</v>
      </c>
      <c r="AG643" s="4" t="s">
        <v>46</v>
      </c>
      <c r="AH643" s="4" t="s">
        <v>767</v>
      </c>
      <c r="AI643" s="4" t="s">
        <v>64</v>
      </c>
      <c r="AJ643" s="13">
        <v>0</v>
      </c>
      <c r="AK643" s="13">
        <v>25</v>
      </c>
      <c r="AP643" s="13" t="s">
        <v>50</v>
      </c>
      <c r="AQ643" s="13" t="s">
        <v>49</v>
      </c>
      <c r="AR643" s="13" t="s">
        <v>50</v>
      </c>
      <c r="AS643" s="13" t="s">
        <v>49</v>
      </c>
      <c r="AT643" s="13" t="s">
        <v>993</v>
      </c>
      <c r="AU643" s="13" t="s">
        <v>1001</v>
      </c>
      <c r="AV643" s="14">
        <f>16.4/1000</f>
        <v>1.6399999999999998E-2</v>
      </c>
      <c r="AW643" s="14">
        <f>12.06/1000</f>
        <v>1.2060000000000001E-2</v>
      </c>
      <c r="AX643" s="14">
        <f>Table1347456[[#This Row],[treatment_mean]]/Table1347456[[#This Row],[control_mean]]</f>
        <v>1.3598673300165833</v>
      </c>
      <c r="AY643" s="14">
        <f>LN(Table1347456[[#This Row],[rr]])</f>
        <v>0.30738714353111307</v>
      </c>
      <c r="AZ643" s="13">
        <v>4</v>
      </c>
      <c r="BA643" s="13">
        <v>4</v>
      </c>
      <c r="BB643" s="14">
        <f>Table1347456[[#This Row],[treatment_sd]]/SQRT(Table1347456[[#This Row],[treatment_n]])</f>
        <v>2.2733345552293882E-3</v>
      </c>
      <c r="BC643" s="14">
        <f>Table1347456[[#This Row],[control_sd]]/SQRT(Table1347456[[#This Row],[control_n]])</f>
        <v>5.7428216061444911E-4</v>
      </c>
      <c r="BD643" s="15">
        <f>SQRT(20.6722)/1000</f>
        <v>4.5466691104587764E-3</v>
      </c>
      <c r="BE643" s="14">
        <f>SQRT(1.3192)/1000</f>
        <v>1.1485643212288982E-3</v>
      </c>
      <c r="BF64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2.1482484657199118E-2</v>
      </c>
      <c r="BG643" s="17">
        <f>SQRT(Table1347456[[#This Row],[v_from_sd_and_n]])</f>
        <v>0.14656904399360432</v>
      </c>
      <c r="BH643" s="13" t="s">
        <v>50</v>
      </c>
      <c r="BI643" s="13">
        <v>2.5000000000000001E-2</v>
      </c>
      <c r="BJ643" s="18">
        <f>ABS(_xlfn.NORM.S.INV(Table1347456[[#This Row],[p_value]]/2))</f>
        <v>2.2414027276049446</v>
      </c>
      <c r="BK643" s="19">
        <f>(Table1347456[[#This Row],[lnrr]]/Table1347456[[#This Row],[z_from_p]])^2</f>
        <v>1.8807523197239759E-2</v>
      </c>
      <c r="BL643" s="16">
        <f>Table1347456[[#This Row],[v_from_sd_and_n]]</f>
        <v>2.1482484657199118E-2</v>
      </c>
      <c r="BM643" s="20">
        <f>SQRT(Table1347456[[#This Row],[v]])</f>
        <v>0.14656904399360432</v>
      </c>
      <c r="BN643" s="20">
        <f>Table1347456[[#This Row],[lnrr]]-(1.96*Table1347456[[#This Row],[se]])</f>
        <v>2.0111817303648583E-2</v>
      </c>
      <c r="BO643" s="20">
        <f>Table1347456[[#This Row],[lnrr]]+(1.96 * Table1347456[[#This Row],[se]])</f>
        <v>0.59466246975857762</v>
      </c>
    </row>
    <row r="644" spans="1:67">
      <c r="A644" s="13" t="s">
        <v>242</v>
      </c>
      <c r="B644" s="13" t="s">
        <v>243</v>
      </c>
      <c r="C644" s="13" t="s">
        <v>43</v>
      </c>
      <c r="D644" s="13" t="s">
        <v>244</v>
      </c>
      <c r="E644" s="13" t="s">
        <v>245</v>
      </c>
      <c r="F644" s="13" t="s">
        <v>586</v>
      </c>
      <c r="G644" s="13" t="s">
        <v>46</v>
      </c>
      <c r="H644" s="13">
        <v>8</v>
      </c>
      <c r="I644" s="13">
        <v>1392</v>
      </c>
      <c r="J644" s="13" t="s">
        <v>671</v>
      </c>
      <c r="K644" s="13" t="s">
        <v>872</v>
      </c>
      <c r="L644" s="13" t="s">
        <v>873</v>
      </c>
      <c r="M644" s="13" t="s">
        <v>798</v>
      </c>
      <c r="N644" s="13" t="s">
        <v>84</v>
      </c>
      <c r="O644" s="13" t="s">
        <v>644</v>
      </c>
      <c r="P644" s="13" t="s">
        <v>85</v>
      </c>
      <c r="Q644" s="13" t="s">
        <v>48</v>
      </c>
      <c r="R644" s="4">
        <v>4</v>
      </c>
      <c r="S644" s="13" t="s">
        <v>594</v>
      </c>
      <c r="T644" s="13">
        <v>730</v>
      </c>
      <c r="U644" s="4" t="s">
        <v>246</v>
      </c>
      <c r="V644" s="4" t="s">
        <v>46</v>
      </c>
      <c r="W644" s="4" t="s">
        <v>46</v>
      </c>
      <c r="X644" s="4">
        <v>743</v>
      </c>
      <c r="Y644" s="4">
        <v>28.7</v>
      </c>
      <c r="AA644" s="4" t="s">
        <v>49</v>
      </c>
      <c r="AB644" s="4">
        <v>0</v>
      </c>
      <c r="AC644" s="4" t="s">
        <v>50</v>
      </c>
      <c r="AD644" s="4">
        <v>7.5</v>
      </c>
      <c r="AE644" s="4" t="s">
        <v>49</v>
      </c>
      <c r="AF644" s="4">
        <v>0</v>
      </c>
      <c r="AG644" s="4" t="s">
        <v>46</v>
      </c>
      <c r="AH644" s="4" t="s">
        <v>767</v>
      </c>
      <c r="AI644" s="4" t="s">
        <v>64</v>
      </c>
      <c r="AJ644" s="13">
        <v>0</v>
      </c>
      <c r="AK644" s="13">
        <v>25</v>
      </c>
      <c r="AP644" s="13" t="s">
        <v>50</v>
      </c>
      <c r="AQ644" s="13" t="s">
        <v>49</v>
      </c>
      <c r="AR644" s="13" t="s">
        <v>50</v>
      </c>
      <c r="AS644" s="13" t="s">
        <v>49</v>
      </c>
      <c r="AT644" s="13" t="s">
        <v>993</v>
      </c>
      <c r="AU644" s="13" t="s">
        <v>1001</v>
      </c>
      <c r="AV644" s="23">
        <f>130.2/1000</f>
        <v>0.13019999999999998</v>
      </c>
      <c r="AW644" s="23">
        <f>145.2/1000</f>
        <v>0.1452</v>
      </c>
      <c r="AX644" s="14">
        <f>Table1347456[[#This Row],[treatment_mean]]/Table1347456[[#This Row],[control_mean]]</f>
        <v>0.89669421487603296</v>
      </c>
      <c r="AY644" s="14">
        <f>LN(Table1347456[[#This Row],[rr]])</f>
        <v>-0.10904037261622695</v>
      </c>
      <c r="AZ644" s="13">
        <v>4</v>
      </c>
      <c r="BA644" s="13">
        <v>4</v>
      </c>
      <c r="BB644" s="14">
        <f>Table1347456[[#This Row],[treatment_sd]]/SQRT(Table1347456[[#This Row],[treatment_n]])</f>
        <v>5.218357021132226E-3</v>
      </c>
      <c r="BC644" s="14">
        <f>Table1347456[[#This Row],[control_sd]]/SQRT(Table1347456[[#This Row],[control_n]])</f>
        <v>2.2773339676033463E-3</v>
      </c>
      <c r="BD644" s="15">
        <f>SQRT(108.925)/1000</f>
        <v>1.0436714042264452E-2</v>
      </c>
      <c r="BE644" s="14">
        <f>SQRT(20.745)/1000</f>
        <v>4.5546679352066926E-3</v>
      </c>
      <c r="BF64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1.8523616535755004E-3</v>
      </c>
      <c r="BG644" s="17">
        <f>SQRT(Table1347456[[#This Row],[v_from_sd_and_n]])</f>
        <v>4.3039071244341469E-2</v>
      </c>
      <c r="BH644" s="13" t="s">
        <v>50</v>
      </c>
      <c r="BI644" s="13">
        <v>2.5000000000000001E-2</v>
      </c>
      <c r="BJ644" s="18">
        <f>ABS(_xlfn.NORM.S.INV(Table1347456[[#This Row],[p_value]]/2))</f>
        <v>2.2414027276049446</v>
      </c>
      <c r="BK644" s="19">
        <f>(Table1347456[[#This Row],[lnrr]]/Table1347456[[#This Row],[z_from_p]])^2</f>
        <v>2.3666545015105841E-3</v>
      </c>
      <c r="BL644" s="16">
        <f>Table1347456[[#This Row],[v_from_sd_and_n]]</f>
        <v>1.8523616535755004E-3</v>
      </c>
      <c r="BM644" s="20">
        <f>SQRT(Table1347456[[#This Row],[v]])</f>
        <v>4.3039071244341469E-2</v>
      </c>
      <c r="BN644" s="20">
        <f>Table1347456[[#This Row],[lnrr]]-(1.96*Table1347456[[#This Row],[se]])</f>
        <v>-0.19339695225513623</v>
      </c>
      <c r="BO644" s="20">
        <f>Table1347456[[#This Row],[lnrr]]+(1.96 * Table1347456[[#This Row],[se]])</f>
        <v>-2.4683792977317681E-2</v>
      </c>
    </row>
    <row r="645" spans="1:67">
      <c r="A645" s="13" t="s">
        <v>242</v>
      </c>
      <c r="B645" s="13" t="s">
        <v>243</v>
      </c>
      <c r="C645" s="13" t="s">
        <v>43</v>
      </c>
      <c r="D645" s="13" t="s">
        <v>244</v>
      </c>
      <c r="E645" s="13" t="s">
        <v>245</v>
      </c>
      <c r="F645" s="13" t="s">
        <v>586</v>
      </c>
      <c r="G645" s="13" t="s">
        <v>46</v>
      </c>
      <c r="H645" s="13">
        <v>8</v>
      </c>
      <c r="I645" s="13">
        <v>1392</v>
      </c>
      <c r="K645" s="13" t="s">
        <v>872</v>
      </c>
      <c r="L645" s="13" t="s">
        <v>873</v>
      </c>
      <c r="N645" s="13" t="s">
        <v>86</v>
      </c>
      <c r="O645" s="13" t="s">
        <v>644</v>
      </c>
      <c r="P645" s="13" t="s">
        <v>85</v>
      </c>
      <c r="Q645" s="13" t="s">
        <v>48</v>
      </c>
      <c r="R645" s="4">
        <v>4</v>
      </c>
      <c r="S645" s="13" t="s">
        <v>594</v>
      </c>
      <c r="T645" s="13">
        <v>730</v>
      </c>
      <c r="U645" s="4" t="s">
        <v>246</v>
      </c>
      <c r="V645" s="4" t="s">
        <v>46</v>
      </c>
      <c r="W645" s="4" t="s">
        <v>46</v>
      </c>
      <c r="X645" s="4">
        <v>743</v>
      </c>
      <c r="Y645" s="4">
        <v>28.7</v>
      </c>
      <c r="AA645" s="4" t="s">
        <v>49</v>
      </c>
      <c r="AB645" s="4">
        <v>0</v>
      </c>
      <c r="AC645" s="4" t="s">
        <v>50</v>
      </c>
      <c r="AD645" s="4">
        <v>7.5</v>
      </c>
      <c r="AE645" s="4" t="s">
        <v>49</v>
      </c>
      <c r="AF645" s="4">
        <v>0</v>
      </c>
      <c r="AG645" s="4" t="s">
        <v>46</v>
      </c>
      <c r="AH645" s="4" t="s">
        <v>767</v>
      </c>
      <c r="AI645" s="4" t="s">
        <v>64</v>
      </c>
      <c r="AJ645" s="13">
        <v>0</v>
      </c>
      <c r="AK645" s="13">
        <v>25</v>
      </c>
      <c r="AP645" s="13" t="s">
        <v>50</v>
      </c>
      <c r="AQ645" s="13" t="s">
        <v>49</v>
      </c>
      <c r="AR645" s="13" t="s">
        <v>50</v>
      </c>
      <c r="AS645" s="13" t="s">
        <v>49</v>
      </c>
      <c r="AT645" s="13" t="s">
        <v>993</v>
      </c>
      <c r="AU645" s="13" t="s">
        <v>1001</v>
      </c>
      <c r="AV645" s="14">
        <f>156.9/1000</f>
        <v>0.15690000000000001</v>
      </c>
      <c r="AW645" s="14">
        <f>157.9/1000</f>
        <v>0.15790000000000001</v>
      </c>
      <c r="AX645" s="14">
        <f>Table1347456[[#This Row],[treatment_mean]]/Table1347456[[#This Row],[control_mean]]</f>
        <v>0.99366687777074092</v>
      </c>
      <c r="AY645" s="14">
        <f>LN(Table1347456[[#This Row],[rr]])</f>
        <v>-6.3532615226095544E-3</v>
      </c>
      <c r="AZ645" s="13">
        <v>4</v>
      </c>
      <c r="BA645" s="13">
        <v>4</v>
      </c>
      <c r="BB645" s="14">
        <f>Table1347456[[#This Row],[treatment_sd]]/SQRT(Table1347456[[#This Row],[treatment_n]])</f>
        <v>1.2869537676233752E-3</v>
      </c>
      <c r="BC645" s="14">
        <f>Table1347456[[#This Row],[control_sd]]/SQRT(Table1347456[[#This Row],[control_n]])</f>
        <v>5.7870545184921145E-3</v>
      </c>
      <c r="BD645" s="15">
        <f>SQRT(6.625)/1000</f>
        <v>2.5739075352467504E-3</v>
      </c>
      <c r="BE645" s="14">
        <f>SQRT(133.96)/1000</f>
        <v>1.1574109036984229E-2</v>
      </c>
      <c r="BF64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1.4105106346491423E-3</v>
      </c>
      <c r="BG645" s="17">
        <f>SQRT(Table1347456[[#This Row],[v_from_sd_and_n]])</f>
        <v>3.7556765497698846E-2</v>
      </c>
      <c r="BH645" s="13" t="s">
        <v>50</v>
      </c>
      <c r="BI645" s="13">
        <v>2.5000000000000001E-2</v>
      </c>
      <c r="BJ645" s="18">
        <f>ABS(_xlfn.NORM.S.INV(Table1347456[[#This Row],[p_value]]/2))</f>
        <v>2.2414027276049446</v>
      </c>
      <c r="BK645" s="19">
        <f>(Table1347456[[#This Row],[lnrr]]/Table1347456[[#This Row],[z_from_p]])^2</f>
        <v>8.0344041384911166E-6</v>
      </c>
      <c r="BL645" s="16">
        <f>Table1347456[[#This Row],[v_from_sd_and_n]]</f>
        <v>1.4105106346491423E-3</v>
      </c>
      <c r="BM645" s="20">
        <f>SQRT(Table1347456[[#This Row],[v]])</f>
        <v>3.7556765497698846E-2</v>
      </c>
      <c r="BN645" s="20">
        <f>Table1347456[[#This Row],[lnrr]]-(1.96*Table1347456[[#This Row],[se]])</f>
        <v>-7.9964521898099286E-2</v>
      </c>
      <c r="BO645" s="20">
        <f>Table1347456[[#This Row],[lnrr]]+(1.96 * Table1347456[[#This Row],[se]])</f>
        <v>6.7257998852880183E-2</v>
      </c>
    </row>
    <row r="646" spans="1:67">
      <c r="A646" s="13" t="s">
        <v>242</v>
      </c>
      <c r="B646" s="13" t="s">
        <v>243</v>
      </c>
      <c r="C646" s="13" t="s">
        <v>43</v>
      </c>
      <c r="D646" s="13" t="s">
        <v>244</v>
      </c>
      <c r="E646" s="13" t="s">
        <v>245</v>
      </c>
      <c r="F646" s="13" t="s">
        <v>586</v>
      </c>
      <c r="G646" s="13" t="s">
        <v>46</v>
      </c>
      <c r="H646" s="13">
        <v>8</v>
      </c>
      <c r="I646" s="13">
        <v>1392</v>
      </c>
      <c r="K646" s="13" t="s">
        <v>874</v>
      </c>
      <c r="L646" s="13" t="s">
        <v>875</v>
      </c>
      <c r="N646" s="13" t="s">
        <v>47</v>
      </c>
      <c r="O646" s="13" t="s">
        <v>645</v>
      </c>
      <c r="P646" s="13" t="s">
        <v>48</v>
      </c>
      <c r="Q646" s="13" t="s">
        <v>48</v>
      </c>
      <c r="R646" s="4">
        <v>4</v>
      </c>
      <c r="S646" s="13" t="s">
        <v>594</v>
      </c>
      <c r="T646" s="13">
        <v>730</v>
      </c>
      <c r="U646" s="4" t="s">
        <v>246</v>
      </c>
      <c r="V646" s="4" t="s">
        <v>46</v>
      </c>
      <c r="W646" s="4" t="s">
        <v>46</v>
      </c>
      <c r="X646" s="4">
        <v>743</v>
      </c>
      <c r="Y646" s="4">
        <v>28.7</v>
      </c>
      <c r="AA646" s="4" t="s">
        <v>49</v>
      </c>
      <c r="AB646" s="4">
        <v>0</v>
      </c>
      <c r="AC646" s="4" t="s">
        <v>50</v>
      </c>
      <c r="AD646" s="4">
        <v>7.5</v>
      </c>
      <c r="AE646" s="4" t="s">
        <v>49</v>
      </c>
      <c r="AF646" s="4">
        <v>0</v>
      </c>
      <c r="AG646" s="4" t="s">
        <v>46</v>
      </c>
      <c r="AH646" s="4" t="s">
        <v>767</v>
      </c>
      <c r="AI646" s="4" t="s">
        <v>241</v>
      </c>
      <c r="AJ646" s="13">
        <v>0</v>
      </c>
      <c r="AK646" s="13">
        <v>25</v>
      </c>
      <c r="AP646" s="13" t="s">
        <v>50</v>
      </c>
      <c r="AQ646" s="13" t="s">
        <v>49</v>
      </c>
      <c r="AR646" s="13" t="s">
        <v>50</v>
      </c>
      <c r="AS646" s="13" t="s">
        <v>49</v>
      </c>
      <c r="AT646" s="13" t="s">
        <v>993</v>
      </c>
      <c r="AU646" s="13" t="s">
        <v>1001</v>
      </c>
      <c r="AV646" s="14">
        <v>1.05</v>
      </c>
      <c r="AW646" s="14">
        <v>1.05</v>
      </c>
      <c r="AX646" s="14">
        <f>Table1347456[[#This Row],[treatment_mean]]/Table1347456[[#This Row],[control_mean]]</f>
        <v>1</v>
      </c>
      <c r="AY646" s="14">
        <f>LN(Table1347456[[#This Row],[rr]])</f>
        <v>0</v>
      </c>
      <c r="AZ646" s="13">
        <v>4</v>
      </c>
      <c r="BA646" s="13">
        <v>4</v>
      </c>
      <c r="BB646" s="14">
        <f>Table1347456[[#This Row],[treatment_sd]]/SQRT(Table1347456[[#This Row],[treatment_n]])</f>
        <v>2.5102290732122438E-2</v>
      </c>
      <c r="BC646" s="14">
        <f>Table1347456[[#This Row],[control_sd]]/SQRT(Table1347456[[#This Row],[control_n]])</f>
        <v>0.10212798343255389</v>
      </c>
      <c r="BD646" s="15">
        <f>SQRT(0.0025205)</f>
        <v>5.0204581464244877E-2</v>
      </c>
      <c r="BE646" s="14">
        <f>SQRT(0.0417205)</f>
        <v>0.20425596686510777</v>
      </c>
      <c r="BF64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1.0031972789115648E-2</v>
      </c>
      <c r="BG646" s="17">
        <f>SQRT(Table1347456[[#This Row],[v_from_sd_and_n]])</f>
        <v>0.10015973636704346</v>
      </c>
      <c r="BH646" s="13" t="s">
        <v>50</v>
      </c>
      <c r="BI646" s="13">
        <v>2.5000000000000001E-2</v>
      </c>
      <c r="BJ646" s="18">
        <f>ABS(_xlfn.NORM.S.INV(Table1347456[[#This Row],[p_value]]/2))</f>
        <v>2.2414027276049446</v>
      </c>
      <c r="BK646" s="19">
        <f>(Table1347456[[#This Row],[lnrr]]/Table1347456[[#This Row],[z_from_p]])^2</f>
        <v>0</v>
      </c>
      <c r="BL646" s="16">
        <f>Table1347456[[#This Row],[v_from_sd_and_n]]</f>
        <v>1.0031972789115648E-2</v>
      </c>
      <c r="BM646" s="20">
        <f>SQRT(Table1347456[[#This Row],[v]])</f>
        <v>0.10015973636704346</v>
      </c>
      <c r="BN646" s="20">
        <f>Table1347456[[#This Row],[lnrr]]-(1.96*Table1347456[[#This Row],[se]])</f>
        <v>-0.19631308327940519</v>
      </c>
      <c r="BO646" s="20">
        <f>Table1347456[[#This Row],[lnrr]]+(1.96 * Table1347456[[#This Row],[se]])</f>
        <v>0.19631308327940519</v>
      </c>
    </row>
    <row r="647" spans="1:67">
      <c r="A647" s="13" t="s">
        <v>242</v>
      </c>
      <c r="B647" s="13" t="s">
        <v>243</v>
      </c>
      <c r="C647" s="13" t="s">
        <v>43</v>
      </c>
      <c r="D647" s="13" t="s">
        <v>244</v>
      </c>
      <c r="E647" s="13" t="s">
        <v>245</v>
      </c>
      <c r="F647" s="13" t="s">
        <v>586</v>
      </c>
      <c r="G647" s="13" t="s">
        <v>46</v>
      </c>
      <c r="H647" s="13">
        <v>8</v>
      </c>
      <c r="I647" s="13">
        <v>1392</v>
      </c>
      <c r="K647" s="13" t="s">
        <v>874</v>
      </c>
      <c r="L647" s="13" t="s">
        <v>875</v>
      </c>
      <c r="N647" s="13" t="s">
        <v>617</v>
      </c>
      <c r="O647" s="13" t="s">
        <v>54</v>
      </c>
      <c r="P647" s="13" t="s">
        <v>85</v>
      </c>
      <c r="Q647" s="13" t="s">
        <v>48</v>
      </c>
      <c r="R647" s="4">
        <v>4</v>
      </c>
      <c r="S647" s="13" t="s">
        <v>594</v>
      </c>
      <c r="T647" s="13">
        <v>730</v>
      </c>
      <c r="U647" s="4" t="s">
        <v>246</v>
      </c>
      <c r="V647" s="4" t="s">
        <v>46</v>
      </c>
      <c r="W647" s="4" t="s">
        <v>46</v>
      </c>
      <c r="X647" s="4">
        <v>743</v>
      </c>
      <c r="Y647" s="4">
        <v>28.7</v>
      </c>
      <c r="AA647" s="4" t="s">
        <v>49</v>
      </c>
      <c r="AB647" s="4">
        <v>0</v>
      </c>
      <c r="AC647" s="4" t="s">
        <v>50</v>
      </c>
      <c r="AD647" s="4">
        <v>7.5</v>
      </c>
      <c r="AE647" s="4" t="s">
        <v>49</v>
      </c>
      <c r="AF647" s="4">
        <v>0</v>
      </c>
      <c r="AG647" s="4" t="s">
        <v>46</v>
      </c>
      <c r="AH647" s="4" t="s">
        <v>767</v>
      </c>
      <c r="AI647" s="4" t="s">
        <v>241</v>
      </c>
      <c r="AJ647" s="13">
        <v>0</v>
      </c>
      <c r="AK647" s="13">
        <v>25</v>
      </c>
      <c r="AP647" s="13" t="s">
        <v>50</v>
      </c>
      <c r="AQ647" s="13" t="s">
        <v>49</v>
      </c>
      <c r="AR647" s="13" t="s">
        <v>50</v>
      </c>
      <c r="AS647" s="13" t="s">
        <v>49</v>
      </c>
      <c r="AT647" s="13" t="s">
        <v>993</v>
      </c>
      <c r="AU647" s="13" t="s">
        <v>1001</v>
      </c>
      <c r="AV647" s="14">
        <f>2.99/1000</f>
        <v>2.99E-3</v>
      </c>
      <c r="AW647" s="14">
        <f>3.875/1000</f>
        <v>3.875E-3</v>
      </c>
      <c r="AX647" s="14">
        <f>Table1347456[[#This Row],[treatment_mean]]/Table1347456[[#This Row],[control_mean]]</f>
        <v>0.77161290322580645</v>
      </c>
      <c r="AY647" s="14">
        <f>LN(Table1347456[[#This Row],[rr]])</f>
        <v>-0.25927227540271525</v>
      </c>
      <c r="AZ647" s="13">
        <v>4</v>
      </c>
      <c r="BA647" s="13">
        <v>4</v>
      </c>
      <c r="BB647" s="14">
        <f>Table1347456[[#This Row],[treatment_sd]]/SQRT(Table1347456[[#This Row],[treatment_n]])</f>
        <v>4.242640687119285E-4</v>
      </c>
      <c r="BC647" s="14">
        <f>Table1347456[[#This Row],[control_sd]]/SQRT(Table1347456[[#This Row],[control_n]])</f>
        <v>1.0899598616462903E-4</v>
      </c>
      <c r="BD647" s="15">
        <f>SQRT(0.72)/1000</f>
        <v>8.4852813742385699E-4</v>
      </c>
      <c r="BE647" s="14">
        <f>SQRT(0.0475205)/1000</f>
        <v>2.1799197232925805E-4</v>
      </c>
      <c r="BF64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2.0925187158500776E-2</v>
      </c>
      <c r="BG647" s="17">
        <f>SQRT(Table1347456[[#This Row],[v_from_sd_and_n]])</f>
        <v>0.144655408327863</v>
      </c>
      <c r="BH647" s="13" t="s">
        <v>50</v>
      </c>
      <c r="BI647" s="13">
        <v>2.5000000000000001E-2</v>
      </c>
      <c r="BJ647" s="18">
        <f>ABS(_xlfn.NORM.S.INV(Table1347456[[#This Row],[p_value]]/2))</f>
        <v>2.2414027276049446</v>
      </c>
      <c r="BK647" s="19">
        <f>(Table1347456[[#This Row],[lnrr]]/Table1347456[[#This Row],[z_from_p]])^2</f>
        <v>1.3380500729143626E-2</v>
      </c>
      <c r="BL647" s="16">
        <f>Table1347456[[#This Row],[v_from_sd_and_n]]</f>
        <v>2.0925187158500776E-2</v>
      </c>
      <c r="BM647" s="20">
        <f>SQRT(Table1347456[[#This Row],[v]])</f>
        <v>0.144655408327863</v>
      </c>
      <c r="BN647" s="20">
        <f>Table1347456[[#This Row],[lnrr]]-(1.96*Table1347456[[#This Row],[se]])</f>
        <v>-0.54279687572532676</v>
      </c>
      <c r="BO647" s="20">
        <f>Table1347456[[#This Row],[lnrr]]+(1.96 * Table1347456[[#This Row],[se]])</f>
        <v>2.4252324919896207E-2</v>
      </c>
    </row>
    <row r="648" spans="1:67">
      <c r="A648" s="13" t="s">
        <v>242</v>
      </c>
      <c r="B648" s="13" t="s">
        <v>243</v>
      </c>
      <c r="C648" s="13" t="s">
        <v>43</v>
      </c>
      <c r="D648" s="13" t="s">
        <v>244</v>
      </c>
      <c r="E648" s="13" t="s">
        <v>245</v>
      </c>
      <c r="F648" s="13" t="s">
        <v>586</v>
      </c>
      <c r="G648" s="13" t="s">
        <v>46</v>
      </c>
      <c r="H648" s="13">
        <v>8</v>
      </c>
      <c r="I648" s="13">
        <v>1392</v>
      </c>
      <c r="K648" s="13" t="s">
        <v>874</v>
      </c>
      <c r="L648" s="13" t="s">
        <v>875</v>
      </c>
      <c r="N648" s="13" t="s">
        <v>53</v>
      </c>
      <c r="O648" s="13" t="s">
        <v>54</v>
      </c>
      <c r="P648" s="13" t="s">
        <v>85</v>
      </c>
      <c r="Q648" s="13" t="s">
        <v>48</v>
      </c>
      <c r="R648" s="4">
        <v>4</v>
      </c>
      <c r="S648" s="13" t="s">
        <v>594</v>
      </c>
      <c r="T648" s="13">
        <v>730</v>
      </c>
      <c r="U648" s="4" t="s">
        <v>246</v>
      </c>
      <c r="V648" s="4" t="s">
        <v>46</v>
      </c>
      <c r="W648" s="4" t="s">
        <v>46</v>
      </c>
      <c r="X648" s="4">
        <v>743</v>
      </c>
      <c r="Y648" s="4">
        <v>28.7</v>
      </c>
      <c r="AA648" s="4" t="s">
        <v>49</v>
      </c>
      <c r="AB648" s="4">
        <v>0</v>
      </c>
      <c r="AC648" s="4" t="s">
        <v>50</v>
      </c>
      <c r="AD648" s="4">
        <v>7.5</v>
      </c>
      <c r="AE648" s="4" t="s">
        <v>49</v>
      </c>
      <c r="AF648" s="4">
        <v>0</v>
      </c>
      <c r="AG648" s="4" t="s">
        <v>46</v>
      </c>
      <c r="AH648" s="4" t="s">
        <v>767</v>
      </c>
      <c r="AI648" s="4" t="s">
        <v>241</v>
      </c>
      <c r="AJ648" s="13">
        <v>0</v>
      </c>
      <c r="AK648" s="13">
        <v>25</v>
      </c>
      <c r="AP648" s="13" t="s">
        <v>50</v>
      </c>
      <c r="AQ648" s="13" t="s">
        <v>49</v>
      </c>
      <c r="AR648" s="13" t="s">
        <v>50</v>
      </c>
      <c r="AS648" s="13" t="s">
        <v>49</v>
      </c>
      <c r="AT648" s="13" t="s">
        <v>993</v>
      </c>
      <c r="AU648" s="13" t="s">
        <v>1001</v>
      </c>
      <c r="AV648" s="14">
        <f>5.37/1000</f>
        <v>5.3699999999999998E-3</v>
      </c>
      <c r="AW648" s="14">
        <f>4.125/1000</f>
        <v>4.1250000000000002E-3</v>
      </c>
      <c r="AX648" s="14">
        <f>Table1347456[[#This Row],[treatment_mean]]/Table1347456[[#This Row],[control_mean]]</f>
        <v>1.3018181818181818</v>
      </c>
      <c r="AY648" s="14">
        <f>LN(Table1347456[[#This Row],[rr]])</f>
        <v>0.26376188873412898</v>
      </c>
      <c r="AZ648" s="13">
        <v>4</v>
      </c>
      <c r="BA648" s="13">
        <v>4</v>
      </c>
      <c r="BB648" s="14">
        <f>Table1347456[[#This Row],[treatment_sd]]/SQRT(Table1347456[[#This Row],[treatment_n]])</f>
        <v>3.8303067762256328E-4</v>
      </c>
      <c r="BC648" s="14">
        <f>Table1347456[[#This Row],[control_sd]]/SQRT(Table1347456[[#This Row],[control_n]])</f>
        <v>4.5962626257645459E-4</v>
      </c>
      <c r="BD648" s="15">
        <f>SQRT(0.58685)/1000</f>
        <v>7.6606135524512657E-4</v>
      </c>
      <c r="BE648" s="14">
        <f>SQRT(0.845025205)/1000</f>
        <v>9.1925252515290918E-4</v>
      </c>
      <c r="BF64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1.7503095465594486E-2</v>
      </c>
      <c r="BG648" s="17">
        <f>SQRT(Table1347456[[#This Row],[v_from_sd_and_n]])</f>
        <v>0.13229926479612231</v>
      </c>
      <c r="BH648" s="13" t="s">
        <v>50</v>
      </c>
      <c r="BI648" s="13">
        <v>2.5000000000000001E-2</v>
      </c>
      <c r="BJ648" s="18">
        <f>ABS(_xlfn.NORM.S.INV(Table1347456[[#This Row],[p_value]]/2))</f>
        <v>2.2414027276049446</v>
      </c>
      <c r="BK648" s="19">
        <f>(Table1347456[[#This Row],[lnrr]]/Table1347456[[#This Row],[z_from_p]])^2</f>
        <v>1.3847912025606269E-2</v>
      </c>
      <c r="BL648" s="16">
        <f>Table1347456[[#This Row],[v_from_sd_and_n]]</f>
        <v>1.7503095465594486E-2</v>
      </c>
      <c r="BM648" s="20">
        <f>SQRT(Table1347456[[#This Row],[v]])</f>
        <v>0.13229926479612231</v>
      </c>
      <c r="BN648" s="20">
        <f>Table1347456[[#This Row],[lnrr]]-(1.96*Table1347456[[#This Row],[se]])</f>
        <v>4.4553297337292519E-3</v>
      </c>
      <c r="BO648" s="20">
        <f>Table1347456[[#This Row],[lnrr]]+(1.96 * Table1347456[[#This Row],[se]])</f>
        <v>0.52306844773452865</v>
      </c>
    </row>
    <row r="649" spans="1:67">
      <c r="A649" s="13" t="s">
        <v>242</v>
      </c>
      <c r="B649" s="13" t="s">
        <v>243</v>
      </c>
      <c r="C649" s="13" t="s">
        <v>43</v>
      </c>
      <c r="D649" s="13" t="s">
        <v>244</v>
      </c>
      <c r="E649" s="13" t="s">
        <v>245</v>
      </c>
      <c r="F649" s="13" t="s">
        <v>586</v>
      </c>
      <c r="G649" s="13" t="s">
        <v>46</v>
      </c>
      <c r="H649" s="13">
        <v>8</v>
      </c>
      <c r="I649" s="13">
        <v>1392</v>
      </c>
      <c r="J649" s="13" t="s">
        <v>671</v>
      </c>
      <c r="K649" s="13" t="s">
        <v>874</v>
      </c>
      <c r="L649" s="13" t="s">
        <v>875</v>
      </c>
      <c r="M649" s="13" t="s">
        <v>798</v>
      </c>
      <c r="N649" s="13" t="s">
        <v>84</v>
      </c>
      <c r="O649" s="13" t="s">
        <v>644</v>
      </c>
      <c r="P649" s="13" t="s">
        <v>85</v>
      </c>
      <c r="Q649" s="13" t="s">
        <v>48</v>
      </c>
      <c r="R649" s="4">
        <v>4</v>
      </c>
      <c r="S649" s="13" t="s">
        <v>594</v>
      </c>
      <c r="T649" s="13">
        <v>730</v>
      </c>
      <c r="U649" s="4" t="s">
        <v>246</v>
      </c>
      <c r="V649" s="4" t="s">
        <v>46</v>
      </c>
      <c r="W649" s="4" t="s">
        <v>46</v>
      </c>
      <c r="X649" s="4">
        <v>743</v>
      </c>
      <c r="Y649" s="4">
        <v>28.7</v>
      </c>
      <c r="AA649" s="4" t="s">
        <v>49</v>
      </c>
      <c r="AB649" s="4">
        <v>0</v>
      </c>
      <c r="AC649" s="4" t="s">
        <v>50</v>
      </c>
      <c r="AD649" s="4">
        <v>7.5</v>
      </c>
      <c r="AE649" s="4" t="s">
        <v>49</v>
      </c>
      <c r="AF649" s="4">
        <v>0</v>
      </c>
      <c r="AG649" s="4" t="s">
        <v>46</v>
      </c>
      <c r="AH649" s="4" t="s">
        <v>767</v>
      </c>
      <c r="AI649" s="4" t="s">
        <v>241</v>
      </c>
      <c r="AJ649" s="13">
        <v>0</v>
      </c>
      <c r="AK649" s="13">
        <v>25</v>
      </c>
      <c r="AP649" s="13" t="s">
        <v>50</v>
      </c>
      <c r="AQ649" s="13" t="s">
        <v>49</v>
      </c>
      <c r="AR649" s="13" t="s">
        <v>50</v>
      </c>
      <c r="AS649" s="13" t="s">
        <v>49</v>
      </c>
      <c r="AT649" s="13" t="s">
        <v>993</v>
      </c>
      <c r="AU649" s="13" t="s">
        <v>1001</v>
      </c>
      <c r="AV649" s="23">
        <f>84.2/1000</f>
        <v>8.4199999999999997E-2</v>
      </c>
      <c r="AW649" s="23">
        <f>121.4/1000</f>
        <v>0.12140000000000001</v>
      </c>
      <c r="AX649" s="14">
        <f>Table1347456[[#This Row],[treatment_mean]]/Table1347456[[#This Row],[control_mean]]</f>
        <v>0.69357495881383846</v>
      </c>
      <c r="AY649" s="14">
        <f>LN(Table1347456[[#This Row],[rr]])</f>
        <v>-0.365895957377117</v>
      </c>
      <c r="AZ649" s="13">
        <v>4</v>
      </c>
      <c r="BA649" s="13">
        <v>4</v>
      </c>
      <c r="BB649" s="14">
        <f>Table1347456[[#This Row],[treatment_sd]]/SQRT(Table1347456[[#This Row],[treatment_n]])</f>
        <v>3.9689419244932269E-3</v>
      </c>
      <c r="BC649" s="14">
        <f>Table1347456[[#This Row],[control_sd]]/SQRT(Table1347456[[#This Row],[control_n]])</f>
        <v>5.8456180169422639E-3</v>
      </c>
      <c r="BD649" s="15">
        <f>SQRT(63.01)/1000</f>
        <v>7.9378838489864538E-3</v>
      </c>
      <c r="BE649" s="14">
        <f>SQRT(136.685)/1000</f>
        <v>1.1691236033884528E-2</v>
      </c>
      <c r="BF64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4.5404915855468391E-3</v>
      </c>
      <c r="BG649" s="17">
        <f>SQRT(Table1347456[[#This Row],[v_from_sd_and_n]])</f>
        <v>6.738316989832728E-2</v>
      </c>
      <c r="BH649" s="13" t="s">
        <v>50</v>
      </c>
      <c r="BI649" s="13">
        <v>2.5000000000000001E-2</v>
      </c>
      <c r="BJ649" s="18">
        <f>ABS(_xlfn.NORM.S.INV(Table1347456[[#This Row],[p_value]]/2))</f>
        <v>2.2414027276049446</v>
      </c>
      <c r="BK649" s="19">
        <f>(Table1347456[[#This Row],[lnrr]]/Table1347456[[#This Row],[z_from_p]])^2</f>
        <v>2.6648663332174669E-2</v>
      </c>
      <c r="BL649" s="16">
        <f>Table1347456[[#This Row],[v_from_sd_and_n]]</f>
        <v>4.5404915855468391E-3</v>
      </c>
      <c r="BM649" s="20">
        <f>SQRT(Table1347456[[#This Row],[v]])</f>
        <v>6.738316989832728E-2</v>
      </c>
      <c r="BN649" s="20">
        <f>Table1347456[[#This Row],[lnrr]]-(1.96*Table1347456[[#This Row],[se]])</f>
        <v>-0.49796697037783844</v>
      </c>
      <c r="BO649" s="20">
        <f>Table1347456[[#This Row],[lnrr]]+(1.96 * Table1347456[[#This Row],[se]])</f>
        <v>-0.23382494437639553</v>
      </c>
    </row>
    <row r="650" spans="1:67">
      <c r="A650" s="13" t="s">
        <v>242</v>
      </c>
      <c r="B650" s="13" t="s">
        <v>243</v>
      </c>
      <c r="C650" s="13" t="s">
        <v>43</v>
      </c>
      <c r="D650" s="13" t="s">
        <v>244</v>
      </c>
      <c r="E650" s="13" t="s">
        <v>245</v>
      </c>
      <c r="F650" s="13" t="s">
        <v>586</v>
      </c>
      <c r="G650" s="13" t="s">
        <v>46</v>
      </c>
      <c r="H650" s="13">
        <v>8</v>
      </c>
      <c r="I650" s="13">
        <v>1392</v>
      </c>
      <c r="K650" s="13" t="s">
        <v>874</v>
      </c>
      <c r="L650" s="13" t="s">
        <v>875</v>
      </c>
      <c r="N650" s="13" t="s">
        <v>86</v>
      </c>
      <c r="O650" s="13" t="s">
        <v>644</v>
      </c>
      <c r="P650" s="13" t="s">
        <v>85</v>
      </c>
      <c r="Q650" s="13" t="s">
        <v>48</v>
      </c>
      <c r="R650" s="4">
        <v>4</v>
      </c>
      <c r="S650" s="13" t="s">
        <v>594</v>
      </c>
      <c r="T650" s="13">
        <v>730</v>
      </c>
      <c r="U650" s="4" t="s">
        <v>246</v>
      </c>
      <c r="V650" s="4" t="s">
        <v>46</v>
      </c>
      <c r="W650" s="4" t="s">
        <v>46</v>
      </c>
      <c r="X650" s="4">
        <v>743</v>
      </c>
      <c r="Y650" s="4">
        <v>28.7</v>
      </c>
      <c r="AA650" s="4" t="s">
        <v>49</v>
      </c>
      <c r="AB650" s="4">
        <v>0</v>
      </c>
      <c r="AC650" s="4" t="s">
        <v>50</v>
      </c>
      <c r="AD650" s="4">
        <v>7.5</v>
      </c>
      <c r="AE650" s="4" t="s">
        <v>49</v>
      </c>
      <c r="AF650" s="4">
        <v>0</v>
      </c>
      <c r="AG650" s="4" t="s">
        <v>46</v>
      </c>
      <c r="AH650" s="4" t="s">
        <v>767</v>
      </c>
      <c r="AI650" s="4" t="s">
        <v>241</v>
      </c>
      <c r="AJ650" s="13">
        <v>0</v>
      </c>
      <c r="AK650" s="13">
        <v>25</v>
      </c>
      <c r="AP650" s="13" t="s">
        <v>50</v>
      </c>
      <c r="AQ650" s="13" t="s">
        <v>49</v>
      </c>
      <c r="AR650" s="13" t="s">
        <v>50</v>
      </c>
      <c r="AS650" s="13" t="s">
        <v>49</v>
      </c>
      <c r="AT650" s="13" t="s">
        <v>993</v>
      </c>
      <c r="AU650" s="13" t="s">
        <v>1001</v>
      </c>
      <c r="AV650" s="14">
        <f>74.2/1000</f>
        <v>7.4200000000000002E-2</v>
      </c>
      <c r="AW650" s="14">
        <f>88.3/1000</f>
        <v>8.8300000000000003E-2</v>
      </c>
      <c r="AX650" s="14">
        <f>Table1347456[[#This Row],[treatment_mean]]/Table1347456[[#This Row],[control_mean]]</f>
        <v>0.84031710079275201</v>
      </c>
      <c r="AY650" s="14">
        <f>LN(Table1347456[[#This Row],[rr]])</f>
        <v>-0.17397595743657954</v>
      </c>
      <c r="AZ650" s="13">
        <v>4</v>
      </c>
      <c r="BA650" s="13">
        <v>4</v>
      </c>
      <c r="BB650" s="14">
        <f>Table1347456[[#This Row],[treatment_sd]]/SQRT(Table1347456[[#This Row],[treatment_n]])</f>
        <v>1.7453509675707062E-3</v>
      </c>
      <c r="BC650" s="14">
        <f>Table1347456[[#This Row],[control_sd]]/SQRT(Table1347456[[#This Row],[control_n]])</f>
        <v>6.8209236911139825E-3</v>
      </c>
      <c r="BD650" s="15">
        <f>SQRT(12.185)/1000</f>
        <v>3.4907019351414124E-3</v>
      </c>
      <c r="BE650" s="14">
        <f>SQRT(186.1)/1000</f>
        <v>1.3641847382227965E-2</v>
      </c>
      <c r="BF65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6.5204190449043775E-3</v>
      </c>
      <c r="BG650" s="17">
        <f>SQRT(Table1347456[[#This Row],[v_from_sd_and_n]])</f>
        <v>8.074911172826843E-2</v>
      </c>
      <c r="BH650" s="13" t="s">
        <v>50</v>
      </c>
      <c r="BI650" s="13">
        <v>2.5000000000000001E-2</v>
      </c>
      <c r="BJ650" s="18">
        <f>ABS(_xlfn.NORM.S.INV(Table1347456[[#This Row],[p_value]]/2))</f>
        <v>2.2414027276049446</v>
      </c>
      <c r="BK650" s="19">
        <f>(Table1347456[[#This Row],[lnrr]]/Table1347456[[#This Row],[z_from_p]])^2</f>
        <v>6.0247451151260378E-3</v>
      </c>
      <c r="BL650" s="16">
        <f>Table1347456[[#This Row],[v_from_sd_and_n]]</f>
        <v>6.5204190449043775E-3</v>
      </c>
      <c r="BM650" s="20">
        <f>SQRT(Table1347456[[#This Row],[v]])</f>
        <v>8.074911172826843E-2</v>
      </c>
      <c r="BN650" s="20">
        <f>Table1347456[[#This Row],[lnrr]]-(1.96*Table1347456[[#This Row],[se]])</f>
        <v>-0.33224421642398566</v>
      </c>
      <c r="BO650" s="20">
        <f>Table1347456[[#This Row],[lnrr]]+(1.96 * Table1347456[[#This Row],[se]])</f>
        <v>-1.5707698449173413E-2</v>
      </c>
    </row>
    <row r="651" spans="1:67">
      <c r="A651" s="13" t="s">
        <v>247</v>
      </c>
      <c r="B651" s="13" t="s">
        <v>248</v>
      </c>
      <c r="C651" s="13" t="s">
        <v>43</v>
      </c>
      <c r="D651" s="13" t="s">
        <v>192</v>
      </c>
      <c r="E651" s="13" t="s">
        <v>249</v>
      </c>
      <c r="F651" s="13" t="s">
        <v>588</v>
      </c>
      <c r="G651" s="13" t="s">
        <v>46</v>
      </c>
      <c r="H651" s="13">
        <v>32</v>
      </c>
      <c r="I651" s="13">
        <v>1300</v>
      </c>
      <c r="K651" s="13" t="s">
        <v>876</v>
      </c>
      <c r="L651" s="13" t="s">
        <v>877</v>
      </c>
      <c r="N651" s="13" t="s">
        <v>47</v>
      </c>
      <c r="O651" s="13" t="s">
        <v>645</v>
      </c>
      <c r="P651" s="13" t="s">
        <v>422</v>
      </c>
      <c r="Q651" s="13" t="s">
        <v>48</v>
      </c>
      <c r="R651" s="4">
        <v>3</v>
      </c>
      <c r="S651" s="13" t="s">
        <v>594</v>
      </c>
      <c r="T651" s="13">
        <v>730</v>
      </c>
      <c r="U651" s="4" t="s">
        <v>147</v>
      </c>
      <c r="V651" s="4">
        <v>580</v>
      </c>
      <c r="W651" s="4" t="s">
        <v>601</v>
      </c>
      <c r="X651" s="4">
        <v>523</v>
      </c>
      <c r="Y651" s="4">
        <v>25</v>
      </c>
      <c r="AA651" s="4" t="s">
        <v>49</v>
      </c>
      <c r="AB651" s="4">
        <v>0</v>
      </c>
      <c r="AC651" s="4" t="s">
        <v>49</v>
      </c>
      <c r="AD651" s="4">
        <v>0</v>
      </c>
      <c r="AE651" s="4" t="s">
        <v>49</v>
      </c>
      <c r="AF651" s="4">
        <v>0</v>
      </c>
      <c r="AG651" s="4" t="s">
        <v>710</v>
      </c>
      <c r="AH651" s="4" t="s">
        <v>709</v>
      </c>
      <c r="AI651" s="4" t="s">
        <v>64</v>
      </c>
      <c r="AJ651" s="13">
        <v>0</v>
      </c>
      <c r="AK651" s="13">
        <v>10</v>
      </c>
      <c r="AM651" s="13" t="s">
        <v>507</v>
      </c>
      <c r="AP651" s="13" t="s">
        <v>49</v>
      </c>
      <c r="AQ651" s="13" t="s">
        <v>49</v>
      </c>
      <c r="AR651" s="13" t="s">
        <v>49</v>
      </c>
      <c r="AS651" s="13" t="s">
        <v>50</v>
      </c>
      <c r="AT651" s="13" t="s">
        <v>990</v>
      </c>
      <c r="AU651" s="13" t="s">
        <v>998</v>
      </c>
      <c r="AV651" s="14">
        <f>0.3*10</f>
        <v>3</v>
      </c>
      <c r="AW651" s="14">
        <f>0.27*10</f>
        <v>2.7</v>
      </c>
      <c r="AX651" s="14">
        <f>Table1347456[[#This Row],[treatment_mean]]/Table1347456[[#This Row],[control_mean]]</f>
        <v>1.1111111111111109</v>
      </c>
      <c r="AY651" s="14">
        <f>LN(Table1347456[[#This Row],[rr]])</f>
        <v>0.10536051565782614</v>
      </c>
      <c r="AZ651" s="13">
        <v>3</v>
      </c>
      <c r="BA651" s="13">
        <v>3</v>
      </c>
      <c r="BB651" s="14" t="s">
        <v>46</v>
      </c>
      <c r="BC651" s="14" t="s">
        <v>46</v>
      </c>
      <c r="BD651" s="15" t="s">
        <v>46</v>
      </c>
      <c r="BE651" s="14" t="s">
        <v>46</v>
      </c>
      <c r="BF65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51" s="17" t="s">
        <v>46</v>
      </c>
      <c r="BH651" s="13" t="s">
        <v>50</v>
      </c>
      <c r="BI651" s="13">
        <v>2.5000000000000001E-2</v>
      </c>
      <c r="BJ651" s="18">
        <f>ABS(_xlfn.NORM.S.INV(Table1347456[[#This Row],[p_value]]/2))</f>
        <v>2.2414027276049446</v>
      </c>
      <c r="BK651" s="19">
        <f>(Table1347456[[#This Row],[lnrr]]/Table1347456[[#This Row],[z_from_p]])^2</f>
        <v>2.2096118116115386E-3</v>
      </c>
      <c r="BL651" s="16">
        <f>Table1347456[[#This Row],[v_from_z_from_p]]</f>
        <v>2.2096118116115386E-3</v>
      </c>
      <c r="BM651" s="20">
        <f>SQRT(Table1347456[[#This Row],[v]])</f>
        <v>4.7006508183564735E-2</v>
      </c>
      <c r="BN651" s="20">
        <f>Table1347456[[#This Row],[lnrr]]-(1.96*Table1347456[[#This Row],[se]])</f>
        <v>1.3227759618039264E-2</v>
      </c>
      <c r="BO651" s="20">
        <f>Table1347456[[#This Row],[lnrr]]+(1.96 * Table1347456[[#This Row],[se]])</f>
        <v>0.19749327169761302</v>
      </c>
    </row>
    <row r="652" spans="1:67">
      <c r="A652" s="13" t="s">
        <v>247</v>
      </c>
      <c r="B652" s="13" t="s">
        <v>248</v>
      </c>
      <c r="C652" s="13" t="s">
        <v>43</v>
      </c>
      <c r="D652" s="13" t="s">
        <v>192</v>
      </c>
      <c r="E652" s="13" t="s">
        <v>249</v>
      </c>
      <c r="F652" s="13" t="s">
        <v>588</v>
      </c>
      <c r="G652" s="13" t="s">
        <v>46</v>
      </c>
      <c r="H652" s="13">
        <v>32</v>
      </c>
      <c r="I652" s="13">
        <v>1300</v>
      </c>
      <c r="K652" s="13" t="s">
        <v>876</v>
      </c>
      <c r="L652" s="13" t="s">
        <v>877</v>
      </c>
      <c r="N652" s="13" t="s">
        <v>47</v>
      </c>
      <c r="O652" s="13" t="s">
        <v>645</v>
      </c>
      <c r="P652" s="13" t="s">
        <v>422</v>
      </c>
      <c r="Q652" s="13" t="s">
        <v>48</v>
      </c>
      <c r="R652" s="4">
        <v>3</v>
      </c>
      <c r="S652" s="13" t="s">
        <v>594</v>
      </c>
      <c r="T652" s="13">
        <v>730</v>
      </c>
      <c r="U652" s="4" t="s">
        <v>147</v>
      </c>
      <c r="V652" s="4">
        <v>580</v>
      </c>
      <c r="W652" s="4" t="s">
        <v>601</v>
      </c>
      <c r="X652" s="4">
        <v>523</v>
      </c>
      <c r="Y652" s="4">
        <v>50</v>
      </c>
      <c r="AA652" s="4" t="s">
        <v>49</v>
      </c>
      <c r="AB652" s="4">
        <v>0</v>
      </c>
      <c r="AC652" s="4" t="s">
        <v>49</v>
      </c>
      <c r="AD652" s="4">
        <v>0</v>
      </c>
      <c r="AE652" s="4" t="s">
        <v>49</v>
      </c>
      <c r="AF652" s="4">
        <v>0</v>
      </c>
      <c r="AG652" s="4" t="s">
        <v>710</v>
      </c>
      <c r="AH652" s="4" t="s">
        <v>709</v>
      </c>
      <c r="AI652" s="4" t="s">
        <v>64</v>
      </c>
      <c r="AJ652" s="13">
        <v>0</v>
      </c>
      <c r="AK652" s="13">
        <v>10</v>
      </c>
      <c r="AM652" s="13" t="s">
        <v>507</v>
      </c>
      <c r="AP652" s="13" t="s">
        <v>49</v>
      </c>
      <c r="AQ652" s="13" t="s">
        <v>49</v>
      </c>
      <c r="AR652" s="13" t="s">
        <v>49</v>
      </c>
      <c r="AS652" s="13" t="s">
        <v>50</v>
      </c>
      <c r="AT652" s="13" t="s">
        <v>990</v>
      </c>
      <c r="AU652" s="13" t="s">
        <v>998</v>
      </c>
      <c r="AV652" s="14">
        <f>0.32*10</f>
        <v>3.2</v>
      </c>
      <c r="AW652" s="14">
        <f>0.27*10</f>
        <v>2.7</v>
      </c>
      <c r="AX652" s="14">
        <f>Table1347456[[#This Row],[treatment_mean]]/Table1347456[[#This Row],[control_mean]]</f>
        <v>1.1851851851851851</v>
      </c>
      <c r="AY652" s="14">
        <f>LN(Table1347456[[#This Row],[rr]])</f>
        <v>0.16989903679539742</v>
      </c>
      <c r="AZ652" s="13">
        <v>3</v>
      </c>
      <c r="BA652" s="13">
        <v>3</v>
      </c>
      <c r="BB652" s="14" t="s">
        <v>46</v>
      </c>
      <c r="BC652" s="14" t="s">
        <v>46</v>
      </c>
      <c r="BD652" s="15" t="s">
        <v>46</v>
      </c>
      <c r="BE652" s="14" t="s">
        <v>46</v>
      </c>
      <c r="BF65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52" s="17" t="s">
        <v>46</v>
      </c>
      <c r="BH652" s="13" t="s">
        <v>50</v>
      </c>
      <c r="BI652" s="13">
        <v>2.5000000000000001E-2</v>
      </c>
      <c r="BJ652" s="18">
        <f>ABS(_xlfn.NORM.S.INV(Table1347456[[#This Row],[p_value]]/2))</f>
        <v>2.2414027276049446</v>
      </c>
      <c r="BK652" s="19">
        <f>(Table1347456[[#This Row],[lnrr]]/Table1347456[[#This Row],[z_from_p]])^2</f>
        <v>5.7456880247184969E-3</v>
      </c>
      <c r="BL652" s="16">
        <f>Table1347456[[#This Row],[v_from_z_from_p]]</f>
        <v>5.7456880247184969E-3</v>
      </c>
      <c r="BM652" s="20">
        <f>SQRT(Table1347456[[#This Row],[v]])</f>
        <v>7.5800316785080105E-2</v>
      </c>
      <c r="BN652" s="20">
        <f>Table1347456[[#This Row],[lnrr]]-(1.96*Table1347456[[#This Row],[se]])</f>
        <v>2.133041589664042E-2</v>
      </c>
      <c r="BO652" s="20">
        <f>Table1347456[[#This Row],[lnrr]]+(1.96 * Table1347456[[#This Row],[se]])</f>
        <v>0.31846765769415442</v>
      </c>
    </row>
    <row r="653" spans="1:67">
      <c r="A653" s="13" t="s">
        <v>247</v>
      </c>
      <c r="B653" s="13" t="s">
        <v>248</v>
      </c>
      <c r="C653" s="13" t="s">
        <v>43</v>
      </c>
      <c r="D653" s="13" t="s">
        <v>192</v>
      </c>
      <c r="E653" s="13" t="s">
        <v>249</v>
      </c>
      <c r="F653" s="13" t="s">
        <v>588</v>
      </c>
      <c r="G653" s="13" t="s">
        <v>46</v>
      </c>
      <c r="H653" s="13">
        <v>32</v>
      </c>
      <c r="I653" s="13">
        <v>1300</v>
      </c>
      <c r="K653" s="13" t="s">
        <v>876</v>
      </c>
      <c r="L653" s="13" t="s">
        <v>877</v>
      </c>
      <c r="N653" s="13" t="s">
        <v>47</v>
      </c>
      <c r="O653" s="13" t="s">
        <v>645</v>
      </c>
      <c r="P653" s="13" t="s">
        <v>422</v>
      </c>
      <c r="Q653" s="13" t="s">
        <v>48</v>
      </c>
      <c r="R653" s="4">
        <v>3</v>
      </c>
      <c r="S653" s="13" t="s">
        <v>594</v>
      </c>
      <c r="T653" s="13">
        <v>730</v>
      </c>
      <c r="U653" s="4" t="s">
        <v>147</v>
      </c>
      <c r="V653" s="4">
        <v>580</v>
      </c>
      <c r="W653" s="4" t="s">
        <v>601</v>
      </c>
      <c r="X653" s="4">
        <v>523</v>
      </c>
      <c r="Y653" s="4">
        <v>25</v>
      </c>
      <c r="AA653" s="4" t="s">
        <v>49</v>
      </c>
      <c r="AB653" s="4">
        <v>0</v>
      </c>
      <c r="AC653" s="4" t="s">
        <v>50</v>
      </c>
      <c r="AD653" s="4">
        <v>2.5</v>
      </c>
      <c r="AE653" s="4" t="s">
        <v>49</v>
      </c>
      <c r="AF653" s="4">
        <v>0</v>
      </c>
      <c r="AG653" s="4" t="s">
        <v>710</v>
      </c>
      <c r="AH653" s="4" t="s">
        <v>709</v>
      </c>
      <c r="AI653" s="4" t="s">
        <v>64</v>
      </c>
      <c r="AJ653" s="13">
        <v>0</v>
      </c>
      <c r="AK653" s="13">
        <v>10</v>
      </c>
      <c r="AM653" s="13" t="s">
        <v>507</v>
      </c>
      <c r="AP653" s="13" t="s">
        <v>49</v>
      </c>
      <c r="AQ653" s="13" t="s">
        <v>49</v>
      </c>
      <c r="AR653" s="13" t="s">
        <v>49</v>
      </c>
      <c r="AS653" s="13" t="s">
        <v>50</v>
      </c>
      <c r="AT653" s="13" t="s">
        <v>993</v>
      </c>
      <c r="AU653" s="13" t="s">
        <v>1001</v>
      </c>
      <c r="AV653" s="14">
        <f>0.37*10</f>
        <v>3.7</v>
      </c>
      <c r="AW653" s="14">
        <f>0.33*10</f>
        <v>3.3000000000000003</v>
      </c>
      <c r="AX653" s="14">
        <f>Table1347456[[#This Row],[treatment_mean]]/Table1347456[[#This Row],[control_mean]]</f>
        <v>1.1212121212121211</v>
      </c>
      <c r="AY653" s="14">
        <f>LN(Table1347456[[#This Row],[rr]])</f>
        <v>0.11441035117774412</v>
      </c>
      <c r="AZ653" s="13">
        <v>3</v>
      </c>
      <c r="BA653" s="13">
        <v>3</v>
      </c>
      <c r="BB653" s="14" t="s">
        <v>46</v>
      </c>
      <c r="BC653" s="14" t="s">
        <v>46</v>
      </c>
      <c r="BD653" s="15" t="s">
        <v>46</v>
      </c>
      <c r="BE653" s="14" t="s">
        <v>46</v>
      </c>
      <c r="BF65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53" s="17" t="s">
        <v>46</v>
      </c>
      <c r="BH653" s="13" t="s">
        <v>50</v>
      </c>
      <c r="BI653" s="13">
        <v>2.5000000000000001E-2</v>
      </c>
      <c r="BJ653" s="18">
        <f>ABS(_xlfn.NORM.S.INV(Table1347456[[#This Row],[p_value]]/2))</f>
        <v>2.2414027276049446</v>
      </c>
      <c r="BK653" s="19">
        <f>(Table1347456[[#This Row],[lnrr]]/Table1347456[[#This Row],[z_from_p]])^2</f>
        <v>2.6054986057737098E-3</v>
      </c>
      <c r="BL653" s="16">
        <f>Table1347456[[#This Row],[v_from_z_from_p]]</f>
        <v>2.6054986057737098E-3</v>
      </c>
      <c r="BM653" s="20">
        <f>SQRT(Table1347456[[#This Row],[v]])</f>
        <v>5.1044084924442616E-2</v>
      </c>
      <c r="BN653" s="20">
        <f>Table1347456[[#This Row],[lnrr]]-(1.96*Table1347456[[#This Row],[se]])</f>
        <v>1.4363944725836589E-2</v>
      </c>
      <c r="BO653" s="20">
        <f>Table1347456[[#This Row],[lnrr]]+(1.96 * Table1347456[[#This Row],[se]])</f>
        <v>0.21445675762965166</v>
      </c>
    </row>
    <row r="654" spans="1:67">
      <c r="A654" s="13" t="s">
        <v>247</v>
      </c>
      <c r="B654" s="13" t="s">
        <v>248</v>
      </c>
      <c r="C654" s="13" t="s">
        <v>43</v>
      </c>
      <c r="D654" s="13" t="s">
        <v>192</v>
      </c>
      <c r="E654" s="13" t="s">
        <v>249</v>
      </c>
      <c r="F654" s="13" t="s">
        <v>588</v>
      </c>
      <c r="G654" s="13" t="s">
        <v>46</v>
      </c>
      <c r="H654" s="13">
        <v>32</v>
      </c>
      <c r="I654" s="13">
        <v>1300</v>
      </c>
      <c r="K654" s="13" t="s">
        <v>876</v>
      </c>
      <c r="L654" s="13" t="s">
        <v>877</v>
      </c>
      <c r="N654" s="13" t="s">
        <v>47</v>
      </c>
      <c r="O654" s="13" t="s">
        <v>645</v>
      </c>
      <c r="P654" s="13" t="s">
        <v>422</v>
      </c>
      <c r="Q654" s="13" t="s">
        <v>48</v>
      </c>
      <c r="R654" s="4">
        <v>3</v>
      </c>
      <c r="S654" s="13" t="s">
        <v>594</v>
      </c>
      <c r="T654" s="13">
        <v>730</v>
      </c>
      <c r="U654" s="4" t="s">
        <v>147</v>
      </c>
      <c r="V654" s="4">
        <v>580</v>
      </c>
      <c r="W654" s="4" t="s">
        <v>601</v>
      </c>
      <c r="X654" s="4">
        <v>523</v>
      </c>
      <c r="Y654" s="4">
        <v>50</v>
      </c>
      <c r="AA654" s="4" t="s">
        <v>49</v>
      </c>
      <c r="AB654" s="4">
        <v>0</v>
      </c>
      <c r="AC654" s="4" t="s">
        <v>50</v>
      </c>
      <c r="AD654" s="4">
        <v>2.5</v>
      </c>
      <c r="AE654" s="4" t="s">
        <v>49</v>
      </c>
      <c r="AF654" s="4">
        <v>0</v>
      </c>
      <c r="AG654" s="4" t="s">
        <v>710</v>
      </c>
      <c r="AH654" s="4" t="s">
        <v>709</v>
      </c>
      <c r="AI654" s="4" t="s">
        <v>64</v>
      </c>
      <c r="AJ654" s="13">
        <v>0</v>
      </c>
      <c r="AK654" s="13">
        <v>10</v>
      </c>
      <c r="AM654" s="13" t="s">
        <v>507</v>
      </c>
      <c r="AP654" s="13" t="s">
        <v>49</v>
      </c>
      <c r="AQ654" s="13" t="s">
        <v>49</v>
      </c>
      <c r="AR654" s="13" t="s">
        <v>49</v>
      </c>
      <c r="AS654" s="13" t="s">
        <v>50</v>
      </c>
      <c r="AT654" s="13" t="s">
        <v>993</v>
      </c>
      <c r="AU654" s="13" t="s">
        <v>1001</v>
      </c>
      <c r="AV654" s="14">
        <f>0.41*10</f>
        <v>4.0999999999999996</v>
      </c>
      <c r="AW654" s="14">
        <f>0.33*10</f>
        <v>3.3000000000000003</v>
      </c>
      <c r="AX654" s="14">
        <f>Table1347456[[#This Row],[treatment_mean]]/Table1347456[[#This Row],[control_mean]]</f>
        <v>1.2424242424242422</v>
      </c>
      <c r="AY654" s="14">
        <f>LN(Table1347456[[#This Row],[rr]])</f>
        <v>0.21706450523782739</v>
      </c>
      <c r="AZ654" s="13">
        <v>3</v>
      </c>
      <c r="BA654" s="13">
        <v>3</v>
      </c>
      <c r="BB654" s="14" t="s">
        <v>46</v>
      </c>
      <c r="BC654" s="14" t="s">
        <v>46</v>
      </c>
      <c r="BD654" s="15" t="s">
        <v>46</v>
      </c>
      <c r="BE654" s="14" t="s">
        <v>46</v>
      </c>
      <c r="BF65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54" s="17" t="s">
        <v>46</v>
      </c>
      <c r="BH654" s="13" t="s">
        <v>50</v>
      </c>
      <c r="BI654" s="13">
        <v>2.5000000000000001E-2</v>
      </c>
      <c r="BJ654" s="18">
        <f>ABS(_xlfn.NORM.S.INV(Table1347456[[#This Row],[p_value]]/2))</f>
        <v>2.2414027276049446</v>
      </c>
      <c r="BK654" s="19">
        <f>(Table1347456[[#This Row],[lnrr]]/Table1347456[[#This Row],[z_from_p]])^2</f>
        <v>9.3785961061600785E-3</v>
      </c>
      <c r="BL654" s="16">
        <f>Table1347456[[#This Row],[v_from_z_from_p]]</f>
        <v>9.3785961061600785E-3</v>
      </c>
      <c r="BM654" s="20">
        <f>SQRT(Table1347456[[#This Row],[v]])</f>
        <v>9.6843152087073656E-2</v>
      </c>
      <c r="BN654" s="20">
        <f>Table1347456[[#This Row],[lnrr]]-(1.96*Table1347456[[#This Row],[se]])</f>
        <v>2.7251927147163013E-2</v>
      </c>
      <c r="BO654" s="20">
        <f>Table1347456[[#This Row],[lnrr]]+(1.96 * Table1347456[[#This Row],[se]])</f>
        <v>0.40687708332849176</v>
      </c>
    </row>
    <row r="655" spans="1:67">
      <c r="A655" s="13" t="s">
        <v>247</v>
      </c>
      <c r="B655" s="13" t="s">
        <v>248</v>
      </c>
      <c r="C655" s="13" t="s">
        <v>43</v>
      </c>
      <c r="D655" s="13" t="s">
        <v>192</v>
      </c>
      <c r="E655" s="13" t="s">
        <v>249</v>
      </c>
      <c r="F655" s="13" t="s">
        <v>588</v>
      </c>
      <c r="G655" s="13" t="s">
        <v>46</v>
      </c>
      <c r="H655" s="13">
        <v>32</v>
      </c>
      <c r="I655" s="13">
        <v>1300</v>
      </c>
      <c r="K655" s="13" t="s">
        <v>876</v>
      </c>
      <c r="L655" s="13" t="s">
        <v>877</v>
      </c>
      <c r="N655" s="13" t="s">
        <v>47</v>
      </c>
      <c r="O655" s="13" t="s">
        <v>645</v>
      </c>
      <c r="P655" s="13" t="s">
        <v>422</v>
      </c>
      <c r="Q655" s="13" t="s">
        <v>48</v>
      </c>
      <c r="R655" s="4">
        <v>3</v>
      </c>
      <c r="S655" s="13" t="s">
        <v>594</v>
      </c>
      <c r="T655" s="13">
        <v>730</v>
      </c>
      <c r="U655" s="4" t="s">
        <v>147</v>
      </c>
      <c r="V655" s="4">
        <v>580</v>
      </c>
      <c r="W655" s="4" t="s">
        <v>601</v>
      </c>
      <c r="X655" s="4">
        <v>523</v>
      </c>
      <c r="Y655" s="4">
        <v>25</v>
      </c>
      <c r="AA655" s="4" t="s">
        <v>49</v>
      </c>
      <c r="AB655" s="4">
        <v>0</v>
      </c>
      <c r="AC655" s="4" t="s">
        <v>50</v>
      </c>
      <c r="AD655" s="4">
        <v>5</v>
      </c>
      <c r="AE655" s="4" t="s">
        <v>49</v>
      </c>
      <c r="AF655" s="4">
        <v>0</v>
      </c>
      <c r="AG655" s="4" t="s">
        <v>710</v>
      </c>
      <c r="AH655" s="4" t="s">
        <v>709</v>
      </c>
      <c r="AI655" s="4" t="s">
        <v>64</v>
      </c>
      <c r="AJ655" s="13">
        <v>0</v>
      </c>
      <c r="AK655" s="13">
        <v>10</v>
      </c>
      <c r="AM655" s="13" t="s">
        <v>507</v>
      </c>
      <c r="AP655" s="13" t="s">
        <v>49</v>
      </c>
      <c r="AQ655" s="13" t="s">
        <v>49</v>
      </c>
      <c r="AR655" s="13" t="s">
        <v>49</v>
      </c>
      <c r="AS655" s="13" t="s">
        <v>50</v>
      </c>
      <c r="AT655" s="13" t="s">
        <v>993</v>
      </c>
      <c r="AU655" s="13" t="s">
        <v>1001</v>
      </c>
      <c r="AV655" s="14">
        <f>0.42*10</f>
        <v>4.2</v>
      </c>
      <c r="AW655" s="14">
        <f>0.38*10</f>
        <v>3.8</v>
      </c>
      <c r="AX655" s="14">
        <f>Table1347456[[#This Row],[treatment_mean]]/Table1347456[[#This Row],[control_mean]]</f>
        <v>1.1052631578947369</v>
      </c>
      <c r="AY655" s="14">
        <f>LN(Table1347456[[#This Row],[rr]])</f>
        <v>0.10008345855698263</v>
      </c>
      <c r="AZ655" s="13">
        <v>3</v>
      </c>
      <c r="BA655" s="13">
        <v>3</v>
      </c>
      <c r="BB655" s="14" t="s">
        <v>46</v>
      </c>
      <c r="BC655" s="14" t="s">
        <v>46</v>
      </c>
      <c r="BD655" s="15" t="s">
        <v>46</v>
      </c>
      <c r="BE655" s="14" t="s">
        <v>46</v>
      </c>
      <c r="BF65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55" s="17" t="s">
        <v>46</v>
      </c>
      <c r="BH655" s="13" t="s">
        <v>50</v>
      </c>
      <c r="BI655" s="13">
        <v>2.5000000000000001E-2</v>
      </c>
      <c r="BJ655" s="18">
        <f>ABS(_xlfn.NORM.S.INV(Table1347456[[#This Row],[p_value]]/2))</f>
        <v>2.2414027276049446</v>
      </c>
      <c r="BK655" s="19">
        <f>(Table1347456[[#This Row],[lnrr]]/Table1347456[[#This Row],[z_from_p]])^2</f>
        <v>1.9938148085478185E-3</v>
      </c>
      <c r="BL655" s="16">
        <f>Table1347456[[#This Row],[v_from_z_from_p]]</f>
        <v>1.9938148085478185E-3</v>
      </c>
      <c r="BM655" s="20">
        <f>SQRT(Table1347456[[#This Row],[v]])</f>
        <v>4.4652153459243359E-2</v>
      </c>
      <c r="BN655" s="20">
        <f>Table1347456[[#This Row],[lnrr]]-(1.96*Table1347456[[#This Row],[se]])</f>
        <v>1.2565237776865648E-2</v>
      </c>
      <c r="BO655" s="20">
        <f>Table1347456[[#This Row],[lnrr]]+(1.96 * Table1347456[[#This Row],[se]])</f>
        <v>0.18760167933709959</v>
      </c>
    </row>
    <row r="656" spans="1:67">
      <c r="A656" s="13" t="s">
        <v>247</v>
      </c>
      <c r="B656" s="13" t="s">
        <v>248</v>
      </c>
      <c r="C656" s="13" t="s">
        <v>43</v>
      </c>
      <c r="D656" s="13" t="s">
        <v>192</v>
      </c>
      <c r="E656" s="13" t="s">
        <v>249</v>
      </c>
      <c r="F656" s="13" t="s">
        <v>588</v>
      </c>
      <c r="G656" s="13" t="s">
        <v>46</v>
      </c>
      <c r="H656" s="13">
        <v>32</v>
      </c>
      <c r="I656" s="13">
        <v>1300</v>
      </c>
      <c r="K656" s="13" t="s">
        <v>876</v>
      </c>
      <c r="L656" s="13" t="s">
        <v>877</v>
      </c>
      <c r="N656" s="13" t="s">
        <v>47</v>
      </c>
      <c r="O656" s="13" t="s">
        <v>645</v>
      </c>
      <c r="P656" s="13" t="s">
        <v>422</v>
      </c>
      <c r="Q656" s="13" t="s">
        <v>48</v>
      </c>
      <c r="R656" s="4">
        <v>3</v>
      </c>
      <c r="S656" s="13" t="s">
        <v>594</v>
      </c>
      <c r="T656" s="13">
        <v>730</v>
      </c>
      <c r="U656" s="4" t="s">
        <v>147</v>
      </c>
      <c r="V656" s="4">
        <v>580</v>
      </c>
      <c r="W656" s="4" t="s">
        <v>601</v>
      </c>
      <c r="X656" s="4">
        <v>523</v>
      </c>
      <c r="Y656" s="4">
        <v>50</v>
      </c>
      <c r="AA656" s="4" t="s">
        <v>49</v>
      </c>
      <c r="AB656" s="4">
        <v>0</v>
      </c>
      <c r="AC656" s="4" t="s">
        <v>50</v>
      </c>
      <c r="AD656" s="4">
        <v>5</v>
      </c>
      <c r="AE656" s="4" t="s">
        <v>49</v>
      </c>
      <c r="AF656" s="4">
        <v>0</v>
      </c>
      <c r="AG656" s="4" t="s">
        <v>710</v>
      </c>
      <c r="AH656" s="4" t="s">
        <v>709</v>
      </c>
      <c r="AI656" s="4" t="s">
        <v>64</v>
      </c>
      <c r="AJ656" s="13">
        <v>0</v>
      </c>
      <c r="AK656" s="13">
        <v>10</v>
      </c>
      <c r="AM656" s="13" t="s">
        <v>507</v>
      </c>
      <c r="AP656" s="13" t="s">
        <v>49</v>
      </c>
      <c r="AQ656" s="13" t="s">
        <v>49</v>
      </c>
      <c r="AR656" s="13" t="s">
        <v>49</v>
      </c>
      <c r="AS656" s="13" t="s">
        <v>50</v>
      </c>
      <c r="AT656" s="13" t="s">
        <v>993</v>
      </c>
      <c r="AU656" s="13" t="s">
        <v>1001</v>
      </c>
      <c r="AV656" s="14">
        <f>0.45*10</f>
        <v>4.5</v>
      </c>
      <c r="AW656" s="14">
        <f>0.38*10</f>
        <v>3.8</v>
      </c>
      <c r="AX656" s="14">
        <f>Table1347456[[#This Row],[treatment_mean]]/Table1347456[[#This Row],[control_mean]]</f>
        <v>1.1842105263157896</v>
      </c>
      <c r="AY656" s="14">
        <f>LN(Table1347456[[#This Row],[rr]])</f>
        <v>0.1690763300439341</v>
      </c>
      <c r="AZ656" s="13">
        <v>3</v>
      </c>
      <c r="BA656" s="13">
        <v>3</v>
      </c>
      <c r="BB656" s="14" t="s">
        <v>46</v>
      </c>
      <c r="BC656" s="14" t="s">
        <v>46</v>
      </c>
      <c r="BD656" s="15" t="s">
        <v>46</v>
      </c>
      <c r="BE656" s="14" t="s">
        <v>46</v>
      </c>
      <c r="BF65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56" s="17" t="s">
        <v>46</v>
      </c>
      <c r="BH656" s="13" t="s">
        <v>50</v>
      </c>
      <c r="BI656" s="13">
        <v>2.5000000000000001E-2</v>
      </c>
      <c r="BJ656" s="18">
        <f>ABS(_xlfn.NORM.S.INV(Table1347456[[#This Row],[p_value]]/2))</f>
        <v>2.2414027276049446</v>
      </c>
      <c r="BK656" s="19">
        <f>(Table1347456[[#This Row],[lnrr]]/Table1347456[[#This Row],[z_from_p]])^2</f>
        <v>5.6901777459262299E-3</v>
      </c>
      <c r="BL656" s="16">
        <f>Table1347456[[#This Row],[v_from_z_from_p]]</f>
        <v>5.6901777459262299E-3</v>
      </c>
      <c r="BM656" s="20">
        <f>SQRT(Table1347456[[#This Row],[v]])</f>
        <v>7.5433266838485988E-2</v>
      </c>
      <c r="BN656" s="20">
        <f>Table1347456[[#This Row],[lnrr]]-(1.96*Table1347456[[#This Row],[se]])</f>
        <v>2.1227127040501559E-2</v>
      </c>
      <c r="BO656" s="20">
        <f>Table1347456[[#This Row],[lnrr]]+(1.96 * Table1347456[[#This Row],[se]])</f>
        <v>0.31692553304736665</v>
      </c>
    </row>
    <row r="657" spans="1:67">
      <c r="A657" s="13" t="s">
        <v>247</v>
      </c>
      <c r="B657" s="13" t="s">
        <v>248</v>
      </c>
      <c r="C657" s="13" t="s">
        <v>43</v>
      </c>
      <c r="D657" s="13" t="s">
        <v>192</v>
      </c>
      <c r="E657" s="13" t="s">
        <v>249</v>
      </c>
      <c r="F657" s="13" t="s">
        <v>588</v>
      </c>
      <c r="G657" s="13" t="s">
        <v>46</v>
      </c>
      <c r="H657" s="13">
        <v>32</v>
      </c>
      <c r="I657" s="13">
        <v>1300</v>
      </c>
      <c r="J657" s="13" t="s">
        <v>654</v>
      </c>
      <c r="K657" s="13" t="s">
        <v>876</v>
      </c>
      <c r="L657" s="13" t="s">
        <v>877</v>
      </c>
      <c r="M657" s="13" t="s">
        <v>800</v>
      </c>
      <c r="N657" s="13" t="s">
        <v>84</v>
      </c>
      <c r="O657" s="13" t="s">
        <v>644</v>
      </c>
      <c r="P657" s="13" t="s">
        <v>85</v>
      </c>
      <c r="Q657" s="13" t="s">
        <v>48</v>
      </c>
      <c r="R657" s="4">
        <v>3</v>
      </c>
      <c r="S657" s="13" t="s">
        <v>594</v>
      </c>
      <c r="T657" s="13">
        <v>730</v>
      </c>
      <c r="U657" s="4" t="s">
        <v>147</v>
      </c>
      <c r="V657" s="4">
        <v>580</v>
      </c>
      <c r="W657" s="4" t="s">
        <v>601</v>
      </c>
      <c r="X657" s="4">
        <v>523</v>
      </c>
      <c r="Y657" s="4">
        <v>25</v>
      </c>
      <c r="AA657" s="4" t="s">
        <v>49</v>
      </c>
      <c r="AB657" s="4">
        <v>0</v>
      </c>
      <c r="AC657" s="4" t="s">
        <v>49</v>
      </c>
      <c r="AD657" s="4">
        <v>0</v>
      </c>
      <c r="AE657" s="4" t="s">
        <v>49</v>
      </c>
      <c r="AF657" s="4">
        <v>0</v>
      </c>
      <c r="AG657" s="4" t="s">
        <v>710</v>
      </c>
      <c r="AH657" s="4" t="s">
        <v>709</v>
      </c>
      <c r="AI657" s="4" t="s">
        <v>64</v>
      </c>
      <c r="AJ657" s="13">
        <v>0</v>
      </c>
      <c r="AK657" s="13">
        <v>10</v>
      </c>
      <c r="AM657" s="13" t="s">
        <v>507</v>
      </c>
      <c r="AP657" s="13" t="s">
        <v>49</v>
      </c>
      <c r="AQ657" s="13" t="s">
        <v>49</v>
      </c>
      <c r="AR657" s="13" t="s">
        <v>49</v>
      </c>
      <c r="AS657" s="13" t="s">
        <v>50</v>
      </c>
      <c r="AT657" s="13" t="s">
        <v>990</v>
      </c>
      <c r="AU657" s="13" t="s">
        <v>998</v>
      </c>
      <c r="AV657" s="23">
        <f>11.6/1000</f>
        <v>1.1599999999999999E-2</v>
      </c>
      <c r="AW657" s="23">
        <f>11.5/1000</f>
        <v>1.15E-2</v>
      </c>
      <c r="AX657" s="14">
        <f>Table1347456[[#This Row],[treatment_mean]]/Table1347456[[#This Row],[control_mean]]</f>
        <v>1.008695652173913</v>
      </c>
      <c r="AY657" s="14">
        <f>LN(Table1347456[[#This Row],[rr]])</f>
        <v>8.6580627431145311E-3</v>
      </c>
      <c r="AZ657" s="13">
        <v>3</v>
      </c>
      <c r="BA657" s="13">
        <v>3</v>
      </c>
      <c r="BB657" s="14" t="s">
        <v>46</v>
      </c>
      <c r="BC657" s="14" t="s">
        <v>46</v>
      </c>
      <c r="BD657" s="15" t="s">
        <v>46</v>
      </c>
      <c r="BE657" s="14" t="s">
        <v>46</v>
      </c>
      <c r="BF65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57" s="17" t="s">
        <v>46</v>
      </c>
      <c r="BH657" s="13" t="s">
        <v>50</v>
      </c>
      <c r="BI657" s="13">
        <v>2.5000000000000001E-2</v>
      </c>
      <c r="BJ657" s="18">
        <f>ABS(_xlfn.NORM.S.INV(Table1347456[[#This Row],[p_value]]/2))</f>
        <v>2.2414027276049446</v>
      </c>
      <c r="BK657" s="19">
        <f>(Table1347456[[#This Row],[lnrr]]/Table1347456[[#This Row],[z_from_p]])^2</f>
        <v>1.4921128319543572E-5</v>
      </c>
      <c r="BL657" s="16">
        <f>Table1347456[[#This Row],[v_from_z_from_p]]</f>
        <v>1.4921128319543572E-5</v>
      </c>
      <c r="BM657" s="20">
        <f>SQRT(Table1347456[[#This Row],[v]])</f>
        <v>3.8627876358329062E-3</v>
      </c>
      <c r="BN657" s="20">
        <f>Table1347456[[#This Row],[lnrr]]-(1.96*Table1347456[[#This Row],[se]])</f>
        <v>1.0869989768820349E-3</v>
      </c>
      <c r="BO657" s="20">
        <f>Table1347456[[#This Row],[lnrr]]+(1.96 * Table1347456[[#This Row],[se]])</f>
        <v>1.6229126509347026E-2</v>
      </c>
    </row>
    <row r="658" spans="1:67">
      <c r="A658" s="13" t="s">
        <v>247</v>
      </c>
      <c r="B658" s="13" t="s">
        <v>248</v>
      </c>
      <c r="C658" s="13" t="s">
        <v>43</v>
      </c>
      <c r="D658" s="13" t="s">
        <v>192</v>
      </c>
      <c r="E658" s="13" t="s">
        <v>249</v>
      </c>
      <c r="F658" s="13" t="s">
        <v>588</v>
      </c>
      <c r="G658" s="13" t="s">
        <v>46</v>
      </c>
      <c r="H658" s="13">
        <v>32</v>
      </c>
      <c r="I658" s="13">
        <v>1300</v>
      </c>
      <c r="J658" s="13" t="s">
        <v>654</v>
      </c>
      <c r="K658" s="13" t="s">
        <v>876</v>
      </c>
      <c r="L658" s="13" t="s">
        <v>877</v>
      </c>
      <c r="M658" s="13" t="s">
        <v>800</v>
      </c>
      <c r="N658" s="13" t="s">
        <v>84</v>
      </c>
      <c r="O658" s="13" t="s">
        <v>644</v>
      </c>
      <c r="P658" s="13" t="s">
        <v>85</v>
      </c>
      <c r="Q658" s="13" t="s">
        <v>48</v>
      </c>
      <c r="R658" s="4">
        <v>3</v>
      </c>
      <c r="S658" s="13" t="s">
        <v>594</v>
      </c>
      <c r="T658" s="13">
        <v>730</v>
      </c>
      <c r="U658" s="4" t="s">
        <v>147</v>
      </c>
      <c r="V658" s="4">
        <v>580</v>
      </c>
      <c r="W658" s="4" t="s">
        <v>601</v>
      </c>
      <c r="X658" s="4">
        <v>523</v>
      </c>
      <c r="Y658" s="4">
        <v>50</v>
      </c>
      <c r="AA658" s="4" t="s">
        <v>49</v>
      </c>
      <c r="AB658" s="4">
        <v>0</v>
      </c>
      <c r="AC658" s="4" t="s">
        <v>49</v>
      </c>
      <c r="AD658" s="4">
        <v>0</v>
      </c>
      <c r="AE658" s="4" t="s">
        <v>49</v>
      </c>
      <c r="AF658" s="4">
        <v>0</v>
      </c>
      <c r="AG658" s="4" t="s">
        <v>710</v>
      </c>
      <c r="AH658" s="4" t="s">
        <v>709</v>
      </c>
      <c r="AI658" s="4" t="s">
        <v>64</v>
      </c>
      <c r="AJ658" s="13">
        <v>0</v>
      </c>
      <c r="AK658" s="13">
        <v>10</v>
      </c>
      <c r="AM658" s="13" t="s">
        <v>507</v>
      </c>
      <c r="AP658" s="13" t="s">
        <v>49</v>
      </c>
      <c r="AQ658" s="13" t="s">
        <v>49</v>
      </c>
      <c r="AR658" s="13" t="s">
        <v>49</v>
      </c>
      <c r="AS658" s="13" t="s">
        <v>50</v>
      </c>
      <c r="AT658" s="13" t="s">
        <v>990</v>
      </c>
      <c r="AU658" s="13" t="s">
        <v>998</v>
      </c>
      <c r="AV658" s="23">
        <f>12.6/1000</f>
        <v>1.26E-2</v>
      </c>
      <c r="AW658" s="23">
        <f>11.5/1000</f>
        <v>1.15E-2</v>
      </c>
      <c r="AX658" s="14">
        <f>Table1347456[[#This Row],[treatment_mean]]/Table1347456[[#This Row],[control_mean]]</f>
        <v>1.0956521739130436</v>
      </c>
      <c r="AY658" s="14">
        <f>LN(Table1347456[[#This Row],[rr]])</f>
        <v>9.1349778588228042E-2</v>
      </c>
      <c r="AZ658" s="13">
        <v>3</v>
      </c>
      <c r="BA658" s="13">
        <v>3</v>
      </c>
      <c r="BB658" s="14" t="s">
        <v>46</v>
      </c>
      <c r="BC658" s="14" t="s">
        <v>46</v>
      </c>
      <c r="BD658" s="15" t="s">
        <v>46</v>
      </c>
      <c r="BE658" s="14" t="s">
        <v>46</v>
      </c>
      <c r="BF65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58" s="17" t="s">
        <v>46</v>
      </c>
      <c r="BH658" s="13" t="s">
        <v>50</v>
      </c>
      <c r="BI658" s="13">
        <v>2.5000000000000001E-2</v>
      </c>
      <c r="BJ658" s="18">
        <f>ABS(_xlfn.NORM.S.INV(Table1347456[[#This Row],[p_value]]/2))</f>
        <v>2.2414027276049446</v>
      </c>
      <c r="BK658" s="19">
        <f>(Table1347456[[#This Row],[lnrr]]/Table1347456[[#This Row],[z_from_p]])^2</f>
        <v>1.6610213163643181E-3</v>
      </c>
      <c r="BL658" s="16">
        <f>Table1347456[[#This Row],[v_from_z_from_p]]</f>
        <v>1.6610213163643181E-3</v>
      </c>
      <c r="BM658" s="20">
        <f>SQRT(Table1347456[[#This Row],[v]])</f>
        <v>4.0755629259825177E-2</v>
      </c>
      <c r="BN658" s="20">
        <f>Table1347456[[#This Row],[lnrr]]-(1.96*Table1347456[[#This Row],[se]])</f>
        <v>1.1468745238970693E-2</v>
      </c>
      <c r="BO658" s="20">
        <f>Table1347456[[#This Row],[lnrr]]+(1.96 * Table1347456[[#This Row],[se]])</f>
        <v>0.17123081193748541</v>
      </c>
    </row>
    <row r="659" spans="1:67">
      <c r="A659" s="13" t="s">
        <v>247</v>
      </c>
      <c r="B659" s="13" t="s">
        <v>248</v>
      </c>
      <c r="C659" s="13" t="s">
        <v>43</v>
      </c>
      <c r="D659" s="13" t="s">
        <v>192</v>
      </c>
      <c r="E659" s="13" t="s">
        <v>249</v>
      </c>
      <c r="F659" s="13" t="s">
        <v>588</v>
      </c>
      <c r="G659" s="13" t="s">
        <v>46</v>
      </c>
      <c r="H659" s="13">
        <v>32</v>
      </c>
      <c r="I659" s="13">
        <v>1300</v>
      </c>
      <c r="J659" s="13" t="s">
        <v>654</v>
      </c>
      <c r="K659" s="13" t="s">
        <v>876</v>
      </c>
      <c r="L659" s="13" t="s">
        <v>877</v>
      </c>
      <c r="M659" s="13" t="s">
        <v>800</v>
      </c>
      <c r="N659" s="13" t="s">
        <v>84</v>
      </c>
      <c r="O659" s="13" t="s">
        <v>644</v>
      </c>
      <c r="P659" s="13" t="s">
        <v>85</v>
      </c>
      <c r="Q659" s="13" t="s">
        <v>48</v>
      </c>
      <c r="R659" s="4">
        <v>3</v>
      </c>
      <c r="S659" s="13" t="s">
        <v>594</v>
      </c>
      <c r="T659" s="13">
        <v>730</v>
      </c>
      <c r="U659" s="4" t="s">
        <v>147</v>
      </c>
      <c r="V659" s="4">
        <v>580</v>
      </c>
      <c r="W659" s="4" t="s">
        <v>601</v>
      </c>
      <c r="X659" s="4">
        <v>523</v>
      </c>
      <c r="Y659" s="4">
        <v>25</v>
      </c>
      <c r="AA659" s="4" t="s">
        <v>49</v>
      </c>
      <c r="AB659" s="4">
        <v>0</v>
      </c>
      <c r="AC659" s="4" t="s">
        <v>50</v>
      </c>
      <c r="AD659" s="4">
        <v>2.5</v>
      </c>
      <c r="AE659" s="4" t="s">
        <v>49</v>
      </c>
      <c r="AF659" s="4">
        <v>0</v>
      </c>
      <c r="AG659" s="4" t="s">
        <v>710</v>
      </c>
      <c r="AH659" s="4" t="s">
        <v>709</v>
      </c>
      <c r="AI659" s="4" t="s">
        <v>64</v>
      </c>
      <c r="AJ659" s="13">
        <v>0</v>
      </c>
      <c r="AK659" s="13">
        <v>10</v>
      </c>
      <c r="AM659" s="13" t="s">
        <v>507</v>
      </c>
      <c r="AP659" s="13" t="s">
        <v>49</v>
      </c>
      <c r="AQ659" s="13" t="s">
        <v>49</v>
      </c>
      <c r="AR659" s="13" t="s">
        <v>49</v>
      </c>
      <c r="AS659" s="13" t="s">
        <v>50</v>
      </c>
      <c r="AT659" s="13" t="s">
        <v>993</v>
      </c>
      <c r="AU659" s="13" t="s">
        <v>1001</v>
      </c>
      <c r="AV659" s="23">
        <f>26.6/1000</f>
        <v>2.6600000000000002E-2</v>
      </c>
      <c r="AW659" s="23">
        <f>22/1000</f>
        <v>2.1999999999999999E-2</v>
      </c>
      <c r="AX659" s="14">
        <f>Table1347456[[#This Row],[treatment_mean]]/Table1347456[[#This Row],[control_mean]]</f>
        <v>1.2090909090909092</v>
      </c>
      <c r="AY659" s="14">
        <f>LN(Table1347456[[#This Row],[rr]])</f>
        <v>0.18986876242933765</v>
      </c>
      <c r="AZ659" s="13">
        <v>3</v>
      </c>
      <c r="BA659" s="13">
        <v>3</v>
      </c>
      <c r="BB659" s="14" t="s">
        <v>46</v>
      </c>
      <c r="BC659" s="14" t="s">
        <v>46</v>
      </c>
      <c r="BD659" s="15" t="s">
        <v>46</v>
      </c>
      <c r="BE659" s="14" t="s">
        <v>46</v>
      </c>
      <c r="BF65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59" s="17" t="s">
        <v>46</v>
      </c>
      <c r="BH659" s="13" t="s">
        <v>50</v>
      </c>
      <c r="BI659" s="13">
        <v>2.5000000000000001E-2</v>
      </c>
      <c r="BJ659" s="18">
        <f>ABS(_xlfn.NORM.S.INV(Table1347456[[#This Row],[p_value]]/2))</f>
        <v>2.2414027276049446</v>
      </c>
      <c r="BK659" s="19">
        <f>(Table1347456[[#This Row],[lnrr]]/Table1347456[[#This Row],[z_from_p]])^2</f>
        <v>7.1757491317127079E-3</v>
      </c>
      <c r="BL659" s="16">
        <f>Table1347456[[#This Row],[v_from_z_from_p]]</f>
        <v>7.1757491317127079E-3</v>
      </c>
      <c r="BM659" s="20">
        <f>SQRT(Table1347456[[#This Row],[v]])</f>
        <v>8.4709793599752725E-2</v>
      </c>
      <c r="BN659" s="20">
        <f>Table1347456[[#This Row],[lnrr]]-(1.96*Table1347456[[#This Row],[se]])</f>
        <v>2.3837566973822305E-2</v>
      </c>
      <c r="BO659" s="20">
        <f>Table1347456[[#This Row],[lnrr]]+(1.96 * Table1347456[[#This Row],[se]])</f>
        <v>0.35589995788485296</v>
      </c>
    </row>
    <row r="660" spans="1:67">
      <c r="A660" s="13" t="s">
        <v>247</v>
      </c>
      <c r="B660" s="13" t="s">
        <v>248</v>
      </c>
      <c r="C660" s="13" t="s">
        <v>43</v>
      </c>
      <c r="D660" s="13" t="s">
        <v>192</v>
      </c>
      <c r="E660" s="13" t="s">
        <v>249</v>
      </c>
      <c r="F660" s="13" t="s">
        <v>588</v>
      </c>
      <c r="G660" s="13" t="s">
        <v>46</v>
      </c>
      <c r="H660" s="13">
        <v>32</v>
      </c>
      <c r="I660" s="13">
        <v>1300</v>
      </c>
      <c r="J660" s="13" t="s">
        <v>654</v>
      </c>
      <c r="K660" s="13" t="s">
        <v>876</v>
      </c>
      <c r="L660" s="13" t="s">
        <v>877</v>
      </c>
      <c r="M660" s="13" t="s">
        <v>800</v>
      </c>
      <c r="N660" s="13" t="s">
        <v>84</v>
      </c>
      <c r="O660" s="13" t="s">
        <v>644</v>
      </c>
      <c r="P660" s="13" t="s">
        <v>85</v>
      </c>
      <c r="Q660" s="13" t="s">
        <v>48</v>
      </c>
      <c r="R660" s="4">
        <v>3</v>
      </c>
      <c r="S660" s="13" t="s">
        <v>594</v>
      </c>
      <c r="T660" s="13">
        <v>730</v>
      </c>
      <c r="U660" s="4" t="s">
        <v>147</v>
      </c>
      <c r="V660" s="4">
        <v>580</v>
      </c>
      <c r="W660" s="4" t="s">
        <v>601</v>
      </c>
      <c r="X660" s="4">
        <v>523</v>
      </c>
      <c r="Y660" s="4">
        <v>50</v>
      </c>
      <c r="AA660" s="4" t="s">
        <v>49</v>
      </c>
      <c r="AB660" s="4">
        <v>0</v>
      </c>
      <c r="AC660" s="4" t="s">
        <v>50</v>
      </c>
      <c r="AD660" s="4">
        <v>2.5</v>
      </c>
      <c r="AE660" s="4" t="s">
        <v>49</v>
      </c>
      <c r="AF660" s="4">
        <v>0</v>
      </c>
      <c r="AG660" s="4" t="s">
        <v>710</v>
      </c>
      <c r="AH660" s="4" t="s">
        <v>709</v>
      </c>
      <c r="AI660" s="4" t="s">
        <v>64</v>
      </c>
      <c r="AJ660" s="13">
        <v>0</v>
      </c>
      <c r="AK660" s="13">
        <v>10</v>
      </c>
      <c r="AM660" s="13" t="s">
        <v>507</v>
      </c>
      <c r="AP660" s="13" t="s">
        <v>49</v>
      </c>
      <c r="AQ660" s="13" t="s">
        <v>49</v>
      </c>
      <c r="AR660" s="13" t="s">
        <v>49</v>
      </c>
      <c r="AS660" s="13" t="s">
        <v>50</v>
      </c>
      <c r="AT660" s="13" t="s">
        <v>993</v>
      </c>
      <c r="AU660" s="13" t="s">
        <v>1001</v>
      </c>
      <c r="AV660" s="23">
        <f>31.2/1000</f>
        <v>3.1199999999999999E-2</v>
      </c>
      <c r="AW660" s="23">
        <f>22/1000</f>
        <v>2.1999999999999999E-2</v>
      </c>
      <c r="AX660" s="14">
        <f>Table1347456[[#This Row],[treatment_mean]]/Table1347456[[#This Row],[control_mean]]</f>
        <v>1.4181818181818182</v>
      </c>
      <c r="AY660" s="14">
        <f>LN(Table1347456[[#This Row],[rr]])</f>
        <v>0.34937564145712086</v>
      </c>
      <c r="AZ660" s="13">
        <v>3</v>
      </c>
      <c r="BA660" s="13">
        <v>3</v>
      </c>
      <c r="BB660" s="14" t="s">
        <v>46</v>
      </c>
      <c r="BC660" s="14" t="s">
        <v>46</v>
      </c>
      <c r="BD660" s="15" t="s">
        <v>46</v>
      </c>
      <c r="BE660" s="14" t="s">
        <v>46</v>
      </c>
      <c r="BF66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60" s="17" t="s">
        <v>46</v>
      </c>
      <c r="BH660" s="13" t="s">
        <v>50</v>
      </c>
      <c r="BI660" s="13">
        <v>2.5000000000000001E-2</v>
      </c>
      <c r="BJ660" s="18">
        <f>ABS(_xlfn.NORM.S.INV(Table1347456[[#This Row],[p_value]]/2))</f>
        <v>2.2414027276049446</v>
      </c>
      <c r="BK660" s="19">
        <f>(Table1347456[[#This Row],[lnrr]]/Table1347456[[#This Row],[z_from_p]])^2</f>
        <v>2.429659715456528E-2</v>
      </c>
      <c r="BL660" s="16">
        <f>Table1347456[[#This Row],[v_from_z_from_p]]</f>
        <v>2.429659715456528E-2</v>
      </c>
      <c r="BM660" s="20">
        <f>SQRT(Table1347456[[#This Row],[v]])</f>
        <v>0.15587365766724434</v>
      </c>
      <c r="BN660" s="20">
        <f>Table1347456[[#This Row],[lnrr]]-(1.96*Table1347456[[#This Row],[se]])</f>
        <v>4.3863272429321976E-2</v>
      </c>
      <c r="BO660" s="20">
        <f>Table1347456[[#This Row],[lnrr]]+(1.96 * Table1347456[[#This Row],[se]])</f>
        <v>0.65488801048491974</v>
      </c>
    </row>
    <row r="661" spans="1:67">
      <c r="A661" s="13" t="s">
        <v>247</v>
      </c>
      <c r="B661" s="13" t="s">
        <v>248</v>
      </c>
      <c r="C661" s="13" t="s">
        <v>43</v>
      </c>
      <c r="D661" s="13" t="s">
        <v>192</v>
      </c>
      <c r="E661" s="13" t="s">
        <v>249</v>
      </c>
      <c r="F661" s="13" t="s">
        <v>588</v>
      </c>
      <c r="G661" s="13" t="s">
        <v>46</v>
      </c>
      <c r="H661" s="13">
        <v>32</v>
      </c>
      <c r="I661" s="13">
        <v>1300</v>
      </c>
      <c r="J661" s="13" t="s">
        <v>654</v>
      </c>
      <c r="K661" s="13" t="s">
        <v>876</v>
      </c>
      <c r="L661" s="13" t="s">
        <v>877</v>
      </c>
      <c r="M661" s="13" t="s">
        <v>800</v>
      </c>
      <c r="N661" s="13" t="s">
        <v>84</v>
      </c>
      <c r="O661" s="13" t="s">
        <v>644</v>
      </c>
      <c r="P661" s="13" t="s">
        <v>85</v>
      </c>
      <c r="Q661" s="13" t="s">
        <v>48</v>
      </c>
      <c r="R661" s="4">
        <v>3</v>
      </c>
      <c r="S661" s="13" t="s">
        <v>594</v>
      </c>
      <c r="T661" s="13">
        <v>730</v>
      </c>
      <c r="U661" s="4" t="s">
        <v>147</v>
      </c>
      <c r="V661" s="4">
        <v>580</v>
      </c>
      <c r="W661" s="4" t="s">
        <v>601</v>
      </c>
      <c r="X661" s="4">
        <v>523</v>
      </c>
      <c r="Y661" s="4">
        <v>25</v>
      </c>
      <c r="AA661" s="4" t="s">
        <v>49</v>
      </c>
      <c r="AB661" s="4">
        <v>0</v>
      </c>
      <c r="AC661" s="4" t="s">
        <v>50</v>
      </c>
      <c r="AD661" s="4">
        <v>5</v>
      </c>
      <c r="AE661" s="4" t="s">
        <v>49</v>
      </c>
      <c r="AF661" s="4">
        <v>0</v>
      </c>
      <c r="AG661" s="4" t="s">
        <v>710</v>
      </c>
      <c r="AH661" s="4" t="s">
        <v>709</v>
      </c>
      <c r="AI661" s="4" t="s">
        <v>64</v>
      </c>
      <c r="AJ661" s="13">
        <v>0</v>
      </c>
      <c r="AK661" s="13">
        <v>10</v>
      </c>
      <c r="AM661" s="13" t="s">
        <v>507</v>
      </c>
      <c r="AP661" s="13" t="s">
        <v>49</v>
      </c>
      <c r="AQ661" s="13" t="s">
        <v>49</v>
      </c>
      <c r="AR661" s="13" t="s">
        <v>49</v>
      </c>
      <c r="AS661" s="13" t="s">
        <v>50</v>
      </c>
      <c r="AT661" s="13" t="s">
        <v>993</v>
      </c>
      <c r="AU661" s="13" t="s">
        <v>1001</v>
      </c>
      <c r="AV661" s="23">
        <f>30.5/1000</f>
        <v>3.0499999999999999E-2</v>
      </c>
      <c r="AW661" s="23">
        <f>28.3/1000</f>
        <v>2.8300000000000002E-2</v>
      </c>
      <c r="AX661" s="14">
        <f>Table1347456[[#This Row],[treatment_mean]]/Table1347456[[#This Row],[control_mean]]</f>
        <v>1.07773851590106</v>
      </c>
      <c r="AY661" s="14">
        <f>LN(Table1347456[[#This Row],[rr]])</f>
        <v>7.4864878964173889E-2</v>
      </c>
      <c r="AZ661" s="13">
        <v>3</v>
      </c>
      <c r="BA661" s="13">
        <v>3</v>
      </c>
      <c r="BB661" s="14" t="s">
        <v>46</v>
      </c>
      <c r="BC661" s="14" t="s">
        <v>46</v>
      </c>
      <c r="BD661" s="15" t="s">
        <v>46</v>
      </c>
      <c r="BE661" s="14" t="s">
        <v>46</v>
      </c>
      <c r="BF66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61" s="17" t="s">
        <v>46</v>
      </c>
      <c r="BH661" s="13" t="s">
        <v>50</v>
      </c>
      <c r="BI661" s="13">
        <v>2.5000000000000001E-2</v>
      </c>
      <c r="BJ661" s="18">
        <f>ABS(_xlfn.NORM.S.INV(Table1347456[[#This Row],[p_value]]/2))</f>
        <v>2.2414027276049446</v>
      </c>
      <c r="BK661" s="19">
        <f>(Table1347456[[#This Row],[lnrr]]/Table1347456[[#This Row],[z_from_p]])^2</f>
        <v>1.1156204367193229E-3</v>
      </c>
      <c r="BL661" s="16">
        <f>Table1347456[[#This Row],[v_from_z_from_p]]</f>
        <v>1.1156204367193229E-3</v>
      </c>
      <c r="BM661" s="20">
        <f>SQRT(Table1347456[[#This Row],[v]])</f>
        <v>3.3400904729053715E-2</v>
      </c>
      <c r="BN661" s="20">
        <f>Table1347456[[#This Row],[lnrr]]-(1.96*Table1347456[[#This Row],[se]])</f>
        <v>9.3991056952286017E-3</v>
      </c>
      <c r="BO661" s="20">
        <f>Table1347456[[#This Row],[lnrr]]+(1.96 * Table1347456[[#This Row],[se]])</f>
        <v>0.14033065223311919</v>
      </c>
    </row>
    <row r="662" spans="1:67">
      <c r="A662" s="13" t="s">
        <v>247</v>
      </c>
      <c r="B662" s="13" t="s">
        <v>248</v>
      </c>
      <c r="C662" s="13" t="s">
        <v>43</v>
      </c>
      <c r="D662" s="13" t="s">
        <v>192</v>
      </c>
      <c r="E662" s="13" t="s">
        <v>249</v>
      </c>
      <c r="F662" s="13" t="s">
        <v>588</v>
      </c>
      <c r="G662" s="13" t="s">
        <v>46</v>
      </c>
      <c r="H662" s="13">
        <v>32</v>
      </c>
      <c r="I662" s="13">
        <v>1300</v>
      </c>
      <c r="J662" s="13" t="s">
        <v>654</v>
      </c>
      <c r="K662" s="13" t="s">
        <v>876</v>
      </c>
      <c r="L662" s="13" t="s">
        <v>877</v>
      </c>
      <c r="M662" s="13" t="s">
        <v>800</v>
      </c>
      <c r="N662" s="13" t="s">
        <v>84</v>
      </c>
      <c r="O662" s="13" t="s">
        <v>644</v>
      </c>
      <c r="P662" s="13" t="s">
        <v>85</v>
      </c>
      <c r="Q662" s="13" t="s">
        <v>48</v>
      </c>
      <c r="R662" s="4">
        <v>3</v>
      </c>
      <c r="S662" s="13" t="s">
        <v>594</v>
      </c>
      <c r="T662" s="13">
        <v>730</v>
      </c>
      <c r="U662" s="4" t="s">
        <v>147</v>
      </c>
      <c r="V662" s="4">
        <v>580</v>
      </c>
      <c r="W662" s="4" t="s">
        <v>601</v>
      </c>
      <c r="X662" s="4">
        <v>523</v>
      </c>
      <c r="Y662" s="4">
        <v>50</v>
      </c>
      <c r="AA662" s="4" t="s">
        <v>49</v>
      </c>
      <c r="AB662" s="4">
        <v>0</v>
      </c>
      <c r="AC662" s="4" t="s">
        <v>50</v>
      </c>
      <c r="AD662" s="4">
        <v>5</v>
      </c>
      <c r="AE662" s="4" t="s">
        <v>49</v>
      </c>
      <c r="AF662" s="4">
        <v>0</v>
      </c>
      <c r="AG662" s="4" t="s">
        <v>710</v>
      </c>
      <c r="AH662" s="4" t="s">
        <v>709</v>
      </c>
      <c r="AI662" s="4" t="s">
        <v>64</v>
      </c>
      <c r="AJ662" s="13">
        <v>0</v>
      </c>
      <c r="AK662" s="13">
        <v>10</v>
      </c>
      <c r="AM662" s="13" t="s">
        <v>507</v>
      </c>
      <c r="AP662" s="13" t="s">
        <v>49</v>
      </c>
      <c r="AQ662" s="13" t="s">
        <v>49</v>
      </c>
      <c r="AR662" s="13" t="s">
        <v>49</v>
      </c>
      <c r="AS662" s="13" t="s">
        <v>50</v>
      </c>
      <c r="AT662" s="13" t="s">
        <v>993</v>
      </c>
      <c r="AU662" s="13" t="s">
        <v>1001</v>
      </c>
      <c r="AV662" s="23">
        <f>37.8/1000</f>
        <v>3.78E-2</v>
      </c>
      <c r="AW662" s="23">
        <f>28.3/1000</f>
        <v>2.8300000000000002E-2</v>
      </c>
      <c r="AX662" s="14">
        <f>Table1347456[[#This Row],[treatment_mean]]/Table1347456[[#This Row],[control_mean]]</f>
        <v>1.3356890459363957</v>
      </c>
      <c r="AY662" s="14">
        <f>LN(Table1347456[[#This Row],[rr]])</f>
        <v>0.28944729797635005</v>
      </c>
      <c r="AZ662" s="13">
        <v>3</v>
      </c>
      <c r="BA662" s="13">
        <v>3</v>
      </c>
      <c r="BB662" s="14" t="s">
        <v>46</v>
      </c>
      <c r="BC662" s="14" t="s">
        <v>46</v>
      </c>
      <c r="BD662" s="15" t="s">
        <v>46</v>
      </c>
      <c r="BE662" s="14" t="s">
        <v>46</v>
      </c>
      <c r="BF66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62" s="17" t="s">
        <v>46</v>
      </c>
      <c r="BH662" s="13" t="s">
        <v>50</v>
      </c>
      <c r="BI662" s="13">
        <v>2.5000000000000001E-2</v>
      </c>
      <c r="BJ662" s="18">
        <f>ABS(_xlfn.NORM.S.INV(Table1347456[[#This Row],[p_value]]/2))</f>
        <v>2.2414027276049446</v>
      </c>
      <c r="BK662" s="19">
        <f>(Table1347456[[#This Row],[lnrr]]/Table1347456[[#This Row],[z_from_p]])^2</f>
        <v>1.6676281106317754E-2</v>
      </c>
      <c r="BL662" s="16">
        <f>Table1347456[[#This Row],[v_from_z_from_p]]</f>
        <v>1.6676281106317754E-2</v>
      </c>
      <c r="BM662" s="20">
        <f>SQRT(Table1347456[[#This Row],[v]])</f>
        <v>0.12913667606965015</v>
      </c>
      <c r="BN662" s="20">
        <f>Table1347456[[#This Row],[lnrr]]-(1.96*Table1347456[[#This Row],[se]])</f>
        <v>3.6339412879835775E-2</v>
      </c>
      <c r="BO662" s="20">
        <f>Table1347456[[#This Row],[lnrr]]+(1.96 * Table1347456[[#This Row],[se]])</f>
        <v>0.54255518307286432</v>
      </c>
    </row>
    <row r="663" spans="1:67">
      <c r="A663" s="13" t="s">
        <v>247</v>
      </c>
      <c r="B663" s="13" t="s">
        <v>248</v>
      </c>
      <c r="C663" s="13" t="s">
        <v>43</v>
      </c>
      <c r="D663" s="13" t="s">
        <v>192</v>
      </c>
      <c r="E663" s="13" t="s">
        <v>249</v>
      </c>
      <c r="F663" s="13" t="s">
        <v>588</v>
      </c>
      <c r="G663" s="13" t="s">
        <v>46</v>
      </c>
      <c r="H663" s="13">
        <v>32</v>
      </c>
      <c r="I663" s="13">
        <v>1300</v>
      </c>
      <c r="K663" s="13" t="s">
        <v>876</v>
      </c>
      <c r="L663" s="13" t="s">
        <v>877</v>
      </c>
      <c r="N663" s="13" t="s">
        <v>86</v>
      </c>
      <c r="O663" s="13" t="s">
        <v>644</v>
      </c>
      <c r="P663" s="13" t="s">
        <v>87</v>
      </c>
      <c r="Q663" s="13" t="s">
        <v>48</v>
      </c>
      <c r="R663" s="4">
        <v>3</v>
      </c>
      <c r="S663" s="13" t="s">
        <v>594</v>
      </c>
      <c r="T663" s="13">
        <v>730</v>
      </c>
      <c r="U663" s="4" t="s">
        <v>147</v>
      </c>
      <c r="V663" s="4">
        <v>580</v>
      </c>
      <c r="W663" s="4" t="s">
        <v>601</v>
      </c>
      <c r="X663" s="4">
        <v>523</v>
      </c>
      <c r="Y663" s="4">
        <v>25</v>
      </c>
      <c r="AA663" s="4" t="s">
        <v>49</v>
      </c>
      <c r="AB663" s="4">
        <v>0</v>
      </c>
      <c r="AC663" s="4" t="s">
        <v>49</v>
      </c>
      <c r="AD663" s="4">
        <v>0</v>
      </c>
      <c r="AE663" s="4" t="s">
        <v>49</v>
      </c>
      <c r="AF663" s="4">
        <v>0</v>
      </c>
      <c r="AG663" s="4" t="s">
        <v>710</v>
      </c>
      <c r="AH663" s="4" t="s">
        <v>709</v>
      </c>
      <c r="AI663" s="4" t="s">
        <v>64</v>
      </c>
      <c r="AJ663" s="13">
        <v>0</v>
      </c>
      <c r="AK663" s="13">
        <v>10</v>
      </c>
      <c r="AM663" s="13" t="s">
        <v>507</v>
      </c>
      <c r="AP663" s="13" t="s">
        <v>49</v>
      </c>
      <c r="AQ663" s="13" t="s">
        <v>49</v>
      </c>
      <c r="AR663" s="13" t="s">
        <v>49</v>
      </c>
      <c r="AS663" s="13" t="s">
        <v>50</v>
      </c>
      <c r="AT663" s="13" t="s">
        <v>990</v>
      </c>
      <c r="AU663" s="13" t="s">
        <v>998</v>
      </c>
      <c r="AV663" s="14">
        <f>(0.27*39.1*10)/1000</f>
        <v>0.10557000000000001</v>
      </c>
      <c r="AW663" s="14">
        <f>(0.26*39.1*10)/1000</f>
        <v>0.10166</v>
      </c>
      <c r="AX663" s="14">
        <f>Table1347456[[#This Row],[treatment_mean]]/Table1347456[[#This Row],[control_mean]]</f>
        <v>1.0384615384615385</v>
      </c>
      <c r="AY663" s="14">
        <f>LN(Table1347456[[#This Row],[rr]])</f>
        <v>3.7740327982847113E-2</v>
      </c>
      <c r="AZ663" s="13">
        <v>3</v>
      </c>
      <c r="BA663" s="13">
        <v>3</v>
      </c>
      <c r="BB663" s="14" t="s">
        <v>46</v>
      </c>
      <c r="BC663" s="14" t="s">
        <v>46</v>
      </c>
      <c r="BD663" s="15" t="s">
        <v>46</v>
      </c>
      <c r="BE663" s="14" t="s">
        <v>46</v>
      </c>
      <c r="BF66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63" s="17" t="s">
        <v>46</v>
      </c>
      <c r="BH663" s="13" t="s">
        <v>50</v>
      </c>
      <c r="BI663" s="13">
        <v>2.5000000000000001E-2</v>
      </c>
      <c r="BJ663" s="18">
        <f>ABS(_xlfn.NORM.S.INV(Table1347456[[#This Row],[p_value]]/2))</f>
        <v>2.2414027276049446</v>
      </c>
      <c r="BK663" s="19">
        <f>(Table1347456[[#This Row],[lnrr]]/Table1347456[[#This Row],[z_from_p]])^2</f>
        <v>2.835120667839283E-4</v>
      </c>
      <c r="BL663" s="16">
        <f>Table1347456[[#This Row],[v_from_z_from_p]]</f>
        <v>2.835120667839283E-4</v>
      </c>
      <c r="BM663" s="20">
        <f>SQRT(Table1347456[[#This Row],[v]])</f>
        <v>1.6837816568187464E-2</v>
      </c>
      <c r="BN663" s="20">
        <f>Table1347456[[#This Row],[lnrr]]-(1.96*Table1347456[[#This Row],[se]])</f>
        <v>4.7382075091996836E-3</v>
      </c>
      <c r="BO663" s="20">
        <f>Table1347456[[#This Row],[lnrr]]+(1.96 * Table1347456[[#This Row],[se]])</f>
        <v>7.074244845649455E-2</v>
      </c>
    </row>
    <row r="664" spans="1:67">
      <c r="A664" s="13" t="s">
        <v>247</v>
      </c>
      <c r="B664" s="13" t="s">
        <v>248</v>
      </c>
      <c r="C664" s="13" t="s">
        <v>43</v>
      </c>
      <c r="D664" s="13" t="s">
        <v>192</v>
      </c>
      <c r="E664" s="13" t="s">
        <v>249</v>
      </c>
      <c r="F664" s="13" t="s">
        <v>588</v>
      </c>
      <c r="G664" s="13" t="s">
        <v>46</v>
      </c>
      <c r="H664" s="13">
        <v>32</v>
      </c>
      <c r="I664" s="13">
        <v>1300</v>
      </c>
      <c r="K664" s="13" t="s">
        <v>876</v>
      </c>
      <c r="L664" s="13" t="s">
        <v>877</v>
      </c>
      <c r="N664" s="13" t="s">
        <v>86</v>
      </c>
      <c r="O664" s="13" t="s">
        <v>644</v>
      </c>
      <c r="P664" s="13" t="s">
        <v>87</v>
      </c>
      <c r="Q664" s="13" t="s">
        <v>48</v>
      </c>
      <c r="R664" s="4">
        <v>3</v>
      </c>
      <c r="S664" s="13" t="s">
        <v>594</v>
      </c>
      <c r="T664" s="13">
        <v>730</v>
      </c>
      <c r="U664" s="4" t="s">
        <v>147</v>
      </c>
      <c r="V664" s="4">
        <v>580</v>
      </c>
      <c r="W664" s="4" t="s">
        <v>601</v>
      </c>
      <c r="X664" s="4">
        <v>523</v>
      </c>
      <c r="Y664" s="4">
        <v>50</v>
      </c>
      <c r="AA664" s="4" t="s">
        <v>49</v>
      </c>
      <c r="AB664" s="4">
        <v>0</v>
      </c>
      <c r="AC664" s="4" t="s">
        <v>49</v>
      </c>
      <c r="AD664" s="4">
        <v>0</v>
      </c>
      <c r="AE664" s="4" t="s">
        <v>49</v>
      </c>
      <c r="AF664" s="4">
        <v>0</v>
      </c>
      <c r="AG664" s="4" t="s">
        <v>710</v>
      </c>
      <c r="AH664" s="4" t="s">
        <v>709</v>
      </c>
      <c r="AI664" s="4" t="s">
        <v>64</v>
      </c>
      <c r="AJ664" s="13">
        <v>0</v>
      </c>
      <c r="AK664" s="13">
        <v>10</v>
      </c>
      <c r="AM664" s="13" t="s">
        <v>507</v>
      </c>
      <c r="AP664" s="13" t="s">
        <v>49</v>
      </c>
      <c r="AQ664" s="13" t="s">
        <v>49</v>
      </c>
      <c r="AR664" s="13" t="s">
        <v>49</v>
      </c>
      <c r="AS664" s="13" t="s">
        <v>50</v>
      </c>
      <c r="AT664" s="13" t="s">
        <v>990</v>
      </c>
      <c r="AU664" s="13" t="s">
        <v>998</v>
      </c>
      <c r="AV664" s="14">
        <f>(0.34*39.1*10)/1000</f>
        <v>0.13294000000000003</v>
      </c>
      <c r="AW664" s="14">
        <f>(0.26*39.1*10)/1000</f>
        <v>0.10166</v>
      </c>
      <c r="AX664" s="14">
        <f>Table1347456[[#This Row],[treatment_mean]]/Table1347456[[#This Row],[control_mean]]</f>
        <v>1.3076923076923079</v>
      </c>
      <c r="AY664" s="14">
        <f>LN(Table1347456[[#This Row],[rr]])</f>
        <v>0.26826398659467954</v>
      </c>
      <c r="AZ664" s="13">
        <v>3</v>
      </c>
      <c r="BA664" s="13">
        <v>3</v>
      </c>
      <c r="BB664" s="14" t="s">
        <v>46</v>
      </c>
      <c r="BC664" s="14" t="s">
        <v>46</v>
      </c>
      <c r="BD664" s="15" t="s">
        <v>46</v>
      </c>
      <c r="BE664" s="14" t="s">
        <v>46</v>
      </c>
      <c r="BF66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64" s="17" t="s">
        <v>46</v>
      </c>
      <c r="BH664" s="13" t="s">
        <v>50</v>
      </c>
      <c r="BI664" s="13">
        <v>2.5000000000000001E-2</v>
      </c>
      <c r="BJ664" s="18">
        <f>ABS(_xlfn.NORM.S.INV(Table1347456[[#This Row],[p_value]]/2))</f>
        <v>2.2414027276049446</v>
      </c>
      <c r="BK664" s="19">
        <f>(Table1347456[[#This Row],[lnrr]]/Table1347456[[#This Row],[z_from_p]])^2</f>
        <v>1.4324680898500568E-2</v>
      </c>
      <c r="BL664" s="16">
        <f>Table1347456[[#This Row],[v_from_z_from_p]]</f>
        <v>1.4324680898500568E-2</v>
      </c>
      <c r="BM664" s="20">
        <f>SQRT(Table1347456[[#This Row],[v]])</f>
        <v>0.11968575896279628</v>
      </c>
      <c r="BN664" s="20">
        <f>Table1347456[[#This Row],[lnrr]]-(1.96*Table1347456[[#This Row],[se]])</f>
        <v>3.3679899027598853E-2</v>
      </c>
      <c r="BO664" s="20">
        <f>Table1347456[[#This Row],[lnrr]]+(1.96 * Table1347456[[#This Row],[se]])</f>
        <v>0.50284807416176025</v>
      </c>
    </row>
    <row r="665" spans="1:67">
      <c r="A665" s="13" t="s">
        <v>247</v>
      </c>
      <c r="B665" s="13" t="s">
        <v>248</v>
      </c>
      <c r="C665" s="13" t="s">
        <v>43</v>
      </c>
      <c r="D665" s="13" t="s">
        <v>192</v>
      </c>
      <c r="E665" s="13" t="s">
        <v>249</v>
      </c>
      <c r="F665" s="13" t="s">
        <v>588</v>
      </c>
      <c r="G665" s="13" t="s">
        <v>46</v>
      </c>
      <c r="H665" s="13">
        <v>32</v>
      </c>
      <c r="I665" s="13">
        <v>1300</v>
      </c>
      <c r="K665" s="13" t="s">
        <v>876</v>
      </c>
      <c r="L665" s="13" t="s">
        <v>877</v>
      </c>
      <c r="N665" s="13" t="s">
        <v>86</v>
      </c>
      <c r="O665" s="13" t="s">
        <v>644</v>
      </c>
      <c r="P665" s="13" t="s">
        <v>87</v>
      </c>
      <c r="Q665" s="13" t="s">
        <v>48</v>
      </c>
      <c r="R665" s="4">
        <v>3</v>
      </c>
      <c r="S665" s="13" t="s">
        <v>594</v>
      </c>
      <c r="T665" s="13">
        <v>730</v>
      </c>
      <c r="U665" s="4" t="s">
        <v>147</v>
      </c>
      <c r="V665" s="4">
        <v>580</v>
      </c>
      <c r="W665" s="4" t="s">
        <v>601</v>
      </c>
      <c r="X665" s="4">
        <v>523</v>
      </c>
      <c r="Y665" s="4">
        <v>25</v>
      </c>
      <c r="AA665" s="4" t="s">
        <v>49</v>
      </c>
      <c r="AB665" s="4">
        <v>0</v>
      </c>
      <c r="AC665" s="4" t="s">
        <v>50</v>
      </c>
      <c r="AD665" s="4">
        <v>2.5</v>
      </c>
      <c r="AE665" s="4" t="s">
        <v>49</v>
      </c>
      <c r="AF665" s="4">
        <v>0</v>
      </c>
      <c r="AG665" s="4" t="s">
        <v>710</v>
      </c>
      <c r="AH665" s="4" t="s">
        <v>709</v>
      </c>
      <c r="AI665" s="4" t="s">
        <v>64</v>
      </c>
      <c r="AJ665" s="13">
        <v>0</v>
      </c>
      <c r="AK665" s="13">
        <v>10</v>
      </c>
      <c r="AM665" s="13" t="s">
        <v>507</v>
      </c>
      <c r="AP665" s="13" t="s">
        <v>49</v>
      </c>
      <c r="AQ665" s="13" t="s">
        <v>49</v>
      </c>
      <c r="AR665" s="13" t="s">
        <v>49</v>
      </c>
      <c r="AS665" s="13" t="s">
        <v>50</v>
      </c>
      <c r="AT665" s="13" t="s">
        <v>993</v>
      </c>
      <c r="AU665" s="13" t="s">
        <v>1001</v>
      </c>
      <c r="AV665" s="14">
        <f>(0.53*39.1*10)/1000</f>
        <v>0.20723000000000003</v>
      </c>
      <c r="AW665" s="14">
        <f>(0.45*39.1*10)/1000</f>
        <v>0.17595000000000002</v>
      </c>
      <c r="AX665" s="14">
        <f>Table1347456[[#This Row],[treatment_mean]]/Table1347456[[#This Row],[control_mean]]</f>
        <v>1.1777777777777778</v>
      </c>
      <c r="AY665" s="14">
        <f>LN(Table1347456[[#This Row],[rr]])</f>
        <v>0.16362942378180212</v>
      </c>
      <c r="AZ665" s="13">
        <v>3</v>
      </c>
      <c r="BA665" s="13">
        <v>3</v>
      </c>
      <c r="BB665" s="14" t="s">
        <v>46</v>
      </c>
      <c r="BC665" s="14" t="s">
        <v>46</v>
      </c>
      <c r="BD665" s="15" t="s">
        <v>46</v>
      </c>
      <c r="BE665" s="14" t="s">
        <v>46</v>
      </c>
      <c r="BF66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65" s="17" t="s">
        <v>46</v>
      </c>
      <c r="BH665" s="13" t="s">
        <v>50</v>
      </c>
      <c r="BI665" s="13">
        <v>2.5000000000000001E-2</v>
      </c>
      <c r="BJ665" s="18">
        <f>ABS(_xlfn.NORM.S.INV(Table1347456[[#This Row],[p_value]]/2))</f>
        <v>2.2414027276049446</v>
      </c>
      <c r="BK665" s="19">
        <f>(Table1347456[[#This Row],[lnrr]]/Table1347456[[#This Row],[z_from_p]])^2</f>
        <v>5.3294575810195251E-3</v>
      </c>
      <c r="BL665" s="16">
        <f>Table1347456[[#This Row],[v_from_z_from_p]]</f>
        <v>5.3294575810195251E-3</v>
      </c>
      <c r="BM665" s="20">
        <f>SQRT(Table1347456[[#This Row],[v]])</f>
        <v>7.30031340492963E-2</v>
      </c>
      <c r="BN665" s="20">
        <f>Table1347456[[#This Row],[lnrr]]-(1.96*Table1347456[[#This Row],[se]])</f>
        <v>2.0543281045181383E-2</v>
      </c>
      <c r="BO665" s="20">
        <f>Table1347456[[#This Row],[lnrr]]+(1.96 * Table1347456[[#This Row],[se]])</f>
        <v>0.30671556651842286</v>
      </c>
    </row>
    <row r="666" spans="1:67">
      <c r="A666" s="13" t="s">
        <v>247</v>
      </c>
      <c r="B666" s="13" t="s">
        <v>248</v>
      </c>
      <c r="C666" s="13" t="s">
        <v>43</v>
      </c>
      <c r="D666" s="13" t="s">
        <v>192</v>
      </c>
      <c r="E666" s="13" t="s">
        <v>249</v>
      </c>
      <c r="F666" s="13" t="s">
        <v>588</v>
      </c>
      <c r="G666" s="13" t="s">
        <v>46</v>
      </c>
      <c r="H666" s="13">
        <v>32</v>
      </c>
      <c r="I666" s="13">
        <v>1300</v>
      </c>
      <c r="K666" s="13" t="s">
        <v>876</v>
      </c>
      <c r="L666" s="13" t="s">
        <v>877</v>
      </c>
      <c r="N666" s="13" t="s">
        <v>86</v>
      </c>
      <c r="O666" s="13" t="s">
        <v>644</v>
      </c>
      <c r="P666" s="13" t="s">
        <v>87</v>
      </c>
      <c r="Q666" s="13" t="s">
        <v>48</v>
      </c>
      <c r="R666" s="4">
        <v>3</v>
      </c>
      <c r="S666" s="13" t="s">
        <v>594</v>
      </c>
      <c r="T666" s="13">
        <v>730</v>
      </c>
      <c r="U666" s="4" t="s">
        <v>147</v>
      </c>
      <c r="V666" s="4">
        <v>580</v>
      </c>
      <c r="W666" s="4" t="s">
        <v>601</v>
      </c>
      <c r="X666" s="4">
        <v>523</v>
      </c>
      <c r="Y666" s="4">
        <v>50</v>
      </c>
      <c r="AA666" s="4" t="s">
        <v>49</v>
      </c>
      <c r="AB666" s="4">
        <v>0</v>
      </c>
      <c r="AC666" s="4" t="s">
        <v>50</v>
      </c>
      <c r="AD666" s="4">
        <v>2.5</v>
      </c>
      <c r="AE666" s="4" t="s">
        <v>49</v>
      </c>
      <c r="AF666" s="4">
        <v>0</v>
      </c>
      <c r="AG666" s="4" t="s">
        <v>710</v>
      </c>
      <c r="AH666" s="4" t="s">
        <v>709</v>
      </c>
      <c r="AI666" s="4" t="s">
        <v>64</v>
      </c>
      <c r="AJ666" s="13">
        <v>0</v>
      </c>
      <c r="AK666" s="13">
        <v>10</v>
      </c>
      <c r="AM666" s="13" t="s">
        <v>507</v>
      </c>
      <c r="AP666" s="13" t="s">
        <v>49</v>
      </c>
      <c r="AQ666" s="13" t="s">
        <v>49</v>
      </c>
      <c r="AR666" s="13" t="s">
        <v>49</v>
      </c>
      <c r="AS666" s="13" t="s">
        <v>50</v>
      </c>
      <c r="AT666" s="13" t="s">
        <v>993</v>
      </c>
      <c r="AU666" s="13" t="s">
        <v>1001</v>
      </c>
      <c r="AV666" s="14">
        <f>(0.62*39.1*10)/1000</f>
        <v>0.24242000000000002</v>
      </c>
      <c r="AW666" s="14">
        <f>(0.45*39.1*10)/1000</f>
        <v>0.17595000000000002</v>
      </c>
      <c r="AX666" s="14">
        <f>Table1347456[[#This Row],[treatment_mean]]/Table1347456[[#This Row],[control_mean]]</f>
        <v>1.3777777777777778</v>
      </c>
      <c r="AY666" s="14">
        <f>LN(Table1347456[[#This Row],[rr]])</f>
        <v>0.32047189527477177</v>
      </c>
      <c r="AZ666" s="13">
        <v>3</v>
      </c>
      <c r="BA666" s="13">
        <v>3</v>
      </c>
      <c r="BB666" s="14" t="s">
        <v>46</v>
      </c>
      <c r="BC666" s="14" t="s">
        <v>46</v>
      </c>
      <c r="BD666" s="15" t="s">
        <v>46</v>
      </c>
      <c r="BE666" s="14" t="s">
        <v>46</v>
      </c>
      <c r="BF66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66" s="17" t="s">
        <v>46</v>
      </c>
      <c r="BH666" s="13" t="s">
        <v>50</v>
      </c>
      <c r="BI666" s="13">
        <v>2.5000000000000001E-2</v>
      </c>
      <c r="BJ666" s="18">
        <f>ABS(_xlfn.NORM.S.INV(Table1347456[[#This Row],[p_value]]/2))</f>
        <v>2.2414027276049446</v>
      </c>
      <c r="BK666" s="19">
        <f>(Table1347456[[#This Row],[lnrr]]/Table1347456[[#This Row],[z_from_p]])^2</f>
        <v>2.0442787083896002E-2</v>
      </c>
      <c r="BL666" s="16">
        <f>Table1347456[[#This Row],[v_from_z_from_p]]</f>
        <v>2.0442787083896002E-2</v>
      </c>
      <c r="BM666" s="20">
        <f>SQRT(Table1347456[[#This Row],[v]])</f>
        <v>0.14297827486683423</v>
      </c>
      <c r="BN666" s="20">
        <f>Table1347456[[#This Row],[lnrr]]-(1.96*Table1347456[[#This Row],[se]])</f>
        <v>4.0234476535776664E-2</v>
      </c>
      <c r="BO666" s="20">
        <f>Table1347456[[#This Row],[lnrr]]+(1.96 * Table1347456[[#This Row],[se]])</f>
        <v>0.60070931401376693</v>
      </c>
    </row>
    <row r="667" spans="1:67">
      <c r="A667" s="13" t="s">
        <v>247</v>
      </c>
      <c r="B667" s="13" t="s">
        <v>248</v>
      </c>
      <c r="C667" s="13" t="s">
        <v>43</v>
      </c>
      <c r="D667" s="13" t="s">
        <v>192</v>
      </c>
      <c r="E667" s="13" t="s">
        <v>249</v>
      </c>
      <c r="F667" s="13" t="s">
        <v>588</v>
      </c>
      <c r="G667" s="13" t="s">
        <v>46</v>
      </c>
      <c r="H667" s="13">
        <v>32</v>
      </c>
      <c r="I667" s="13">
        <v>1300</v>
      </c>
      <c r="K667" s="13" t="s">
        <v>876</v>
      </c>
      <c r="L667" s="13" t="s">
        <v>877</v>
      </c>
      <c r="N667" s="13" t="s">
        <v>86</v>
      </c>
      <c r="O667" s="13" t="s">
        <v>644</v>
      </c>
      <c r="P667" s="13" t="s">
        <v>87</v>
      </c>
      <c r="Q667" s="13" t="s">
        <v>48</v>
      </c>
      <c r="R667" s="4">
        <v>3</v>
      </c>
      <c r="S667" s="13" t="s">
        <v>594</v>
      </c>
      <c r="T667" s="13">
        <v>730</v>
      </c>
      <c r="U667" s="4" t="s">
        <v>147</v>
      </c>
      <c r="V667" s="4">
        <v>580</v>
      </c>
      <c r="W667" s="4" t="s">
        <v>601</v>
      </c>
      <c r="X667" s="4">
        <v>523</v>
      </c>
      <c r="Y667" s="4">
        <v>25</v>
      </c>
      <c r="AA667" s="4" t="s">
        <v>49</v>
      </c>
      <c r="AB667" s="4">
        <v>0</v>
      </c>
      <c r="AC667" s="4" t="s">
        <v>50</v>
      </c>
      <c r="AD667" s="4">
        <v>5</v>
      </c>
      <c r="AE667" s="4" t="s">
        <v>49</v>
      </c>
      <c r="AF667" s="4">
        <v>0</v>
      </c>
      <c r="AG667" s="4" t="s">
        <v>710</v>
      </c>
      <c r="AH667" s="4" t="s">
        <v>709</v>
      </c>
      <c r="AI667" s="4" t="s">
        <v>64</v>
      </c>
      <c r="AJ667" s="13">
        <v>0</v>
      </c>
      <c r="AK667" s="13">
        <v>10</v>
      </c>
      <c r="AM667" s="13" t="s">
        <v>507</v>
      </c>
      <c r="AP667" s="13" t="s">
        <v>49</v>
      </c>
      <c r="AQ667" s="13" t="s">
        <v>49</v>
      </c>
      <c r="AR667" s="13" t="s">
        <v>49</v>
      </c>
      <c r="AS667" s="13" t="s">
        <v>50</v>
      </c>
      <c r="AT667" s="13" t="s">
        <v>993</v>
      </c>
      <c r="AU667" s="13" t="s">
        <v>1001</v>
      </c>
      <c r="AV667" s="14">
        <f>(0.61*39.1*10)/1000</f>
        <v>0.23851</v>
      </c>
      <c r="AW667" s="14">
        <f>(0.54*39.1*10)/1000</f>
        <v>0.21114000000000002</v>
      </c>
      <c r="AX667" s="14">
        <f>Table1347456[[#This Row],[treatment_mean]]/Table1347456[[#This Row],[control_mean]]</f>
        <v>1.1296296296296295</v>
      </c>
      <c r="AY667" s="14">
        <f>LN(Table1347456[[#This Row],[rr]])</f>
        <v>0.12188981760903679</v>
      </c>
      <c r="AZ667" s="13">
        <v>3</v>
      </c>
      <c r="BA667" s="13">
        <v>3</v>
      </c>
      <c r="BB667" s="14" t="s">
        <v>46</v>
      </c>
      <c r="BC667" s="14" t="s">
        <v>46</v>
      </c>
      <c r="BD667" s="15" t="s">
        <v>46</v>
      </c>
      <c r="BE667" s="14" t="s">
        <v>46</v>
      </c>
      <c r="BF66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67" s="17" t="s">
        <v>46</v>
      </c>
      <c r="BH667" s="13" t="s">
        <v>50</v>
      </c>
      <c r="BI667" s="13">
        <v>2.5000000000000001E-2</v>
      </c>
      <c r="BJ667" s="18">
        <f>ABS(_xlfn.NORM.S.INV(Table1347456[[#This Row],[p_value]]/2))</f>
        <v>2.2414027276049446</v>
      </c>
      <c r="BK667" s="19">
        <f>(Table1347456[[#This Row],[lnrr]]/Table1347456[[#This Row],[z_from_p]])^2</f>
        <v>2.9572978134492604E-3</v>
      </c>
      <c r="BL667" s="16">
        <f>Table1347456[[#This Row],[v_from_z_from_p]]</f>
        <v>2.9572978134492604E-3</v>
      </c>
      <c r="BM667" s="20">
        <f>SQRT(Table1347456[[#This Row],[v]])</f>
        <v>5.4381042776405646E-2</v>
      </c>
      <c r="BN667" s="20">
        <f>Table1347456[[#This Row],[lnrr]]-(1.96*Table1347456[[#This Row],[se]])</f>
        <v>1.5302973767281722E-2</v>
      </c>
      <c r="BO667" s="20">
        <f>Table1347456[[#This Row],[lnrr]]+(1.96 * Table1347456[[#This Row],[se]])</f>
        <v>0.22847666145079187</v>
      </c>
    </row>
    <row r="668" spans="1:67">
      <c r="A668" s="13" t="s">
        <v>247</v>
      </c>
      <c r="B668" s="13" t="s">
        <v>248</v>
      </c>
      <c r="C668" s="13" t="s">
        <v>43</v>
      </c>
      <c r="D668" s="13" t="s">
        <v>192</v>
      </c>
      <c r="E668" s="13" t="s">
        <v>249</v>
      </c>
      <c r="F668" s="13" t="s">
        <v>588</v>
      </c>
      <c r="G668" s="13" t="s">
        <v>46</v>
      </c>
      <c r="H668" s="13">
        <v>32</v>
      </c>
      <c r="I668" s="13">
        <v>1300</v>
      </c>
      <c r="K668" s="13" t="s">
        <v>876</v>
      </c>
      <c r="L668" s="13" t="s">
        <v>877</v>
      </c>
      <c r="N668" s="13" t="s">
        <v>86</v>
      </c>
      <c r="O668" s="13" t="s">
        <v>644</v>
      </c>
      <c r="P668" s="13" t="s">
        <v>87</v>
      </c>
      <c r="Q668" s="13" t="s">
        <v>48</v>
      </c>
      <c r="R668" s="4">
        <v>3</v>
      </c>
      <c r="S668" s="13" t="s">
        <v>594</v>
      </c>
      <c r="T668" s="13">
        <v>730</v>
      </c>
      <c r="U668" s="4" t="s">
        <v>147</v>
      </c>
      <c r="V668" s="4">
        <v>580</v>
      </c>
      <c r="W668" s="4" t="s">
        <v>601</v>
      </c>
      <c r="X668" s="4">
        <v>523</v>
      </c>
      <c r="Y668" s="4">
        <v>50</v>
      </c>
      <c r="AA668" s="4" t="s">
        <v>49</v>
      </c>
      <c r="AB668" s="4">
        <v>0</v>
      </c>
      <c r="AC668" s="4" t="s">
        <v>50</v>
      </c>
      <c r="AD668" s="4">
        <v>5</v>
      </c>
      <c r="AE668" s="4" t="s">
        <v>49</v>
      </c>
      <c r="AF668" s="4">
        <v>0</v>
      </c>
      <c r="AG668" s="4" t="s">
        <v>710</v>
      </c>
      <c r="AH668" s="4" t="s">
        <v>709</v>
      </c>
      <c r="AI668" s="4" t="s">
        <v>64</v>
      </c>
      <c r="AJ668" s="13">
        <v>0</v>
      </c>
      <c r="AK668" s="13">
        <v>10</v>
      </c>
      <c r="AM668" s="13" t="s">
        <v>507</v>
      </c>
      <c r="AP668" s="13" t="s">
        <v>49</v>
      </c>
      <c r="AQ668" s="13" t="s">
        <v>49</v>
      </c>
      <c r="AR668" s="13" t="s">
        <v>49</v>
      </c>
      <c r="AS668" s="13" t="s">
        <v>50</v>
      </c>
      <c r="AT668" s="13" t="s">
        <v>993</v>
      </c>
      <c r="AU668" s="13" t="s">
        <v>1001</v>
      </c>
      <c r="AV668" s="14">
        <f>(0.76*39.1*10)/1000</f>
        <v>0.29716000000000004</v>
      </c>
      <c r="AW668" s="14">
        <f>(0.54*39.1*10)/1000</f>
        <v>0.21114000000000002</v>
      </c>
      <c r="AX668" s="14">
        <f>Table1347456[[#This Row],[treatment_mean]]/Table1347456[[#This Row],[control_mean]]</f>
        <v>1.4074074074074074</v>
      </c>
      <c r="AY668" s="14">
        <f>LN(Table1347456[[#This Row],[rr]])</f>
        <v>0.3417492937220567</v>
      </c>
      <c r="AZ668" s="13">
        <v>3</v>
      </c>
      <c r="BA668" s="13">
        <v>3</v>
      </c>
      <c r="BB668" s="14" t="s">
        <v>46</v>
      </c>
      <c r="BC668" s="14" t="s">
        <v>46</v>
      </c>
      <c r="BD668" s="15" t="s">
        <v>46</v>
      </c>
      <c r="BE668" s="14" t="s">
        <v>46</v>
      </c>
      <c r="BF66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68" s="17" t="s">
        <v>46</v>
      </c>
      <c r="BH668" s="13" t="s">
        <v>50</v>
      </c>
      <c r="BI668" s="13">
        <v>2.5000000000000001E-2</v>
      </c>
      <c r="BJ668" s="18">
        <f>ABS(_xlfn.NORM.S.INV(Table1347456[[#This Row],[p_value]]/2))</f>
        <v>2.2414027276049446</v>
      </c>
      <c r="BK668" s="19">
        <f>(Table1347456[[#This Row],[lnrr]]/Table1347456[[#This Row],[z_from_p]])^2</f>
        <v>2.3247457327839404E-2</v>
      </c>
      <c r="BL668" s="16">
        <f>Table1347456[[#This Row],[v_from_z_from_p]]</f>
        <v>2.3247457327839404E-2</v>
      </c>
      <c r="BM668" s="20">
        <f>SQRT(Table1347456[[#This Row],[v]])</f>
        <v>0.15247116884132358</v>
      </c>
      <c r="BN668" s="20">
        <f>Table1347456[[#This Row],[lnrr]]-(1.96*Table1347456[[#This Row],[se]])</f>
        <v>4.2905802793062497E-2</v>
      </c>
      <c r="BO668" s="20">
        <f>Table1347456[[#This Row],[lnrr]]+(1.96 * Table1347456[[#This Row],[se]])</f>
        <v>0.64059278465105085</v>
      </c>
    </row>
    <row r="669" spans="1:67">
      <c r="A669" s="13" t="s">
        <v>247</v>
      </c>
      <c r="B669" s="13" t="s">
        <v>248</v>
      </c>
      <c r="C669" s="13" t="s">
        <v>43</v>
      </c>
      <c r="D669" s="13" t="s">
        <v>192</v>
      </c>
      <c r="E669" s="13" t="s">
        <v>249</v>
      </c>
      <c r="F669" s="13" t="s">
        <v>588</v>
      </c>
      <c r="G669" s="13" t="s">
        <v>46</v>
      </c>
      <c r="H669" s="13">
        <v>32</v>
      </c>
      <c r="I669" s="13">
        <v>1300</v>
      </c>
      <c r="K669" s="13" t="s">
        <v>876</v>
      </c>
      <c r="L669" s="13" t="s">
        <v>877</v>
      </c>
      <c r="N669" s="13" t="s">
        <v>211</v>
      </c>
      <c r="O669" s="13" t="s">
        <v>642</v>
      </c>
      <c r="P669" s="13" t="s">
        <v>422</v>
      </c>
      <c r="Q669" s="13" t="s">
        <v>48</v>
      </c>
      <c r="R669" s="4">
        <v>3</v>
      </c>
      <c r="S669" s="13" t="s">
        <v>594</v>
      </c>
      <c r="T669" s="13">
        <v>730</v>
      </c>
      <c r="U669" s="4" t="s">
        <v>147</v>
      </c>
      <c r="V669" s="4">
        <v>580</v>
      </c>
      <c r="W669" s="4" t="s">
        <v>601</v>
      </c>
      <c r="X669" s="4">
        <v>523</v>
      </c>
      <c r="Y669" s="4">
        <v>25</v>
      </c>
      <c r="AA669" s="4" t="s">
        <v>49</v>
      </c>
      <c r="AB669" s="4">
        <v>0</v>
      </c>
      <c r="AC669" s="4" t="s">
        <v>49</v>
      </c>
      <c r="AD669" s="4">
        <v>0</v>
      </c>
      <c r="AE669" s="4" t="s">
        <v>49</v>
      </c>
      <c r="AF669" s="4">
        <v>0</v>
      </c>
      <c r="AG669" s="4" t="s">
        <v>710</v>
      </c>
      <c r="AH669" s="4" t="s">
        <v>709</v>
      </c>
      <c r="AI669" s="4" t="s">
        <v>64</v>
      </c>
      <c r="AJ669" s="13">
        <v>0</v>
      </c>
      <c r="AK669" s="13">
        <v>10</v>
      </c>
      <c r="AM669" s="13" t="s">
        <v>507</v>
      </c>
      <c r="AP669" s="13" t="s">
        <v>49</v>
      </c>
      <c r="AQ669" s="13" t="s">
        <v>49</v>
      </c>
      <c r="AR669" s="13" t="s">
        <v>49</v>
      </c>
      <c r="AS669" s="13" t="s">
        <v>50</v>
      </c>
      <c r="AT669" s="13" t="s">
        <v>990</v>
      </c>
      <c r="AU669" s="13" t="s">
        <v>998</v>
      </c>
      <c r="AV669" s="14">
        <f>3.4*10</f>
        <v>34</v>
      </c>
      <c r="AW669" s="14">
        <f>3.38*10</f>
        <v>33.799999999999997</v>
      </c>
      <c r="AX669" s="14">
        <f>Table1347456[[#This Row],[treatment_mean]]/Table1347456[[#This Row],[control_mean]]</f>
        <v>1.0059171597633136</v>
      </c>
      <c r="AY669" s="14">
        <f>LN(Table1347456[[#This Row],[rr]])</f>
        <v>5.899722127188322E-3</v>
      </c>
      <c r="AZ669" s="13">
        <v>3</v>
      </c>
      <c r="BA669" s="13">
        <v>3</v>
      </c>
      <c r="BB669" s="14" t="s">
        <v>46</v>
      </c>
      <c r="BC669" s="14" t="s">
        <v>46</v>
      </c>
      <c r="BD669" s="15" t="s">
        <v>46</v>
      </c>
      <c r="BE669" s="14" t="s">
        <v>46</v>
      </c>
      <c r="BF66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69" s="17" t="s">
        <v>46</v>
      </c>
      <c r="BH669" s="13" t="s">
        <v>50</v>
      </c>
      <c r="BI669" s="13">
        <v>2.5000000000000001E-2</v>
      </c>
      <c r="BJ669" s="18">
        <f>ABS(_xlfn.NORM.S.INV(Table1347456[[#This Row],[p_value]]/2))</f>
        <v>2.2414027276049446</v>
      </c>
      <c r="BK669" s="19">
        <f>(Table1347456[[#This Row],[lnrr]]/Table1347456[[#This Row],[z_from_p]])^2</f>
        <v>6.9282463575550534E-6</v>
      </c>
      <c r="BL669" s="16">
        <f>Table1347456[[#This Row],[v_from_z_from_p]]</f>
        <v>6.9282463575550534E-6</v>
      </c>
      <c r="BM669" s="20">
        <f>SQRT(Table1347456[[#This Row],[v]])</f>
        <v>2.6321562183037415E-3</v>
      </c>
      <c r="BN669" s="20">
        <f>Table1347456[[#This Row],[lnrr]]-(1.96*Table1347456[[#This Row],[se]])</f>
        <v>7.4069593931298892E-4</v>
      </c>
      <c r="BO669" s="20">
        <f>Table1347456[[#This Row],[lnrr]]+(1.96 * Table1347456[[#This Row],[se]])</f>
        <v>1.1058748315063656E-2</v>
      </c>
    </row>
    <row r="670" spans="1:67">
      <c r="A670" s="13" t="s">
        <v>247</v>
      </c>
      <c r="B670" s="13" t="s">
        <v>248</v>
      </c>
      <c r="C670" s="13" t="s">
        <v>43</v>
      </c>
      <c r="D670" s="13" t="s">
        <v>192</v>
      </c>
      <c r="E670" s="13" t="s">
        <v>249</v>
      </c>
      <c r="F670" s="13" t="s">
        <v>588</v>
      </c>
      <c r="G670" s="13" t="s">
        <v>46</v>
      </c>
      <c r="H670" s="13">
        <v>32</v>
      </c>
      <c r="I670" s="13">
        <v>1300</v>
      </c>
      <c r="K670" s="13" t="s">
        <v>876</v>
      </c>
      <c r="L670" s="13" t="s">
        <v>877</v>
      </c>
      <c r="N670" s="13" t="s">
        <v>211</v>
      </c>
      <c r="O670" s="13" t="s">
        <v>642</v>
      </c>
      <c r="P670" s="13" t="s">
        <v>422</v>
      </c>
      <c r="Q670" s="13" t="s">
        <v>48</v>
      </c>
      <c r="R670" s="4">
        <v>3</v>
      </c>
      <c r="S670" s="13" t="s">
        <v>594</v>
      </c>
      <c r="T670" s="13">
        <v>730</v>
      </c>
      <c r="U670" s="4" t="s">
        <v>147</v>
      </c>
      <c r="V670" s="4">
        <v>580</v>
      </c>
      <c r="W670" s="4" t="s">
        <v>601</v>
      </c>
      <c r="X670" s="4">
        <v>523</v>
      </c>
      <c r="Y670" s="4">
        <v>50</v>
      </c>
      <c r="AA670" s="4" t="s">
        <v>49</v>
      </c>
      <c r="AB670" s="4">
        <v>0</v>
      </c>
      <c r="AC670" s="4" t="s">
        <v>49</v>
      </c>
      <c r="AD670" s="4">
        <v>0</v>
      </c>
      <c r="AE670" s="4" t="s">
        <v>49</v>
      </c>
      <c r="AF670" s="4">
        <v>0</v>
      </c>
      <c r="AG670" s="4" t="s">
        <v>710</v>
      </c>
      <c r="AH670" s="4" t="s">
        <v>709</v>
      </c>
      <c r="AI670" s="4" t="s">
        <v>64</v>
      </c>
      <c r="AJ670" s="13">
        <v>0</v>
      </c>
      <c r="AK670" s="13">
        <v>10</v>
      </c>
      <c r="AM670" s="13" t="s">
        <v>507</v>
      </c>
      <c r="AP670" s="13" t="s">
        <v>49</v>
      </c>
      <c r="AQ670" s="13" t="s">
        <v>49</v>
      </c>
      <c r="AR670" s="13" t="s">
        <v>49</v>
      </c>
      <c r="AS670" s="13" t="s">
        <v>50</v>
      </c>
      <c r="AT670" s="13" t="s">
        <v>990</v>
      </c>
      <c r="AU670" s="13" t="s">
        <v>998</v>
      </c>
      <c r="AV670" s="14">
        <f>4.91*10</f>
        <v>49.1</v>
      </c>
      <c r="AW670" s="14">
        <f>3.38*10</f>
        <v>33.799999999999997</v>
      </c>
      <c r="AX670" s="14">
        <f>Table1347456[[#This Row],[treatment_mean]]/Table1347456[[#This Row],[control_mean]]</f>
        <v>1.4526627218934913</v>
      </c>
      <c r="AY670" s="14">
        <f>LN(Table1347456[[#This Row],[rr]])</f>
        <v>0.37339823231150193</v>
      </c>
      <c r="AZ670" s="13">
        <v>3</v>
      </c>
      <c r="BA670" s="13">
        <v>3</v>
      </c>
      <c r="BB670" s="14" t="s">
        <v>46</v>
      </c>
      <c r="BC670" s="14" t="s">
        <v>46</v>
      </c>
      <c r="BD670" s="15" t="s">
        <v>46</v>
      </c>
      <c r="BE670" s="14" t="s">
        <v>46</v>
      </c>
      <c r="BF67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70" s="17" t="s">
        <v>46</v>
      </c>
      <c r="BH670" s="13" t="s">
        <v>50</v>
      </c>
      <c r="BI670" s="13">
        <v>2.5000000000000001E-2</v>
      </c>
      <c r="BJ670" s="18">
        <f>ABS(_xlfn.NORM.S.INV(Table1347456[[#This Row],[p_value]]/2))</f>
        <v>2.2414027276049446</v>
      </c>
      <c r="BK670" s="19">
        <f>(Table1347456[[#This Row],[lnrr]]/Table1347456[[#This Row],[z_from_p]])^2</f>
        <v>2.7752666898665047E-2</v>
      </c>
      <c r="BL670" s="16">
        <f>Table1347456[[#This Row],[v_from_z_from_p]]</f>
        <v>2.7752666898665047E-2</v>
      </c>
      <c r="BM670" s="20">
        <f>SQRT(Table1347456[[#This Row],[v]])</f>
        <v>0.16659131699661014</v>
      </c>
      <c r="BN670" s="20">
        <f>Table1347456[[#This Row],[lnrr]]-(1.96*Table1347456[[#This Row],[se]])</f>
        <v>4.6879250998146049E-2</v>
      </c>
      <c r="BO670" s="20">
        <f>Table1347456[[#This Row],[lnrr]]+(1.96 * Table1347456[[#This Row],[se]])</f>
        <v>0.69991721362485781</v>
      </c>
    </row>
    <row r="671" spans="1:67">
      <c r="A671" s="13" t="s">
        <v>247</v>
      </c>
      <c r="B671" s="13" t="s">
        <v>248</v>
      </c>
      <c r="C671" s="13" t="s">
        <v>43</v>
      </c>
      <c r="D671" s="13" t="s">
        <v>192</v>
      </c>
      <c r="E671" s="13" t="s">
        <v>249</v>
      </c>
      <c r="F671" s="13" t="s">
        <v>588</v>
      </c>
      <c r="G671" s="13" t="s">
        <v>46</v>
      </c>
      <c r="H671" s="13">
        <v>32</v>
      </c>
      <c r="I671" s="13">
        <v>1300</v>
      </c>
      <c r="K671" s="13" t="s">
        <v>876</v>
      </c>
      <c r="L671" s="13" t="s">
        <v>877</v>
      </c>
      <c r="N671" s="13" t="s">
        <v>211</v>
      </c>
      <c r="O671" s="13" t="s">
        <v>642</v>
      </c>
      <c r="P671" s="13" t="s">
        <v>422</v>
      </c>
      <c r="Q671" s="13" t="s">
        <v>48</v>
      </c>
      <c r="R671" s="4">
        <v>3</v>
      </c>
      <c r="S671" s="13" t="s">
        <v>594</v>
      </c>
      <c r="T671" s="13">
        <v>730</v>
      </c>
      <c r="U671" s="4" t="s">
        <v>147</v>
      </c>
      <c r="V671" s="4">
        <v>580</v>
      </c>
      <c r="W671" s="4" t="s">
        <v>601</v>
      </c>
      <c r="X671" s="4">
        <v>523</v>
      </c>
      <c r="Y671" s="4">
        <v>25</v>
      </c>
      <c r="AA671" s="4" t="s">
        <v>49</v>
      </c>
      <c r="AB671" s="4">
        <v>0</v>
      </c>
      <c r="AC671" s="4" t="s">
        <v>50</v>
      </c>
      <c r="AD671" s="4">
        <v>2.5</v>
      </c>
      <c r="AE671" s="4" t="s">
        <v>49</v>
      </c>
      <c r="AF671" s="4">
        <v>0</v>
      </c>
      <c r="AG671" s="4" t="s">
        <v>710</v>
      </c>
      <c r="AH671" s="4" t="s">
        <v>709</v>
      </c>
      <c r="AI671" s="4" t="s">
        <v>64</v>
      </c>
      <c r="AJ671" s="13">
        <v>0</v>
      </c>
      <c r="AK671" s="13">
        <v>10</v>
      </c>
      <c r="AM671" s="13" t="s">
        <v>507</v>
      </c>
      <c r="AP671" s="13" t="s">
        <v>49</v>
      </c>
      <c r="AQ671" s="13" t="s">
        <v>49</v>
      </c>
      <c r="AR671" s="13" t="s">
        <v>49</v>
      </c>
      <c r="AS671" s="13" t="s">
        <v>50</v>
      </c>
      <c r="AT671" s="13" t="s">
        <v>993</v>
      </c>
      <c r="AU671" s="13" t="s">
        <v>1001</v>
      </c>
      <c r="AV671" s="14">
        <f>7.27*10</f>
        <v>72.699999999999989</v>
      </c>
      <c r="AW671" s="14">
        <f>6.45*10</f>
        <v>64.5</v>
      </c>
      <c r="AX671" s="14">
        <f>Table1347456[[#This Row],[treatment_mean]]/Table1347456[[#This Row],[control_mean]]</f>
        <v>1.1271317829457363</v>
      </c>
      <c r="AY671" s="14">
        <f>LN(Table1347456[[#This Row],[rr]])</f>
        <v>0.1196761607377468</v>
      </c>
      <c r="AZ671" s="13">
        <v>3</v>
      </c>
      <c r="BA671" s="13">
        <v>3</v>
      </c>
      <c r="BB671" s="14" t="s">
        <v>46</v>
      </c>
      <c r="BC671" s="14" t="s">
        <v>46</v>
      </c>
      <c r="BD671" s="15" t="s">
        <v>46</v>
      </c>
      <c r="BE671" s="14" t="s">
        <v>46</v>
      </c>
      <c r="BF67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71" s="17" t="s">
        <v>46</v>
      </c>
      <c r="BH671" s="13" t="s">
        <v>50</v>
      </c>
      <c r="BI671" s="13">
        <v>2.5000000000000001E-2</v>
      </c>
      <c r="BJ671" s="18">
        <f>ABS(_xlfn.NORM.S.INV(Table1347456[[#This Row],[p_value]]/2))</f>
        <v>2.2414027276049446</v>
      </c>
      <c r="BK671" s="19">
        <f>(Table1347456[[#This Row],[lnrr]]/Table1347456[[#This Row],[z_from_p]])^2</f>
        <v>2.8508574666939032E-3</v>
      </c>
      <c r="BL671" s="16">
        <f>Table1347456[[#This Row],[v_from_z_from_p]]</f>
        <v>2.8508574666939032E-3</v>
      </c>
      <c r="BM671" s="20">
        <f>SQRT(Table1347456[[#This Row],[v]])</f>
        <v>5.3393421567585489E-2</v>
      </c>
      <c r="BN671" s="20">
        <f>Table1347456[[#This Row],[lnrr]]-(1.96*Table1347456[[#This Row],[se]])</f>
        <v>1.5025054465279242E-2</v>
      </c>
      <c r="BO671" s="20">
        <f>Table1347456[[#This Row],[lnrr]]+(1.96 * Table1347456[[#This Row],[se]])</f>
        <v>0.22432726701021435</v>
      </c>
    </row>
    <row r="672" spans="1:67">
      <c r="A672" s="13" t="s">
        <v>247</v>
      </c>
      <c r="B672" s="13" t="s">
        <v>248</v>
      </c>
      <c r="C672" s="13" t="s">
        <v>43</v>
      </c>
      <c r="D672" s="13" t="s">
        <v>192</v>
      </c>
      <c r="E672" s="13" t="s">
        <v>249</v>
      </c>
      <c r="F672" s="13" t="s">
        <v>588</v>
      </c>
      <c r="G672" s="13" t="s">
        <v>46</v>
      </c>
      <c r="H672" s="13">
        <v>32</v>
      </c>
      <c r="I672" s="13">
        <v>1300</v>
      </c>
      <c r="K672" s="13" t="s">
        <v>876</v>
      </c>
      <c r="L672" s="13" t="s">
        <v>877</v>
      </c>
      <c r="N672" s="13" t="s">
        <v>211</v>
      </c>
      <c r="O672" s="13" t="s">
        <v>642</v>
      </c>
      <c r="P672" s="13" t="s">
        <v>422</v>
      </c>
      <c r="Q672" s="13" t="s">
        <v>48</v>
      </c>
      <c r="R672" s="4">
        <v>3</v>
      </c>
      <c r="S672" s="13" t="s">
        <v>594</v>
      </c>
      <c r="T672" s="13">
        <v>730</v>
      </c>
      <c r="U672" s="4" t="s">
        <v>147</v>
      </c>
      <c r="V672" s="4">
        <v>580</v>
      </c>
      <c r="W672" s="4" t="s">
        <v>601</v>
      </c>
      <c r="X672" s="4">
        <v>523</v>
      </c>
      <c r="Y672" s="4">
        <v>50</v>
      </c>
      <c r="AA672" s="4" t="s">
        <v>49</v>
      </c>
      <c r="AB672" s="4">
        <v>0</v>
      </c>
      <c r="AC672" s="4" t="s">
        <v>50</v>
      </c>
      <c r="AD672" s="4">
        <v>2.5</v>
      </c>
      <c r="AE672" s="4" t="s">
        <v>49</v>
      </c>
      <c r="AF672" s="4">
        <v>0</v>
      </c>
      <c r="AG672" s="4" t="s">
        <v>710</v>
      </c>
      <c r="AH672" s="4" t="s">
        <v>709</v>
      </c>
      <c r="AI672" s="4" t="s">
        <v>64</v>
      </c>
      <c r="AJ672" s="13">
        <v>0</v>
      </c>
      <c r="AK672" s="13">
        <v>10</v>
      </c>
      <c r="AM672" s="13" t="s">
        <v>507</v>
      </c>
      <c r="AP672" s="13" t="s">
        <v>49</v>
      </c>
      <c r="AQ672" s="13" t="s">
        <v>49</v>
      </c>
      <c r="AR672" s="13" t="s">
        <v>49</v>
      </c>
      <c r="AS672" s="13" t="s">
        <v>50</v>
      </c>
      <c r="AT672" s="13" t="s">
        <v>993</v>
      </c>
      <c r="AU672" s="13" t="s">
        <v>1001</v>
      </c>
      <c r="AV672" s="14">
        <f>8.01*10</f>
        <v>80.099999999999994</v>
      </c>
      <c r="AW672" s="14">
        <f>6.45*10</f>
        <v>64.5</v>
      </c>
      <c r="AX672" s="14">
        <f>Table1347456[[#This Row],[treatment_mean]]/Table1347456[[#This Row],[control_mean]]</f>
        <v>1.241860465116279</v>
      </c>
      <c r="AY672" s="14">
        <f>LN(Table1347456[[#This Row],[rr]])</f>
        <v>0.21661063027258667</v>
      </c>
      <c r="AZ672" s="13">
        <v>3</v>
      </c>
      <c r="BA672" s="13">
        <v>3</v>
      </c>
      <c r="BB672" s="14" t="s">
        <v>46</v>
      </c>
      <c r="BC672" s="14" t="s">
        <v>46</v>
      </c>
      <c r="BD672" s="15" t="s">
        <v>46</v>
      </c>
      <c r="BE672" s="14" t="s">
        <v>46</v>
      </c>
      <c r="BF67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72" s="17" t="s">
        <v>46</v>
      </c>
      <c r="BH672" s="13" t="s">
        <v>50</v>
      </c>
      <c r="BI672" s="13">
        <v>2.5000000000000001E-2</v>
      </c>
      <c r="BJ672" s="18">
        <f>ABS(_xlfn.NORM.S.INV(Table1347456[[#This Row],[p_value]]/2))</f>
        <v>2.2414027276049446</v>
      </c>
      <c r="BK672" s="19">
        <f>(Table1347456[[#This Row],[lnrr]]/Table1347456[[#This Row],[z_from_p]])^2</f>
        <v>9.3394164194162688E-3</v>
      </c>
      <c r="BL672" s="16">
        <f>Table1347456[[#This Row],[v_from_z_from_p]]</f>
        <v>9.3394164194162688E-3</v>
      </c>
      <c r="BM672" s="20">
        <f>SQRT(Table1347456[[#This Row],[v]])</f>
        <v>9.6640656141275594E-2</v>
      </c>
      <c r="BN672" s="20">
        <f>Table1347456[[#This Row],[lnrr]]-(1.96*Table1347456[[#This Row],[se]])</f>
        <v>2.7194944235686525E-2</v>
      </c>
      <c r="BO672" s="20">
        <f>Table1347456[[#This Row],[lnrr]]+(1.96 * Table1347456[[#This Row],[se]])</f>
        <v>0.40602631630948682</v>
      </c>
    </row>
    <row r="673" spans="1:67">
      <c r="A673" s="13" t="s">
        <v>247</v>
      </c>
      <c r="B673" s="13" t="s">
        <v>248</v>
      </c>
      <c r="C673" s="13" t="s">
        <v>43</v>
      </c>
      <c r="D673" s="13" t="s">
        <v>192</v>
      </c>
      <c r="E673" s="13" t="s">
        <v>249</v>
      </c>
      <c r="F673" s="13" t="s">
        <v>588</v>
      </c>
      <c r="G673" s="13" t="s">
        <v>46</v>
      </c>
      <c r="H673" s="13">
        <v>32</v>
      </c>
      <c r="I673" s="13">
        <v>1300</v>
      </c>
      <c r="K673" s="13" t="s">
        <v>876</v>
      </c>
      <c r="L673" s="13" t="s">
        <v>877</v>
      </c>
      <c r="N673" s="13" t="s">
        <v>211</v>
      </c>
      <c r="O673" s="13" t="s">
        <v>642</v>
      </c>
      <c r="P673" s="13" t="s">
        <v>422</v>
      </c>
      <c r="Q673" s="13" t="s">
        <v>48</v>
      </c>
      <c r="R673" s="4">
        <v>3</v>
      </c>
      <c r="S673" s="13" t="s">
        <v>594</v>
      </c>
      <c r="T673" s="13">
        <v>730</v>
      </c>
      <c r="U673" s="4" t="s">
        <v>147</v>
      </c>
      <c r="V673" s="4">
        <v>580</v>
      </c>
      <c r="W673" s="4" t="s">
        <v>601</v>
      </c>
      <c r="X673" s="4">
        <v>523</v>
      </c>
      <c r="Y673" s="4">
        <v>25</v>
      </c>
      <c r="AA673" s="4" t="s">
        <v>49</v>
      </c>
      <c r="AB673" s="4">
        <v>0</v>
      </c>
      <c r="AC673" s="4" t="s">
        <v>50</v>
      </c>
      <c r="AD673" s="4">
        <v>5</v>
      </c>
      <c r="AE673" s="4" t="s">
        <v>49</v>
      </c>
      <c r="AF673" s="4">
        <v>0</v>
      </c>
      <c r="AG673" s="4" t="s">
        <v>710</v>
      </c>
      <c r="AH673" s="4" t="s">
        <v>709</v>
      </c>
      <c r="AI673" s="4" t="s">
        <v>64</v>
      </c>
      <c r="AJ673" s="13">
        <v>0</v>
      </c>
      <c r="AK673" s="13">
        <v>10</v>
      </c>
      <c r="AM673" s="13" t="s">
        <v>507</v>
      </c>
      <c r="AP673" s="13" t="s">
        <v>49</v>
      </c>
      <c r="AQ673" s="13" t="s">
        <v>49</v>
      </c>
      <c r="AR673" s="13" t="s">
        <v>49</v>
      </c>
      <c r="AS673" s="13" t="s">
        <v>50</v>
      </c>
      <c r="AT673" s="13" t="s">
        <v>993</v>
      </c>
      <c r="AU673" s="13" t="s">
        <v>1001</v>
      </c>
      <c r="AV673" s="14">
        <f>8.17*10</f>
        <v>81.7</v>
      </c>
      <c r="AW673" s="14">
        <f>8.45*10</f>
        <v>84.5</v>
      </c>
      <c r="AX673" s="14">
        <f>Table1347456[[#This Row],[treatment_mean]]/Table1347456[[#This Row],[control_mean]]</f>
        <v>0.96686390532544386</v>
      </c>
      <c r="AY673" s="14">
        <f>LN(Table1347456[[#This Row],[rr]])</f>
        <v>-3.3697532497170883E-2</v>
      </c>
      <c r="AZ673" s="13">
        <v>3</v>
      </c>
      <c r="BA673" s="13">
        <v>3</v>
      </c>
      <c r="BB673" s="14" t="s">
        <v>46</v>
      </c>
      <c r="BC673" s="14" t="s">
        <v>46</v>
      </c>
      <c r="BD673" s="15" t="s">
        <v>46</v>
      </c>
      <c r="BE673" s="14" t="s">
        <v>46</v>
      </c>
      <c r="BF67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73" s="17" t="s">
        <v>46</v>
      </c>
      <c r="BH673" s="13" t="s">
        <v>50</v>
      </c>
      <c r="BI673" s="13">
        <v>2.5000000000000001E-2</v>
      </c>
      <c r="BJ673" s="18">
        <f>ABS(_xlfn.NORM.S.INV(Table1347456[[#This Row],[p_value]]/2))</f>
        <v>2.2414027276049446</v>
      </c>
      <c r="BK673" s="19">
        <f>(Table1347456[[#This Row],[lnrr]]/Table1347456[[#This Row],[z_from_p]])^2</f>
        <v>2.2602496435230563E-4</v>
      </c>
      <c r="BL673" s="16">
        <f>Table1347456[[#This Row],[v_from_z_from_p]]</f>
        <v>2.2602496435230563E-4</v>
      </c>
      <c r="BM673" s="20">
        <f>SQRT(Table1347456[[#This Row],[v]])</f>
        <v>1.5034126657451893E-2</v>
      </c>
      <c r="BN673" s="20">
        <f>Table1347456[[#This Row],[lnrr]]-(1.96*Table1347456[[#This Row],[se]])</f>
        <v>-6.3164420745776592E-2</v>
      </c>
      <c r="BO673" s="20">
        <f>Table1347456[[#This Row],[lnrr]]+(1.96 * Table1347456[[#This Row],[se]])</f>
        <v>-4.2306442485651741E-3</v>
      </c>
    </row>
    <row r="674" spans="1:67">
      <c r="A674" s="13" t="s">
        <v>247</v>
      </c>
      <c r="B674" s="13" t="s">
        <v>248</v>
      </c>
      <c r="C674" s="13" t="s">
        <v>43</v>
      </c>
      <c r="D674" s="13" t="s">
        <v>192</v>
      </c>
      <c r="E674" s="13" t="s">
        <v>249</v>
      </c>
      <c r="F674" s="13" t="s">
        <v>588</v>
      </c>
      <c r="G674" s="13" t="s">
        <v>46</v>
      </c>
      <c r="H674" s="13">
        <v>32</v>
      </c>
      <c r="I674" s="13">
        <v>1300</v>
      </c>
      <c r="K674" s="13" t="s">
        <v>876</v>
      </c>
      <c r="L674" s="13" t="s">
        <v>877</v>
      </c>
      <c r="N674" s="13" t="s">
        <v>211</v>
      </c>
      <c r="O674" s="13" t="s">
        <v>642</v>
      </c>
      <c r="P674" s="13" t="s">
        <v>422</v>
      </c>
      <c r="Q674" s="13" t="s">
        <v>48</v>
      </c>
      <c r="R674" s="4">
        <v>3</v>
      </c>
      <c r="S674" s="13" t="s">
        <v>594</v>
      </c>
      <c r="T674" s="13">
        <v>730</v>
      </c>
      <c r="U674" s="4" t="s">
        <v>147</v>
      </c>
      <c r="V674" s="4">
        <v>580</v>
      </c>
      <c r="W674" s="4" t="s">
        <v>601</v>
      </c>
      <c r="X674" s="4">
        <v>523</v>
      </c>
      <c r="Y674" s="4">
        <v>50</v>
      </c>
      <c r="AA674" s="4" t="s">
        <v>49</v>
      </c>
      <c r="AB674" s="4">
        <v>0</v>
      </c>
      <c r="AC674" s="4" t="s">
        <v>50</v>
      </c>
      <c r="AD674" s="4">
        <v>5</v>
      </c>
      <c r="AE674" s="4" t="s">
        <v>49</v>
      </c>
      <c r="AF674" s="4">
        <v>0</v>
      </c>
      <c r="AG674" s="4" t="s">
        <v>710</v>
      </c>
      <c r="AH674" s="4" t="s">
        <v>709</v>
      </c>
      <c r="AI674" s="4" t="s">
        <v>64</v>
      </c>
      <c r="AJ674" s="13">
        <v>0</v>
      </c>
      <c r="AK674" s="13">
        <v>10</v>
      </c>
      <c r="AM674" s="13" t="s">
        <v>507</v>
      </c>
      <c r="AP674" s="13" t="s">
        <v>49</v>
      </c>
      <c r="AQ674" s="13" t="s">
        <v>49</v>
      </c>
      <c r="AR674" s="13" t="s">
        <v>49</v>
      </c>
      <c r="AS674" s="13" t="s">
        <v>50</v>
      </c>
      <c r="AT674" s="13" t="s">
        <v>993</v>
      </c>
      <c r="AU674" s="13" t="s">
        <v>1001</v>
      </c>
      <c r="AV674" s="14">
        <f>9.06*10</f>
        <v>90.600000000000009</v>
      </c>
      <c r="AW674" s="14">
        <f>8.45*10</f>
        <v>84.5</v>
      </c>
      <c r="AX674" s="14">
        <f>Table1347456[[#This Row],[treatment_mean]]/Table1347456[[#This Row],[control_mean]]</f>
        <v>1.0721893491124261</v>
      </c>
      <c r="AY674" s="14">
        <f>LN(Table1347456[[#This Row],[rr]])</f>
        <v>6.9702678685805583E-2</v>
      </c>
      <c r="AZ674" s="13">
        <v>3</v>
      </c>
      <c r="BA674" s="13">
        <v>3</v>
      </c>
      <c r="BB674" s="14" t="s">
        <v>46</v>
      </c>
      <c r="BC674" s="14" t="s">
        <v>46</v>
      </c>
      <c r="BD674" s="15" t="s">
        <v>46</v>
      </c>
      <c r="BE674" s="14" t="s">
        <v>46</v>
      </c>
      <c r="BF67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74" s="17" t="s">
        <v>46</v>
      </c>
      <c r="BH674" s="13" t="s">
        <v>50</v>
      </c>
      <c r="BI674" s="13">
        <v>2.5000000000000001E-2</v>
      </c>
      <c r="BJ674" s="18">
        <f>ABS(_xlfn.NORM.S.INV(Table1347456[[#This Row],[p_value]]/2))</f>
        <v>2.2414027276049446</v>
      </c>
      <c r="BK674" s="19">
        <f>(Table1347456[[#This Row],[lnrr]]/Table1347456[[#This Row],[z_from_p]])^2</f>
        <v>9.6707274703875337E-4</v>
      </c>
      <c r="BL674" s="16">
        <f>Table1347456[[#This Row],[v_from_z_from_p]]</f>
        <v>9.6707274703875337E-4</v>
      </c>
      <c r="BM674" s="20">
        <f>SQRT(Table1347456[[#This Row],[v]])</f>
        <v>3.1097793282462236E-2</v>
      </c>
      <c r="BN674" s="20">
        <f>Table1347456[[#This Row],[lnrr]]-(1.96*Table1347456[[#This Row],[se]])</f>
        <v>8.751003852179598E-3</v>
      </c>
      <c r="BO674" s="20">
        <f>Table1347456[[#This Row],[lnrr]]+(1.96 * Table1347456[[#This Row],[se]])</f>
        <v>0.13065435351943155</v>
      </c>
    </row>
    <row r="675" spans="1:67">
      <c r="A675" s="13" t="s">
        <v>247</v>
      </c>
      <c r="B675" s="13" t="s">
        <v>248</v>
      </c>
      <c r="C675" s="13" t="s">
        <v>43</v>
      </c>
      <c r="D675" s="13" t="s">
        <v>192</v>
      </c>
      <c r="E675" s="13" t="s">
        <v>249</v>
      </c>
      <c r="F675" s="13" t="s">
        <v>588</v>
      </c>
      <c r="G675" s="13" t="s">
        <v>46</v>
      </c>
      <c r="H675" s="13">
        <v>32</v>
      </c>
      <c r="I675" s="13">
        <v>1300</v>
      </c>
      <c r="K675" s="13" t="s">
        <v>876</v>
      </c>
      <c r="L675" s="13" t="s">
        <v>877</v>
      </c>
      <c r="N675" s="13" t="s">
        <v>213</v>
      </c>
      <c r="O675" s="13" t="s">
        <v>642</v>
      </c>
      <c r="P675" s="13" t="s">
        <v>422</v>
      </c>
      <c r="Q675" s="13" t="s">
        <v>48</v>
      </c>
      <c r="R675" s="4">
        <v>3</v>
      </c>
      <c r="S675" s="13" t="s">
        <v>594</v>
      </c>
      <c r="T675" s="13">
        <v>730</v>
      </c>
      <c r="U675" s="4" t="s">
        <v>147</v>
      </c>
      <c r="V675" s="4">
        <v>580</v>
      </c>
      <c r="W675" s="4" t="s">
        <v>601</v>
      </c>
      <c r="X675" s="4">
        <v>523</v>
      </c>
      <c r="Y675" s="4">
        <v>25</v>
      </c>
      <c r="AA675" s="4" t="s">
        <v>49</v>
      </c>
      <c r="AB675" s="4">
        <v>0</v>
      </c>
      <c r="AC675" s="4" t="s">
        <v>49</v>
      </c>
      <c r="AD675" s="4">
        <v>0</v>
      </c>
      <c r="AE675" s="4" t="s">
        <v>49</v>
      </c>
      <c r="AF675" s="4">
        <v>0</v>
      </c>
      <c r="AG675" s="4" t="s">
        <v>710</v>
      </c>
      <c r="AH675" s="4" t="s">
        <v>709</v>
      </c>
      <c r="AI675" s="4" t="s">
        <v>64</v>
      </c>
      <c r="AJ675" s="13">
        <v>0</v>
      </c>
      <c r="AK675" s="13">
        <v>10</v>
      </c>
      <c r="AM675" s="13" t="s">
        <v>507</v>
      </c>
      <c r="AP675" s="13" t="s">
        <v>49</v>
      </c>
      <c r="AQ675" s="13" t="s">
        <v>49</v>
      </c>
      <c r="AR675" s="13" t="s">
        <v>49</v>
      </c>
      <c r="AS675" s="13" t="s">
        <v>50</v>
      </c>
      <c r="AT675" s="13" t="s">
        <v>990</v>
      </c>
      <c r="AU675" s="13" t="s">
        <v>998</v>
      </c>
      <c r="AV675" s="14">
        <f>0.211*10</f>
        <v>2.11</v>
      </c>
      <c r="AW675" s="14">
        <f>0.21*10</f>
        <v>2.1</v>
      </c>
      <c r="AX675" s="14">
        <f>Table1347456[[#This Row],[treatment_mean]]/Table1347456[[#This Row],[control_mean]]</f>
        <v>1.0047619047619047</v>
      </c>
      <c r="AY675" s="17">
        <f>LN(Table1347456[[#This Row],[rr]])</f>
        <v>4.7506027585977988E-3</v>
      </c>
      <c r="AZ675" s="13">
        <v>3</v>
      </c>
      <c r="BA675" s="13">
        <v>3</v>
      </c>
      <c r="BB675" s="14" t="s">
        <v>46</v>
      </c>
      <c r="BC675" s="14" t="s">
        <v>46</v>
      </c>
      <c r="BD675" s="15" t="s">
        <v>46</v>
      </c>
      <c r="BE675" s="14" t="s">
        <v>46</v>
      </c>
      <c r="BF67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75" s="17" t="s">
        <v>46</v>
      </c>
      <c r="BH675" s="13" t="s">
        <v>50</v>
      </c>
      <c r="BI675" s="13">
        <v>2.5000000000000001E-2</v>
      </c>
      <c r="BJ675" s="18">
        <f>ABS(_xlfn.NORM.S.INV(Table1347456[[#This Row],[p_value]]/2))</f>
        <v>2.2414027276049446</v>
      </c>
      <c r="BK675" s="19">
        <f>(Table1347456[[#This Row],[lnrr]]/Table1347456[[#This Row],[z_from_p]])^2</f>
        <v>4.4921850791486684E-6</v>
      </c>
      <c r="BL675" s="16">
        <f>Table1347456[[#This Row],[v_from_z_from_p]]</f>
        <v>4.4921850791486684E-6</v>
      </c>
      <c r="BM675" s="20">
        <f>SQRT(Table1347456[[#This Row],[v]])</f>
        <v>2.1194775486304798E-3</v>
      </c>
      <c r="BN675" s="20">
        <f>Table1347456[[#This Row],[lnrr]]-(1.96*Table1347456[[#This Row],[se]])</f>
        <v>5.9642676328205795E-4</v>
      </c>
      <c r="BO675" s="20">
        <f>Table1347456[[#This Row],[lnrr]]+(1.96 * Table1347456[[#This Row],[se]])</f>
        <v>8.9047787539135396E-3</v>
      </c>
    </row>
    <row r="676" spans="1:67">
      <c r="A676" s="13" t="s">
        <v>247</v>
      </c>
      <c r="B676" s="13" t="s">
        <v>248</v>
      </c>
      <c r="C676" s="13" t="s">
        <v>43</v>
      </c>
      <c r="D676" s="13" t="s">
        <v>192</v>
      </c>
      <c r="E676" s="13" t="s">
        <v>249</v>
      </c>
      <c r="F676" s="13" t="s">
        <v>588</v>
      </c>
      <c r="G676" s="13" t="s">
        <v>46</v>
      </c>
      <c r="H676" s="13">
        <v>32</v>
      </c>
      <c r="I676" s="13">
        <v>1300</v>
      </c>
      <c r="K676" s="13" t="s">
        <v>876</v>
      </c>
      <c r="L676" s="13" t="s">
        <v>877</v>
      </c>
      <c r="N676" s="13" t="s">
        <v>213</v>
      </c>
      <c r="O676" s="13" t="s">
        <v>642</v>
      </c>
      <c r="P676" s="13" t="s">
        <v>422</v>
      </c>
      <c r="Q676" s="13" t="s">
        <v>48</v>
      </c>
      <c r="R676" s="4">
        <v>3</v>
      </c>
      <c r="S676" s="13" t="s">
        <v>594</v>
      </c>
      <c r="T676" s="13">
        <v>730</v>
      </c>
      <c r="U676" s="4" t="s">
        <v>147</v>
      </c>
      <c r="V676" s="4">
        <v>580</v>
      </c>
      <c r="W676" s="4" t="s">
        <v>601</v>
      </c>
      <c r="X676" s="4">
        <v>523</v>
      </c>
      <c r="Y676" s="4">
        <v>50</v>
      </c>
      <c r="AA676" s="4" t="s">
        <v>49</v>
      </c>
      <c r="AB676" s="4">
        <v>0</v>
      </c>
      <c r="AC676" s="4" t="s">
        <v>49</v>
      </c>
      <c r="AD676" s="4">
        <v>0</v>
      </c>
      <c r="AE676" s="4" t="s">
        <v>49</v>
      </c>
      <c r="AF676" s="4">
        <v>0</v>
      </c>
      <c r="AG676" s="4" t="s">
        <v>710</v>
      </c>
      <c r="AH676" s="4" t="s">
        <v>709</v>
      </c>
      <c r="AI676" s="4" t="s">
        <v>64</v>
      </c>
      <c r="AJ676" s="13">
        <v>0</v>
      </c>
      <c r="AK676" s="13">
        <v>10</v>
      </c>
      <c r="AM676" s="13" t="s">
        <v>507</v>
      </c>
      <c r="AP676" s="13" t="s">
        <v>49</v>
      </c>
      <c r="AQ676" s="13" t="s">
        <v>49</v>
      </c>
      <c r="AR676" s="13" t="s">
        <v>49</v>
      </c>
      <c r="AS676" s="13" t="s">
        <v>50</v>
      </c>
      <c r="AT676" s="13" t="s">
        <v>990</v>
      </c>
      <c r="AU676" s="13" t="s">
        <v>998</v>
      </c>
      <c r="AV676" s="14">
        <f>0.24*10</f>
        <v>2.4</v>
      </c>
      <c r="AW676" s="14">
        <f>0.21*10</f>
        <v>2.1</v>
      </c>
      <c r="AX676" s="14">
        <f>Table1347456[[#This Row],[treatment_mean]]/Table1347456[[#This Row],[control_mean]]</f>
        <v>1.1428571428571428</v>
      </c>
      <c r="AY676" s="14">
        <f>LN(Table1347456[[#This Row],[rr]])</f>
        <v>0.13353139262452257</v>
      </c>
      <c r="AZ676" s="13">
        <v>3</v>
      </c>
      <c r="BA676" s="13">
        <v>3</v>
      </c>
      <c r="BB676" s="14" t="s">
        <v>46</v>
      </c>
      <c r="BC676" s="14" t="s">
        <v>46</v>
      </c>
      <c r="BD676" s="15" t="s">
        <v>46</v>
      </c>
      <c r="BE676" s="14" t="s">
        <v>46</v>
      </c>
      <c r="BF67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76" s="17" t="s">
        <v>46</v>
      </c>
      <c r="BH676" s="13" t="s">
        <v>50</v>
      </c>
      <c r="BI676" s="13">
        <v>2.5000000000000001E-2</v>
      </c>
      <c r="BJ676" s="18">
        <f>ABS(_xlfn.NORM.S.INV(Table1347456[[#This Row],[p_value]]/2))</f>
        <v>2.2414027276049446</v>
      </c>
      <c r="BK676" s="19">
        <f>(Table1347456[[#This Row],[lnrr]]/Table1347456[[#This Row],[z_from_p]])^2</f>
        <v>3.5491713290133936E-3</v>
      </c>
      <c r="BL676" s="16">
        <f>Table1347456[[#This Row],[v_from_z_from_p]]</f>
        <v>3.5491713290133936E-3</v>
      </c>
      <c r="BM676" s="20">
        <f>SQRT(Table1347456[[#This Row],[v]])</f>
        <v>5.9574921980757922E-2</v>
      </c>
      <c r="BN676" s="20">
        <f>Table1347456[[#This Row],[lnrr]]-(1.96*Table1347456[[#This Row],[se]])</f>
        <v>1.6764545542237053E-2</v>
      </c>
      <c r="BO676" s="20">
        <f>Table1347456[[#This Row],[lnrr]]+(1.96 * Table1347456[[#This Row],[se]])</f>
        <v>0.25029823970680809</v>
      </c>
    </row>
    <row r="677" spans="1:67">
      <c r="A677" s="13" t="s">
        <v>247</v>
      </c>
      <c r="B677" s="13" t="s">
        <v>248</v>
      </c>
      <c r="C677" s="13" t="s">
        <v>43</v>
      </c>
      <c r="D677" s="13" t="s">
        <v>192</v>
      </c>
      <c r="E677" s="13" t="s">
        <v>249</v>
      </c>
      <c r="F677" s="13" t="s">
        <v>588</v>
      </c>
      <c r="G677" s="13" t="s">
        <v>46</v>
      </c>
      <c r="H677" s="13">
        <v>32</v>
      </c>
      <c r="I677" s="13">
        <v>1300</v>
      </c>
      <c r="K677" s="13" t="s">
        <v>876</v>
      </c>
      <c r="L677" s="13" t="s">
        <v>877</v>
      </c>
      <c r="N677" s="13" t="s">
        <v>213</v>
      </c>
      <c r="O677" s="13" t="s">
        <v>642</v>
      </c>
      <c r="P677" s="13" t="s">
        <v>422</v>
      </c>
      <c r="Q677" s="13" t="s">
        <v>48</v>
      </c>
      <c r="R677" s="4">
        <v>3</v>
      </c>
      <c r="S677" s="13" t="s">
        <v>594</v>
      </c>
      <c r="T677" s="13">
        <v>730</v>
      </c>
      <c r="U677" s="4" t="s">
        <v>147</v>
      </c>
      <c r="V677" s="4">
        <v>580</v>
      </c>
      <c r="W677" s="4" t="s">
        <v>601</v>
      </c>
      <c r="X677" s="4">
        <v>523</v>
      </c>
      <c r="Y677" s="4">
        <v>25</v>
      </c>
      <c r="AA677" s="4" t="s">
        <v>49</v>
      </c>
      <c r="AB677" s="4">
        <v>0</v>
      </c>
      <c r="AC677" s="4" t="s">
        <v>50</v>
      </c>
      <c r="AD677" s="4">
        <v>2.5</v>
      </c>
      <c r="AE677" s="4" t="s">
        <v>49</v>
      </c>
      <c r="AF677" s="4">
        <v>0</v>
      </c>
      <c r="AG677" s="4" t="s">
        <v>710</v>
      </c>
      <c r="AH677" s="4" t="s">
        <v>709</v>
      </c>
      <c r="AI677" s="4" t="s">
        <v>64</v>
      </c>
      <c r="AJ677" s="13">
        <v>0</v>
      </c>
      <c r="AK677" s="13">
        <v>10</v>
      </c>
      <c r="AM677" s="13" t="s">
        <v>507</v>
      </c>
      <c r="AP677" s="13" t="s">
        <v>49</v>
      </c>
      <c r="AQ677" s="13" t="s">
        <v>49</v>
      </c>
      <c r="AR677" s="13" t="s">
        <v>49</v>
      </c>
      <c r="AS677" s="13" t="s">
        <v>50</v>
      </c>
      <c r="AT677" s="13" t="s">
        <v>993</v>
      </c>
      <c r="AU677" s="13" t="s">
        <v>1001</v>
      </c>
      <c r="AV677" s="14">
        <f>0.36*10</f>
        <v>3.5999999999999996</v>
      </c>
      <c r="AW677" s="14">
        <f>0.32*10</f>
        <v>3.2</v>
      </c>
      <c r="AX677" s="14">
        <f>Table1347456[[#This Row],[treatment_mean]]/Table1347456[[#This Row],[control_mean]]</f>
        <v>1.1249999999999998</v>
      </c>
      <c r="AY677" s="14">
        <f>LN(Table1347456[[#This Row],[rr]])</f>
        <v>0.11778303565638326</v>
      </c>
      <c r="AZ677" s="13">
        <v>3</v>
      </c>
      <c r="BA677" s="13">
        <v>3</v>
      </c>
      <c r="BB677" s="14" t="s">
        <v>46</v>
      </c>
      <c r="BC677" s="14" t="s">
        <v>46</v>
      </c>
      <c r="BD677" s="15" t="s">
        <v>46</v>
      </c>
      <c r="BE677" s="14" t="s">
        <v>46</v>
      </c>
      <c r="BF67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77" s="17" t="s">
        <v>46</v>
      </c>
      <c r="BH677" s="13" t="s">
        <v>50</v>
      </c>
      <c r="BI677" s="13">
        <v>2.5000000000000001E-2</v>
      </c>
      <c r="BJ677" s="18">
        <f>ABS(_xlfn.NORM.S.INV(Table1347456[[#This Row],[p_value]]/2))</f>
        <v>2.2414027276049446</v>
      </c>
      <c r="BK677" s="19">
        <f>(Table1347456[[#This Row],[lnrr]]/Table1347456[[#This Row],[z_from_p]])^2</f>
        <v>2.7613769442988646E-3</v>
      </c>
      <c r="BL677" s="16">
        <f>Table1347456[[#This Row],[v_from_z_from_p]]</f>
        <v>2.7613769442988646E-3</v>
      </c>
      <c r="BM677" s="20">
        <f>SQRT(Table1347456[[#This Row],[v]])</f>
        <v>5.25488053555822E-2</v>
      </c>
      <c r="BN677" s="20">
        <f>Table1347456[[#This Row],[lnrr]]-(1.96*Table1347456[[#This Row],[se]])</f>
        <v>1.4787377159442158E-2</v>
      </c>
      <c r="BO677" s="20">
        <f>Table1347456[[#This Row],[lnrr]]+(1.96 * Table1347456[[#This Row],[se]])</f>
        <v>0.22077869415332435</v>
      </c>
    </row>
    <row r="678" spans="1:67">
      <c r="A678" s="13" t="s">
        <v>247</v>
      </c>
      <c r="B678" s="13" t="s">
        <v>248</v>
      </c>
      <c r="C678" s="13" t="s">
        <v>43</v>
      </c>
      <c r="D678" s="13" t="s">
        <v>192</v>
      </c>
      <c r="E678" s="13" t="s">
        <v>249</v>
      </c>
      <c r="F678" s="13" t="s">
        <v>588</v>
      </c>
      <c r="G678" s="13" t="s">
        <v>46</v>
      </c>
      <c r="H678" s="13">
        <v>32</v>
      </c>
      <c r="I678" s="13">
        <v>1300</v>
      </c>
      <c r="K678" s="13" t="s">
        <v>876</v>
      </c>
      <c r="L678" s="13" t="s">
        <v>877</v>
      </c>
      <c r="N678" s="13" t="s">
        <v>213</v>
      </c>
      <c r="O678" s="13" t="s">
        <v>642</v>
      </c>
      <c r="P678" s="13" t="s">
        <v>422</v>
      </c>
      <c r="Q678" s="13" t="s">
        <v>48</v>
      </c>
      <c r="R678" s="4">
        <v>3</v>
      </c>
      <c r="S678" s="13" t="s">
        <v>594</v>
      </c>
      <c r="T678" s="13">
        <v>730</v>
      </c>
      <c r="U678" s="4" t="s">
        <v>147</v>
      </c>
      <c r="V678" s="4">
        <v>580</v>
      </c>
      <c r="W678" s="4" t="s">
        <v>601</v>
      </c>
      <c r="X678" s="4">
        <v>523</v>
      </c>
      <c r="Y678" s="4">
        <v>50</v>
      </c>
      <c r="AA678" s="4" t="s">
        <v>49</v>
      </c>
      <c r="AB678" s="4">
        <v>0</v>
      </c>
      <c r="AC678" s="4" t="s">
        <v>50</v>
      </c>
      <c r="AD678" s="4">
        <v>2.5</v>
      </c>
      <c r="AE678" s="4" t="s">
        <v>49</v>
      </c>
      <c r="AF678" s="4">
        <v>0</v>
      </c>
      <c r="AG678" s="4" t="s">
        <v>710</v>
      </c>
      <c r="AH678" s="4" t="s">
        <v>709</v>
      </c>
      <c r="AI678" s="4" t="s">
        <v>64</v>
      </c>
      <c r="AJ678" s="13">
        <v>0</v>
      </c>
      <c r="AK678" s="13">
        <v>10</v>
      </c>
      <c r="AM678" s="13" t="s">
        <v>507</v>
      </c>
      <c r="AP678" s="13" t="s">
        <v>49</v>
      </c>
      <c r="AQ678" s="13" t="s">
        <v>49</v>
      </c>
      <c r="AR678" s="13" t="s">
        <v>49</v>
      </c>
      <c r="AS678" s="13" t="s">
        <v>50</v>
      </c>
      <c r="AT678" s="13" t="s">
        <v>993</v>
      </c>
      <c r="AU678" s="13" t="s">
        <v>1001</v>
      </c>
      <c r="AV678" s="14">
        <f>0.39*10</f>
        <v>3.9000000000000004</v>
      </c>
      <c r="AW678" s="14">
        <f>0.32*10</f>
        <v>3.2</v>
      </c>
      <c r="AX678" s="14">
        <f>Table1347456[[#This Row],[treatment_mean]]/Table1347456[[#This Row],[control_mean]]</f>
        <v>1.21875</v>
      </c>
      <c r="AY678" s="14">
        <f>LN(Table1347456[[#This Row],[rr]])</f>
        <v>0.19782574332991987</v>
      </c>
      <c r="AZ678" s="13">
        <v>3</v>
      </c>
      <c r="BA678" s="13">
        <v>3</v>
      </c>
      <c r="BB678" s="14" t="s">
        <v>46</v>
      </c>
      <c r="BC678" s="14" t="s">
        <v>46</v>
      </c>
      <c r="BD678" s="15" t="s">
        <v>46</v>
      </c>
      <c r="BE678" s="14" t="s">
        <v>46</v>
      </c>
      <c r="BF67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78" s="17" t="s">
        <v>46</v>
      </c>
      <c r="BH678" s="13" t="s">
        <v>50</v>
      </c>
      <c r="BI678" s="13">
        <v>2.5000000000000001E-2</v>
      </c>
      <c r="BJ678" s="18">
        <f>ABS(_xlfn.NORM.S.INV(Table1347456[[#This Row],[p_value]]/2))</f>
        <v>2.2414027276049446</v>
      </c>
      <c r="BK678" s="19">
        <f>(Table1347456[[#This Row],[lnrr]]/Table1347456[[#This Row],[z_from_p]])^2</f>
        <v>7.7897912621607002E-3</v>
      </c>
      <c r="BL678" s="16">
        <f>Table1347456[[#This Row],[v_from_z_from_p]]</f>
        <v>7.7897912621607002E-3</v>
      </c>
      <c r="BM678" s="20">
        <f>SQRT(Table1347456[[#This Row],[v]])</f>
        <v>8.8259794142977133E-2</v>
      </c>
      <c r="BN678" s="20">
        <f>Table1347456[[#This Row],[lnrr]]-(1.96*Table1347456[[#This Row],[se]])</f>
        <v>2.4836546809684695E-2</v>
      </c>
      <c r="BO678" s="20">
        <f>Table1347456[[#This Row],[lnrr]]+(1.96 * Table1347456[[#This Row],[se]])</f>
        <v>0.37081493985015501</v>
      </c>
    </row>
    <row r="679" spans="1:67">
      <c r="A679" s="13" t="s">
        <v>247</v>
      </c>
      <c r="B679" s="13" t="s">
        <v>248</v>
      </c>
      <c r="C679" s="13" t="s">
        <v>43</v>
      </c>
      <c r="D679" s="13" t="s">
        <v>192</v>
      </c>
      <c r="E679" s="13" t="s">
        <v>249</v>
      </c>
      <c r="F679" s="13" t="s">
        <v>588</v>
      </c>
      <c r="G679" s="13" t="s">
        <v>46</v>
      </c>
      <c r="H679" s="13">
        <v>32</v>
      </c>
      <c r="I679" s="13">
        <v>1300</v>
      </c>
      <c r="K679" s="13" t="s">
        <v>876</v>
      </c>
      <c r="L679" s="13" t="s">
        <v>877</v>
      </c>
      <c r="N679" s="13" t="s">
        <v>213</v>
      </c>
      <c r="O679" s="13" t="s">
        <v>642</v>
      </c>
      <c r="P679" s="13" t="s">
        <v>422</v>
      </c>
      <c r="Q679" s="13" t="s">
        <v>48</v>
      </c>
      <c r="R679" s="4">
        <v>3</v>
      </c>
      <c r="S679" s="13" t="s">
        <v>594</v>
      </c>
      <c r="T679" s="13">
        <v>730</v>
      </c>
      <c r="U679" s="4" t="s">
        <v>147</v>
      </c>
      <c r="V679" s="4">
        <v>580</v>
      </c>
      <c r="W679" s="4" t="s">
        <v>601</v>
      </c>
      <c r="X679" s="4">
        <v>523</v>
      </c>
      <c r="Y679" s="4">
        <v>25</v>
      </c>
      <c r="AA679" s="4" t="s">
        <v>49</v>
      </c>
      <c r="AB679" s="4">
        <v>0</v>
      </c>
      <c r="AC679" s="4" t="s">
        <v>50</v>
      </c>
      <c r="AD679" s="4">
        <v>5</v>
      </c>
      <c r="AE679" s="4" t="s">
        <v>49</v>
      </c>
      <c r="AF679" s="4">
        <v>0</v>
      </c>
      <c r="AG679" s="4" t="s">
        <v>710</v>
      </c>
      <c r="AH679" s="4" t="s">
        <v>709</v>
      </c>
      <c r="AI679" s="4" t="s">
        <v>64</v>
      </c>
      <c r="AJ679" s="13">
        <v>0</v>
      </c>
      <c r="AK679" s="13">
        <v>10</v>
      </c>
      <c r="AM679" s="13" t="s">
        <v>507</v>
      </c>
      <c r="AP679" s="13" t="s">
        <v>49</v>
      </c>
      <c r="AQ679" s="13" t="s">
        <v>49</v>
      </c>
      <c r="AR679" s="13" t="s">
        <v>49</v>
      </c>
      <c r="AS679" s="13" t="s">
        <v>50</v>
      </c>
      <c r="AT679" s="13" t="s">
        <v>993</v>
      </c>
      <c r="AU679" s="13" t="s">
        <v>1001</v>
      </c>
      <c r="AV679" s="14">
        <f>0.43*10</f>
        <v>4.3</v>
      </c>
      <c r="AW679" s="14">
        <f>0.41*10</f>
        <v>4.0999999999999996</v>
      </c>
      <c r="AX679" s="14">
        <f>Table1347456[[#This Row],[treatment_mean]]/Table1347456[[#This Row],[control_mean]]</f>
        <v>1.0487804878048781</v>
      </c>
      <c r="AY679" s="14">
        <f>LN(Table1347456[[#This Row],[rr]])</f>
        <v>4.7628048989254664E-2</v>
      </c>
      <c r="AZ679" s="13">
        <v>3</v>
      </c>
      <c r="BA679" s="13">
        <v>3</v>
      </c>
      <c r="BB679" s="14" t="s">
        <v>46</v>
      </c>
      <c r="BC679" s="14" t="s">
        <v>46</v>
      </c>
      <c r="BD679" s="15" t="s">
        <v>46</v>
      </c>
      <c r="BE679" s="14" t="s">
        <v>46</v>
      </c>
      <c r="BF67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79" s="17" t="s">
        <v>46</v>
      </c>
      <c r="BH679" s="13" t="s">
        <v>50</v>
      </c>
      <c r="BI679" s="13">
        <v>2.5000000000000001E-2</v>
      </c>
      <c r="BJ679" s="18">
        <f>ABS(_xlfn.NORM.S.INV(Table1347456[[#This Row],[p_value]]/2))</f>
        <v>2.2414027276049446</v>
      </c>
      <c r="BK679" s="19">
        <f>(Table1347456[[#This Row],[lnrr]]/Table1347456[[#This Row],[z_from_p]])^2</f>
        <v>4.5152914814243625E-4</v>
      </c>
      <c r="BL679" s="16">
        <f>Table1347456[[#This Row],[v_from_z_from_p]]</f>
        <v>4.5152914814243625E-4</v>
      </c>
      <c r="BM679" s="20">
        <f>SQRT(Table1347456[[#This Row],[v]])</f>
        <v>2.1249215235919567E-2</v>
      </c>
      <c r="BN679" s="20">
        <f>Table1347456[[#This Row],[lnrr]]-(1.96*Table1347456[[#This Row],[se]])</f>
        <v>5.9795871268523149E-3</v>
      </c>
      <c r="BO679" s="20">
        <f>Table1347456[[#This Row],[lnrr]]+(1.96 * Table1347456[[#This Row],[se]])</f>
        <v>8.9276510851657012E-2</v>
      </c>
    </row>
    <row r="680" spans="1:67">
      <c r="A680" s="13" t="s">
        <v>247</v>
      </c>
      <c r="B680" s="13" t="s">
        <v>248</v>
      </c>
      <c r="C680" s="13" t="s">
        <v>43</v>
      </c>
      <c r="D680" s="13" t="s">
        <v>192</v>
      </c>
      <c r="E680" s="13" t="s">
        <v>249</v>
      </c>
      <c r="F680" s="13" t="s">
        <v>588</v>
      </c>
      <c r="G680" s="13" t="s">
        <v>46</v>
      </c>
      <c r="H680" s="13">
        <v>32</v>
      </c>
      <c r="I680" s="13">
        <v>1300</v>
      </c>
      <c r="K680" s="13" t="s">
        <v>876</v>
      </c>
      <c r="L680" s="13" t="s">
        <v>877</v>
      </c>
      <c r="N680" s="13" t="s">
        <v>213</v>
      </c>
      <c r="O680" s="13" t="s">
        <v>642</v>
      </c>
      <c r="P680" s="13" t="s">
        <v>422</v>
      </c>
      <c r="Q680" s="13" t="s">
        <v>48</v>
      </c>
      <c r="R680" s="4">
        <v>3</v>
      </c>
      <c r="S680" s="13" t="s">
        <v>594</v>
      </c>
      <c r="T680" s="13">
        <v>730</v>
      </c>
      <c r="U680" s="4" t="s">
        <v>147</v>
      </c>
      <c r="V680" s="4">
        <v>580</v>
      </c>
      <c r="W680" s="4" t="s">
        <v>601</v>
      </c>
      <c r="X680" s="4">
        <v>523</v>
      </c>
      <c r="Y680" s="4">
        <v>50</v>
      </c>
      <c r="AA680" s="4" t="s">
        <v>49</v>
      </c>
      <c r="AB680" s="4">
        <v>0</v>
      </c>
      <c r="AC680" s="4" t="s">
        <v>50</v>
      </c>
      <c r="AD680" s="4">
        <v>5</v>
      </c>
      <c r="AE680" s="4" t="s">
        <v>49</v>
      </c>
      <c r="AF680" s="4">
        <v>0</v>
      </c>
      <c r="AG680" s="4" t="s">
        <v>710</v>
      </c>
      <c r="AH680" s="4" t="s">
        <v>709</v>
      </c>
      <c r="AI680" s="4" t="s">
        <v>64</v>
      </c>
      <c r="AJ680" s="13">
        <v>0</v>
      </c>
      <c r="AK680" s="13">
        <v>10</v>
      </c>
      <c r="AM680" s="13" t="s">
        <v>507</v>
      </c>
      <c r="AP680" s="13" t="s">
        <v>49</v>
      </c>
      <c r="AQ680" s="13" t="s">
        <v>49</v>
      </c>
      <c r="AR680" s="13" t="s">
        <v>49</v>
      </c>
      <c r="AS680" s="13" t="s">
        <v>50</v>
      </c>
      <c r="AT680" s="13" t="s">
        <v>993</v>
      </c>
      <c r="AU680" s="13" t="s">
        <v>1001</v>
      </c>
      <c r="AV680" s="14">
        <f>0.48*10</f>
        <v>4.8</v>
      </c>
      <c r="AW680" s="14">
        <f>0.41*10</f>
        <v>4.0999999999999996</v>
      </c>
      <c r="AX680" s="14">
        <f>Table1347456[[#This Row],[treatment_mean]]/Table1347456[[#This Row],[control_mean]]</f>
        <v>1.1707317073170733</v>
      </c>
      <c r="AY680" s="14">
        <f>LN(Table1347456[[#This Row],[rr]])</f>
        <v>0.15762894420358325</v>
      </c>
      <c r="AZ680" s="13">
        <v>3</v>
      </c>
      <c r="BA680" s="13">
        <v>3</v>
      </c>
      <c r="BB680" s="14" t="s">
        <v>46</v>
      </c>
      <c r="BC680" s="14" t="s">
        <v>46</v>
      </c>
      <c r="BD680" s="15" t="s">
        <v>46</v>
      </c>
      <c r="BE680" s="14" t="s">
        <v>46</v>
      </c>
      <c r="BF68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80" s="17" t="s">
        <v>46</v>
      </c>
      <c r="BH680" s="13" t="s">
        <v>50</v>
      </c>
      <c r="BI680" s="13">
        <v>2.5000000000000001E-2</v>
      </c>
      <c r="BJ680" s="18">
        <f>ABS(_xlfn.NORM.S.INV(Table1347456[[#This Row],[p_value]]/2))</f>
        <v>2.2414027276049446</v>
      </c>
      <c r="BK680" s="19">
        <f>(Table1347456[[#This Row],[lnrr]]/Table1347456[[#This Row],[z_from_p]])^2</f>
        <v>4.9457497889728811E-3</v>
      </c>
      <c r="BL680" s="16">
        <f>Table1347456[[#This Row],[v_from_z_from_p]]</f>
        <v>4.9457497889728811E-3</v>
      </c>
      <c r="BM680" s="20">
        <f>SQRT(Table1347456[[#This Row],[v]])</f>
        <v>7.0326024976340593E-2</v>
      </c>
      <c r="BN680" s="20">
        <f>Table1347456[[#This Row],[lnrr]]-(1.96*Table1347456[[#This Row],[se]])</f>
        <v>1.9789935249955704E-2</v>
      </c>
      <c r="BO680" s="20">
        <f>Table1347456[[#This Row],[lnrr]]+(1.96 * Table1347456[[#This Row],[se]])</f>
        <v>0.29546795315721081</v>
      </c>
    </row>
    <row r="681" spans="1:67">
      <c r="A681" s="13" t="s">
        <v>247</v>
      </c>
      <c r="B681" s="13" t="s">
        <v>248</v>
      </c>
      <c r="C681" s="13" t="s">
        <v>43</v>
      </c>
      <c r="D681" s="13" t="s">
        <v>192</v>
      </c>
      <c r="E681" s="13" t="s">
        <v>249</v>
      </c>
      <c r="F681" s="13" t="s">
        <v>588</v>
      </c>
      <c r="G681" s="13" t="s">
        <v>46</v>
      </c>
      <c r="H681" s="13">
        <v>32</v>
      </c>
      <c r="I681" s="13">
        <v>1300</v>
      </c>
      <c r="K681" s="13" t="s">
        <v>876</v>
      </c>
      <c r="L681" s="13" t="s">
        <v>877</v>
      </c>
      <c r="N681" s="13" t="s">
        <v>214</v>
      </c>
      <c r="O681" s="13" t="s">
        <v>642</v>
      </c>
      <c r="P681" s="13" t="s">
        <v>422</v>
      </c>
      <c r="Q681" s="13" t="s">
        <v>48</v>
      </c>
      <c r="R681" s="4">
        <v>3</v>
      </c>
      <c r="S681" s="13" t="s">
        <v>594</v>
      </c>
      <c r="T681" s="13">
        <v>730</v>
      </c>
      <c r="U681" s="4" t="s">
        <v>147</v>
      </c>
      <c r="V681" s="4">
        <v>580</v>
      </c>
      <c r="W681" s="4" t="s">
        <v>601</v>
      </c>
      <c r="X681" s="4">
        <v>523</v>
      </c>
      <c r="Y681" s="4">
        <v>25</v>
      </c>
      <c r="AA681" s="4" t="s">
        <v>49</v>
      </c>
      <c r="AB681" s="4">
        <v>0</v>
      </c>
      <c r="AC681" s="4" t="s">
        <v>49</v>
      </c>
      <c r="AD681" s="4">
        <v>0</v>
      </c>
      <c r="AE681" s="4" t="s">
        <v>49</v>
      </c>
      <c r="AF681" s="4">
        <v>0</v>
      </c>
      <c r="AG681" s="4" t="s">
        <v>710</v>
      </c>
      <c r="AH681" s="4" t="s">
        <v>709</v>
      </c>
      <c r="AI681" s="4" t="s">
        <v>64</v>
      </c>
      <c r="AJ681" s="13">
        <v>0</v>
      </c>
      <c r="AK681" s="13">
        <v>10</v>
      </c>
      <c r="AM681" s="13" t="s">
        <v>507</v>
      </c>
      <c r="AP681" s="13" t="s">
        <v>49</v>
      </c>
      <c r="AQ681" s="13" t="s">
        <v>49</v>
      </c>
      <c r="AR681" s="13" t="s">
        <v>49</v>
      </c>
      <c r="AS681" s="13" t="s">
        <v>50</v>
      </c>
      <c r="AT681" s="13" t="s">
        <v>990</v>
      </c>
      <c r="AU681" s="13" t="s">
        <v>998</v>
      </c>
      <c r="AV681" s="14">
        <f>2.26*10</f>
        <v>22.599999999999998</v>
      </c>
      <c r="AW681" s="14">
        <f>2.31*10</f>
        <v>23.1</v>
      </c>
      <c r="AX681" s="14">
        <f>Table1347456[[#This Row],[treatment_mean]]/Table1347456[[#This Row],[control_mean]]</f>
        <v>0.9783549783549782</v>
      </c>
      <c r="AY681" s="14">
        <f>LN(Table1347456[[#This Row],[rr]])</f>
        <v>-2.188271124950782E-2</v>
      </c>
      <c r="AZ681" s="13">
        <v>3</v>
      </c>
      <c r="BA681" s="13">
        <v>3</v>
      </c>
      <c r="BB681" s="14" t="s">
        <v>46</v>
      </c>
      <c r="BC681" s="14" t="s">
        <v>46</v>
      </c>
      <c r="BD681" s="15" t="s">
        <v>46</v>
      </c>
      <c r="BE681" s="14" t="s">
        <v>46</v>
      </c>
      <c r="BF68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81" s="17" t="s">
        <v>46</v>
      </c>
      <c r="BH681" s="13" t="s">
        <v>50</v>
      </c>
      <c r="BI681" s="13">
        <v>2.5000000000000001E-2</v>
      </c>
      <c r="BJ681" s="18">
        <f>ABS(_xlfn.NORM.S.INV(Table1347456[[#This Row],[p_value]]/2))</f>
        <v>2.2414027276049446</v>
      </c>
      <c r="BK681" s="19">
        <f>(Table1347456[[#This Row],[lnrr]]/Table1347456[[#This Row],[z_from_p]])^2</f>
        <v>9.5315266663170256E-5</v>
      </c>
      <c r="BL681" s="16">
        <f>Table1347456[[#This Row],[v_from_z_from_p]]</f>
        <v>9.5315266663170256E-5</v>
      </c>
      <c r="BM681" s="20">
        <f>SQRT(Table1347456[[#This Row],[v]])</f>
        <v>9.7629537878231431E-3</v>
      </c>
      <c r="BN681" s="20">
        <f>Table1347456[[#This Row],[lnrr]]-(1.96*Table1347456[[#This Row],[se]])</f>
        <v>-4.1018100673641179E-2</v>
      </c>
      <c r="BO681" s="20">
        <f>Table1347456[[#This Row],[lnrr]]+(1.96 * Table1347456[[#This Row],[se]])</f>
        <v>-2.7473218253744602E-3</v>
      </c>
    </row>
    <row r="682" spans="1:67">
      <c r="A682" s="13" t="s">
        <v>247</v>
      </c>
      <c r="B682" s="13" t="s">
        <v>248</v>
      </c>
      <c r="C682" s="13" t="s">
        <v>43</v>
      </c>
      <c r="D682" s="13" t="s">
        <v>192</v>
      </c>
      <c r="E682" s="13" t="s">
        <v>249</v>
      </c>
      <c r="F682" s="13" t="s">
        <v>588</v>
      </c>
      <c r="G682" s="13" t="s">
        <v>46</v>
      </c>
      <c r="H682" s="13">
        <v>32</v>
      </c>
      <c r="I682" s="13">
        <v>1300</v>
      </c>
      <c r="K682" s="13" t="s">
        <v>876</v>
      </c>
      <c r="L682" s="13" t="s">
        <v>877</v>
      </c>
      <c r="N682" s="13" t="s">
        <v>214</v>
      </c>
      <c r="O682" s="13" t="s">
        <v>642</v>
      </c>
      <c r="P682" s="13" t="s">
        <v>422</v>
      </c>
      <c r="Q682" s="13" t="s">
        <v>48</v>
      </c>
      <c r="R682" s="4">
        <v>3</v>
      </c>
      <c r="S682" s="13" t="s">
        <v>594</v>
      </c>
      <c r="T682" s="13">
        <v>730</v>
      </c>
      <c r="U682" s="4" t="s">
        <v>147</v>
      </c>
      <c r="V682" s="4">
        <v>580</v>
      </c>
      <c r="W682" s="4" t="s">
        <v>601</v>
      </c>
      <c r="X682" s="4">
        <v>523</v>
      </c>
      <c r="Y682" s="4">
        <v>50</v>
      </c>
      <c r="AA682" s="4" t="s">
        <v>49</v>
      </c>
      <c r="AB682" s="4">
        <v>0</v>
      </c>
      <c r="AC682" s="4" t="s">
        <v>49</v>
      </c>
      <c r="AD682" s="4">
        <v>0</v>
      </c>
      <c r="AE682" s="4" t="s">
        <v>49</v>
      </c>
      <c r="AF682" s="4">
        <v>0</v>
      </c>
      <c r="AG682" s="4" t="s">
        <v>710</v>
      </c>
      <c r="AH682" s="4" t="s">
        <v>709</v>
      </c>
      <c r="AI682" s="4" t="s">
        <v>64</v>
      </c>
      <c r="AJ682" s="13">
        <v>0</v>
      </c>
      <c r="AK682" s="13">
        <v>10</v>
      </c>
      <c r="AM682" s="13" t="s">
        <v>507</v>
      </c>
      <c r="AP682" s="13" t="s">
        <v>49</v>
      </c>
      <c r="AQ682" s="13" t="s">
        <v>49</v>
      </c>
      <c r="AR682" s="13" t="s">
        <v>49</v>
      </c>
      <c r="AS682" s="13" t="s">
        <v>50</v>
      </c>
      <c r="AT682" s="13" t="s">
        <v>990</v>
      </c>
      <c r="AU682" s="13" t="s">
        <v>998</v>
      </c>
      <c r="AV682" s="14">
        <f>2.42*10</f>
        <v>24.2</v>
      </c>
      <c r="AW682" s="14">
        <f>2.31*10</f>
        <v>23.1</v>
      </c>
      <c r="AX682" s="14">
        <f>Table1347456[[#This Row],[treatment_mean]]/Table1347456[[#This Row],[control_mean]]</f>
        <v>1.0476190476190474</v>
      </c>
      <c r="AY682" s="14">
        <f>LN(Table1347456[[#This Row],[rr]])</f>
        <v>4.6520015634892699E-2</v>
      </c>
      <c r="AZ682" s="13">
        <v>3</v>
      </c>
      <c r="BA682" s="13">
        <v>3</v>
      </c>
      <c r="BB682" s="14" t="s">
        <v>46</v>
      </c>
      <c r="BC682" s="14" t="s">
        <v>46</v>
      </c>
      <c r="BD682" s="15" t="s">
        <v>46</v>
      </c>
      <c r="BE682" s="14" t="s">
        <v>46</v>
      </c>
      <c r="BF68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82" s="17" t="s">
        <v>46</v>
      </c>
      <c r="BH682" s="13" t="s">
        <v>50</v>
      </c>
      <c r="BI682" s="13">
        <v>2.5000000000000001E-2</v>
      </c>
      <c r="BJ682" s="18">
        <f>ABS(_xlfn.NORM.S.INV(Table1347456[[#This Row],[p_value]]/2))</f>
        <v>2.2414027276049446</v>
      </c>
      <c r="BK682" s="19">
        <f>(Table1347456[[#This Row],[lnrr]]/Table1347456[[#This Row],[z_from_p]])^2</f>
        <v>4.3076450659550332E-4</v>
      </c>
      <c r="BL682" s="16">
        <f>Table1347456[[#This Row],[v_from_z_from_p]]</f>
        <v>4.3076450659550332E-4</v>
      </c>
      <c r="BM682" s="20">
        <f>SQRT(Table1347456[[#This Row],[v]])</f>
        <v>2.0754867058006016E-2</v>
      </c>
      <c r="BN682" s="20">
        <f>Table1347456[[#This Row],[lnrr]]-(1.96*Table1347456[[#This Row],[se]])</f>
        <v>5.8404762012009073E-3</v>
      </c>
      <c r="BO682" s="20">
        <f>Table1347456[[#This Row],[lnrr]]+(1.96 * Table1347456[[#This Row],[se]])</f>
        <v>8.7199555068584483E-2</v>
      </c>
    </row>
    <row r="683" spans="1:67">
      <c r="A683" s="13" t="s">
        <v>247</v>
      </c>
      <c r="B683" s="13" t="s">
        <v>248</v>
      </c>
      <c r="C683" s="13" t="s">
        <v>43</v>
      </c>
      <c r="D683" s="13" t="s">
        <v>192</v>
      </c>
      <c r="E683" s="13" t="s">
        <v>249</v>
      </c>
      <c r="F683" s="13" t="s">
        <v>588</v>
      </c>
      <c r="G683" s="13" t="s">
        <v>46</v>
      </c>
      <c r="H683" s="13">
        <v>32</v>
      </c>
      <c r="I683" s="13">
        <v>1300</v>
      </c>
      <c r="K683" s="13" t="s">
        <v>876</v>
      </c>
      <c r="L683" s="13" t="s">
        <v>877</v>
      </c>
      <c r="N683" s="13" t="s">
        <v>214</v>
      </c>
      <c r="O683" s="13" t="s">
        <v>642</v>
      </c>
      <c r="P683" s="13" t="s">
        <v>422</v>
      </c>
      <c r="Q683" s="13" t="s">
        <v>48</v>
      </c>
      <c r="R683" s="4">
        <v>3</v>
      </c>
      <c r="S683" s="13" t="s">
        <v>594</v>
      </c>
      <c r="T683" s="13">
        <v>730</v>
      </c>
      <c r="U683" s="4" t="s">
        <v>147</v>
      </c>
      <c r="V683" s="4">
        <v>580</v>
      </c>
      <c r="W683" s="4" t="s">
        <v>601</v>
      </c>
      <c r="X683" s="4">
        <v>523</v>
      </c>
      <c r="Y683" s="4">
        <v>25</v>
      </c>
      <c r="AA683" s="4" t="s">
        <v>49</v>
      </c>
      <c r="AB683" s="4">
        <v>0</v>
      </c>
      <c r="AC683" s="4" t="s">
        <v>50</v>
      </c>
      <c r="AD683" s="4">
        <v>2.5</v>
      </c>
      <c r="AE683" s="4" t="s">
        <v>49</v>
      </c>
      <c r="AF683" s="4">
        <v>0</v>
      </c>
      <c r="AG683" s="4" t="s">
        <v>710</v>
      </c>
      <c r="AH683" s="4" t="s">
        <v>709</v>
      </c>
      <c r="AI683" s="4" t="s">
        <v>64</v>
      </c>
      <c r="AJ683" s="13">
        <v>0</v>
      </c>
      <c r="AK683" s="13">
        <v>10</v>
      </c>
      <c r="AM683" s="13" t="s">
        <v>507</v>
      </c>
      <c r="AP683" s="13" t="s">
        <v>49</v>
      </c>
      <c r="AQ683" s="13" t="s">
        <v>49</v>
      </c>
      <c r="AR683" s="13" t="s">
        <v>49</v>
      </c>
      <c r="AS683" s="13" t="s">
        <v>50</v>
      </c>
      <c r="AT683" s="13" t="s">
        <v>993</v>
      </c>
      <c r="AU683" s="13" t="s">
        <v>1001</v>
      </c>
      <c r="AV683" s="14">
        <f>3.66*10</f>
        <v>36.6</v>
      </c>
      <c r="AW683" s="14">
        <f>3.34*10</f>
        <v>33.4</v>
      </c>
      <c r="AX683" s="14">
        <f>Table1347456[[#This Row],[treatment_mean]]/Table1347456[[#This Row],[control_mean]]</f>
        <v>1.095808383233533</v>
      </c>
      <c r="AY683" s="14">
        <f>LN(Table1347456[[#This Row],[rr]])</f>
        <v>9.1492340424665919E-2</v>
      </c>
      <c r="AZ683" s="13">
        <v>3</v>
      </c>
      <c r="BA683" s="13">
        <v>3</v>
      </c>
      <c r="BB683" s="14" t="s">
        <v>46</v>
      </c>
      <c r="BC683" s="14" t="s">
        <v>46</v>
      </c>
      <c r="BD683" s="15" t="s">
        <v>46</v>
      </c>
      <c r="BE683" s="14" t="s">
        <v>46</v>
      </c>
      <c r="BF68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83" s="17" t="s">
        <v>46</v>
      </c>
      <c r="BH683" s="13" t="s">
        <v>50</v>
      </c>
      <c r="BI683" s="13">
        <v>2.5000000000000001E-2</v>
      </c>
      <c r="BJ683" s="18">
        <f>ABS(_xlfn.NORM.S.INV(Table1347456[[#This Row],[p_value]]/2))</f>
        <v>2.2414027276049446</v>
      </c>
      <c r="BK683" s="19">
        <f>(Table1347456[[#This Row],[lnrr]]/Table1347456[[#This Row],[z_from_p]])^2</f>
        <v>1.6662097914397463E-3</v>
      </c>
      <c r="BL683" s="16">
        <f>Table1347456[[#This Row],[v_from_z_from_p]]</f>
        <v>1.6662097914397463E-3</v>
      </c>
      <c r="BM683" s="20">
        <f>SQRT(Table1347456[[#This Row],[v]])</f>
        <v>4.0819233106952735E-2</v>
      </c>
      <c r="BN683" s="20">
        <f>Table1347456[[#This Row],[lnrr]]-(1.96*Table1347456[[#This Row],[se]])</f>
        <v>1.148664353503856E-2</v>
      </c>
      <c r="BO683" s="20">
        <f>Table1347456[[#This Row],[lnrr]]+(1.96 * Table1347456[[#This Row],[se]])</f>
        <v>0.17149803731429328</v>
      </c>
    </row>
    <row r="684" spans="1:67">
      <c r="A684" s="13" t="s">
        <v>247</v>
      </c>
      <c r="B684" s="13" t="s">
        <v>248</v>
      </c>
      <c r="C684" s="13" t="s">
        <v>43</v>
      </c>
      <c r="D684" s="13" t="s">
        <v>192</v>
      </c>
      <c r="E684" s="13" t="s">
        <v>249</v>
      </c>
      <c r="F684" s="13" t="s">
        <v>588</v>
      </c>
      <c r="G684" s="13" t="s">
        <v>46</v>
      </c>
      <c r="H684" s="13">
        <v>32</v>
      </c>
      <c r="I684" s="13">
        <v>1300</v>
      </c>
      <c r="K684" s="13" t="s">
        <v>876</v>
      </c>
      <c r="L684" s="13" t="s">
        <v>877</v>
      </c>
      <c r="N684" s="13" t="s">
        <v>214</v>
      </c>
      <c r="O684" s="13" t="s">
        <v>642</v>
      </c>
      <c r="P684" s="13" t="s">
        <v>422</v>
      </c>
      <c r="Q684" s="13" t="s">
        <v>48</v>
      </c>
      <c r="R684" s="4">
        <v>3</v>
      </c>
      <c r="S684" s="13" t="s">
        <v>594</v>
      </c>
      <c r="T684" s="13">
        <v>730</v>
      </c>
      <c r="U684" s="4" t="s">
        <v>147</v>
      </c>
      <c r="V684" s="4">
        <v>580</v>
      </c>
      <c r="W684" s="4" t="s">
        <v>601</v>
      </c>
      <c r="X684" s="4">
        <v>523</v>
      </c>
      <c r="Y684" s="4">
        <v>50</v>
      </c>
      <c r="AA684" s="4" t="s">
        <v>49</v>
      </c>
      <c r="AB684" s="4">
        <v>0</v>
      </c>
      <c r="AC684" s="4" t="s">
        <v>50</v>
      </c>
      <c r="AD684" s="4">
        <v>2.5</v>
      </c>
      <c r="AE684" s="4" t="s">
        <v>49</v>
      </c>
      <c r="AF684" s="4">
        <v>0</v>
      </c>
      <c r="AG684" s="4" t="s">
        <v>710</v>
      </c>
      <c r="AH684" s="4" t="s">
        <v>709</v>
      </c>
      <c r="AI684" s="4" t="s">
        <v>64</v>
      </c>
      <c r="AJ684" s="13">
        <v>0</v>
      </c>
      <c r="AK684" s="13">
        <v>10</v>
      </c>
      <c r="AM684" s="13" t="s">
        <v>507</v>
      </c>
      <c r="AP684" s="13" t="s">
        <v>49</v>
      </c>
      <c r="AQ684" s="13" t="s">
        <v>49</v>
      </c>
      <c r="AR684" s="13" t="s">
        <v>49</v>
      </c>
      <c r="AS684" s="13" t="s">
        <v>50</v>
      </c>
      <c r="AT684" s="13" t="s">
        <v>993</v>
      </c>
      <c r="AU684" s="13" t="s">
        <v>1001</v>
      </c>
      <c r="AV684" s="14">
        <f>4.52*10</f>
        <v>45.199999999999996</v>
      </c>
      <c r="AW684" s="14">
        <f>3.34*10</f>
        <v>33.4</v>
      </c>
      <c r="AX684" s="14">
        <f>Table1347456[[#This Row],[treatment_mean]]/Table1347456[[#This Row],[control_mean]]</f>
        <v>1.3532934131736527</v>
      </c>
      <c r="AY684" s="14">
        <f>LN(Table1347456[[#This Row],[rr]])</f>
        <v>0.30254118685553077</v>
      </c>
      <c r="AZ684" s="13">
        <v>3</v>
      </c>
      <c r="BA684" s="13">
        <v>3</v>
      </c>
      <c r="BB684" s="14" t="s">
        <v>46</v>
      </c>
      <c r="BC684" s="14" t="s">
        <v>46</v>
      </c>
      <c r="BD684" s="15" t="s">
        <v>46</v>
      </c>
      <c r="BE684" s="14" t="s">
        <v>46</v>
      </c>
      <c r="BF68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84" s="17" t="s">
        <v>46</v>
      </c>
      <c r="BH684" s="13" t="s">
        <v>50</v>
      </c>
      <c r="BI684" s="13">
        <v>2.5000000000000001E-2</v>
      </c>
      <c r="BJ684" s="18">
        <f>ABS(_xlfn.NORM.S.INV(Table1347456[[#This Row],[p_value]]/2))</f>
        <v>2.2414027276049446</v>
      </c>
      <c r="BK684" s="19">
        <f>(Table1347456[[#This Row],[lnrr]]/Table1347456[[#This Row],[z_from_p]])^2</f>
        <v>1.8219196520626955E-2</v>
      </c>
      <c r="BL684" s="16">
        <f>Table1347456[[#This Row],[v_from_z_from_p]]</f>
        <v>1.8219196520626955E-2</v>
      </c>
      <c r="BM684" s="20">
        <f>SQRT(Table1347456[[#This Row],[v]])</f>
        <v>0.13497850392053898</v>
      </c>
      <c r="BN684" s="20">
        <f>Table1347456[[#This Row],[lnrr]]-(1.96*Table1347456[[#This Row],[se]])</f>
        <v>3.7983319171274399E-2</v>
      </c>
      <c r="BO684" s="20">
        <f>Table1347456[[#This Row],[lnrr]]+(1.96 * Table1347456[[#This Row],[se]])</f>
        <v>0.56709905453978715</v>
      </c>
    </row>
    <row r="685" spans="1:67">
      <c r="A685" s="13" t="s">
        <v>247</v>
      </c>
      <c r="B685" s="13" t="s">
        <v>248</v>
      </c>
      <c r="C685" s="13" t="s">
        <v>43</v>
      </c>
      <c r="D685" s="13" t="s">
        <v>192</v>
      </c>
      <c r="E685" s="13" t="s">
        <v>249</v>
      </c>
      <c r="F685" s="13" t="s">
        <v>588</v>
      </c>
      <c r="G685" s="13" t="s">
        <v>46</v>
      </c>
      <c r="H685" s="13">
        <v>32</v>
      </c>
      <c r="I685" s="13">
        <v>1300</v>
      </c>
      <c r="K685" s="13" t="s">
        <v>876</v>
      </c>
      <c r="L685" s="13" t="s">
        <v>877</v>
      </c>
      <c r="N685" s="13" t="s">
        <v>214</v>
      </c>
      <c r="O685" s="13" t="s">
        <v>642</v>
      </c>
      <c r="P685" s="13" t="s">
        <v>422</v>
      </c>
      <c r="Q685" s="13" t="s">
        <v>48</v>
      </c>
      <c r="R685" s="4">
        <v>3</v>
      </c>
      <c r="S685" s="13" t="s">
        <v>594</v>
      </c>
      <c r="T685" s="13">
        <v>730</v>
      </c>
      <c r="U685" s="4" t="s">
        <v>147</v>
      </c>
      <c r="V685" s="4">
        <v>580</v>
      </c>
      <c r="W685" s="4" t="s">
        <v>601</v>
      </c>
      <c r="X685" s="4">
        <v>523</v>
      </c>
      <c r="Y685" s="4">
        <v>25</v>
      </c>
      <c r="AA685" s="4" t="s">
        <v>49</v>
      </c>
      <c r="AB685" s="4">
        <v>0</v>
      </c>
      <c r="AC685" s="4" t="s">
        <v>50</v>
      </c>
      <c r="AD685" s="4">
        <v>5</v>
      </c>
      <c r="AE685" s="4" t="s">
        <v>49</v>
      </c>
      <c r="AF685" s="4">
        <v>0</v>
      </c>
      <c r="AG685" s="4" t="s">
        <v>710</v>
      </c>
      <c r="AH685" s="4" t="s">
        <v>709</v>
      </c>
      <c r="AI685" s="4" t="s">
        <v>64</v>
      </c>
      <c r="AJ685" s="13">
        <v>0</v>
      </c>
      <c r="AK685" s="13">
        <v>10</v>
      </c>
      <c r="AM685" s="13" t="s">
        <v>507</v>
      </c>
      <c r="AP685" s="13" t="s">
        <v>49</v>
      </c>
      <c r="AQ685" s="13" t="s">
        <v>49</v>
      </c>
      <c r="AR685" s="13" t="s">
        <v>49</v>
      </c>
      <c r="AS685" s="13" t="s">
        <v>50</v>
      </c>
      <c r="AT685" s="13" t="s">
        <v>993</v>
      </c>
      <c r="AU685" s="13" t="s">
        <v>1001</v>
      </c>
      <c r="AV685" s="14">
        <f>4.53*10</f>
        <v>45.300000000000004</v>
      </c>
      <c r="AW685" s="14">
        <f>4.07*10</f>
        <v>40.700000000000003</v>
      </c>
      <c r="AX685" s="14">
        <f>Table1347456[[#This Row],[treatment_mean]]/Table1347456[[#This Row],[control_mean]]</f>
        <v>1.113022113022113</v>
      </c>
      <c r="AY685" s="14">
        <f>LN(Table1347456[[#This Row],[rr]])</f>
        <v>0.10707894004043897</v>
      </c>
      <c r="AZ685" s="13">
        <v>3</v>
      </c>
      <c r="BA685" s="13">
        <v>3</v>
      </c>
      <c r="BB685" s="14" t="s">
        <v>46</v>
      </c>
      <c r="BC685" s="14" t="s">
        <v>46</v>
      </c>
      <c r="BD685" s="15" t="s">
        <v>46</v>
      </c>
      <c r="BE685" s="14" t="s">
        <v>46</v>
      </c>
      <c r="BF68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85" s="17" t="s">
        <v>46</v>
      </c>
      <c r="BH685" s="13" t="s">
        <v>50</v>
      </c>
      <c r="BI685" s="13">
        <v>2.5000000000000001E-2</v>
      </c>
      <c r="BJ685" s="18">
        <f>ABS(_xlfn.NORM.S.INV(Table1347456[[#This Row],[p_value]]/2))</f>
        <v>2.2414027276049446</v>
      </c>
      <c r="BK685" s="19">
        <f>(Table1347456[[#This Row],[lnrr]]/Table1347456[[#This Row],[z_from_p]])^2</f>
        <v>2.2822769013228976E-3</v>
      </c>
      <c r="BL685" s="16">
        <f>Table1347456[[#This Row],[v_from_z_from_p]]</f>
        <v>2.2822769013228976E-3</v>
      </c>
      <c r="BM685" s="20">
        <f>SQRT(Table1347456[[#This Row],[v]])</f>
        <v>4.7773181821215316E-2</v>
      </c>
      <c r="BN685" s="20">
        <f>Table1347456[[#This Row],[lnrr]]-(1.96*Table1347456[[#This Row],[se]])</f>
        <v>1.3443503670856949E-2</v>
      </c>
      <c r="BO685" s="20">
        <f>Table1347456[[#This Row],[lnrr]]+(1.96 * Table1347456[[#This Row],[se]])</f>
        <v>0.20071437641002099</v>
      </c>
    </row>
    <row r="686" spans="1:67">
      <c r="A686" s="13" t="s">
        <v>247</v>
      </c>
      <c r="B686" s="13" t="s">
        <v>248</v>
      </c>
      <c r="C686" s="13" t="s">
        <v>43</v>
      </c>
      <c r="D686" s="13" t="s">
        <v>192</v>
      </c>
      <c r="E686" s="13" t="s">
        <v>249</v>
      </c>
      <c r="F686" s="13" t="s">
        <v>588</v>
      </c>
      <c r="G686" s="13" t="s">
        <v>46</v>
      </c>
      <c r="H686" s="13">
        <v>32</v>
      </c>
      <c r="I686" s="13">
        <v>1300</v>
      </c>
      <c r="K686" s="13" t="s">
        <v>876</v>
      </c>
      <c r="L686" s="13" t="s">
        <v>877</v>
      </c>
      <c r="N686" s="13" t="s">
        <v>214</v>
      </c>
      <c r="O686" s="13" t="s">
        <v>642</v>
      </c>
      <c r="P686" s="13" t="s">
        <v>422</v>
      </c>
      <c r="Q686" s="13" t="s">
        <v>48</v>
      </c>
      <c r="R686" s="4">
        <v>3</v>
      </c>
      <c r="S686" s="13" t="s">
        <v>594</v>
      </c>
      <c r="T686" s="13">
        <v>730</v>
      </c>
      <c r="U686" s="4" t="s">
        <v>147</v>
      </c>
      <c r="V686" s="4">
        <v>580</v>
      </c>
      <c r="W686" s="4" t="s">
        <v>601</v>
      </c>
      <c r="X686" s="4">
        <v>523</v>
      </c>
      <c r="Y686" s="4">
        <v>50</v>
      </c>
      <c r="AA686" s="4" t="s">
        <v>49</v>
      </c>
      <c r="AB686" s="4">
        <v>0</v>
      </c>
      <c r="AC686" s="4" t="s">
        <v>50</v>
      </c>
      <c r="AD686" s="4">
        <v>5</v>
      </c>
      <c r="AE686" s="4" t="s">
        <v>49</v>
      </c>
      <c r="AF686" s="4">
        <v>0</v>
      </c>
      <c r="AG686" s="4" t="s">
        <v>710</v>
      </c>
      <c r="AH686" s="4" t="s">
        <v>709</v>
      </c>
      <c r="AI686" s="4" t="s">
        <v>64</v>
      </c>
      <c r="AJ686" s="13">
        <v>0</v>
      </c>
      <c r="AK686" s="13">
        <v>10</v>
      </c>
      <c r="AM686" s="13" t="s">
        <v>507</v>
      </c>
      <c r="AP686" s="13" t="s">
        <v>49</v>
      </c>
      <c r="AQ686" s="13" t="s">
        <v>49</v>
      </c>
      <c r="AR686" s="13" t="s">
        <v>49</v>
      </c>
      <c r="AS686" s="13" t="s">
        <v>50</v>
      </c>
      <c r="AT686" s="13" t="s">
        <v>993</v>
      </c>
      <c r="AU686" s="13" t="s">
        <v>1001</v>
      </c>
      <c r="AV686" s="14">
        <f>5.13*10</f>
        <v>51.3</v>
      </c>
      <c r="AW686" s="14">
        <f>4.07*10</f>
        <v>40.700000000000003</v>
      </c>
      <c r="AX686" s="14">
        <f>Table1347456[[#This Row],[treatment_mean]]/Table1347456[[#This Row],[control_mean]]</f>
        <v>1.2604422604422603</v>
      </c>
      <c r="AY686" s="14">
        <f>LN(Table1347456[[#This Row],[rr]])</f>
        <v>0.2314626597281744</v>
      </c>
      <c r="AZ686" s="13">
        <v>3</v>
      </c>
      <c r="BA686" s="13">
        <v>3</v>
      </c>
      <c r="BB686" s="14" t="s">
        <v>46</v>
      </c>
      <c r="BC686" s="14" t="s">
        <v>46</v>
      </c>
      <c r="BD686" s="15" t="s">
        <v>46</v>
      </c>
      <c r="BE686" s="14" t="s">
        <v>46</v>
      </c>
      <c r="BF68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686" s="17" t="s">
        <v>46</v>
      </c>
      <c r="BH686" s="13" t="s">
        <v>50</v>
      </c>
      <c r="BI686" s="13">
        <v>2.5000000000000001E-2</v>
      </c>
      <c r="BJ686" s="18">
        <f>ABS(_xlfn.NORM.S.INV(Table1347456[[#This Row],[p_value]]/2))</f>
        <v>2.2414027276049446</v>
      </c>
      <c r="BK686" s="19">
        <f>(Table1347456[[#This Row],[lnrr]]/Table1347456[[#This Row],[z_from_p]])^2</f>
        <v>1.0664047880645728E-2</v>
      </c>
      <c r="BL686" s="16">
        <f>Table1347456[[#This Row],[v_from_z_from_p]]</f>
        <v>1.0664047880645728E-2</v>
      </c>
      <c r="BM686" s="20">
        <f>SQRT(Table1347456[[#This Row],[v]])</f>
        <v>0.10326687697730443</v>
      </c>
      <c r="BN686" s="20">
        <f>Table1347456[[#This Row],[lnrr]]-(1.96*Table1347456[[#This Row],[se]])</f>
        <v>2.9059580852657724E-2</v>
      </c>
      <c r="BO686" s="20">
        <f>Table1347456[[#This Row],[lnrr]]+(1.96 * Table1347456[[#This Row],[se]])</f>
        <v>0.43386573860369104</v>
      </c>
    </row>
    <row r="687" spans="1:67">
      <c r="A687" s="13" t="s">
        <v>250</v>
      </c>
      <c r="B687" s="13" t="s">
        <v>251</v>
      </c>
      <c r="C687" s="13" t="s">
        <v>43</v>
      </c>
      <c r="D687" s="13" t="s">
        <v>252</v>
      </c>
      <c r="E687" s="13" t="s">
        <v>253</v>
      </c>
      <c r="F687" s="13" t="s">
        <v>586</v>
      </c>
      <c r="G687" s="13" t="s">
        <v>46</v>
      </c>
      <c r="H687" s="13">
        <v>29.3</v>
      </c>
      <c r="I687" s="13" t="s">
        <v>46</v>
      </c>
      <c r="K687" s="13" t="s">
        <v>878</v>
      </c>
      <c r="L687" s="13" t="s">
        <v>879</v>
      </c>
      <c r="N687" s="13" t="s">
        <v>122</v>
      </c>
      <c r="O687" s="13" t="s">
        <v>645</v>
      </c>
      <c r="P687" s="13" t="s">
        <v>48</v>
      </c>
      <c r="Q687" s="13" t="s">
        <v>48</v>
      </c>
      <c r="R687" s="4">
        <v>7</v>
      </c>
      <c r="S687" s="13" t="s">
        <v>596</v>
      </c>
      <c r="T687" s="13">
        <v>90</v>
      </c>
      <c r="U687" s="4" t="s">
        <v>186</v>
      </c>
      <c r="V687" s="4">
        <v>500</v>
      </c>
      <c r="W687" s="4" t="s">
        <v>601</v>
      </c>
      <c r="X687" s="4">
        <v>731.57</v>
      </c>
      <c r="Y687" s="4">
        <v>10</v>
      </c>
      <c r="AA687" s="4" t="s">
        <v>49</v>
      </c>
      <c r="AB687" s="4">
        <v>0</v>
      </c>
      <c r="AC687" s="4" t="s">
        <v>49</v>
      </c>
      <c r="AD687" s="4">
        <v>0</v>
      </c>
      <c r="AE687" s="4" t="s">
        <v>49</v>
      </c>
      <c r="AF687" s="4">
        <v>0</v>
      </c>
      <c r="AG687" s="4" t="s">
        <v>731</v>
      </c>
      <c r="AH687" s="4" t="s">
        <v>791</v>
      </c>
      <c r="AI687" s="4" t="s">
        <v>64</v>
      </c>
      <c r="AJ687" s="13">
        <v>0</v>
      </c>
      <c r="AK687" s="13">
        <v>15</v>
      </c>
      <c r="AN687" s="13" t="s">
        <v>518</v>
      </c>
      <c r="AO687" s="13" t="s">
        <v>519</v>
      </c>
      <c r="AP687" s="13" t="s">
        <v>49</v>
      </c>
      <c r="AQ687" s="13" t="s">
        <v>49</v>
      </c>
      <c r="AR687" s="13" t="s">
        <v>49</v>
      </c>
      <c r="AS687" s="13" t="s">
        <v>49</v>
      </c>
      <c r="AT687" s="13" t="s">
        <v>990</v>
      </c>
      <c r="AU687" s="13" t="s">
        <v>998</v>
      </c>
      <c r="AV687" s="14">
        <v>1.52</v>
      </c>
      <c r="AW687" s="14">
        <v>1.69</v>
      </c>
      <c r="AX687" s="14">
        <f>Table1347456[[#This Row],[treatment_mean]]/Table1347456[[#This Row],[control_mean]]</f>
        <v>0.89940828402366868</v>
      </c>
      <c r="AY687" s="14">
        <f>LN(Table1347456[[#This Row],[rr]])</f>
        <v>-0.10601819407679704</v>
      </c>
      <c r="AZ687" s="13">
        <v>3</v>
      </c>
      <c r="BA687" s="13">
        <v>3</v>
      </c>
      <c r="BB687" s="14">
        <v>0.12</v>
      </c>
      <c r="BC687" s="14">
        <v>0.06</v>
      </c>
      <c r="BD687" s="15">
        <f>Table1347456[[#This Row],[treatment_se]]*SQRT(Table1347456[[#This Row],[treatment_n]])</f>
        <v>0.20784609690826525</v>
      </c>
      <c r="BE687" s="14">
        <f>Table1347456[[#This Row],[control_se]]*SQRT(Table1347456[[#This Row],[control_n]])</f>
        <v>0.10392304845413262</v>
      </c>
      <c r="BF68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7.4931470485342083E-3</v>
      </c>
      <c r="BG687" s="17">
        <f>SQRT(Table1347456[[#This Row],[v_from_sd_and_n]])</f>
        <v>8.6562965802554431E-2</v>
      </c>
      <c r="BH687" s="13" t="s">
        <v>49</v>
      </c>
      <c r="BI687" s="13">
        <v>0.52500000000000002</v>
      </c>
      <c r="BJ687" s="18">
        <f>ABS(_xlfn.NORM.S.INV(Table1347456[[#This Row],[p_value]]/2))</f>
        <v>0.63565701369758276</v>
      </c>
      <c r="BK687" s="19">
        <f>(Table1347456[[#This Row],[lnrr]]/Table1347456[[#This Row],[z_from_p]])^2</f>
        <v>2.7817309192054818E-2</v>
      </c>
      <c r="BL687" s="16">
        <f>Table1347456[[#This Row],[v_from_sd_and_n]]</f>
        <v>7.4931470485342083E-3</v>
      </c>
      <c r="BM687" s="20">
        <f>SQRT(Table1347456[[#This Row],[v]])</f>
        <v>8.6562965802554431E-2</v>
      </c>
      <c r="BN687" s="20">
        <f>Table1347456[[#This Row],[lnrr]]-(1.96*Table1347456[[#This Row],[se]])</f>
        <v>-0.27568160704980371</v>
      </c>
      <c r="BO687" s="20">
        <f>Table1347456[[#This Row],[lnrr]]+(1.96 * Table1347456[[#This Row],[se]])</f>
        <v>6.3645218896209652E-2</v>
      </c>
    </row>
    <row r="688" spans="1:67">
      <c r="A688" s="13" t="s">
        <v>250</v>
      </c>
      <c r="B688" s="13" t="s">
        <v>251</v>
      </c>
      <c r="C688" s="13" t="s">
        <v>43</v>
      </c>
      <c r="D688" s="13" t="s">
        <v>252</v>
      </c>
      <c r="E688" s="13" t="s">
        <v>253</v>
      </c>
      <c r="F688" s="13" t="s">
        <v>586</v>
      </c>
      <c r="G688" s="13" t="s">
        <v>46</v>
      </c>
      <c r="H688" s="13">
        <v>29.3</v>
      </c>
      <c r="I688" s="13" t="s">
        <v>46</v>
      </c>
      <c r="K688" s="13" t="s">
        <v>878</v>
      </c>
      <c r="L688" s="13" t="s">
        <v>879</v>
      </c>
      <c r="N688" s="13" t="s">
        <v>122</v>
      </c>
      <c r="O688" s="13" t="s">
        <v>645</v>
      </c>
      <c r="P688" s="13" t="s">
        <v>48</v>
      </c>
      <c r="Q688" s="13" t="s">
        <v>48</v>
      </c>
      <c r="R688" s="4">
        <v>7</v>
      </c>
      <c r="S688" s="13" t="s">
        <v>596</v>
      </c>
      <c r="T688" s="13">
        <v>90</v>
      </c>
      <c r="U688" s="4" t="s">
        <v>186</v>
      </c>
      <c r="V688" s="4">
        <v>500</v>
      </c>
      <c r="W688" s="4" t="s">
        <v>601</v>
      </c>
      <c r="X688" s="4">
        <v>731.57</v>
      </c>
      <c r="Y688" s="4">
        <v>20</v>
      </c>
      <c r="AA688" s="4" t="s">
        <v>49</v>
      </c>
      <c r="AB688" s="4">
        <v>0</v>
      </c>
      <c r="AC688" s="4" t="s">
        <v>49</v>
      </c>
      <c r="AD688" s="4">
        <v>0</v>
      </c>
      <c r="AE688" s="4" t="s">
        <v>49</v>
      </c>
      <c r="AF688" s="4">
        <v>0</v>
      </c>
      <c r="AG688" s="4" t="s">
        <v>731</v>
      </c>
      <c r="AH688" s="4" t="s">
        <v>791</v>
      </c>
      <c r="AI688" s="4" t="s">
        <v>64</v>
      </c>
      <c r="AJ688" s="13">
        <v>0</v>
      </c>
      <c r="AK688" s="13">
        <v>15</v>
      </c>
      <c r="AN688" s="13" t="s">
        <v>518</v>
      </c>
      <c r="AO688" s="13" t="s">
        <v>519</v>
      </c>
      <c r="AP688" s="13" t="s">
        <v>49</v>
      </c>
      <c r="AQ688" s="13" t="s">
        <v>49</v>
      </c>
      <c r="AR688" s="13" t="s">
        <v>49</v>
      </c>
      <c r="AS688" s="13" t="s">
        <v>49</v>
      </c>
      <c r="AT688" s="13" t="s">
        <v>990</v>
      </c>
      <c r="AU688" s="13" t="s">
        <v>998</v>
      </c>
      <c r="AV688" s="14">
        <v>1.75</v>
      </c>
      <c r="AW688" s="14">
        <v>1.69</v>
      </c>
      <c r="AX688" s="14">
        <f>Table1347456[[#This Row],[treatment_mean]]/Table1347456[[#This Row],[control_mean]]</f>
        <v>1.0355029585798816</v>
      </c>
      <c r="AY688" s="14">
        <f>LN(Table1347456[[#This Row],[rr]])</f>
        <v>3.488725900044054E-2</v>
      </c>
      <c r="AZ688" s="13">
        <v>3</v>
      </c>
      <c r="BA688" s="13">
        <v>3</v>
      </c>
      <c r="BB688" s="14">
        <v>7.0000000000000007E-2</v>
      </c>
      <c r="BC688" s="14">
        <v>0.06</v>
      </c>
      <c r="BD688" s="15">
        <f>Table1347456[[#This Row],[treatment_se]]*SQRT(Table1347456[[#This Row],[treatment_n]])</f>
        <v>0.12124355652982141</v>
      </c>
      <c r="BE688" s="14">
        <f>Table1347456[[#This Row],[control_se]]*SQRT(Table1347456[[#This Row],[control_n]])</f>
        <v>0.10392304845413262</v>
      </c>
      <c r="BF68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2.8604600679247921E-3</v>
      </c>
      <c r="BG688" s="17">
        <f>SQRT(Table1347456[[#This Row],[v_from_sd_and_n]])</f>
        <v>5.3483269046728919E-2</v>
      </c>
      <c r="BH688" s="13" t="s">
        <v>49</v>
      </c>
      <c r="BI688" s="13">
        <v>0.52500000000000002</v>
      </c>
      <c r="BJ688" s="18">
        <f>ABS(_xlfn.NORM.S.INV(Table1347456[[#This Row],[p_value]]/2))</f>
        <v>0.63565701369758276</v>
      </c>
      <c r="BK688" s="19">
        <f>(Table1347456[[#This Row],[lnrr]]/Table1347456[[#This Row],[z_from_p]])^2</f>
        <v>3.0122291871087516E-3</v>
      </c>
      <c r="BL688" s="16">
        <f>Table1347456[[#This Row],[v_from_sd_and_n]]</f>
        <v>2.8604600679247921E-3</v>
      </c>
      <c r="BM688" s="20">
        <f>SQRT(Table1347456[[#This Row],[v]])</f>
        <v>5.3483269046728919E-2</v>
      </c>
      <c r="BN688" s="20">
        <f>Table1347456[[#This Row],[lnrr]]-(1.96*Table1347456[[#This Row],[se]])</f>
        <v>-6.9939948331148138E-2</v>
      </c>
      <c r="BO688" s="20">
        <f>Table1347456[[#This Row],[lnrr]]+(1.96 * Table1347456[[#This Row],[se]])</f>
        <v>0.13971446633202922</v>
      </c>
    </row>
    <row r="689" spans="1:67">
      <c r="A689" s="13" t="s">
        <v>250</v>
      </c>
      <c r="B689" s="13" t="s">
        <v>251</v>
      </c>
      <c r="C689" s="13" t="s">
        <v>43</v>
      </c>
      <c r="D689" s="13" t="s">
        <v>252</v>
      </c>
      <c r="E689" s="13" t="s">
        <v>253</v>
      </c>
      <c r="F689" s="13" t="s">
        <v>586</v>
      </c>
      <c r="G689" s="13" t="s">
        <v>46</v>
      </c>
      <c r="H689" s="13">
        <v>29.3</v>
      </c>
      <c r="I689" s="13" t="s">
        <v>46</v>
      </c>
      <c r="K689" s="13" t="s">
        <v>878</v>
      </c>
      <c r="L689" s="13" t="s">
        <v>879</v>
      </c>
      <c r="N689" s="13" t="s">
        <v>122</v>
      </c>
      <c r="O689" s="13" t="s">
        <v>645</v>
      </c>
      <c r="P689" s="13" t="s">
        <v>48</v>
      </c>
      <c r="Q689" s="13" t="s">
        <v>48</v>
      </c>
      <c r="R689" s="4">
        <v>7</v>
      </c>
      <c r="S689" s="13" t="s">
        <v>596</v>
      </c>
      <c r="T689" s="13">
        <v>90</v>
      </c>
      <c r="U689" s="4" t="s">
        <v>186</v>
      </c>
      <c r="V689" s="4">
        <v>500</v>
      </c>
      <c r="W689" s="4" t="s">
        <v>601</v>
      </c>
      <c r="X689" s="4">
        <v>731.57</v>
      </c>
      <c r="Y689" s="4">
        <v>30</v>
      </c>
      <c r="AA689" s="4" t="s">
        <v>49</v>
      </c>
      <c r="AB689" s="4">
        <v>0</v>
      </c>
      <c r="AC689" s="4" t="s">
        <v>49</v>
      </c>
      <c r="AD689" s="4">
        <v>0</v>
      </c>
      <c r="AE689" s="4" t="s">
        <v>49</v>
      </c>
      <c r="AF689" s="4">
        <v>0</v>
      </c>
      <c r="AG689" s="4" t="s">
        <v>731</v>
      </c>
      <c r="AH689" s="4" t="s">
        <v>791</v>
      </c>
      <c r="AI689" s="4" t="s">
        <v>64</v>
      </c>
      <c r="AJ689" s="13">
        <v>0</v>
      </c>
      <c r="AK689" s="13">
        <v>15</v>
      </c>
      <c r="AN689" s="13" t="s">
        <v>518</v>
      </c>
      <c r="AO689" s="13" t="s">
        <v>519</v>
      </c>
      <c r="AP689" s="13" t="s">
        <v>49</v>
      </c>
      <c r="AQ689" s="13" t="s">
        <v>49</v>
      </c>
      <c r="AR689" s="13" t="s">
        <v>49</v>
      </c>
      <c r="AS689" s="13" t="s">
        <v>49</v>
      </c>
      <c r="AT689" s="13" t="s">
        <v>990</v>
      </c>
      <c r="AU689" s="13" t="s">
        <v>998</v>
      </c>
      <c r="AV689" s="14">
        <v>1.78</v>
      </c>
      <c r="AW689" s="14">
        <v>1.69</v>
      </c>
      <c r="AX689" s="14">
        <f>Table1347456[[#This Row],[treatment_mean]]/Table1347456[[#This Row],[control_mean]]</f>
        <v>1.0532544378698225</v>
      </c>
      <c r="AY689" s="14">
        <f>LN(Table1347456[[#This Row],[rr]])</f>
        <v>5.1884835369011721E-2</v>
      </c>
      <c r="AZ689" s="13">
        <v>3</v>
      </c>
      <c r="BA689" s="13">
        <v>3</v>
      </c>
      <c r="BB689" s="14">
        <v>0.08</v>
      </c>
      <c r="BC689" s="14">
        <v>0.06</v>
      </c>
      <c r="BD689" s="15">
        <f>Table1347456[[#This Row],[treatment_se]]*SQRT(Table1347456[[#This Row],[treatment_n]])</f>
        <v>0.13856406460551018</v>
      </c>
      <c r="BE689" s="14">
        <f>Table1347456[[#This Row],[control_se]]*SQRT(Table1347456[[#This Row],[control_n]])</f>
        <v>0.10392304845413262</v>
      </c>
      <c r="BF68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3.2804070443166623E-3</v>
      </c>
      <c r="BG689" s="17">
        <f>SQRT(Table1347456[[#This Row],[v_from_sd_and_n]])</f>
        <v>5.7274837793892197E-2</v>
      </c>
      <c r="BH689" s="13" t="s">
        <v>49</v>
      </c>
      <c r="BI689" s="13">
        <v>0.52500000000000002</v>
      </c>
      <c r="BJ689" s="18">
        <f>ABS(_xlfn.NORM.S.INV(Table1347456[[#This Row],[p_value]]/2))</f>
        <v>0.63565701369758276</v>
      </c>
      <c r="BK689" s="19">
        <f>(Table1347456[[#This Row],[lnrr]]/Table1347456[[#This Row],[z_from_p]])^2</f>
        <v>6.662468973686316E-3</v>
      </c>
      <c r="BL689" s="16">
        <f>Table1347456[[#This Row],[v_from_sd_and_n]]</f>
        <v>3.2804070443166623E-3</v>
      </c>
      <c r="BM689" s="20">
        <f>SQRT(Table1347456[[#This Row],[v]])</f>
        <v>5.7274837793892197E-2</v>
      </c>
      <c r="BN689" s="20">
        <f>Table1347456[[#This Row],[lnrr]]-(1.96*Table1347456[[#This Row],[se]])</f>
        <v>-6.0373846707016988E-2</v>
      </c>
      <c r="BO689" s="20">
        <f>Table1347456[[#This Row],[lnrr]]+(1.96 * Table1347456[[#This Row],[se]])</f>
        <v>0.16414351744504044</v>
      </c>
    </row>
    <row r="690" spans="1:67">
      <c r="A690" s="13" t="s">
        <v>250</v>
      </c>
      <c r="B690" s="13" t="s">
        <v>251</v>
      </c>
      <c r="C690" s="13" t="s">
        <v>43</v>
      </c>
      <c r="D690" s="13" t="s">
        <v>252</v>
      </c>
      <c r="E690" s="13" t="s">
        <v>253</v>
      </c>
      <c r="F690" s="13" t="s">
        <v>586</v>
      </c>
      <c r="G690" s="13" t="s">
        <v>46</v>
      </c>
      <c r="H690" s="13">
        <v>29.3</v>
      </c>
      <c r="I690" s="13" t="s">
        <v>46</v>
      </c>
      <c r="K690" s="13" t="s">
        <v>878</v>
      </c>
      <c r="L690" s="13" t="s">
        <v>879</v>
      </c>
      <c r="N690" s="13" t="s">
        <v>122</v>
      </c>
      <c r="O690" s="13" t="s">
        <v>645</v>
      </c>
      <c r="P690" s="13" t="s">
        <v>48</v>
      </c>
      <c r="Q690" s="13" t="s">
        <v>48</v>
      </c>
      <c r="R690" s="4">
        <v>7</v>
      </c>
      <c r="S690" s="13" t="s">
        <v>596</v>
      </c>
      <c r="T690" s="13">
        <v>90</v>
      </c>
      <c r="U690" s="4" t="s">
        <v>254</v>
      </c>
      <c r="V690" s="4">
        <v>500</v>
      </c>
      <c r="W690" s="4" t="s">
        <v>601</v>
      </c>
      <c r="X690" s="4">
        <v>521.66</v>
      </c>
      <c r="Y690" s="4">
        <v>10</v>
      </c>
      <c r="AA690" s="4" t="s">
        <v>49</v>
      </c>
      <c r="AB690" s="4">
        <v>0</v>
      </c>
      <c r="AC690" s="4" t="s">
        <v>49</v>
      </c>
      <c r="AD690" s="4">
        <v>0</v>
      </c>
      <c r="AE690" s="4" t="s">
        <v>49</v>
      </c>
      <c r="AF690" s="4">
        <v>0</v>
      </c>
      <c r="AG690" s="4" t="s">
        <v>762</v>
      </c>
      <c r="AH690" s="4" t="s">
        <v>791</v>
      </c>
      <c r="AI690" s="4" t="s">
        <v>64</v>
      </c>
      <c r="AJ690" s="13">
        <v>0</v>
      </c>
      <c r="AK690" s="13">
        <v>15</v>
      </c>
      <c r="AN690" s="13" t="s">
        <v>518</v>
      </c>
      <c r="AO690" s="13" t="s">
        <v>519</v>
      </c>
      <c r="AP690" s="13" t="s">
        <v>49</v>
      </c>
      <c r="AQ690" s="13" t="s">
        <v>49</v>
      </c>
      <c r="AR690" s="13" t="s">
        <v>49</v>
      </c>
      <c r="AS690" s="13" t="s">
        <v>49</v>
      </c>
      <c r="AT690" s="13" t="s">
        <v>990</v>
      </c>
      <c r="AU690" s="13" t="s">
        <v>998</v>
      </c>
      <c r="AV690" s="14">
        <v>1.79</v>
      </c>
      <c r="AW690" s="14">
        <v>1.69</v>
      </c>
      <c r="AX690" s="14">
        <f>Table1347456[[#This Row],[treatment_mean]]/Table1347456[[#This Row],[control_mean]]</f>
        <v>1.0591715976331362</v>
      </c>
      <c r="AY690" s="14">
        <f>LN(Table1347456[[#This Row],[rr]])</f>
        <v>5.7487090917681602E-2</v>
      </c>
      <c r="AZ690" s="13">
        <v>3</v>
      </c>
      <c r="BA690" s="13">
        <v>3</v>
      </c>
      <c r="BB690" s="14">
        <v>0.09</v>
      </c>
      <c r="BC690" s="14">
        <v>0.06</v>
      </c>
      <c r="BD690" s="15">
        <f>Table1347456[[#This Row],[treatment_se]]*SQRT(Table1347456[[#This Row],[treatment_n]])</f>
        <v>0.15588457268119893</v>
      </c>
      <c r="BE690" s="14">
        <f>Table1347456[[#This Row],[control_se]]*SQRT(Table1347456[[#This Row],[control_n]])</f>
        <v>0.10392304845413262</v>
      </c>
      <c r="BF69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3.7884710538490761E-3</v>
      </c>
      <c r="BG690" s="17">
        <f>SQRT(Table1347456[[#This Row],[v_from_sd_and_n]])</f>
        <v>6.1550556893086486E-2</v>
      </c>
      <c r="BH690" s="13" t="s">
        <v>49</v>
      </c>
      <c r="BI690" s="13">
        <v>0.52500000000000002</v>
      </c>
      <c r="BJ690" s="18">
        <f>ABS(_xlfn.NORM.S.INV(Table1347456[[#This Row],[p_value]]/2))</f>
        <v>0.63565701369758276</v>
      </c>
      <c r="BK690" s="19">
        <f>(Table1347456[[#This Row],[lnrr]]/Table1347456[[#This Row],[z_from_p]])^2</f>
        <v>8.1789014959813937E-3</v>
      </c>
      <c r="BL690" s="16">
        <f>Table1347456[[#This Row],[v_from_sd_and_n]]</f>
        <v>3.7884710538490761E-3</v>
      </c>
      <c r="BM690" s="20">
        <f>SQRT(Table1347456[[#This Row],[v]])</f>
        <v>6.1550556893086486E-2</v>
      </c>
      <c r="BN690" s="20">
        <f>Table1347456[[#This Row],[lnrr]]-(1.96*Table1347456[[#This Row],[se]])</f>
        <v>-6.3152000592767904E-2</v>
      </c>
      <c r="BO690" s="20">
        <f>Table1347456[[#This Row],[lnrr]]+(1.96 * Table1347456[[#This Row],[se]])</f>
        <v>0.17812618242813111</v>
      </c>
    </row>
    <row r="691" spans="1:67">
      <c r="A691" s="13" t="s">
        <v>250</v>
      </c>
      <c r="B691" s="13" t="s">
        <v>251</v>
      </c>
      <c r="C691" s="13" t="s">
        <v>43</v>
      </c>
      <c r="D691" s="13" t="s">
        <v>252</v>
      </c>
      <c r="E691" s="13" t="s">
        <v>253</v>
      </c>
      <c r="F691" s="13" t="s">
        <v>586</v>
      </c>
      <c r="G691" s="13" t="s">
        <v>46</v>
      </c>
      <c r="H691" s="13">
        <v>29.3</v>
      </c>
      <c r="I691" s="13" t="s">
        <v>46</v>
      </c>
      <c r="K691" s="13" t="s">
        <v>878</v>
      </c>
      <c r="L691" s="13" t="s">
        <v>879</v>
      </c>
      <c r="N691" s="13" t="s">
        <v>122</v>
      </c>
      <c r="O691" s="13" t="s">
        <v>645</v>
      </c>
      <c r="P691" s="13" t="s">
        <v>48</v>
      </c>
      <c r="Q691" s="13" t="s">
        <v>48</v>
      </c>
      <c r="R691" s="4">
        <v>7</v>
      </c>
      <c r="S691" s="13" t="s">
        <v>596</v>
      </c>
      <c r="T691" s="13">
        <v>90</v>
      </c>
      <c r="U691" s="4" t="s">
        <v>254</v>
      </c>
      <c r="V691" s="4">
        <v>500</v>
      </c>
      <c r="W691" s="4" t="s">
        <v>601</v>
      </c>
      <c r="X691" s="4">
        <v>521.66</v>
      </c>
      <c r="Y691" s="4">
        <v>20</v>
      </c>
      <c r="AA691" s="4" t="s">
        <v>49</v>
      </c>
      <c r="AB691" s="4">
        <v>0</v>
      </c>
      <c r="AC691" s="4" t="s">
        <v>49</v>
      </c>
      <c r="AD691" s="4">
        <v>0</v>
      </c>
      <c r="AE691" s="4" t="s">
        <v>49</v>
      </c>
      <c r="AF691" s="4">
        <v>0</v>
      </c>
      <c r="AG691" s="4" t="s">
        <v>762</v>
      </c>
      <c r="AH691" s="4" t="s">
        <v>791</v>
      </c>
      <c r="AI691" s="4" t="s">
        <v>64</v>
      </c>
      <c r="AJ691" s="13">
        <v>0</v>
      </c>
      <c r="AK691" s="13">
        <v>15</v>
      </c>
      <c r="AN691" s="13" t="s">
        <v>518</v>
      </c>
      <c r="AO691" s="13" t="s">
        <v>519</v>
      </c>
      <c r="AP691" s="13" t="s">
        <v>49</v>
      </c>
      <c r="AQ691" s="13" t="s">
        <v>49</v>
      </c>
      <c r="AR691" s="13" t="s">
        <v>49</v>
      </c>
      <c r="AS691" s="13" t="s">
        <v>49</v>
      </c>
      <c r="AT691" s="13" t="s">
        <v>990</v>
      </c>
      <c r="AU691" s="13" t="s">
        <v>998</v>
      </c>
      <c r="AV691" s="14">
        <v>1.91</v>
      </c>
      <c r="AW691" s="14">
        <v>1.69</v>
      </c>
      <c r="AX691" s="14">
        <f>Table1347456[[#This Row],[treatment_mean]]/Table1347456[[#This Row],[control_mean]]</f>
        <v>1.1301775147928994</v>
      </c>
      <c r="AY691" s="14">
        <f>LN(Table1347456[[#This Row],[rr]])</f>
        <v>0.1223747131235564</v>
      </c>
      <c r="AZ691" s="13">
        <v>3</v>
      </c>
      <c r="BA691" s="13">
        <v>3</v>
      </c>
      <c r="BB691" s="14">
        <v>7.0000000000000007E-2</v>
      </c>
      <c r="BC691" s="14">
        <v>0.06</v>
      </c>
      <c r="BD691" s="15">
        <f>Table1347456[[#This Row],[treatment_se]]*SQRT(Table1347456[[#This Row],[treatment_n]])</f>
        <v>0.12124355652982141</v>
      </c>
      <c r="BE691" s="14">
        <f>Table1347456[[#This Row],[control_se]]*SQRT(Table1347456[[#This Row],[control_n]])</f>
        <v>0.10392304845413262</v>
      </c>
      <c r="BF69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2.6036250030965257E-3</v>
      </c>
      <c r="BG691" s="17">
        <f>SQRT(Table1347456[[#This Row],[v_from_sd_and_n]])</f>
        <v>5.1025728834545085E-2</v>
      </c>
      <c r="BH691" s="13" t="s">
        <v>49</v>
      </c>
      <c r="BI691" s="13">
        <v>0.52500000000000002</v>
      </c>
      <c r="BJ691" s="18">
        <f>ABS(_xlfn.NORM.S.INV(Table1347456[[#This Row],[p_value]]/2))</f>
        <v>0.63565701369758276</v>
      </c>
      <c r="BK691" s="19">
        <f>(Table1347456[[#This Row],[lnrr]]/Table1347456[[#This Row],[z_from_p]])^2</f>
        <v>3.7062753989119936E-2</v>
      </c>
      <c r="BL691" s="16">
        <f>Table1347456[[#This Row],[v_from_sd_and_n]]</f>
        <v>2.6036250030965257E-3</v>
      </c>
      <c r="BM691" s="20">
        <f>SQRT(Table1347456[[#This Row],[v]])</f>
        <v>5.1025728834545085E-2</v>
      </c>
      <c r="BN691" s="20">
        <f>Table1347456[[#This Row],[lnrr]]-(1.96*Table1347456[[#This Row],[se]])</f>
        <v>2.2364284607848034E-2</v>
      </c>
      <c r="BO691" s="20">
        <f>Table1347456[[#This Row],[lnrr]]+(1.96 * Table1347456[[#This Row],[se]])</f>
        <v>0.22238514163926476</v>
      </c>
    </row>
    <row r="692" spans="1:67">
      <c r="A692" s="13" t="s">
        <v>250</v>
      </c>
      <c r="B692" s="13" t="s">
        <v>251</v>
      </c>
      <c r="C692" s="13" t="s">
        <v>43</v>
      </c>
      <c r="D692" s="13" t="s">
        <v>252</v>
      </c>
      <c r="E692" s="13" t="s">
        <v>253</v>
      </c>
      <c r="F692" s="13" t="s">
        <v>586</v>
      </c>
      <c r="G692" s="13" t="s">
        <v>46</v>
      </c>
      <c r="H692" s="13">
        <v>29.3</v>
      </c>
      <c r="I692" s="13" t="s">
        <v>46</v>
      </c>
      <c r="K692" s="13" t="s">
        <v>878</v>
      </c>
      <c r="L692" s="13" t="s">
        <v>879</v>
      </c>
      <c r="N692" s="13" t="s">
        <v>122</v>
      </c>
      <c r="O692" s="13" t="s">
        <v>645</v>
      </c>
      <c r="P692" s="13" t="s">
        <v>48</v>
      </c>
      <c r="Q692" s="13" t="s">
        <v>48</v>
      </c>
      <c r="R692" s="4">
        <v>7</v>
      </c>
      <c r="S692" s="13" t="s">
        <v>596</v>
      </c>
      <c r="T692" s="13">
        <v>90</v>
      </c>
      <c r="U692" s="4" t="s">
        <v>254</v>
      </c>
      <c r="V692" s="4">
        <v>500</v>
      </c>
      <c r="W692" s="4" t="s">
        <v>601</v>
      </c>
      <c r="X692" s="4">
        <v>521.66</v>
      </c>
      <c r="Y692" s="4">
        <v>30</v>
      </c>
      <c r="AA692" s="4" t="s">
        <v>49</v>
      </c>
      <c r="AB692" s="4">
        <v>0</v>
      </c>
      <c r="AC692" s="4" t="s">
        <v>49</v>
      </c>
      <c r="AD692" s="4">
        <v>0</v>
      </c>
      <c r="AE692" s="4" t="s">
        <v>49</v>
      </c>
      <c r="AF692" s="4">
        <v>0</v>
      </c>
      <c r="AG692" s="4" t="s">
        <v>762</v>
      </c>
      <c r="AH692" s="4" t="s">
        <v>791</v>
      </c>
      <c r="AI692" s="4" t="s">
        <v>64</v>
      </c>
      <c r="AJ692" s="13">
        <v>0</v>
      </c>
      <c r="AK692" s="13">
        <v>15</v>
      </c>
      <c r="AN692" s="13" t="s">
        <v>518</v>
      </c>
      <c r="AO692" s="13" t="s">
        <v>519</v>
      </c>
      <c r="AP692" s="13" t="s">
        <v>49</v>
      </c>
      <c r="AQ692" s="13" t="s">
        <v>49</v>
      </c>
      <c r="AR692" s="13" t="s">
        <v>49</v>
      </c>
      <c r="AS692" s="13" t="s">
        <v>49</v>
      </c>
      <c r="AT692" s="13" t="s">
        <v>990</v>
      </c>
      <c r="AU692" s="13" t="s">
        <v>998</v>
      </c>
      <c r="AV692" s="14">
        <v>2.02</v>
      </c>
      <c r="AW692" s="14">
        <v>1.69</v>
      </c>
      <c r="AX692" s="14">
        <f>Table1347456[[#This Row],[treatment_mean]]/Table1347456[[#This Row],[control_mean]]</f>
        <v>1.1952662721893492</v>
      </c>
      <c r="AY692" s="14">
        <f>LN(Table1347456[[#This Row],[rr]])</f>
        <v>0.17836898247813138</v>
      </c>
      <c r="AZ692" s="13">
        <v>3</v>
      </c>
      <c r="BA692" s="13">
        <v>3</v>
      </c>
      <c r="BB692" s="14">
        <v>0.1</v>
      </c>
      <c r="BC692" s="14">
        <v>0.06</v>
      </c>
      <c r="BD692" s="15">
        <f>Table1347456[[#This Row],[treatment_se]]*SQRT(Table1347456[[#This Row],[treatment_n]])</f>
        <v>0.17320508075688773</v>
      </c>
      <c r="BE692" s="14">
        <f>Table1347456[[#This Row],[control_se]]*SQRT(Table1347456[[#This Row],[control_n]])</f>
        <v>0.10392304845413262</v>
      </c>
      <c r="BF69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3.7112001914420944E-3</v>
      </c>
      <c r="BG692" s="17">
        <f>SQRT(Table1347456[[#This Row],[v_from_sd_and_n]])</f>
        <v>6.0919620742763116E-2</v>
      </c>
      <c r="BH692" s="13" t="s">
        <v>49</v>
      </c>
      <c r="BI692" s="13">
        <v>0.52500000000000002</v>
      </c>
      <c r="BJ692" s="18">
        <f>ABS(_xlfn.NORM.S.INV(Table1347456[[#This Row],[p_value]]/2))</f>
        <v>0.63565701369758276</v>
      </c>
      <c r="BK692" s="19">
        <f>(Table1347456[[#This Row],[lnrr]]/Table1347456[[#This Row],[z_from_p]])^2</f>
        <v>7.873955992277902E-2</v>
      </c>
      <c r="BL692" s="16">
        <f>Table1347456[[#This Row],[v_from_sd_and_n]]</f>
        <v>3.7112001914420944E-3</v>
      </c>
      <c r="BM692" s="20">
        <f>SQRT(Table1347456[[#This Row],[v]])</f>
        <v>6.0919620742763116E-2</v>
      </c>
      <c r="BN692" s="20">
        <f>Table1347456[[#This Row],[lnrr]]-(1.96*Table1347456[[#This Row],[se]])</f>
        <v>5.8966525822315666E-2</v>
      </c>
      <c r="BO692" s="20">
        <f>Table1347456[[#This Row],[lnrr]]+(1.96 * Table1347456[[#This Row],[se]])</f>
        <v>0.2977714391339471</v>
      </c>
    </row>
    <row r="693" spans="1:67">
      <c r="A693" s="13" t="s">
        <v>250</v>
      </c>
      <c r="B693" s="13" t="s">
        <v>251</v>
      </c>
      <c r="C693" s="13" t="s">
        <v>43</v>
      </c>
      <c r="D693" s="13" t="s">
        <v>252</v>
      </c>
      <c r="E693" s="13" t="s">
        <v>253</v>
      </c>
      <c r="F693" s="13" t="s">
        <v>586</v>
      </c>
      <c r="G693" s="13" t="s">
        <v>46</v>
      </c>
      <c r="H693" s="13">
        <v>29.3</v>
      </c>
      <c r="I693" s="13" t="s">
        <v>46</v>
      </c>
      <c r="J693" s="13" t="s">
        <v>656</v>
      </c>
      <c r="K693" s="13" t="s">
        <v>878</v>
      </c>
      <c r="L693" s="13" t="s">
        <v>879</v>
      </c>
      <c r="M693" s="13" t="s">
        <v>803</v>
      </c>
      <c r="N693" s="13" t="s">
        <v>119</v>
      </c>
      <c r="O693" s="13" t="s">
        <v>645</v>
      </c>
      <c r="P693" s="13" t="s">
        <v>48</v>
      </c>
      <c r="Q693" s="13" t="s">
        <v>48</v>
      </c>
      <c r="R693" s="4">
        <v>7</v>
      </c>
      <c r="S693" s="13" t="s">
        <v>596</v>
      </c>
      <c r="T693" s="13">
        <v>90</v>
      </c>
      <c r="U693" s="4" t="s">
        <v>186</v>
      </c>
      <c r="V693" s="4">
        <v>500</v>
      </c>
      <c r="W693" s="4" t="s">
        <v>601</v>
      </c>
      <c r="X693" s="4">
        <v>731.57</v>
      </c>
      <c r="Y693" s="4">
        <v>10</v>
      </c>
      <c r="AA693" s="4" t="s">
        <v>49</v>
      </c>
      <c r="AB693" s="4">
        <v>0</v>
      </c>
      <c r="AC693" s="4" t="s">
        <v>49</v>
      </c>
      <c r="AD693" s="4">
        <v>0</v>
      </c>
      <c r="AE693" s="4" t="s">
        <v>49</v>
      </c>
      <c r="AF693" s="4">
        <v>0</v>
      </c>
      <c r="AG693" s="4" t="s">
        <v>731</v>
      </c>
      <c r="AH693" s="4" t="s">
        <v>791</v>
      </c>
      <c r="AI693" s="4" t="s">
        <v>64</v>
      </c>
      <c r="AJ693" s="13">
        <v>0</v>
      </c>
      <c r="AK693" s="13">
        <v>15</v>
      </c>
      <c r="AN693" s="13" t="s">
        <v>518</v>
      </c>
      <c r="AO693" s="13" t="s">
        <v>519</v>
      </c>
      <c r="AP693" s="13" t="s">
        <v>49</v>
      </c>
      <c r="AQ693" s="13" t="s">
        <v>49</v>
      </c>
      <c r="AR693" s="13" t="s">
        <v>49</v>
      </c>
      <c r="AS693" s="13" t="s">
        <v>49</v>
      </c>
      <c r="AT693" s="13" t="s">
        <v>990</v>
      </c>
      <c r="AU693" s="13" t="s">
        <v>998</v>
      </c>
      <c r="AV693" s="23">
        <v>0.97</v>
      </c>
      <c r="AW693" s="23">
        <v>1.01</v>
      </c>
      <c r="AX693" s="14">
        <f>Table1347456[[#This Row],[treatment_mean]]/Table1347456[[#This Row],[control_mean]]</f>
        <v>0.96039603960396036</v>
      </c>
      <c r="AY693" s="14">
        <f>LN(Table1347456[[#This Row],[rr]])</f>
        <v>-4.0409538337876666E-2</v>
      </c>
      <c r="AZ693" s="13">
        <v>3</v>
      </c>
      <c r="BA693" s="13">
        <v>3</v>
      </c>
      <c r="BB693" s="14">
        <v>0.04</v>
      </c>
      <c r="BC693" s="14">
        <v>0.03</v>
      </c>
      <c r="BD693" s="15">
        <f>Table1347456[[#This Row],[treatment_se]]*SQRT(Table1347456[[#This Row],[treatment_n]])</f>
        <v>6.9282032302755092E-2</v>
      </c>
      <c r="BE693" s="14">
        <f>Table1347456[[#This Row],[control_se]]*SQRT(Table1347456[[#This Row],[control_n]])</f>
        <v>5.1961524227066312E-2</v>
      </c>
      <c r="BF69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2.5827659662007382E-3</v>
      </c>
      <c r="BG693" s="17">
        <f>SQRT(Table1347456[[#This Row],[v_from_sd_and_n]])</f>
        <v>5.082092055640805E-2</v>
      </c>
      <c r="BH693" s="13" t="s">
        <v>49</v>
      </c>
      <c r="BI693" s="13">
        <v>0.52500000000000002</v>
      </c>
      <c r="BJ693" s="18">
        <f>ABS(_xlfn.NORM.S.INV(Table1347456[[#This Row],[p_value]]/2))</f>
        <v>0.63565701369758276</v>
      </c>
      <c r="BK693" s="19">
        <f>(Table1347456[[#This Row],[lnrr]]/Table1347456[[#This Row],[z_from_p]])^2</f>
        <v>4.0413093082136498E-3</v>
      </c>
      <c r="BL693" s="16">
        <f>Table1347456[[#This Row],[v_from_sd_and_n]]</f>
        <v>2.5827659662007382E-3</v>
      </c>
      <c r="BM693" s="20">
        <f>SQRT(Table1347456[[#This Row],[v]])</f>
        <v>5.082092055640805E-2</v>
      </c>
      <c r="BN693" s="20">
        <f>Table1347456[[#This Row],[lnrr]]-(1.96*Table1347456[[#This Row],[se]])</f>
        <v>-0.14001854262843644</v>
      </c>
      <c r="BO693" s="20">
        <f>Table1347456[[#This Row],[lnrr]]+(1.96 * Table1347456[[#This Row],[se]])</f>
        <v>5.9199465952683106E-2</v>
      </c>
    </row>
    <row r="694" spans="1:67">
      <c r="A694" s="13" t="s">
        <v>250</v>
      </c>
      <c r="B694" s="13" t="s">
        <v>251</v>
      </c>
      <c r="C694" s="13" t="s">
        <v>43</v>
      </c>
      <c r="D694" s="13" t="s">
        <v>252</v>
      </c>
      <c r="E694" s="13" t="s">
        <v>253</v>
      </c>
      <c r="F694" s="13" t="s">
        <v>586</v>
      </c>
      <c r="G694" s="13" t="s">
        <v>46</v>
      </c>
      <c r="H694" s="13">
        <v>29.3</v>
      </c>
      <c r="I694" s="13" t="s">
        <v>46</v>
      </c>
      <c r="J694" s="13" t="s">
        <v>656</v>
      </c>
      <c r="K694" s="13" t="s">
        <v>878</v>
      </c>
      <c r="L694" s="13" t="s">
        <v>879</v>
      </c>
      <c r="M694" s="13" t="s">
        <v>803</v>
      </c>
      <c r="N694" s="13" t="s">
        <v>119</v>
      </c>
      <c r="O694" s="13" t="s">
        <v>645</v>
      </c>
      <c r="P694" s="13" t="s">
        <v>48</v>
      </c>
      <c r="Q694" s="13" t="s">
        <v>48</v>
      </c>
      <c r="R694" s="4">
        <v>7</v>
      </c>
      <c r="S694" s="13" t="s">
        <v>596</v>
      </c>
      <c r="T694" s="13">
        <v>90</v>
      </c>
      <c r="U694" s="4" t="s">
        <v>186</v>
      </c>
      <c r="V694" s="4">
        <v>500</v>
      </c>
      <c r="W694" s="4" t="s">
        <v>601</v>
      </c>
      <c r="X694" s="4">
        <v>731.57</v>
      </c>
      <c r="Y694" s="4">
        <v>20</v>
      </c>
      <c r="AA694" s="4" t="s">
        <v>49</v>
      </c>
      <c r="AB694" s="4">
        <v>0</v>
      </c>
      <c r="AC694" s="4" t="s">
        <v>49</v>
      </c>
      <c r="AD694" s="4">
        <v>0</v>
      </c>
      <c r="AE694" s="4" t="s">
        <v>49</v>
      </c>
      <c r="AF694" s="4">
        <v>0</v>
      </c>
      <c r="AG694" s="4" t="s">
        <v>731</v>
      </c>
      <c r="AH694" s="4" t="s">
        <v>791</v>
      </c>
      <c r="AI694" s="4" t="s">
        <v>64</v>
      </c>
      <c r="AJ694" s="13">
        <v>0</v>
      </c>
      <c r="AK694" s="13">
        <v>15</v>
      </c>
      <c r="AN694" s="13" t="s">
        <v>518</v>
      </c>
      <c r="AO694" s="13" t="s">
        <v>519</v>
      </c>
      <c r="AP694" s="13" t="s">
        <v>49</v>
      </c>
      <c r="AQ694" s="13" t="s">
        <v>49</v>
      </c>
      <c r="AR694" s="13" t="s">
        <v>49</v>
      </c>
      <c r="AS694" s="13" t="s">
        <v>49</v>
      </c>
      <c r="AT694" s="13" t="s">
        <v>990</v>
      </c>
      <c r="AU694" s="13" t="s">
        <v>998</v>
      </c>
      <c r="AV694" s="23">
        <v>0.88</v>
      </c>
      <c r="AW694" s="23">
        <v>1.01</v>
      </c>
      <c r="AX694" s="14">
        <f>Table1347456[[#This Row],[treatment_mean]]/Table1347456[[#This Row],[control_mean]]</f>
        <v>0.87128712871287128</v>
      </c>
      <c r="AY694" s="14">
        <f>LN(Table1347456[[#This Row],[rr]])</f>
        <v>-0.13778370236305298</v>
      </c>
      <c r="AZ694" s="13">
        <v>3</v>
      </c>
      <c r="BA694" s="13">
        <v>3</v>
      </c>
      <c r="BB694" s="14">
        <v>0.04</v>
      </c>
      <c r="BC694" s="14">
        <v>0.03</v>
      </c>
      <c r="BD694" s="15">
        <f>Table1347456[[#This Row],[treatment_se]]*SQRT(Table1347456[[#This Row],[treatment_n]])</f>
        <v>6.9282032302755092E-2</v>
      </c>
      <c r="BE694" s="14">
        <f>Table1347456[[#This Row],[control_se]]*SQRT(Table1347456[[#This Row],[control_n]])</f>
        <v>5.1961524227066312E-2</v>
      </c>
      <c r="BF69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2.9483821469455675E-3</v>
      </c>
      <c r="BG694" s="17">
        <f>SQRT(Table1347456[[#This Row],[v_from_sd_and_n]])</f>
        <v>5.4299006868869779E-2</v>
      </c>
      <c r="BH694" s="13" t="s">
        <v>49</v>
      </c>
      <c r="BI694" s="13">
        <v>0.52500000000000002</v>
      </c>
      <c r="BJ694" s="18">
        <f>ABS(_xlfn.NORM.S.INV(Table1347456[[#This Row],[p_value]]/2))</f>
        <v>0.63565701369758276</v>
      </c>
      <c r="BK694" s="19">
        <f>(Table1347456[[#This Row],[lnrr]]/Table1347456[[#This Row],[z_from_p]])^2</f>
        <v>4.6984002866747962E-2</v>
      </c>
      <c r="BL694" s="16">
        <f>Table1347456[[#This Row],[v_from_sd_and_n]]</f>
        <v>2.9483821469455675E-3</v>
      </c>
      <c r="BM694" s="20">
        <f>SQRT(Table1347456[[#This Row],[v]])</f>
        <v>5.4299006868869779E-2</v>
      </c>
      <c r="BN694" s="20">
        <f>Table1347456[[#This Row],[lnrr]]-(1.96*Table1347456[[#This Row],[se]])</f>
        <v>-0.24420975582603777</v>
      </c>
      <c r="BO694" s="20">
        <f>Table1347456[[#This Row],[lnrr]]+(1.96 * Table1347456[[#This Row],[se]])</f>
        <v>-3.1357648900068216E-2</v>
      </c>
    </row>
    <row r="695" spans="1:67">
      <c r="A695" s="13" t="s">
        <v>250</v>
      </c>
      <c r="B695" s="13" t="s">
        <v>251</v>
      </c>
      <c r="C695" s="13" t="s">
        <v>43</v>
      </c>
      <c r="D695" s="13" t="s">
        <v>252</v>
      </c>
      <c r="E695" s="13" t="s">
        <v>253</v>
      </c>
      <c r="F695" s="13" t="s">
        <v>586</v>
      </c>
      <c r="G695" s="13" t="s">
        <v>46</v>
      </c>
      <c r="H695" s="13">
        <v>29.3</v>
      </c>
      <c r="I695" s="13" t="s">
        <v>46</v>
      </c>
      <c r="J695" s="13" t="s">
        <v>656</v>
      </c>
      <c r="K695" s="13" t="s">
        <v>878</v>
      </c>
      <c r="L695" s="13" t="s">
        <v>879</v>
      </c>
      <c r="M695" s="13" t="s">
        <v>803</v>
      </c>
      <c r="N695" s="13" t="s">
        <v>119</v>
      </c>
      <c r="O695" s="13" t="s">
        <v>645</v>
      </c>
      <c r="P695" s="13" t="s">
        <v>48</v>
      </c>
      <c r="Q695" s="13" t="s">
        <v>48</v>
      </c>
      <c r="R695" s="4">
        <v>7</v>
      </c>
      <c r="S695" s="13" t="s">
        <v>596</v>
      </c>
      <c r="T695" s="13">
        <v>90</v>
      </c>
      <c r="U695" s="4" t="s">
        <v>186</v>
      </c>
      <c r="V695" s="4">
        <v>500</v>
      </c>
      <c r="W695" s="4" t="s">
        <v>601</v>
      </c>
      <c r="X695" s="4">
        <v>731.57</v>
      </c>
      <c r="Y695" s="4">
        <v>30</v>
      </c>
      <c r="AA695" s="4" t="s">
        <v>49</v>
      </c>
      <c r="AB695" s="4">
        <v>0</v>
      </c>
      <c r="AC695" s="4" t="s">
        <v>49</v>
      </c>
      <c r="AD695" s="4">
        <v>0</v>
      </c>
      <c r="AE695" s="4" t="s">
        <v>49</v>
      </c>
      <c r="AF695" s="4">
        <v>0</v>
      </c>
      <c r="AG695" s="4" t="s">
        <v>731</v>
      </c>
      <c r="AH695" s="4" t="s">
        <v>791</v>
      </c>
      <c r="AI695" s="4" t="s">
        <v>64</v>
      </c>
      <c r="AJ695" s="13">
        <v>0</v>
      </c>
      <c r="AK695" s="13">
        <v>15</v>
      </c>
      <c r="AN695" s="13" t="s">
        <v>518</v>
      </c>
      <c r="AO695" s="13" t="s">
        <v>519</v>
      </c>
      <c r="AP695" s="13" t="s">
        <v>49</v>
      </c>
      <c r="AQ695" s="13" t="s">
        <v>49</v>
      </c>
      <c r="AR695" s="13" t="s">
        <v>49</v>
      </c>
      <c r="AS695" s="13" t="s">
        <v>49</v>
      </c>
      <c r="AT695" s="13" t="s">
        <v>990</v>
      </c>
      <c r="AU695" s="13" t="s">
        <v>998</v>
      </c>
      <c r="AV695" s="23">
        <v>0.98</v>
      </c>
      <c r="AW695" s="23">
        <v>1.01</v>
      </c>
      <c r="AX695" s="14">
        <f>Table1347456[[#This Row],[treatment_mean]]/Table1347456[[#This Row],[control_mean]]</f>
        <v>0.97029702970297027</v>
      </c>
      <c r="AY695" s="14">
        <f>LN(Table1347456[[#This Row],[rr]])</f>
        <v>-3.0153038170687558E-2</v>
      </c>
      <c r="AZ695" s="13">
        <v>3</v>
      </c>
      <c r="BA695" s="13">
        <v>3</v>
      </c>
      <c r="BB695" s="14">
        <v>0.04</v>
      </c>
      <c r="BC695" s="14">
        <v>0.03</v>
      </c>
      <c r="BD695" s="15">
        <f>Table1347456[[#This Row],[treatment_se]]*SQRT(Table1347456[[#This Row],[treatment_n]])</f>
        <v>6.9282032302755092E-2</v>
      </c>
      <c r="BE695" s="14">
        <f>Table1347456[[#This Row],[control_se]]*SQRT(Table1347456[[#This Row],[control_n]])</f>
        <v>5.1961524227066312E-2</v>
      </c>
      <c r="BF69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2.5482389559197899E-3</v>
      </c>
      <c r="BG695" s="17">
        <f>SQRT(Table1347456[[#This Row],[v_from_sd_and_n]])</f>
        <v>5.0480084745568622E-2</v>
      </c>
      <c r="BH695" s="13" t="s">
        <v>49</v>
      </c>
      <c r="BI695" s="13">
        <v>0.52500000000000002</v>
      </c>
      <c r="BJ695" s="18">
        <f>ABS(_xlfn.NORM.S.INV(Table1347456[[#This Row],[p_value]]/2))</f>
        <v>0.63565701369758276</v>
      </c>
      <c r="BK695" s="19">
        <f>(Table1347456[[#This Row],[lnrr]]/Table1347456[[#This Row],[z_from_p]])^2</f>
        <v>2.2501758972916382E-3</v>
      </c>
      <c r="BL695" s="16">
        <f>Table1347456[[#This Row],[v_from_sd_and_n]]</f>
        <v>2.5482389559197899E-3</v>
      </c>
      <c r="BM695" s="20">
        <f>SQRT(Table1347456[[#This Row],[v]])</f>
        <v>5.0480084745568622E-2</v>
      </c>
      <c r="BN695" s="20">
        <f>Table1347456[[#This Row],[lnrr]]-(1.96*Table1347456[[#This Row],[se]])</f>
        <v>-0.12909400427200207</v>
      </c>
      <c r="BO695" s="20">
        <f>Table1347456[[#This Row],[lnrr]]+(1.96 * Table1347456[[#This Row],[se]])</f>
        <v>6.8787927930626949E-2</v>
      </c>
    </row>
    <row r="696" spans="1:67">
      <c r="A696" s="13" t="s">
        <v>250</v>
      </c>
      <c r="B696" s="13" t="s">
        <v>251</v>
      </c>
      <c r="C696" s="13" t="s">
        <v>43</v>
      </c>
      <c r="D696" s="13" t="s">
        <v>252</v>
      </c>
      <c r="E696" s="13" t="s">
        <v>253</v>
      </c>
      <c r="F696" s="13" t="s">
        <v>586</v>
      </c>
      <c r="G696" s="13" t="s">
        <v>46</v>
      </c>
      <c r="H696" s="13">
        <v>29.3</v>
      </c>
      <c r="I696" s="13" t="s">
        <v>46</v>
      </c>
      <c r="J696" s="13" t="s">
        <v>656</v>
      </c>
      <c r="K696" s="13" t="s">
        <v>878</v>
      </c>
      <c r="L696" s="13" t="s">
        <v>879</v>
      </c>
      <c r="M696" s="13" t="s">
        <v>803</v>
      </c>
      <c r="N696" s="13" t="s">
        <v>119</v>
      </c>
      <c r="O696" s="13" t="s">
        <v>645</v>
      </c>
      <c r="P696" s="13" t="s">
        <v>48</v>
      </c>
      <c r="Q696" s="13" t="s">
        <v>48</v>
      </c>
      <c r="R696" s="4">
        <v>7</v>
      </c>
      <c r="S696" s="13" t="s">
        <v>596</v>
      </c>
      <c r="T696" s="13">
        <v>90</v>
      </c>
      <c r="U696" s="4" t="s">
        <v>254</v>
      </c>
      <c r="V696" s="4">
        <v>500</v>
      </c>
      <c r="W696" s="4" t="s">
        <v>601</v>
      </c>
      <c r="X696" s="4">
        <v>521.66</v>
      </c>
      <c r="Y696" s="4">
        <v>10</v>
      </c>
      <c r="AA696" s="4" t="s">
        <v>49</v>
      </c>
      <c r="AB696" s="4">
        <v>0</v>
      </c>
      <c r="AC696" s="4" t="s">
        <v>49</v>
      </c>
      <c r="AD696" s="4">
        <v>0</v>
      </c>
      <c r="AE696" s="4" t="s">
        <v>49</v>
      </c>
      <c r="AF696" s="4">
        <v>0</v>
      </c>
      <c r="AG696" s="4" t="s">
        <v>762</v>
      </c>
      <c r="AH696" s="4" t="s">
        <v>791</v>
      </c>
      <c r="AI696" s="4" t="s">
        <v>64</v>
      </c>
      <c r="AJ696" s="13">
        <v>0</v>
      </c>
      <c r="AK696" s="13">
        <v>15</v>
      </c>
      <c r="AN696" s="13" t="s">
        <v>518</v>
      </c>
      <c r="AO696" s="13" t="s">
        <v>519</v>
      </c>
      <c r="AP696" s="13" t="s">
        <v>49</v>
      </c>
      <c r="AQ696" s="13" t="s">
        <v>49</v>
      </c>
      <c r="AR696" s="13" t="s">
        <v>49</v>
      </c>
      <c r="AS696" s="13" t="s">
        <v>49</v>
      </c>
      <c r="AT696" s="13" t="s">
        <v>990</v>
      </c>
      <c r="AU696" s="13" t="s">
        <v>998</v>
      </c>
      <c r="AV696" s="23">
        <v>0.93</v>
      </c>
      <c r="AW696" s="23">
        <v>1.01</v>
      </c>
      <c r="AX696" s="14">
        <f>Table1347456[[#This Row],[treatment_mean]]/Table1347456[[#This Row],[control_mean]]</f>
        <v>0.92079207920792083</v>
      </c>
      <c r="AY696" s="14">
        <f>LN(Table1347456[[#This Row],[rr]])</f>
        <v>-8.2521023688003473E-2</v>
      </c>
      <c r="AZ696" s="13">
        <v>3</v>
      </c>
      <c r="BA696" s="13">
        <v>3</v>
      </c>
      <c r="BB696" s="14">
        <v>0.04</v>
      </c>
      <c r="BC696" s="14">
        <v>0.03</v>
      </c>
      <c r="BD696" s="15">
        <f>Table1347456[[#This Row],[treatment_se]]*SQRT(Table1347456[[#This Row],[treatment_n]])</f>
        <v>6.9282032302755092E-2</v>
      </c>
      <c r="BE696" s="14">
        <f>Table1347456[[#This Row],[control_se]]*SQRT(Table1347456[[#This Row],[control_n]])</f>
        <v>5.1961524227066312E-2</v>
      </c>
      <c r="BF69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2.7321912912693274E-3</v>
      </c>
      <c r="BG696" s="17">
        <f>SQRT(Table1347456[[#This Row],[v_from_sd_and_n]])</f>
        <v>5.2270367238707316E-2</v>
      </c>
      <c r="BH696" s="13" t="s">
        <v>49</v>
      </c>
      <c r="BI696" s="13">
        <v>0.52500000000000002</v>
      </c>
      <c r="BJ696" s="18">
        <f>ABS(_xlfn.NORM.S.INV(Table1347456[[#This Row],[p_value]]/2))</f>
        <v>0.63565701369758276</v>
      </c>
      <c r="BK696" s="19">
        <f>(Table1347456[[#This Row],[lnrr]]/Table1347456[[#This Row],[z_from_p]])^2</f>
        <v>1.6853244723129917E-2</v>
      </c>
      <c r="BL696" s="16">
        <f>Table1347456[[#This Row],[v_from_sd_and_n]]</f>
        <v>2.7321912912693274E-3</v>
      </c>
      <c r="BM696" s="20">
        <f>SQRT(Table1347456[[#This Row],[v]])</f>
        <v>5.2270367238707316E-2</v>
      </c>
      <c r="BN696" s="20">
        <f>Table1347456[[#This Row],[lnrr]]-(1.96*Table1347456[[#This Row],[se]])</f>
        <v>-0.18497094347586981</v>
      </c>
      <c r="BO696" s="20">
        <f>Table1347456[[#This Row],[lnrr]]+(1.96 * Table1347456[[#This Row],[se]])</f>
        <v>1.9928896099862869E-2</v>
      </c>
    </row>
    <row r="697" spans="1:67">
      <c r="A697" s="13" t="s">
        <v>250</v>
      </c>
      <c r="B697" s="13" t="s">
        <v>251</v>
      </c>
      <c r="C697" s="13" t="s">
        <v>43</v>
      </c>
      <c r="D697" s="13" t="s">
        <v>252</v>
      </c>
      <c r="E697" s="13" t="s">
        <v>253</v>
      </c>
      <c r="F697" s="13" t="s">
        <v>586</v>
      </c>
      <c r="G697" s="13" t="s">
        <v>46</v>
      </c>
      <c r="H697" s="13">
        <v>29.3</v>
      </c>
      <c r="I697" s="13" t="s">
        <v>46</v>
      </c>
      <c r="J697" s="13" t="s">
        <v>656</v>
      </c>
      <c r="K697" s="13" t="s">
        <v>878</v>
      </c>
      <c r="L697" s="13" t="s">
        <v>879</v>
      </c>
      <c r="M697" s="13" t="s">
        <v>803</v>
      </c>
      <c r="N697" s="13" t="s">
        <v>119</v>
      </c>
      <c r="O697" s="13" t="s">
        <v>645</v>
      </c>
      <c r="P697" s="13" t="s">
        <v>48</v>
      </c>
      <c r="Q697" s="13" t="s">
        <v>48</v>
      </c>
      <c r="R697" s="4">
        <v>7</v>
      </c>
      <c r="S697" s="13" t="s">
        <v>596</v>
      </c>
      <c r="T697" s="13">
        <v>90</v>
      </c>
      <c r="U697" s="4" t="s">
        <v>254</v>
      </c>
      <c r="V697" s="4">
        <v>500</v>
      </c>
      <c r="W697" s="4" t="s">
        <v>601</v>
      </c>
      <c r="X697" s="4">
        <v>521.66</v>
      </c>
      <c r="Y697" s="4">
        <v>20</v>
      </c>
      <c r="AA697" s="4" t="s">
        <v>49</v>
      </c>
      <c r="AB697" s="4">
        <v>0</v>
      </c>
      <c r="AC697" s="4" t="s">
        <v>49</v>
      </c>
      <c r="AD697" s="4">
        <v>0</v>
      </c>
      <c r="AE697" s="4" t="s">
        <v>49</v>
      </c>
      <c r="AF697" s="4">
        <v>0</v>
      </c>
      <c r="AG697" s="4" t="s">
        <v>762</v>
      </c>
      <c r="AH697" s="4" t="s">
        <v>791</v>
      </c>
      <c r="AI697" s="4" t="s">
        <v>64</v>
      </c>
      <c r="AJ697" s="13">
        <v>0</v>
      </c>
      <c r="AK697" s="13">
        <v>15</v>
      </c>
      <c r="AN697" s="13" t="s">
        <v>518</v>
      </c>
      <c r="AO697" s="13" t="s">
        <v>519</v>
      </c>
      <c r="AP697" s="13" t="s">
        <v>49</v>
      </c>
      <c r="AQ697" s="13" t="s">
        <v>49</v>
      </c>
      <c r="AR697" s="13" t="s">
        <v>49</v>
      </c>
      <c r="AS697" s="13" t="s">
        <v>49</v>
      </c>
      <c r="AT697" s="13" t="s">
        <v>990</v>
      </c>
      <c r="AU697" s="13" t="s">
        <v>998</v>
      </c>
      <c r="AV697" s="23">
        <v>0.91</v>
      </c>
      <c r="AW697" s="23">
        <v>1.01</v>
      </c>
      <c r="AX697" s="14">
        <f>Table1347456[[#This Row],[treatment_mean]]/Table1347456[[#This Row],[control_mean]]</f>
        <v>0.90099009900990101</v>
      </c>
      <c r="AY697" s="14">
        <f>LN(Table1347456[[#This Row],[rr]])</f>
        <v>-0.10426101032440939</v>
      </c>
      <c r="AZ697" s="13">
        <v>3</v>
      </c>
      <c r="BA697" s="13">
        <v>3</v>
      </c>
      <c r="BB697" s="14">
        <v>0.05</v>
      </c>
      <c r="BC697" s="14">
        <v>0.03</v>
      </c>
      <c r="BD697" s="15">
        <f>Table1347456[[#This Row],[treatment_se]]*SQRT(Table1347456[[#This Row],[treatment_n]])</f>
        <v>8.6602540378443865E-2</v>
      </c>
      <c r="BE697" s="14">
        <f>Table1347456[[#This Row],[control_se]]*SQRT(Table1347456[[#This Row],[control_n]])</f>
        <v>5.1961524227066312E-2</v>
      </c>
      <c r="BF69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3.9012255073813352E-3</v>
      </c>
      <c r="BG697" s="17">
        <f>SQRT(Table1347456[[#This Row],[v_from_sd_and_n]])</f>
        <v>6.2459791125021667E-2</v>
      </c>
      <c r="BH697" s="13" t="s">
        <v>49</v>
      </c>
      <c r="BI697" s="13">
        <v>0.52500000000000002</v>
      </c>
      <c r="BJ697" s="18">
        <f>ABS(_xlfn.NORM.S.INV(Table1347456[[#This Row],[p_value]]/2))</f>
        <v>0.63565701369758276</v>
      </c>
      <c r="BK697" s="19">
        <f>(Table1347456[[#This Row],[lnrr]]/Table1347456[[#This Row],[z_from_p]])^2</f>
        <v>2.6902842655871163E-2</v>
      </c>
      <c r="BL697" s="16">
        <f>Table1347456[[#This Row],[v_from_sd_and_n]]</f>
        <v>3.9012255073813352E-3</v>
      </c>
      <c r="BM697" s="20">
        <f>SQRT(Table1347456[[#This Row],[v]])</f>
        <v>6.2459791125021667E-2</v>
      </c>
      <c r="BN697" s="20">
        <f>Table1347456[[#This Row],[lnrr]]-(1.96*Table1347456[[#This Row],[se]])</f>
        <v>-0.22668220092945185</v>
      </c>
      <c r="BO697" s="20">
        <f>Table1347456[[#This Row],[lnrr]]+(1.96 * Table1347456[[#This Row],[se]])</f>
        <v>1.816018028063307E-2</v>
      </c>
    </row>
    <row r="698" spans="1:67">
      <c r="A698" s="13" t="s">
        <v>250</v>
      </c>
      <c r="B698" s="13" t="s">
        <v>251</v>
      </c>
      <c r="C698" s="13" t="s">
        <v>43</v>
      </c>
      <c r="D698" s="13" t="s">
        <v>252</v>
      </c>
      <c r="E698" s="13" t="s">
        <v>253</v>
      </c>
      <c r="F698" s="13" t="s">
        <v>586</v>
      </c>
      <c r="G698" s="13" t="s">
        <v>46</v>
      </c>
      <c r="H698" s="13">
        <v>29.3</v>
      </c>
      <c r="I698" s="13" t="s">
        <v>46</v>
      </c>
      <c r="J698" s="13" t="s">
        <v>656</v>
      </c>
      <c r="K698" s="13" t="s">
        <v>878</v>
      </c>
      <c r="L698" s="13" t="s">
        <v>879</v>
      </c>
      <c r="M698" s="13" t="s">
        <v>803</v>
      </c>
      <c r="N698" s="13" t="s">
        <v>119</v>
      </c>
      <c r="O698" s="13" t="s">
        <v>645</v>
      </c>
      <c r="P698" s="13" t="s">
        <v>48</v>
      </c>
      <c r="Q698" s="13" t="s">
        <v>48</v>
      </c>
      <c r="R698" s="4">
        <v>7</v>
      </c>
      <c r="S698" s="13" t="s">
        <v>596</v>
      </c>
      <c r="T698" s="13">
        <v>90</v>
      </c>
      <c r="U698" s="4" t="s">
        <v>254</v>
      </c>
      <c r="V698" s="4">
        <v>500</v>
      </c>
      <c r="W698" s="4" t="s">
        <v>601</v>
      </c>
      <c r="X698" s="4">
        <v>521.66</v>
      </c>
      <c r="Y698" s="4">
        <v>30</v>
      </c>
      <c r="AA698" s="4" t="s">
        <v>49</v>
      </c>
      <c r="AB698" s="4">
        <v>0</v>
      </c>
      <c r="AC698" s="4" t="s">
        <v>49</v>
      </c>
      <c r="AD698" s="4">
        <v>0</v>
      </c>
      <c r="AE698" s="4" t="s">
        <v>49</v>
      </c>
      <c r="AF698" s="4">
        <v>0</v>
      </c>
      <c r="AG698" s="4" t="s">
        <v>762</v>
      </c>
      <c r="AH698" s="4" t="s">
        <v>791</v>
      </c>
      <c r="AI698" s="4" t="s">
        <v>64</v>
      </c>
      <c r="AJ698" s="13">
        <v>0</v>
      </c>
      <c r="AK698" s="13">
        <v>15</v>
      </c>
      <c r="AN698" s="13" t="s">
        <v>518</v>
      </c>
      <c r="AO698" s="13" t="s">
        <v>519</v>
      </c>
      <c r="AP698" s="13" t="s">
        <v>49</v>
      </c>
      <c r="AQ698" s="13" t="s">
        <v>49</v>
      </c>
      <c r="AR698" s="13" t="s">
        <v>49</v>
      </c>
      <c r="AS698" s="13" t="s">
        <v>49</v>
      </c>
      <c r="AT698" s="13" t="s">
        <v>990</v>
      </c>
      <c r="AU698" s="13" t="s">
        <v>998</v>
      </c>
      <c r="AV698" s="23">
        <v>1.04</v>
      </c>
      <c r="AW698" s="23">
        <v>1.01</v>
      </c>
      <c r="AX698" s="14">
        <f>Table1347456[[#This Row],[treatment_mean]]/Table1347456[[#This Row],[control_mean]]</f>
        <v>1.0297029702970297</v>
      </c>
      <c r="AY698" s="14">
        <f>LN(Table1347456[[#This Row],[rr]])</f>
        <v>2.9270382300113237E-2</v>
      </c>
      <c r="AZ698" s="13">
        <v>3</v>
      </c>
      <c r="BA698" s="13">
        <v>3</v>
      </c>
      <c r="BB698" s="14">
        <v>0.05</v>
      </c>
      <c r="BC698" s="14">
        <v>0.03</v>
      </c>
      <c r="BD698" s="15">
        <f>Table1347456[[#This Row],[treatment_se]]*SQRT(Table1347456[[#This Row],[treatment_n]])</f>
        <v>8.6602540378443865E-2</v>
      </c>
      <c r="BE698" s="14">
        <f>Table1347456[[#This Row],[control_se]]*SQRT(Table1347456[[#This Row],[control_n]])</f>
        <v>5.1961524227066312E-2</v>
      </c>
      <c r="BF69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3.193656977010607E-3</v>
      </c>
      <c r="BG698" s="17">
        <f>SQRT(Table1347456[[#This Row],[v_from_sd_and_n]])</f>
        <v>5.6512449752338705E-2</v>
      </c>
      <c r="BH698" s="13" t="s">
        <v>49</v>
      </c>
      <c r="BI698" s="13">
        <v>0.52500000000000002</v>
      </c>
      <c r="BJ698" s="18">
        <f>ABS(_xlfn.NORM.S.INV(Table1347456[[#This Row],[p_value]]/2))</f>
        <v>0.63565701369758276</v>
      </c>
      <c r="BK698" s="19">
        <f>(Table1347456[[#This Row],[lnrr]]/Table1347456[[#This Row],[z_from_p]])^2</f>
        <v>2.1203673247549596E-3</v>
      </c>
      <c r="BL698" s="16">
        <f>Table1347456[[#This Row],[v_from_sd_and_n]]</f>
        <v>3.193656977010607E-3</v>
      </c>
      <c r="BM698" s="20">
        <f>SQRT(Table1347456[[#This Row],[v]])</f>
        <v>5.6512449752338705E-2</v>
      </c>
      <c r="BN698" s="20">
        <f>Table1347456[[#This Row],[lnrr]]-(1.96*Table1347456[[#This Row],[se]])</f>
        <v>-8.1494019214470623E-2</v>
      </c>
      <c r="BO698" s="20">
        <f>Table1347456[[#This Row],[lnrr]]+(1.96 * Table1347456[[#This Row],[se]])</f>
        <v>0.14003478381469708</v>
      </c>
    </row>
    <row r="699" spans="1:67">
      <c r="A699" s="13" t="s">
        <v>250</v>
      </c>
      <c r="B699" s="13" t="s">
        <v>251</v>
      </c>
      <c r="C699" s="13" t="s">
        <v>43</v>
      </c>
      <c r="D699" s="13" t="s">
        <v>252</v>
      </c>
      <c r="E699" s="13" t="s">
        <v>253</v>
      </c>
      <c r="F699" s="13" t="s">
        <v>586</v>
      </c>
      <c r="G699" s="13" t="s">
        <v>46</v>
      </c>
      <c r="H699" s="13">
        <v>29.3</v>
      </c>
      <c r="I699" s="13" t="s">
        <v>46</v>
      </c>
      <c r="K699" s="13" t="s">
        <v>878</v>
      </c>
      <c r="L699" s="13" t="s">
        <v>879</v>
      </c>
      <c r="N699" s="13" t="s">
        <v>121</v>
      </c>
      <c r="O699" s="13" t="s">
        <v>645</v>
      </c>
      <c r="P699" s="13" t="s">
        <v>48</v>
      </c>
      <c r="Q699" s="13" t="s">
        <v>48</v>
      </c>
      <c r="R699" s="4">
        <v>7</v>
      </c>
      <c r="S699" s="13" t="s">
        <v>596</v>
      </c>
      <c r="T699" s="13">
        <v>90</v>
      </c>
      <c r="U699" s="4" t="s">
        <v>186</v>
      </c>
      <c r="V699" s="4">
        <v>500</v>
      </c>
      <c r="W699" s="4" t="s">
        <v>601</v>
      </c>
      <c r="X699" s="4">
        <v>731.57</v>
      </c>
      <c r="Y699" s="4">
        <v>10</v>
      </c>
      <c r="AA699" s="4" t="s">
        <v>49</v>
      </c>
      <c r="AB699" s="4">
        <v>0</v>
      </c>
      <c r="AC699" s="4" t="s">
        <v>49</v>
      </c>
      <c r="AD699" s="4">
        <v>0</v>
      </c>
      <c r="AE699" s="4" t="s">
        <v>49</v>
      </c>
      <c r="AF699" s="4">
        <v>0</v>
      </c>
      <c r="AG699" s="4" t="s">
        <v>731</v>
      </c>
      <c r="AH699" s="4" t="s">
        <v>791</v>
      </c>
      <c r="AI699" s="4" t="s">
        <v>64</v>
      </c>
      <c r="AJ699" s="13">
        <v>0</v>
      </c>
      <c r="AK699" s="13">
        <v>15</v>
      </c>
      <c r="AN699" s="13" t="s">
        <v>518</v>
      </c>
      <c r="AO699" s="13" t="s">
        <v>519</v>
      </c>
      <c r="AP699" s="13" t="s">
        <v>49</v>
      </c>
      <c r="AQ699" s="13" t="s">
        <v>49</v>
      </c>
      <c r="AR699" s="13" t="s">
        <v>49</v>
      </c>
      <c r="AS699" s="13" t="s">
        <v>49</v>
      </c>
      <c r="AT699" s="13" t="s">
        <v>990</v>
      </c>
      <c r="AU699" s="13" t="s">
        <v>998</v>
      </c>
      <c r="AV699" s="14">
        <v>7.96</v>
      </c>
      <c r="AW699" s="14">
        <v>7.91</v>
      </c>
      <c r="AX699" s="14">
        <f>Table1347456[[#This Row],[treatment_mean]]/Table1347456[[#This Row],[control_mean]]</f>
        <v>1.0063211125158027</v>
      </c>
      <c r="AY699" s="14">
        <f>LN(Table1347456[[#This Row],[rr]])</f>
        <v>6.3012180767290553E-3</v>
      </c>
      <c r="AZ699" s="13">
        <v>3</v>
      </c>
      <c r="BA699" s="13">
        <v>3</v>
      </c>
      <c r="BB699" s="14">
        <v>0.06</v>
      </c>
      <c r="BC699" s="14">
        <v>0.1</v>
      </c>
      <c r="BD699" s="15">
        <f>Table1347456[[#This Row],[treatment_se]]*SQRT(Table1347456[[#This Row],[treatment_n]])</f>
        <v>0.10392304845413262</v>
      </c>
      <c r="BE699" s="14">
        <f>Table1347456[[#This Row],[control_se]]*SQRT(Table1347456[[#This Row],[control_n]])</f>
        <v>0.17320508075688773</v>
      </c>
      <c r="BF69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2.1664260080159637E-4</v>
      </c>
      <c r="BG699" s="17">
        <f>SQRT(Table1347456[[#This Row],[v_from_sd_and_n]])</f>
        <v>1.4718783944388761E-2</v>
      </c>
      <c r="BH699" s="13" t="s">
        <v>49</v>
      </c>
      <c r="BI699" s="13">
        <v>0.52500000000000002</v>
      </c>
      <c r="BJ699" s="18">
        <f>ABS(_xlfn.NORM.S.INV(Table1347456[[#This Row],[p_value]]/2))</f>
        <v>0.63565701369758276</v>
      </c>
      <c r="BK699" s="19">
        <f>(Table1347456[[#This Row],[lnrr]]/Table1347456[[#This Row],[z_from_p]])^2</f>
        <v>9.8266012634611887E-5</v>
      </c>
      <c r="BL699" s="16">
        <f>Table1347456[[#This Row],[v_from_sd_and_n]]</f>
        <v>2.1664260080159637E-4</v>
      </c>
      <c r="BM699" s="20">
        <f>SQRT(Table1347456[[#This Row],[v]])</f>
        <v>1.4718783944388761E-2</v>
      </c>
      <c r="BN699" s="20">
        <f>Table1347456[[#This Row],[lnrr]]-(1.96*Table1347456[[#This Row],[se]])</f>
        <v>-2.2547598454272916E-2</v>
      </c>
      <c r="BO699" s="20">
        <f>Table1347456[[#This Row],[lnrr]]+(1.96 * Table1347456[[#This Row],[se]])</f>
        <v>3.5150034607731029E-2</v>
      </c>
    </row>
    <row r="700" spans="1:67">
      <c r="A700" s="13" t="s">
        <v>250</v>
      </c>
      <c r="B700" s="13" t="s">
        <v>251</v>
      </c>
      <c r="C700" s="13" t="s">
        <v>43</v>
      </c>
      <c r="D700" s="13" t="s">
        <v>252</v>
      </c>
      <c r="E700" s="13" t="s">
        <v>253</v>
      </c>
      <c r="F700" s="13" t="s">
        <v>586</v>
      </c>
      <c r="G700" s="13" t="s">
        <v>46</v>
      </c>
      <c r="H700" s="13">
        <v>29.3</v>
      </c>
      <c r="I700" s="13" t="s">
        <v>46</v>
      </c>
      <c r="K700" s="13" t="s">
        <v>878</v>
      </c>
      <c r="L700" s="13" t="s">
        <v>879</v>
      </c>
      <c r="N700" s="13" t="s">
        <v>121</v>
      </c>
      <c r="O700" s="13" t="s">
        <v>645</v>
      </c>
      <c r="P700" s="13" t="s">
        <v>48</v>
      </c>
      <c r="Q700" s="13" t="s">
        <v>48</v>
      </c>
      <c r="R700" s="4">
        <v>7</v>
      </c>
      <c r="S700" s="13" t="s">
        <v>596</v>
      </c>
      <c r="T700" s="13">
        <v>90</v>
      </c>
      <c r="U700" s="4" t="s">
        <v>186</v>
      </c>
      <c r="V700" s="4">
        <v>500</v>
      </c>
      <c r="W700" s="4" t="s">
        <v>601</v>
      </c>
      <c r="X700" s="4">
        <v>731.57</v>
      </c>
      <c r="Y700" s="4">
        <v>20</v>
      </c>
      <c r="AA700" s="4" t="s">
        <v>49</v>
      </c>
      <c r="AB700" s="4">
        <v>0</v>
      </c>
      <c r="AC700" s="4" t="s">
        <v>49</v>
      </c>
      <c r="AD700" s="4">
        <v>0</v>
      </c>
      <c r="AE700" s="4" t="s">
        <v>49</v>
      </c>
      <c r="AF700" s="4">
        <v>0</v>
      </c>
      <c r="AG700" s="4" t="s">
        <v>731</v>
      </c>
      <c r="AH700" s="4" t="s">
        <v>791</v>
      </c>
      <c r="AI700" s="4" t="s">
        <v>64</v>
      </c>
      <c r="AJ700" s="13">
        <v>0</v>
      </c>
      <c r="AK700" s="13">
        <v>15</v>
      </c>
      <c r="AN700" s="13" t="s">
        <v>518</v>
      </c>
      <c r="AO700" s="13" t="s">
        <v>519</v>
      </c>
      <c r="AP700" s="13" t="s">
        <v>49</v>
      </c>
      <c r="AQ700" s="13" t="s">
        <v>49</v>
      </c>
      <c r="AR700" s="13" t="s">
        <v>49</v>
      </c>
      <c r="AS700" s="13" t="s">
        <v>49</v>
      </c>
      <c r="AT700" s="13" t="s">
        <v>990</v>
      </c>
      <c r="AU700" s="13" t="s">
        <v>998</v>
      </c>
      <c r="AV700" s="14">
        <v>7.83</v>
      </c>
      <c r="AW700" s="14">
        <v>7.91</v>
      </c>
      <c r="AX700" s="14">
        <f>Table1347456[[#This Row],[treatment_mean]]/Table1347456[[#This Row],[control_mean]]</f>
        <v>0.98988621997471549</v>
      </c>
      <c r="AY700" s="14">
        <f>LN(Table1347456[[#This Row],[rr]])</f>
        <v>-1.0165271776850835E-2</v>
      </c>
      <c r="AZ700" s="13">
        <v>3</v>
      </c>
      <c r="BA700" s="13">
        <v>3</v>
      </c>
      <c r="BB700" s="14">
        <v>0.05</v>
      </c>
      <c r="BC700" s="14">
        <v>0.1</v>
      </c>
      <c r="BD700" s="15">
        <f>Table1347456[[#This Row],[treatment_se]]*SQRT(Table1347456[[#This Row],[treatment_n]])</f>
        <v>8.6602540378443865E-2</v>
      </c>
      <c r="BE700" s="14">
        <f>Table1347456[[#This Row],[control_se]]*SQRT(Table1347456[[#This Row],[control_n]])</f>
        <v>0.17320508075688773</v>
      </c>
      <c r="BF70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2.0060296767611732E-4</v>
      </c>
      <c r="BG700" s="17">
        <f>SQRT(Table1347456[[#This Row],[v_from_sd_and_n]])</f>
        <v>1.4163437706860483E-2</v>
      </c>
      <c r="BH700" s="13" t="s">
        <v>49</v>
      </c>
      <c r="BI700" s="13">
        <v>0.52500000000000002</v>
      </c>
      <c r="BJ700" s="18">
        <f>ABS(_xlfn.NORM.S.INV(Table1347456[[#This Row],[p_value]]/2))</f>
        <v>0.63565701369758276</v>
      </c>
      <c r="BK700" s="19">
        <f>(Table1347456[[#This Row],[lnrr]]/Table1347456[[#This Row],[z_from_p]])^2</f>
        <v>2.5573625564194452E-4</v>
      </c>
      <c r="BL700" s="16">
        <f>Table1347456[[#This Row],[v_from_sd_and_n]]</f>
        <v>2.0060296767611732E-4</v>
      </c>
      <c r="BM700" s="20">
        <f>SQRT(Table1347456[[#This Row],[v]])</f>
        <v>1.4163437706860483E-2</v>
      </c>
      <c r="BN700" s="20">
        <f>Table1347456[[#This Row],[lnrr]]-(1.96*Table1347456[[#This Row],[se]])</f>
        <v>-3.7925609682297377E-2</v>
      </c>
      <c r="BO700" s="20">
        <f>Table1347456[[#This Row],[lnrr]]+(1.96 * Table1347456[[#This Row],[se]])</f>
        <v>1.759506612859571E-2</v>
      </c>
    </row>
    <row r="701" spans="1:67">
      <c r="A701" s="13" t="s">
        <v>250</v>
      </c>
      <c r="B701" s="13" t="s">
        <v>251</v>
      </c>
      <c r="C701" s="13" t="s">
        <v>43</v>
      </c>
      <c r="D701" s="13" t="s">
        <v>252</v>
      </c>
      <c r="E701" s="13" t="s">
        <v>253</v>
      </c>
      <c r="F701" s="13" t="s">
        <v>586</v>
      </c>
      <c r="G701" s="13" t="s">
        <v>46</v>
      </c>
      <c r="H701" s="13">
        <v>29.3</v>
      </c>
      <c r="I701" s="13" t="s">
        <v>46</v>
      </c>
      <c r="K701" s="13" t="s">
        <v>878</v>
      </c>
      <c r="L701" s="13" t="s">
        <v>879</v>
      </c>
      <c r="N701" s="13" t="s">
        <v>121</v>
      </c>
      <c r="O701" s="13" t="s">
        <v>645</v>
      </c>
      <c r="P701" s="13" t="s">
        <v>48</v>
      </c>
      <c r="Q701" s="13" t="s">
        <v>48</v>
      </c>
      <c r="R701" s="4">
        <v>7</v>
      </c>
      <c r="S701" s="13" t="s">
        <v>596</v>
      </c>
      <c r="T701" s="13">
        <v>90</v>
      </c>
      <c r="U701" s="4" t="s">
        <v>186</v>
      </c>
      <c r="V701" s="4">
        <v>500</v>
      </c>
      <c r="W701" s="4" t="s">
        <v>601</v>
      </c>
      <c r="X701" s="4">
        <v>731.57</v>
      </c>
      <c r="Y701" s="4">
        <v>30</v>
      </c>
      <c r="AA701" s="4" t="s">
        <v>49</v>
      </c>
      <c r="AB701" s="4">
        <v>0</v>
      </c>
      <c r="AC701" s="4" t="s">
        <v>49</v>
      </c>
      <c r="AD701" s="4">
        <v>0</v>
      </c>
      <c r="AE701" s="4" t="s">
        <v>49</v>
      </c>
      <c r="AF701" s="4">
        <v>0</v>
      </c>
      <c r="AG701" s="4" t="s">
        <v>731</v>
      </c>
      <c r="AH701" s="4" t="s">
        <v>791</v>
      </c>
      <c r="AI701" s="4" t="s">
        <v>64</v>
      </c>
      <c r="AJ701" s="13">
        <v>0</v>
      </c>
      <c r="AK701" s="13">
        <v>15</v>
      </c>
      <c r="AN701" s="13" t="s">
        <v>518</v>
      </c>
      <c r="AO701" s="13" t="s">
        <v>519</v>
      </c>
      <c r="AP701" s="13" t="s">
        <v>49</v>
      </c>
      <c r="AQ701" s="13" t="s">
        <v>49</v>
      </c>
      <c r="AR701" s="13" t="s">
        <v>49</v>
      </c>
      <c r="AS701" s="13" t="s">
        <v>49</v>
      </c>
      <c r="AT701" s="13" t="s">
        <v>990</v>
      </c>
      <c r="AU701" s="13" t="s">
        <v>998</v>
      </c>
      <c r="AV701" s="14">
        <v>8.0399999999999991</v>
      </c>
      <c r="AW701" s="14">
        <v>7.91</v>
      </c>
      <c r="AX701" s="14">
        <f>Table1347456[[#This Row],[treatment_mean]]/Table1347456[[#This Row],[control_mean]]</f>
        <v>1.0164348925410871</v>
      </c>
      <c r="AY701" s="14">
        <f>LN(Table1347456[[#This Row],[rr]])</f>
        <v>1.6301301411312367E-2</v>
      </c>
      <c r="AZ701" s="13">
        <v>3</v>
      </c>
      <c r="BA701" s="13">
        <v>3</v>
      </c>
      <c r="BB701" s="14">
        <v>0.12</v>
      </c>
      <c r="BC701" s="14">
        <v>0.1</v>
      </c>
      <c r="BD701" s="15">
        <f>Table1347456[[#This Row],[treatment_se]]*SQRT(Table1347456[[#This Row],[treatment_n]])</f>
        <v>0.20784609690826525</v>
      </c>
      <c r="BE701" s="14">
        <f>Table1347456[[#This Row],[control_se]]*SQRT(Table1347456[[#This Row],[control_n]])</f>
        <v>0.17320508075688773</v>
      </c>
      <c r="BF70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3.8259261694868502E-4</v>
      </c>
      <c r="BG701" s="17">
        <f>SQRT(Table1347456[[#This Row],[v_from_sd_and_n]])</f>
        <v>1.9559974870860263E-2</v>
      </c>
      <c r="BH701" s="13" t="s">
        <v>49</v>
      </c>
      <c r="BI701" s="13">
        <v>0.52500000000000002</v>
      </c>
      <c r="BJ701" s="18">
        <f>ABS(_xlfn.NORM.S.INV(Table1347456[[#This Row],[p_value]]/2))</f>
        <v>0.63565701369758276</v>
      </c>
      <c r="BK701" s="19">
        <f>(Table1347456[[#This Row],[lnrr]]/Table1347456[[#This Row],[z_from_p]])^2</f>
        <v>6.5765612419864611E-4</v>
      </c>
      <c r="BL701" s="16">
        <f>Table1347456[[#This Row],[v_from_sd_and_n]]</f>
        <v>3.8259261694868502E-4</v>
      </c>
      <c r="BM701" s="20">
        <f>SQRT(Table1347456[[#This Row],[v]])</f>
        <v>1.9559974870860263E-2</v>
      </c>
      <c r="BN701" s="20">
        <f>Table1347456[[#This Row],[lnrr]]-(1.96*Table1347456[[#This Row],[se]])</f>
        <v>-2.2036249335573747E-2</v>
      </c>
      <c r="BO701" s="20">
        <f>Table1347456[[#This Row],[lnrr]]+(1.96 * Table1347456[[#This Row],[se]])</f>
        <v>5.4638852158198484E-2</v>
      </c>
    </row>
    <row r="702" spans="1:67">
      <c r="A702" s="13" t="s">
        <v>250</v>
      </c>
      <c r="B702" s="13" t="s">
        <v>251</v>
      </c>
      <c r="C702" s="13" t="s">
        <v>43</v>
      </c>
      <c r="D702" s="13" t="s">
        <v>252</v>
      </c>
      <c r="E702" s="13" t="s">
        <v>253</v>
      </c>
      <c r="F702" s="13" t="s">
        <v>586</v>
      </c>
      <c r="G702" s="13" t="s">
        <v>46</v>
      </c>
      <c r="H702" s="13">
        <v>29.3</v>
      </c>
      <c r="I702" s="13" t="s">
        <v>46</v>
      </c>
      <c r="K702" s="13" t="s">
        <v>878</v>
      </c>
      <c r="L702" s="13" t="s">
        <v>879</v>
      </c>
      <c r="N702" s="13" t="s">
        <v>121</v>
      </c>
      <c r="O702" s="13" t="s">
        <v>645</v>
      </c>
      <c r="P702" s="13" t="s">
        <v>48</v>
      </c>
      <c r="Q702" s="13" t="s">
        <v>48</v>
      </c>
      <c r="R702" s="4">
        <v>7</v>
      </c>
      <c r="S702" s="13" t="s">
        <v>596</v>
      </c>
      <c r="T702" s="13">
        <v>90</v>
      </c>
      <c r="U702" s="4" t="s">
        <v>254</v>
      </c>
      <c r="V702" s="4">
        <v>500</v>
      </c>
      <c r="W702" s="4" t="s">
        <v>601</v>
      </c>
      <c r="X702" s="4">
        <v>521.66</v>
      </c>
      <c r="Y702" s="4">
        <v>10</v>
      </c>
      <c r="AA702" s="4" t="s">
        <v>49</v>
      </c>
      <c r="AB702" s="4">
        <v>0</v>
      </c>
      <c r="AC702" s="4" t="s">
        <v>49</v>
      </c>
      <c r="AD702" s="4">
        <v>0</v>
      </c>
      <c r="AE702" s="4" t="s">
        <v>49</v>
      </c>
      <c r="AF702" s="4">
        <v>0</v>
      </c>
      <c r="AG702" s="4" t="s">
        <v>762</v>
      </c>
      <c r="AH702" s="4" t="s">
        <v>791</v>
      </c>
      <c r="AI702" s="4" t="s">
        <v>64</v>
      </c>
      <c r="AJ702" s="13">
        <v>0</v>
      </c>
      <c r="AK702" s="13">
        <v>15</v>
      </c>
      <c r="AN702" s="13" t="s">
        <v>518</v>
      </c>
      <c r="AO702" s="13" t="s">
        <v>519</v>
      </c>
      <c r="AP702" s="13" t="s">
        <v>49</v>
      </c>
      <c r="AQ702" s="13" t="s">
        <v>49</v>
      </c>
      <c r="AR702" s="13" t="s">
        <v>49</v>
      </c>
      <c r="AS702" s="13" t="s">
        <v>49</v>
      </c>
      <c r="AT702" s="13" t="s">
        <v>990</v>
      </c>
      <c r="AU702" s="13" t="s">
        <v>998</v>
      </c>
      <c r="AV702" s="14">
        <v>7.75</v>
      </c>
      <c r="AW702" s="14">
        <v>7.91</v>
      </c>
      <c r="AX702" s="14">
        <f>Table1347456[[#This Row],[treatment_mean]]/Table1347456[[#This Row],[control_mean]]</f>
        <v>0.97977243994943108</v>
      </c>
      <c r="AY702" s="14">
        <f>LN(Table1347456[[#This Row],[rr]])</f>
        <v>-2.0434938414306894E-2</v>
      </c>
      <c r="AZ702" s="13">
        <v>3</v>
      </c>
      <c r="BA702" s="13">
        <v>3</v>
      </c>
      <c r="BB702" s="14">
        <v>0.08</v>
      </c>
      <c r="BC702" s="14">
        <v>0.1</v>
      </c>
      <c r="BD702" s="15">
        <f>Table1347456[[#This Row],[treatment_se]]*SQRT(Table1347456[[#This Row],[treatment_n]])</f>
        <v>0.13856406460551018</v>
      </c>
      <c r="BE702" s="14">
        <f>Table1347456[[#This Row],[control_se]]*SQRT(Table1347456[[#This Row],[control_n]])</f>
        <v>0.17320508075688773</v>
      </c>
      <c r="BF70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2.6638152492561274E-4</v>
      </c>
      <c r="BG702" s="17">
        <f>SQRT(Table1347456[[#This Row],[v_from_sd_and_n]])</f>
        <v>1.6321198636301586E-2</v>
      </c>
      <c r="BH702" s="13" t="s">
        <v>49</v>
      </c>
      <c r="BI702" s="13">
        <v>0.52500000000000002</v>
      </c>
      <c r="BJ702" s="18">
        <f>ABS(_xlfn.NORM.S.INV(Table1347456[[#This Row],[p_value]]/2))</f>
        <v>0.63565701369758276</v>
      </c>
      <c r="BK702" s="19">
        <f>(Table1347456[[#This Row],[lnrr]]/Table1347456[[#This Row],[z_from_p]])^2</f>
        <v>1.0334773902918868E-3</v>
      </c>
      <c r="BL702" s="16">
        <f>Table1347456[[#This Row],[v_from_sd_and_n]]</f>
        <v>2.6638152492561274E-4</v>
      </c>
      <c r="BM702" s="20">
        <f>SQRT(Table1347456[[#This Row],[v]])</f>
        <v>1.6321198636301586E-2</v>
      </c>
      <c r="BN702" s="20">
        <f>Table1347456[[#This Row],[lnrr]]-(1.96*Table1347456[[#This Row],[se]])</f>
        <v>-5.2424487741458005E-2</v>
      </c>
      <c r="BO702" s="20">
        <f>Table1347456[[#This Row],[lnrr]]+(1.96 * Table1347456[[#This Row],[se]])</f>
        <v>1.1554610912844217E-2</v>
      </c>
    </row>
    <row r="703" spans="1:67">
      <c r="A703" s="13" t="s">
        <v>250</v>
      </c>
      <c r="B703" s="13" t="s">
        <v>251</v>
      </c>
      <c r="C703" s="13" t="s">
        <v>43</v>
      </c>
      <c r="D703" s="13" t="s">
        <v>252</v>
      </c>
      <c r="E703" s="13" t="s">
        <v>253</v>
      </c>
      <c r="F703" s="13" t="s">
        <v>586</v>
      </c>
      <c r="G703" s="13" t="s">
        <v>46</v>
      </c>
      <c r="H703" s="13">
        <v>29.3</v>
      </c>
      <c r="I703" s="13" t="s">
        <v>46</v>
      </c>
      <c r="K703" s="13" t="s">
        <v>878</v>
      </c>
      <c r="L703" s="13" t="s">
        <v>879</v>
      </c>
      <c r="N703" s="13" t="s">
        <v>121</v>
      </c>
      <c r="O703" s="13" t="s">
        <v>645</v>
      </c>
      <c r="P703" s="13" t="s">
        <v>48</v>
      </c>
      <c r="Q703" s="13" t="s">
        <v>48</v>
      </c>
      <c r="R703" s="4">
        <v>7</v>
      </c>
      <c r="S703" s="13" t="s">
        <v>596</v>
      </c>
      <c r="T703" s="13">
        <v>90</v>
      </c>
      <c r="U703" s="4" t="s">
        <v>254</v>
      </c>
      <c r="V703" s="4">
        <v>500</v>
      </c>
      <c r="W703" s="4" t="s">
        <v>601</v>
      </c>
      <c r="X703" s="4">
        <v>521.66</v>
      </c>
      <c r="Y703" s="4">
        <v>20</v>
      </c>
      <c r="AA703" s="4" t="s">
        <v>49</v>
      </c>
      <c r="AB703" s="4">
        <v>0</v>
      </c>
      <c r="AC703" s="4" t="s">
        <v>49</v>
      </c>
      <c r="AD703" s="4">
        <v>0</v>
      </c>
      <c r="AE703" s="4" t="s">
        <v>49</v>
      </c>
      <c r="AF703" s="4">
        <v>0</v>
      </c>
      <c r="AG703" s="4" t="s">
        <v>762</v>
      </c>
      <c r="AH703" s="4" t="s">
        <v>791</v>
      </c>
      <c r="AI703" s="4" t="s">
        <v>64</v>
      </c>
      <c r="AJ703" s="13">
        <v>0</v>
      </c>
      <c r="AK703" s="13">
        <v>15</v>
      </c>
      <c r="AN703" s="13" t="s">
        <v>518</v>
      </c>
      <c r="AO703" s="13" t="s">
        <v>519</v>
      </c>
      <c r="AP703" s="13" t="s">
        <v>49</v>
      </c>
      <c r="AQ703" s="13" t="s">
        <v>49</v>
      </c>
      <c r="AR703" s="13" t="s">
        <v>49</v>
      </c>
      <c r="AS703" s="13" t="s">
        <v>49</v>
      </c>
      <c r="AT703" s="13" t="s">
        <v>990</v>
      </c>
      <c r="AU703" s="13" t="s">
        <v>998</v>
      </c>
      <c r="AV703" s="14">
        <v>8.0399999999999991</v>
      </c>
      <c r="AW703" s="14">
        <v>7.91</v>
      </c>
      <c r="AX703" s="14">
        <f>Table1347456[[#This Row],[treatment_mean]]/Table1347456[[#This Row],[control_mean]]</f>
        <v>1.0164348925410871</v>
      </c>
      <c r="AY703" s="14">
        <f>LN(Table1347456[[#This Row],[rr]])</f>
        <v>1.6301301411312367E-2</v>
      </c>
      <c r="AZ703" s="13">
        <v>3</v>
      </c>
      <c r="BA703" s="13">
        <v>3</v>
      </c>
      <c r="BB703" s="14">
        <v>0.03</v>
      </c>
      <c r="BC703" s="14">
        <v>0.1</v>
      </c>
      <c r="BD703" s="15">
        <f>Table1347456[[#This Row],[treatment_se]]*SQRT(Table1347456[[#This Row],[treatment_n]])</f>
        <v>5.1961524227066312E-2</v>
      </c>
      <c r="BE703" s="14">
        <f>Table1347456[[#This Row],[control_se]]*SQRT(Table1347456[[#This Row],[control_n]])</f>
        <v>0.17320508075688773</v>
      </c>
      <c r="BF70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1.7374877644968744E-4</v>
      </c>
      <c r="BG703" s="17">
        <f>SQRT(Table1347456[[#This Row],[v_from_sd_and_n]])</f>
        <v>1.3181379914473577E-2</v>
      </c>
      <c r="BH703" s="13" t="s">
        <v>49</v>
      </c>
      <c r="BI703" s="13">
        <v>0.52500000000000002</v>
      </c>
      <c r="BJ703" s="18">
        <f>ABS(_xlfn.NORM.S.INV(Table1347456[[#This Row],[p_value]]/2))</f>
        <v>0.63565701369758276</v>
      </c>
      <c r="BK703" s="19">
        <f>(Table1347456[[#This Row],[lnrr]]/Table1347456[[#This Row],[z_from_p]])^2</f>
        <v>6.5765612419864611E-4</v>
      </c>
      <c r="BL703" s="16">
        <f>Table1347456[[#This Row],[v_from_sd_and_n]]</f>
        <v>1.7374877644968744E-4</v>
      </c>
      <c r="BM703" s="20">
        <f>SQRT(Table1347456[[#This Row],[v]])</f>
        <v>1.3181379914473577E-2</v>
      </c>
      <c r="BN703" s="20">
        <f>Table1347456[[#This Row],[lnrr]]-(1.96*Table1347456[[#This Row],[se]])</f>
        <v>-9.5342032210558418E-3</v>
      </c>
      <c r="BO703" s="20">
        <f>Table1347456[[#This Row],[lnrr]]+(1.96 * Table1347456[[#This Row],[se]])</f>
        <v>4.2136806043680572E-2</v>
      </c>
    </row>
    <row r="704" spans="1:67">
      <c r="A704" s="13" t="s">
        <v>250</v>
      </c>
      <c r="B704" s="13" t="s">
        <v>251</v>
      </c>
      <c r="C704" s="13" t="s">
        <v>43</v>
      </c>
      <c r="D704" s="13" t="s">
        <v>252</v>
      </c>
      <c r="E704" s="13" t="s">
        <v>253</v>
      </c>
      <c r="F704" s="13" t="s">
        <v>586</v>
      </c>
      <c r="G704" s="13" t="s">
        <v>46</v>
      </c>
      <c r="H704" s="13">
        <v>29.3</v>
      </c>
      <c r="I704" s="13" t="s">
        <v>46</v>
      </c>
      <c r="K704" s="13" t="s">
        <v>878</v>
      </c>
      <c r="L704" s="13" t="s">
        <v>879</v>
      </c>
      <c r="N704" s="13" t="s">
        <v>121</v>
      </c>
      <c r="O704" s="13" t="s">
        <v>645</v>
      </c>
      <c r="P704" s="13" t="s">
        <v>48</v>
      </c>
      <c r="Q704" s="13" t="s">
        <v>48</v>
      </c>
      <c r="R704" s="4">
        <v>7</v>
      </c>
      <c r="S704" s="13" t="s">
        <v>596</v>
      </c>
      <c r="T704" s="13">
        <v>90</v>
      </c>
      <c r="U704" s="4" t="s">
        <v>254</v>
      </c>
      <c r="V704" s="4">
        <v>500</v>
      </c>
      <c r="W704" s="4" t="s">
        <v>601</v>
      </c>
      <c r="X704" s="4">
        <v>521.66</v>
      </c>
      <c r="Y704" s="4">
        <v>30</v>
      </c>
      <c r="AA704" s="4" t="s">
        <v>49</v>
      </c>
      <c r="AB704" s="4">
        <v>0</v>
      </c>
      <c r="AC704" s="4" t="s">
        <v>49</v>
      </c>
      <c r="AD704" s="4">
        <v>0</v>
      </c>
      <c r="AE704" s="4" t="s">
        <v>49</v>
      </c>
      <c r="AF704" s="4">
        <v>0</v>
      </c>
      <c r="AG704" s="4" t="s">
        <v>762</v>
      </c>
      <c r="AH704" s="4" t="s">
        <v>791</v>
      </c>
      <c r="AI704" s="4" t="s">
        <v>64</v>
      </c>
      <c r="AJ704" s="13">
        <v>0</v>
      </c>
      <c r="AK704" s="13">
        <v>15</v>
      </c>
      <c r="AN704" s="13" t="s">
        <v>518</v>
      </c>
      <c r="AO704" s="13" t="s">
        <v>519</v>
      </c>
      <c r="AP704" s="13" t="s">
        <v>49</v>
      </c>
      <c r="AQ704" s="13" t="s">
        <v>49</v>
      </c>
      <c r="AR704" s="13" t="s">
        <v>49</v>
      </c>
      <c r="AS704" s="13" t="s">
        <v>49</v>
      </c>
      <c r="AT704" s="13" t="s">
        <v>990</v>
      </c>
      <c r="AU704" s="13" t="s">
        <v>998</v>
      </c>
      <c r="AV704" s="14">
        <v>7.98</v>
      </c>
      <c r="AW704" s="14">
        <v>7.91</v>
      </c>
      <c r="AX704" s="14">
        <f>Table1347456[[#This Row],[treatment_mean]]/Table1347456[[#This Row],[control_mean]]</f>
        <v>1.0088495575221239</v>
      </c>
      <c r="AY704" s="14">
        <f>LN(Table1347456[[#This Row],[rr]])</f>
        <v>8.8106296821549059E-3</v>
      </c>
      <c r="AZ704" s="13">
        <v>3</v>
      </c>
      <c r="BA704" s="13">
        <v>3</v>
      </c>
      <c r="BB704" s="14">
        <v>0.08</v>
      </c>
      <c r="BC704" s="14">
        <v>0.1</v>
      </c>
      <c r="BD704" s="15">
        <f>Table1347456[[#This Row],[treatment_se]]*SQRT(Table1347456[[#This Row],[treatment_n]])</f>
        <v>0.13856406460551018</v>
      </c>
      <c r="BE704" s="14">
        <f>Table1347456[[#This Row],[control_se]]*SQRT(Table1347456[[#This Row],[control_n]])</f>
        <v>0.17320508075688773</v>
      </c>
      <c r="BF70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2.603277350193443E-4</v>
      </c>
      <c r="BG704" s="17">
        <f>SQRT(Table1347456[[#This Row],[v_from_sd_and_n]])</f>
        <v>1.6134674927600626E-2</v>
      </c>
      <c r="BH704" s="13" t="s">
        <v>49</v>
      </c>
      <c r="BI704" s="13">
        <v>0.52500000000000002</v>
      </c>
      <c r="BJ704" s="18">
        <f>ABS(_xlfn.NORM.S.INV(Table1347456[[#This Row],[p_value]]/2))</f>
        <v>0.63565701369758276</v>
      </c>
      <c r="BK704" s="19">
        <f>(Table1347456[[#This Row],[lnrr]]/Table1347456[[#This Row],[z_from_p]])^2</f>
        <v>1.9211806740332657E-4</v>
      </c>
      <c r="BL704" s="16">
        <f>Table1347456[[#This Row],[v_from_sd_and_n]]</f>
        <v>2.603277350193443E-4</v>
      </c>
      <c r="BM704" s="20">
        <f>SQRT(Table1347456[[#This Row],[v]])</f>
        <v>1.6134674927600626E-2</v>
      </c>
      <c r="BN704" s="20">
        <f>Table1347456[[#This Row],[lnrr]]-(1.96*Table1347456[[#This Row],[se]])</f>
        <v>-2.2813333175942318E-2</v>
      </c>
      <c r="BO704" s="20">
        <f>Table1347456[[#This Row],[lnrr]]+(1.96 * Table1347456[[#This Row],[se]])</f>
        <v>4.0434592540252126E-2</v>
      </c>
    </row>
    <row r="705" spans="1:67">
      <c r="A705" s="13" t="s">
        <v>250</v>
      </c>
      <c r="B705" s="13" t="s">
        <v>251</v>
      </c>
      <c r="C705" s="13" t="s">
        <v>43</v>
      </c>
      <c r="D705" s="13" t="s">
        <v>252</v>
      </c>
      <c r="E705" s="13" t="s">
        <v>253</v>
      </c>
      <c r="F705" s="13" t="s">
        <v>586</v>
      </c>
      <c r="G705" s="13" t="s">
        <v>46</v>
      </c>
      <c r="H705" s="13">
        <v>29.3</v>
      </c>
      <c r="I705" s="13" t="s">
        <v>46</v>
      </c>
      <c r="K705" s="13" t="s">
        <v>878</v>
      </c>
      <c r="L705" s="13" t="s">
        <v>879</v>
      </c>
      <c r="N705" s="13" t="s">
        <v>255</v>
      </c>
      <c r="O705" s="13" t="s">
        <v>645</v>
      </c>
      <c r="P705" s="13" t="s">
        <v>48</v>
      </c>
      <c r="Q705" s="13" t="s">
        <v>48</v>
      </c>
      <c r="R705" s="4">
        <v>7</v>
      </c>
      <c r="S705" s="13" t="s">
        <v>596</v>
      </c>
      <c r="T705" s="13">
        <v>90</v>
      </c>
      <c r="U705" s="4" t="s">
        <v>186</v>
      </c>
      <c r="V705" s="4">
        <v>500</v>
      </c>
      <c r="W705" s="4" t="s">
        <v>601</v>
      </c>
      <c r="X705" s="4">
        <v>731.57</v>
      </c>
      <c r="Y705" s="4">
        <v>10</v>
      </c>
      <c r="AA705" s="4" t="s">
        <v>49</v>
      </c>
      <c r="AB705" s="4">
        <v>0</v>
      </c>
      <c r="AC705" s="4" t="s">
        <v>49</v>
      </c>
      <c r="AD705" s="4">
        <v>0</v>
      </c>
      <c r="AE705" s="4" t="s">
        <v>49</v>
      </c>
      <c r="AF705" s="4">
        <v>0</v>
      </c>
      <c r="AG705" s="4" t="s">
        <v>731</v>
      </c>
      <c r="AH705" s="4" t="s">
        <v>791</v>
      </c>
      <c r="AI705" s="4" t="s">
        <v>64</v>
      </c>
      <c r="AJ705" s="13">
        <v>0</v>
      </c>
      <c r="AK705" s="13">
        <v>15</v>
      </c>
      <c r="AN705" s="13" t="s">
        <v>518</v>
      </c>
      <c r="AO705" s="13" t="s">
        <v>519</v>
      </c>
      <c r="AP705" s="13" t="s">
        <v>49</v>
      </c>
      <c r="AQ705" s="13" t="s">
        <v>49</v>
      </c>
      <c r="AR705" s="13" t="s">
        <v>49</v>
      </c>
      <c r="AS705" s="13" t="s">
        <v>49</v>
      </c>
      <c r="AT705" s="13" t="s">
        <v>990</v>
      </c>
      <c r="AU705" s="13" t="s">
        <v>998</v>
      </c>
      <c r="AV705" s="14">
        <v>18.940000000000001</v>
      </c>
      <c r="AW705" s="14">
        <v>19.73</v>
      </c>
      <c r="AX705" s="14">
        <f>Table1347456[[#This Row],[treatment_mean]]/Table1347456[[#This Row],[control_mean]]</f>
        <v>0.9599594526102383</v>
      </c>
      <c r="AY705" s="14">
        <f>LN(Table1347456[[#This Row],[rr]])</f>
        <v>-4.0864232276591708E-2</v>
      </c>
      <c r="AZ705" s="13">
        <v>3</v>
      </c>
      <c r="BA705" s="13">
        <v>3</v>
      </c>
      <c r="BB705" s="14">
        <v>0.91</v>
      </c>
      <c r="BC705" s="14">
        <v>1.06</v>
      </c>
      <c r="BD705" s="15">
        <f>Table1347456[[#This Row],[treatment_se]]*SQRT(Table1347456[[#This Row],[treatment_n]])</f>
        <v>1.5761662348876784</v>
      </c>
      <c r="BE705" s="14">
        <f>Table1347456[[#This Row],[control_se]]*SQRT(Table1347456[[#This Row],[control_n]])</f>
        <v>1.8359738560230099</v>
      </c>
      <c r="BF70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5.1948694997396285E-3</v>
      </c>
      <c r="BG705" s="17">
        <f>SQRT(Table1347456[[#This Row],[v_from_sd_and_n]])</f>
        <v>7.2075443111642601E-2</v>
      </c>
      <c r="BH705" s="13" t="s">
        <v>49</v>
      </c>
      <c r="BI705" s="13">
        <v>0.52500000000000002</v>
      </c>
      <c r="BJ705" s="18">
        <f>ABS(_xlfn.NORM.S.INV(Table1347456[[#This Row],[p_value]]/2))</f>
        <v>0.63565701369758276</v>
      </c>
      <c r="BK705" s="19">
        <f>(Table1347456[[#This Row],[lnrr]]/Table1347456[[#This Row],[z_from_p]])^2</f>
        <v>4.1327677688233911E-3</v>
      </c>
      <c r="BL705" s="16">
        <f>Table1347456[[#This Row],[v_from_sd_and_n]]</f>
        <v>5.1948694997396285E-3</v>
      </c>
      <c r="BM705" s="20">
        <f>SQRT(Table1347456[[#This Row],[v]])</f>
        <v>7.2075443111642601E-2</v>
      </c>
      <c r="BN705" s="20">
        <f>Table1347456[[#This Row],[lnrr]]-(1.96*Table1347456[[#This Row],[se]])</f>
        <v>-0.1821321007754112</v>
      </c>
      <c r="BO705" s="20">
        <f>Table1347456[[#This Row],[lnrr]]+(1.96 * Table1347456[[#This Row],[se]])</f>
        <v>0.1004036362222278</v>
      </c>
    </row>
    <row r="706" spans="1:67">
      <c r="A706" s="13" t="s">
        <v>250</v>
      </c>
      <c r="B706" s="13" t="s">
        <v>251</v>
      </c>
      <c r="C706" s="13" t="s">
        <v>43</v>
      </c>
      <c r="D706" s="13" t="s">
        <v>252</v>
      </c>
      <c r="E706" s="13" t="s">
        <v>253</v>
      </c>
      <c r="F706" s="13" t="s">
        <v>586</v>
      </c>
      <c r="G706" s="13" t="s">
        <v>46</v>
      </c>
      <c r="H706" s="13">
        <v>29.3</v>
      </c>
      <c r="I706" s="13" t="s">
        <v>46</v>
      </c>
      <c r="K706" s="13" t="s">
        <v>878</v>
      </c>
      <c r="L706" s="13" t="s">
        <v>879</v>
      </c>
      <c r="N706" s="13" t="s">
        <v>255</v>
      </c>
      <c r="O706" s="13" t="s">
        <v>645</v>
      </c>
      <c r="P706" s="13" t="s">
        <v>48</v>
      </c>
      <c r="Q706" s="13" t="s">
        <v>48</v>
      </c>
      <c r="R706" s="4">
        <v>7</v>
      </c>
      <c r="S706" s="13" t="s">
        <v>596</v>
      </c>
      <c r="T706" s="13">
        <v>90</v>
      </c>
      <c r="U706" s="4" t="s">
        <v>186</v>
      </c>
      <c r="V706" s="4">
        <v>500</v>
      </c>
      <c r="W706" s="4" t="s">
        <v>601</v>
      </c>
      <c r="X706" s="4">
        <v>731.57</v>
      </c>
      <c r="Y706" s="4">
        <v>20</v>
      </c>
      <c r="AA706" s="4" t="s">
        <v>49</v>
      </c>
      <c r="AB706" s="4">
        <v>0</v>
      </c>
      <c r="AC706" s="4" t="s">
        <v>49</v>
      </c>
      <c r="AD706" s="4">
        <v>0</v>
      </c>
      <c r="AE706" s="4" t="s">
        <v>49</v>
      </c>
      <c r="AF706" s="4">
        <v>0</v>
      </c>
      <c r="AG706" s="4" t="s">
        <v>731</v>
      </c>
      <c r="AH706" s="4" t="s">
        <v>791</v>
      </c>
      <c r="AI706" s="4" t="s">
        <v>64</v>
      </c>
      <c r="AJ706" s="13">
        <v>0</v>
      </c>
      <c r="AK706" s="13">
        <v>15</v>
      </c>
      <c r="AN706" s="13" t="s">
        <v>518</v>
      </c>
      <c r="AO706" s="13" t="s">
        <v>519</v>
      </c>
      <c r="AP706" s="13" t="s">
        <v>49</v>
      </c>
      <c r="AQ706" s="13" t="s">
        <v>49</v>
      </c>
      <c r="AR706" s="13" t="s">
        <v>49</v>
      </c>
      <c r="AS706" s="13" t="s">
        <v>49</v>
      </c>
      <c r="AT706" s="13" t="s">
        <v>990</v>
      </c>
      <c r="AU706" s="13" t="s">
        <v>998</v>
      </c>
      <c r="AV706" s="14">
        <v>19.79</v>
      </c>
      <c r="AW706" s="14">
        <v>19.73</v>
      </c>
      <c r="AX706" s="14">
        <f>Table1347456[[#This Row],[treatment_mean]]/Table1347456[[#This Row],[control_mean]]</f>
        <v>1.0030410542321337</v>
      </c>
      <c r="AY706" s="14">
        <f>LN(Table1347456[[#This Row],[rr]])</f>
        <v>3.0364395799503188E-3</v>
      </c>
      <c r="AZ706" s="13">
        <v>3</v>
      </c>
      <c r="BA706" s="13">
        <v>3</v>
      </c>
      <c r="BB706" s="14">
        <v>0.66</v>
      </c>
      <c r="BC706" s="14">
        <v>1.06</v>
      </c>
      <c r="BD706" s="15">
        <f>Table1347456[[#This Row],[treatment_se]]*SQRT(Table1347456[[#This Row],[treatment_n]])</f>
        <v>1.143153532995459</v>
      </c>
      <c r="BE706" s="14">
        <f>Table1347456[[#This Row],[control_se]]*SQRT(Table1347456[[#This Row],[control_n]])</f>
        <v>1.8359738560230099</v>
      </c>
      <c r="BF70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3.9986412361004142E-3</v>
      </c>
      <c r="BG706" s="17">
        <f>SQRT(Table1347456[[#This Row],[v_from_sd_and_n]])</f>
        <v>6.323481031916213E-2</v>
      </c>
      <c r="BH706" s="13" t="s">
        <v>49</v>
      </c>
      <c r="BI706" s="13">
        <v>0.52500000000000002</v>
      </c>
      <c r="BJ706" s="18">
        <f>ABS(_xlfn.NORM.S.INV(Table1347456[[#This Row],[p_value]]/2))</f>
        <v>0.63565701369758276</v>
      </c>
      <c r="BK706" s="19">
        <f>(Table1347456[[#This Row],[lnrr]]/Table1347456[[#This Row],[z_from_p]])^2</f>
        <v>2.2818316574275862E-5</v>
      </c>
      <c r="BL706" s="16">
        <f>Table1347456[[#This Row],[v_from_sd_and_n]]</f>
        <v>3.9986412361004142E-3</v>
      </c>
      <c r="BM706" s="20">
        <f>SQRT(Table1347456[[#This Row],[v]])</f>
        <v>6.323481031916213E-2</v>
      </c>
      <c r="BN706" s="20">
        <f>Table1347456[[#This Row],[lnrr]]-(1.96*Table1347456[[#This Row],[se]])</f>
        <v>-0.12090378864560744</v>
      </c>
      <c r="BO706" s="20">
        <f>Table1347456[[#This Row],[lnrr]]+(1.96 * Table1347456[[#This Row],[se]])</f>
        <v>0.12697666780550809</v>
      </c>
    </row>
    <row r="707" spans="1:67">
      <c r="A707" s="13" t="s">
        <v>250</v>
      </c>
      <c r="B707" s="13" t="s">
        <v>251</v>
      </c>
      <c r="C707" s="13" t="s">
        <v>43</v>
      </c>
      <c r="D707" s="13" t="s">
        <v>252</v>
      </c>
      <c r="E707" s="13" t="s">
        <v>253</v>
      </c>
      <c r="F707" s="13" t="s">
        <v>586</v>
      </c>
      <c r="G707" s="13" t="s">
        <v>46</v>
      </c>
      <c r="H707" s="13">
        <v>29.3</v>
      </c>
      <c r="I707" s="13" t="s">
        <v>46</v>
      </c>
      <c r="K707" s="13" t="s">
        <v>878</v>
      </c>
      <c r="L707" s="13" t="s">
        <v>879</v>
      </c>
      <c r="N707" s="13" t="s">
        <v>255</v>
      </c>
      <c r="O707" s="13" t="s">
        <v>645</v>
      </c>
      <c r="P707" s="13" t="s">
        <v>48</v>
      </c>
      <c r="Q707" s="13" t="s">
        <v>48</v>
      </c>
      <c r="R707" s="4">
        <v>7</v>
      </c>
      <c r="S707" s="13" t="s">
        <v>596</v>
      </c>
      <c r="T707" s="13">
        <v>90</v>
      </c>
      <c r="U707" s="4" t="s">
        <v>186</v>
      </c>
      <c r="V707" s="4">
        <v>500</v>
      </c>
      <c r="W707" s="4" t="s">
        <v>601</v>
      </c>
      <c r="X707" s="4">
        <v>731.57</v>
      </c>
      <c r="Y707" s="4">
        <v>30</v>
      </c>
      <c r="AA707" s="4" t="s">
        <v>49</v>
      </c>
      <c r="AB707" s="4">
        <v>0</v>
      </c>
      <c r="AC707" s="4" t="s">
        <v>49</v>
      </c>
      <c r="AD707" s="4">
        <v>0</v>
      </c>
      <c r="AE707" s="4" t="s">
        <v>49</v>
      </c>
      <c r="AF707" s="4">
        <v>0</v>
      </c>
      <c r="AG707" s="4" t="s">
        <v>731</v>
      </c>
      <c r="AH707" s="4" t="s">
        <v>791</v>
      </c>
      <c r="AI707" s="4" t="s">
        <v>64</v>
      </c>
      <c r="AJ707" s="13">
        <v>0</v>
      </c>
      <c r="AK707" s="13">
        <v>15</v>
      </c>
      <c r="AN707" s="13" t="s">
        <v>518</v>
      </c>
      <c r="AO707" s="13" t="s">
        <v>519</v>
      </c>
      <c r="AP707" s="13" t="s">
        <v>49</v>
      </c>
      <c r="AQ707" s="13" t="s">
        <v>49</v>
      </c>
      <c r="AR707" s="13" t="s">
        <v>49</v>
      </c>
      <c r="AS707" s="13" t="s">
        <v>49</v>
      </c>
      <c r="AT707" s="13" t="s">
        <v>990</v>
      </c>
      <c r="AU707" s="13" t="s">
        <v>998</v>
      </c>
      <c r="AV707" s="14">
        <v>17.87</v>
      </c>
      <c r="AW707" s="14">
        <v>19.73</v>
      </c>
      <c r="AX707" s="14">
        <f>Table1347456[[#This Row],[treatment_mean]]/Table1347456[[#This Row],[control_mean]]</f>
        <v>0.90572731880385204</v>
      </c>
      <c r="AY707" s="14">
        <f>LN(Table1347456[[#This Row],[rr]])</f>
        <v>-9.9016990863187257E-2</v>
      </c>
      <c r="AZ707" s="13">
        <v>3</v>
      </c>
      <c r="BA707" s="13">
        <v>3</v>
      </c>
      <c r="BB707" s="14">
        <v>0.66</v>
      </c>
      <c r="BC707" s="14">
        <v>1.06</v>
      </c>
      <c r="BD707" s="15">
        <f>Table1347456[[#This Row],[treatment_se]]*SQRT(Table1347456[[#This Row],[treatment_n]])</f>
        <v>1.143153532995459</v>
      </c>
      <c r="BE707" s="14">
        <f>Table1347456[[#This Row],[control_se]]*SQRT(Table1347456[[#This Row],[control_n]])</f>
        <v>1.8359738560230099</v>
      </c>
      <c r="BF70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4.2504835622335776E-3</v>
      </c>
      <c r="BG707" s="17">
        <f>SQRT(Table1347456[[#This Row],[v_from_sd_and_n]])</f>
        <v>6.5195732699568437E-2</v>
      </c>
      <c r="BH707" s="13" t="s">
        <v>49</v>
      </c>
      <c r="BI707" s="13">
        <v>0.52500000000000002</v>
      </c>
      <c r="BJ707" s="18">
        <f>ABS(_xlfn.NORM.S.INV(Table1347456[[#This Row],[p_value]]/2))</f>
        <v>0.63565701369758276</v>
      </c>
      <c r="BK707" s="19">
        <f>(Table1347456[[#This Row],[lnrr]]/Table1347456[[#This Row],[z_from_p]])^2</f>
        <v>2.4264634917288974E-2</v>
      </c>
      <c r="BL707" s="16">
        <f>Table1347456[[#This Row],[v_from_sd_and_n]]</f>
        <v>4.2504835622335776E-3</v>
      </c>
      <c r="BM707" s="20">
        <f>SQRT(Table1347456[[#This Row],[v]])</f>
        <v>6.5195732699568437E-2</v>
      </c>
      <c r="BN707" s="20">
        <f>Table1347456[[#This Row],[lnrr]]-(1.96*Table1347456[[#This Row],[se]])</f>
        <v>-0.22680062695434139</v>
      </c>
      <c r="BO707" s="20">
        <f>Table1347456[[#This Row],[lnrr]]+(1.96 * Table1347456[[#This Row],[se]])</f>
        <v>2.8766645227966889E-2</v>
      </c>
    </row>
    <row r="708" spans="1:67">
      <c r="A708" s="13" t="s">
        <v>250</v>
      </c>
      <c r="B708" s="13" t="s">
        <v>251</v>
      </c>
      <c r="C708" s="13" t="s">
        <v>43</v>
      </c>
      <c r="D708" s="13" t="s">
        <v>252</v>
      </c>
      <c r="E708" s="13" t="s">
        <v>253</v>
      </c>
      <c r="F708" s="13" t="s">
        <v>586</v>
      </c>
      <c r="G708" s="13" t="s">
        <v>46</v>
      </c>
      <c r="H708" s="13">
        <v>29.3</v>
      </c>
      <c r="I708" s="13" t="s">
        <v>46</v>
      </c>
      <c r="K708" s="13" t="s">
        <v>878</v>
      </c>
      <c r="L708" s="13" t="s">
        <v>879</v>
      </c>
      <c r="N708" s="13" t="s">
        <v>255</v>
      </c>
      <c r="O708" s="13" t="s">
        <v>645</v>
      </c>
      <c r="P708" s="13" t="s">
        <v>48</v>
      </c>
      <c r="Q708" s="13" t="s">
        <v>48</v>
      </c>
      <c r="R708" s="4">
        <v>7</v>
      </c>
      <c r="S708" s="13" t="s">
        <v>596</v>
      </c>
      <c r="T708" s="13">
        <v>90</v>
      </c>
      <c r="U708" s="4" t="s">
        <v>254</v>
      </c>
      <c r="V708" s="4">
        <v>500</v>
      </c>
      <c r="W708" s="4" t="s">
        <v>601</v>
      </c>
      <c r="X708" s="4">
        <v>521.66</v>
      </c>
      <c r="Y708" s="4">
        <v>10</v>
      </c>
      <c r="AA708" s="4" t="s">
        <v>49</v>
      </c>
      <c r="AB708" s="4">
        <v>0</v>
      </c>
      <c r="AC708" s="4" t="s">
        <v>49</v>
      </c>
      <c r="AD708" s="4">
        <v>0</v>
      </c>
      <c r="AE708" s="4" t="s">
        <v>49</v>
      </c>
      <c r="AF708" s="4">
        <v>0</v>
      </c>
      <c r="AG708" s="4" t="s">
        <v>762</v>
      </c>
      <c r="AH708" s="4" t="s">
        <v>791</v>
      </c>
      <c r="AI708" s="4" t="s">
        <v>64</v>
      </c>
      <c r="AJ708" s="13">
        <v>0</v>
      </c>
      <c r="AK708" s="13">
        <v>15</v>
      </c>
      <c r="AN708" s="13" t="s">
        <v>518</v>
      </c>
      <c r="AO708" s="13" t="s">
        <v>519</v>
      </c>
      <c r="AP708" s="13" t="s">
        <v>49</v>
      </c>
      <c r="AQ708" s="13" t="s">
        <v>49</v>
      </c>
      <c r="AR708" s="13" t="s">
        <v>49</v>
      </c>
      <c r="AS708" s="13" t="s">
        <v>49</v>
      </c>
      <c r="AT708" s="13" t="s">
        <v>990</v>
      </c>
      <c r="AU708" s="13" t="s">
        <v>998</v>
      </c>
      <c r="AV708" s="14">
        <v>20.38</v>
      </c>
      <c r="AW708" s="14">
        <v>19.73</v>
      </c>
      <c r="AX708" s="14">
        <f>Table1347456[[#This Row],[treatment_mean]]/Table1347456[[#This Row],[control_mean]]</f>
        <v>1.0329447541814496</v>
      </c>
      <c r="AY708" s="14">
        <f>LN(Table1347456[[#This Row],[rr]])</f>
        <v>3.2413707760054804E-2</v>
      </c>
      <c r="AZ708" s="13">
        <v>3</v>
      </c>
      <c r="BA708" s="13">
        <v>3</v>
      </c>
      <c r="BB708" s="14">
        <v>0.63</v>
      </c>
      <c r="BC708" s="14">
        <v>1.06</v>
      </c>
      <c r="BD708" s="15">
        <f>Table1347456[[#This Row],[treatment_se]]*SQRT(Table1347456[[#This Row],[treatment_n]])</f>
        <v>1.0911920087683926</v>
      </c>
      <c r="BE708" s="14">
        <f>Table1347456[[#This Row],[control_se]]*SQRT(Table1347456[[#This Row],[control_n]])</f>
        <v>1.8359738560230099</v>
      </c>
      <c r="BF70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3.8419994552197642E-3</v>
      </c>
      <c r="BG708" s="17">
        <f>SQRT(Table1347456[[#This Row],[v_from_sd_and_n]])</f>
        <v>6.198386447471442E-2</v>
      </c>
      <c r="BH708" s="13" t="s">
        <v>49</v>
      </c>
      <c r="BI708" s="13">
        <v>0.52500000000000002</v>
      </c>
      <c r="BJ708" s="18">
        <f>ABS(_xlfn.NORM.S.INV(Table1347456[[#This Row],[p_value]]/2))</f>
        <v>0.63565701369758276</v>
      </c>
      <c r="BK708" s="19">
        <f>(Table1347456[[#This Row],[lnrr]]/Table1347456[[#This Row],[z_from_p]])^2</f>
        <v>2.6002298401910894E-3</v>
      </c>
      <c r="BL708" s="16">
        <f>Table1347456[[#This Row],[v_from_sd_and_n]]</f>
        <v>3.8419994552197642E-3</v>
      </c>
      <c r="BM708" s="20">
        <f>SQRT(Table1347456[[#This Row],[v]])</f>
        <v>6.198386447471442E-2</v>
      </c>
      <c r="BN708" s="20">
        <f>Table1347456[[#This Row],[lnrr]]-(1.96*Table1347456[[#This Row],[se]])</f>
        <v>-8.9074666610385461E-2</v>
      </c>
      <c r="BO708" s="20">
        <f>Table1347456[[#This Row],[lnrr]]+(1.96 * Table1347456[[#This Row],[se]])</f>
        <v>0.15390208213049505</v>
      </c>
    </row>
    <row r="709" spans="1:67">
      <c r="A709" s="13" t="s">
        <v>250</v>
      </c>
      <c r="B709" s="13" t="s">
        <v>251</v>
      </c>
      <c r="C709" s="13" t="s">
        <v>43</v>
      </c>
      <c r="D709" s="13" t="s">
        <v>252</v>
      </c>
      <c r="E709" s="13" t="s">
        <v>253</v>
      </c>
      <c r="F709" s="13" t="s">
        <v>586</v>
      </c>
      <c r="G709" s="13" t="s">
        <v>46</v>
      </c>
      <c r="H709" s="13">
        <v>29.3</v>
      </c>
      <c r="I709" s="13" t="s">
        <v>46</v>
      </c>
      <c r="K709" s="13" t="s">
        <v>878</v>
      </c>
      <c r="L709" s="13" t="s">
        <v>879</v>
      </c>
      <c r="N709" s="13" t="s">
        <v>255</v>
      </c>
      <c r="O709" s="13" t="s">
        <v>645</v>
      </c>
      <c r="P709" s="13" t="s">
        <v>48</v>
      </c>
      <c r="Q709" s="13" t="s">
        <v>48</v>
      </c>
      <c r="R709" s="4">
        <v>7</v>
      </c>
      <c r="S709" s="13" t="s">
        <v>596</v>
      </c>
      <c r="T709" s="13">
        <v>90</v>
      </c>
      <c r="U709" s="4" t="s">
        <v>254</v>
      </c>
      <c r="V709" s="4">
        <v>500</v>
      </c>
      <c r="W709" s="4" t="s">
        <v>601</v>
      </c>
      <c r="X709" s="4">
        <v>521.66</v>
      </c>
      <c r="Y709" s="4">
        <v>20</v>
      </c>
      <c r="AA709" s="4" t="s">
        <v>49</v>
      </c>
      <c r="AB709" s="4">
        <v>0</v>
      </c>
      <c r="AC709" s="4" t="s">
        <v>49</v>
      </c>
      <c r="AD709" s="4">
        <v>0</v>
      </c>
      <c r="AE709" s="4" t="s">
        <v>49</v>
      </c>
      <c r="AF709" s="4">
        <v>0</v>
      </c>
      <c r="AG709" s="4" t="s">
        <v>762</v>
      </c>
      <c r="AH709" s="4" t="s">
        <v>791</v>
      </c>
      <c r="AI709" s="4" t="s">
        <v>64</v>
      </c>
      <c r="AJ709" s="13">
        <v>0</v>
      </c>
      <c r="AK709" s="13">
        <v>15</v>
      </c>
      <c r="AN709" s="13" t="s">
        <v>518</v>
      </c>
      <c r="AO709" s="13" t="s">
        <v>519</v>
      </c>
      <c r="AP709" s="13" t="s">
        <v>49</v>
      </c>
      <c r="AQ709" s="13" t="s">
        <v>49</v>
      </c>
      <c r="AR709" s="13" t="s">
        <v>49</v>
      </c>
      <c r="AS709" s="13" t="s">
        <v>49</v>
      </c>
      <c r="AT709" s="13" t="s">
        <v>990</v>
      </c>
      <c r="AU709" s="13" t="s">
        <v>998</v>
      </c>
      <c r="AV709" s="14">
        <v>21.61</v>
      </c>
      <c r="AW709" s="14">
        <v>19.73</v>
      </c>
      <c r="AX709" s="14">
        <f>Table1347456[[#This Row],[treatment_mean]]/Table1347456[[#This Row],[control_mean]]</f>
        <v>1.0952863659401926</v>
      </c>
      <c r="AY709" s="14">
        <f>LN(Table1347456[[#This Row],[rr]])</f>
        <v>9.1015850484270605E-2</v>
      </c>
      <c r="AZ709" s="13">
        <v>3</v>
      </c>
      <c r="BA709" s="13">
        <v>3</v>
      </c>
      <c r="BB709" s="14">
        <v>1.55</v>
      </c>
      <c r="BC709" s="14">
        <v>1.06</v>
      </c>
      <c r="BD709" s="15">
        <f>Table1347456[[#This Row],[treatment_se]]*SQRT(Table1347456[[#This Row],[treatment_n]])</f>
        <v>2.6846787517317598</v>
      </c>
      <c r="BE709" s="14">
        <f>Table1347456[[#This Row],[control_se]]*SQRT(Table1347456[[#This Row],[control_n]])</f>
        <v>1.8359738560230099</v>
      </c>
      <c r="BF70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8.0310335832843895E-3</v>
      </c>
      <c r="BG709" s="17">
        <f>SQRT(Table1347456[[#This Row],[v_from_sd_and_n]])</f>
        <v>8.9616034186323981E-2</v>
      </c>
      <c r="BH709" s="13" t="s">
        <v>49</v>
      </c>
      <c r="BI709" s="13">
        <v>0.52500000000000002</v>
      </c>
      <c r="BJ709" s="18">
        <f>ABS(_xlfn.NORM.S.INV(Table1347456[[#This Row],[p_value]]/2))</f>
        <v>0.63565701369758276</v>
      </c>
      <c r="BK709" s="19">
        <f>(Table1347456[[#This Row],[lnrr]]/Table1347456[[#This Row],[z_from_p]])^2</f>
        <v>2.0501629309625485E-2</v>
      </c>
      <c r="BL709" s="16">
        <f>Table1347456[[#This Row],[v_from_sd_and_n]]</f>
        <v>8.0310335832843895E-3</v>
      </c>
      <c r="BM709" s="20">
        <f>SQRT(Table1347456[[#This Row],[v]])</f>
        <v>8.9616034186323981E-2</v>
      </c>
      <c r="BN709" s="20">
        <f>Table1347456[[#This Row],[lnrr]]-(1.96*Table1347456[[#This Row],[se]])</f>
        <v>-8.4631576520924401E-2</v>
      </c>
      <c r="BO709" s="20">
        <f>Table1347456[[#This Row],[lnrr]]+(1.96 * Table1347456[[#This Row],[se]])</f>
        <v>0.26666327748946561</v>
      </c>
    </row>
    <row r="710" spans="1:67">
      <c r="A710" s="13" t="s">
        <v>250</v>
      </c>
      <c r="B710" s="13" t="s">
        <v>251</v>
      </c>
      <c r="C710" s="13" t="s">
        <v>43</v>
      </c>
      <c r="D710" s="13" t="s">
        <v>252</v>
      </c>
      <c r="E710" s="13" t="s">
        <v>253</v>
      </c>
      <c r="F710" s="13" t="s">
        <v>586</v>
      </c>
      <c r="G710" s="13" t="s">
        <v>46</v>
      </c>
      <c r="H710" s="13">
        <v>29.3</v>
      </c>
      <c r="I710" s="13" t="s">
        <v>46</v>
      </c>
      <c r="K710" s="13" t="s">
        <v>878</v>
      </c>
      <c r="L710" s="13" t="s">
        <v>879</v>
      </c>
      <c r="N710" s="13" t="s">
        <v>255</v>
      </c>
      <c r="O710" s="13" t="s">
        <v>645</v>
      </c>
      <c r="P710" s="13" t="s">
        <v>48</v>
      </c>
      <c r="Q710" s="13" t="s">
        <v>48</v>
      </c>
      <c r="R710" s="4">
        <v>7</v>
      </c>
      <c r="S710" s="13" t="s">
        <v>596</v>
      </c>
      <c r="T710" s="13">
        <v>90</v>
      </c>
      <c r="U710" s="4" t="s">
        <v>254</v>
      </c>
      <c r="V710" s="4">
        <v>500</v>
      </c>
      <c r="W710" s="4" t="s">
        <v>601</v>
      </c>
      <c r="X710" s="4">
        <v>521.66</v>
      </c>
      <c r="Y710" s="4">
        <v>30</v>
      </c>
      <c r="AA710" s="4" t="s">
        <v>49</v>
      </c>
      <c r="AB710" s="4">
        <v>0</v>
      </c>
      <c r="AC710" s="4" t="s">
        <v>49</v>
      </c>
      <c r="AD710" s="4">
        <v>0</v>
      </c>
      <c r="AE710" s="4" t="s">
        <v>49</v>
      </c>
      <c r="AF710" s="4">
        <v>0</v>
      </c>
      <c r="AG710" s="4" t="s">
        <v>762</v>
      </c>
      <c r="AH710" s="4" t="s">
        <v>791</v>
      </c>
      <c r="AI710" s="4" t="s">
        <v>64</v>
      </c>
      <c r="AJ710" s="13">
        <v>0</v>
      </c>
      <c r="AK710" s="13">
        <v>15</v>
      </c>
      <c r="AN710" s="13" t="s">
        <v>518</v>
      </c>
      <c r="AO710" s="13" t="s">
        <v>519</v>
      </c>
      <c r="AP710" s="13" t="s">
        <v>49</v>
      </c>
      <c r="AQ710" s="13" t="s">
        <v>49</v>
      </c>
      <c r="AR710" s="13" t="s">
        <v>49</v>
      </c>
      <c r="AS710" s="13" t="s">
        <v>49</v>
      </c>
      <c r="AT710" s="13" t="s">
        <v>990</v>
      </c>
      <c r="AU710" s="13" t="s">
        <v>998</v>
      </c>
      <c r="AV710" s="14">
        <v>21.27</v>
      </c>
      <c r="AW710" s="14">
        <v>19.73</v>
      </c>
      <c r="AX710" s="14">
        <f>Table1347456[[#This Row],[treatment_mean]]/Table1347456[[#This Row],[control_mean]]</f>
        <v>1.0780537252914344</v>
      </c>
      <c r="AY710" s="14">
        <f>LN(Table1347456[[#This Row],[rr]])</f>
        <v>7.5157309177621867E-2</v>
      </c>
      <c r="AZ710" s="13">
        <v>3</v>
      </c>
      <c r="BA710" s="13">
        <v>3</v>
      </c>
      <c r="BB710" s="14">
        <v>1.43</v>
      </c>
      <c r="BC710" s="14">
        <v>1.06</v>
      </c>
      <c r="BD710" s="15">
        <f>Table1347456[[#This Row],[treatment_se]]*SQRT(Table1347456[[#This Row],[treatment_n]])</f>
        <v>2.4768326548234945</v>
      </c>
      <c r="BE710" s="14">
        <f>Table1347456[[#This Row],[control_se]]*SQRT(Table1347456[[#This Row],[control_n]])</f>
        <v>1.8359738560230099</v>
      </c>
      <c r="BF71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7.4063929966920071E-3</v>
      </c>
      <c r="BG710" s="17">
        <f>SQRT(Table1347456[[#This Row],[v_from_sd_and_n]])</f>
        <v>8.606040318690128E-2</v>
      </c>
      <c r="BH710" s="13" t="s">
        <v>49</v>
      </c>
      <c r="BI710" s="13">
        <v>0.52500000000000002</v>
      </c>
      <c r="BJ710" s="18">
        <f>ABS(_xlfn.NORM.S.INV(Table1347456[[#This Row],[p_value]]/2))</f>
        <v>0.63565701369758276</v>
      </c>
      <c r="BK710" s="19">
        <f>(Table1347456[[#This Row],[lnrr]]/Table1347456[[#This Row],[z_from_p]])^2</f>
        <v>1.3979664833606289E-2</v>
      </c>
      <c r="BL710" s="16">
        <f>Table1347456[[#This Row],[v_from_sd_and_n]]</f>
        <v>7.4063929966920071E-3</v>
      </c>
      <c r="BM710" s="20">
        <f>SQRT(Table1347456[[#This Row],[v]])</f>
        <v>8.606040318690128E-2</v>
      </c>
      <c r="BN710" s="20">
        <f>Table1347456[[#This Row],[lnrr]]-(1.96*Table1347456[[#This Row],[se]])</f>
        <v>-9.3521081068704631E-2</v>
      </c>
      <c r="BO710" s="20">
        <f>Table1347456[[#This Row],[lnrr]]+(1.96 * Table1347456[[#This Row],[se]])</f>
        <v>0.24383569942394837</v>
      </c>
    </row>
    <row r="711" spans="1:67">
      <c r="A711" s="13" t="s">
        <v>250</v>
      </c>
      <c r="B711" s="13" t="s">
        <v>251</v>
      </c>
      <c r="C711" s="13" t="s">
        <v>43</v>
      </c>
      <c r="D711" s="13" t="s">
        <v>252</v>
      </c>
      <c r="E711" s="13" t="s">
        <v>253</v>
      </c>
      <c r="F711" s="13" t="s">
        <v>586</v>
      </c>
      <c r="G711" s="13" t="s">
        <v>46</v>
      </c>
      <c r="H711" s="13">
        <v>29.3</v>
      </c>
      <c r="I711" s="13" t="s">
        <v>46</v>
      </c>
      <c r="J711" s="13" t="s">
        <v>656</v>
      </c>
      <c r="K711" s="13" t="s">
        <v>878</v>
      </c>
      <c r="L711" s="13" t="s">
        <v>879</v>
      </c>
      <c r="M711" s="13" t="s">
        <v>803</v>
      </c>
      <c r="N711" s="13" t="s">
        <v>256</v>
      </c>
      <c r="O711" s="13" t="s">
        <v>645</v>
      </c>
      <c r="P711" s="13" t="s">
        <v>48</v>
      </c>
      <c r="Q711" s="13" t="s">
        <v>48</v>
      </c>
      <c r="R711" s="4">
        <v>7</v>
      </c>
      <c r="S711" s="13" t="s">
        <v>596</v>
      </c>
      <c r="T711" s="13">
        <v>90</v>
      </c>
      <c r="U711" s="4" t="s">
        <v>186</v>
      </c>
      <c r="V711" s="4">
        <v>500</v>
      </c>
      <c r="W711" s="4" t="s">
        <v>601</v>
      </c>
      <c r="X711" s="4">
        <v>731.57</v>
      </c>
      <c r="Y711" s="4">
        <v>10</v>
      </c>
      <c r="AA711" s="4" t="s">
        <v>49</v>
      </c>
      <c r="AB711" s="4">
        <v>0</v>
      </c>
      <c r="AC711" s="4" t="s">
        <v>49</v>
      </c>
      <c r="AD711" s="4">
        <v>0</v>
      </c>
      <c r="AE711" s="4" t="s">
        <v>49</v>
      </c>
      <c r="AF711" s="4">
        <v>0</v>
      </c>
      <c r="AG711" s="4" t="s">
        <v>731</v>
      </c>
      <c r="AH711" s="4" t="s">
        <v>791</v>
      </c>
      <c r="AI711" s="4" t="s">
        <v>64</v>
      </c>
      <c r="AJ711" s="13">
        <v>0</v>
      </c>
      <c r="AK711" s="13">
        <v>15</v>
      </c>
      <c r="AN711" s="13" t="s">
        <v>518</v>
      </c>
      <c r="AO711" s="13" t="s">
        <v>519</v>
      </c>
      <c r="AP711" s="13" t="s">
        <v>49</v>
      </c>
      <c r="AQ711" s="13" t="s">
        <v>49</v>
      </c>
      <c r="AR711" s="13" t="s">
        <v>49</v>
      </c>
      <c r="AS711" s="13" t="s">
        <v>49</v>
      </c>
      <c r="AT711" s="13" t="s">
        <v>990</v>
      </c>
      <c r="AU711" s="13" t="s">
        <v>998</v>
      </c>
      <c r="AV711" s="23">
        <v>1.43</v>
      </c>
      <c r="AW711" s="23">
        <v>1.52</v>
      </c>
      <c r="AX711" s="14">
        <f>Table1347456[[#This Row],[treatment_mean]]/Table1347456[[#This Row],[control_mean]]</f>
        <v>0.94078947368421051</v>
      </c>
      <c r="AY711" s="14">
        <f>LN(Table1347456[[#This Row],[rr]])</f>
        <v>-6.1035890586369129E-2</v>
      </c>
      <c r="AZ711" s="13">
        <v>3</v>
      </c>
      <c r="BA711" s="13">
        <v>3</v>
      </c>
      <c r="BB711" s="14">
        <v>0.15</v>
      </c>
      <c r="BC711" s="14">
        <v>0.2</v>
      </c>
      <c r="BD711" s="15">
        <f>Table1347456[[#This Row],[treatment_se]]*SQRT(Table1347456[[#This Row],[treatment_n]])</f>
        <v>0.25980762113533157</v>
      </c>
      <c r="BE711" s="14">
        <f>Table1347456[[#This Row],[control_se]]*SQRT(Table1347456[[#This Row],[control_n]])</f>
        <v>0.34641016151377546</v>
      </c>
      <c r="BF71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2.8316002421536774E-2</v>
      </c>
      <c r="BG711" s="17">
        <f>SQRT(Table1347456[[#This Row],[v_from_sd_and_n]])</f>
        <v>0.16827359395204219</v>
      </c>
      <c r="BH711" s="13" t="s">
        <v>49</v>
      </c>
      <c r="BI711" s="13">
        <v>0.52500000000000002</v>
      </c>
      <c r="BJ711" s="18">
        <f>ABS(_xlfn.NORM.S.INV(Table1347456[[#This Row],[p_value]]/2))</f>
        <v>0.63565701369758276</v>
      </c>
      <c r="BK711" s="19">
        <f>(Table1347456[[#This Row],[lnrr]]/Table1347456[[#This Row],[z_from_p]])^2</f>
        <v>9.2198718593535529E-3</v>
      </c>
      <c r="BL711" s="16">
        <f>Table1347456[[#This Row],[v_from_sd_and_n]]</f>
        <v>2.8316002421536774E-2</v>
      </c>
      <c r="BM711" s="20">
        <f>SQRT(Table1347456[[#This Row],[v]])</f>
        <v>0.16827359395204219</v>
      </c>
      <c r="BN711" s="20">
        <f>Table1347456[[#This Row],[lnrr]]-(1.96*Table1347456[[#This Row],[se]])</f>
        <v>-0.39085213473237179</v>
      </c>
      <c r="BO711" s="20">
        <f>Table1347456[[#This Row],[lnrr]]+(1.96 * Table1347456[[#This Row],[se]])</f>
        <v>0.26878035355963359</v>
      </c>
    </row>
    <row r="712" spans="1:67">
      <c r="A712" s="13" t="s">
        <v>250</v>
      </c>
      <c r="B712" s="13" t="s">
        <v>251</v>
      </c>
      <c r="C712" s="13" t="s">
        <v>43</v>
      </c>
      <c r="D712" s="13" t="s">
        <v>252</v>
      </c>
      <c r="E712" s="13" t="s">
        <v>253</v>
      </c>
      <c r="F712" s="13" t="s">
        <v>586</v>
      </c>
      <c r="G712" s="13" t="s">
        <v>46</v>
      </c>
      <c r="H712" s="13">
        <v>29.3</v>
      </c>
      <c r="I712" s="13" t="s">
        <v>46</v>
      </c>
      <c r="J712" s="13" t="s">
        <v>656</v>
      </c>
      <c r="K712" s="13" t="s">
        <v>878</v>
      </c>
      <c r="L712" s="13" t="s">
        <v>879</v>
      </c>
      <c r="M712" s="13" t="s">
        <v>803</v>
      </c>
      <c r="N712" s="13" t="s">
        <v>256</v>
      </c>
      <c r="O712" s="13" t="s">
        <v>645</v>
      </c>
      <c r="P712" s="13" t="s">
        <v>48</v>
      </c>
      <c r="Q712" s="13" t="s">
        <v>48</v>
      </c>
      <c r="R712" s="4">
        <v>7</v>
      </c>
      <c r="S712" s="13" t="s">
        <v>596</v>
      </c>
      <c r="T712" s="13">
        <v>90</v>
      </c>
      <c r="U712" s="4" t="s">
        <v>186</v>
      </c>
      <c r="V712" s="4">
        <v>500</v>
      </c>
      <c r="W712" s="4" t="s">
        <v>601</v>
      </c>
      <c r="X712" s="4">
        <v>731.57</v>
      </c>
      <c r="Y712" s="4">
        <v>20</v>
      </c>
      <c r="AA712" s="4" t="s">
        <v>49</v>
      </c>
      <c r="AB712" s="4">
        <v>0</v>
      </c>
      <c r="AC712" s="4" t="s">
        <v>49</v>
      </c>
      <c r="AD712" s="4">
        <v>0</v>
      </c>
      <c r="AE712" s="4" t="s">
        <v>49</v>
      </c>
      <c r="AF712" s="4">
        <v>0</v>
      </c>
      <c r="AG712" s="4" t="s">
        <v>731</v>
      </c>
      <c r="AH712" s="4" t="s">
        <v>791</v>
      </c>
      <c r="AI712" s="4" t="s">
        <v>64</v>
      </c>
      <c r="AJ712" s="13">
        <v>0</v>
      </c>
      <c r="AK712" s="13">
        <v>15</v>
      </c>
      <c r="AN712" s="13" t="s">
        <v>518</v>
      </c>
      <c r="AO712" s="13" t="s">
        <v>519</v>
      </c>
      <c r="AP712" s="13" t="s">
        <v>49</v>
      </c>
      <c r="AQ712" s="13" t="s">
        <v>49</v>
      </c>
      <c r="AR712" s="13" t="s">
        <v>49</v>
      </c>
      <c r="AS712" s="13" t="s">
        <v>49</v>
      </c>
      <c r="AT712" s="13" t="s">
        <v>990</v>
      </c>
      <c r="AU712" s="13" t="s">
        <v>998</v>
      </c>
      <c r="AV712" s="23">
        <v>1.44</v>
      </c>
      <c r="AW712" s="23">
        <v>1.52</v>
      </c>
      <c r="AX712" s="14">
        <f>Table1347456[[#This Row],[treatment_mean]]/Table1347456[[#This Row],[control_mean]]</f>
        <v>0.94736842105263153</v>
      </c>
      <c r="AY712" s="14">
        <f>LN(Table1347456[[#This Row],[rr]])</f>
        <v>-5.4067221270275821E-2</v>
      </c>
      <c r="AZ712" s="13">
        <v>3</v>
      </c>
      <c r="BA712" s="13">
        <v>3</v>
      </c>
      <c r="BB712" s="14">
        <v>0.14000000000000001</v>
      </c>
      <c r="BC712" s="14">
        <v>0.2</v>
      </c>
      <c r="BD712" s="15">
        <f>Table1347456[[#This Row],[treatment_se]]*SQRT(Table1347456[[#This Row],[treatment_n]])</f>
        <v>0.24248711305964282</v>
      </c>
      <c r="BE712" s="14">
        <f>Table1347456[[#This Row],[control_se]]*SQRT(Table1347456[[#This Row],[control_n]])</f>
        <v>0.34641016151377546</v>
      </c>
      <c r="BF71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2.6765179884408876E-2</v>
      </c>
      <c r="BG712" s="17">
        <f>SQRT(Table1347456[[#This Row],[v_from_sd_and_n]])</f>
        <v>0.16360067201698431</v>
      </c>
      <c r="BH712" s="13" t="s">
        <v>49</v>
      </c>
      <c r="BI712" s="13">
        <v>0.52500000000000002</v>
      </c>
      <c r="BJ712" s="18">
        <f>ABS(_xlfn.NORM.S.INV(Table1347456[[#This Row],[p_value]]/2))</f>
        <v>0.63565701369758276</v>
      </c>
      <c r="BK712" s="19">
        <f>(Table1347456[[#This Row],[lnrr]]/Table1347456[[#This Row],[z_from_p]])^2</f>
        <v>7.2347314265838051E-3</v>
      </c>
      <c r="BL712" s="16">
        <f>Table1347456[[#This Row],[v_from_sd_and_n]]</f>
        <v>2.6765179884408876E-2</v>
      </c>
      <c r="BM712" s="20">
        <f>SQRT(Table1347456[[#This Row],[v]])</f>
        <v>0.16360067201698431</v>
      </c>
      <c r="BN712" s="20">
        <f>Table1347456[[#This Row],[lnrr]]-(1.96*Table1347456[[#This Row],[se]])</f>
        <v>-0.37472453842356501</v>
      </c>
      <c r="BO712" s="20">
        <f>Table1347456[[#This Row],[lnrr]]+(1.96 * Table1347456[[#This Row],[se]])</f>
        <v>0.26659009588301341</v>
      </c>
    </row>
    <row r="713" spans="1:67">
      <c r="A713" s="13" t="s">
        <v>250</v>
      </c>
      <c r="B713" s="13" t="s">
        <v>251</v>
      </c>
      <c r="C713" s="13" t="s">
        <v>43</v>
      </c>
      <c r="D713" s="13" t="s">
        <v>252</v>
      </c>
      <c r="E713" s="13" t="s">
        <v>253</v>
      </c>
      <c r="F713" s="13" t="s">
        <v>586</v>
      </c>
      <c r="G713" s="13" t="s">
        <v>46</v>
      </c>
      <c r="H713" s="13">
        <v>29.3</v>
      </c>
      <c r="I713" s="13" t="s">
        <v>46</v>
      </c>
      <c r="J713" s="13" t="s">
        <v>656</v>
      </c>
      <c r="K713" s="13" t="s">
        <v>878</v>
      </c>
      <c r="L713" s="13" t="s">
        <v>879</v>
      </c>
      <c r="M713" s="13" t="s">
        <v>803</v>
      </c>
      <c r="N713" s="13" t="s">
        <v>256</v>
      </c>
      <c r="O713" s="13" t="s">
        <v>645</v>
      </c>
      <c r="P713" s="13" t="s">
        <v>48</v>
      </c>
      <c r="Q713" s="13" t="s">
        <v>48</v>
      </c>
      <c r="R713" s="4">
        <v>7</v>
      </c>
      <c r="S713" s="13" t="s">
        <v>596</v>
      </c>
      <c r="T713" s="13">
        <v>90</v>
      </c>
      <c r="U713" s="4" t="s">
        <v>186</v>
      </c>
      <c r="V713" s="4">
        <v>500</v>
      </c>
      <c r="W713" s="4" t="s">
        <v>601</v>
      </c>
      <c r="X713" s="4">
        <v>731.57</v>
      </c>
      <c r="Y713" s="4">
        <v>30</v>
      </c>
      <c r="AA713" s="4" t="s">
        <v>49</v>
      </c>
      <c r="AB713" s="4">
        <v>0</v>
      </c>
      <c r="AC713" s="4" t="s">
        <v>49</v>
      </c>
      <c r="AD713" s="4">
        <v>0</v>
      </c>
      <c r="AE713" s="4" t="s">
        <v>49</v>
      </c>
      <c r="AF713" s="4">
        <v>0</v>
      </c>
      <c r="AG713" s="4" t="s">
        <v>731</v>
      </c>
      <c r="AH713" s="4" t="s">
        <v>791</v>
      </c>
      <c r="AI713" s="4" t="s">
        <v>64</v>
      </c>
      <c r="AJ713" s="13">
        <v>0</v>
      </c>
      <c r="AK713" s="13">
        <v>15</v>
      </c>
      <c r="AN713" s="13" t="s">
        <v>518</v>
      </c>
      <c r="AO713" s="13" t="s">
        <v>519</v>
      </c>
      <c r="AP713" s="13" t="s">
        <v>49</v>
      </c>
      <c r="AQ713" s="13" t="s">
        <v>49</v>
      </c>
      <c r="AR713" s="13" t="s">
        <v>49</v>
      </c>
      <c r="AS713" s="13" t="s">
        <v>49</v>
      </c>
      <c r="AT713" s="13" t="s">
        <v>990</v>
      </c>
      <c r="AU713" s="13" t="s">
        <v>998</v>
      </c>
      <c r="AV713" s="23">
        <v>1.46</v>
      </c>
      <c r="AW713" s="23">
        <v>1.52</v>
      </c>
      <c r="AX713" s="14">
        <f>Table1347456[[#This Row],[treatment_mean]]/Table1347456[[#This Row],[control_mean]]</f>
        <v>0.96052631578947367</v>
      </c>
      <c r="AY713" s="14">
        <f>LN(Table1347456[[#This Row],[rr]])</f>
        <v>-4.027389913793996E-2</v>
      </c>
      <c r="AZ713" s="13">
        <v>3</v>
      </c>
      <c r="BA713" s="13">
        <v>3</v>
      </c>
      <c r="BB713" s="14">
        <v>0.19</v>
      </c>
      <c r="BC713" s="14">
        <v>0.2</v>
      </c>
      <c r="BD713" s="15">
        <f>Table1347456[[#This Row],[treatment_se]]*SQRT(Table1347456[[#This Row],[treatment_n]])</f>
        <v>0.32908965343808666</v>
      </c>
      <c r="BE713" s="14">
        <f>Table1347456[[#This Row],[control_se]]*SQRT(Table1347456[[#This Row],[control_n]])</f>
        <v>0.34641016151377546</v>
      </c>
      <c r="BF71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3.4248654594184642E-2</v>
      </c>
      <c r="BG713" s="17">
        <f>SQRT(Table1347456[[#This Row],[v_from_sd_and_n]])</f>
        <v>0.18506392029292107</v>
      </c>
      <c r="BH713" s="13" t="s">
        <v>49</v>
      </c>
      <c r="BI713" s="13">
        <v>0.52500000000000002</v>
      </c>
      <c r="BJ713" s="18">
        <f>ABS(_xlfn.NORM.S.INV(Table1347456[[#This Row],[p_value]]/2))</f>
        <v>0.63565701369758276</v>
      </c>
      <c r="BK713" s="19">
        <f>(Table1347456[[#This Row],[lnrr]]/Table1347456[[#This Row],[z_from_p]])^2</f>
        <v>4.0142246146872085E-3</v>
      </c>
      <c r="BL713" s="16">
        <f>Table1347456[[#This Row],[v_from_sd_and_n]]</f>
        <v>3.4248654594184642E-2</v>
      </c>
      <c r="BM713" s="20">
        <f>SQRT(Table1347456[[#This Row],[v]])</f>
        <v>0.18506392029292107</v>
      </c>
      <c r="BN713" s="20">
        <f>Table1347456[[#This Row],[lnrr]]-(1.96*Table1347456[[#This Row],[se]])</f>
        <v>-0.40299918291206521</v>
      </c>
      <c r="BO713" s="20">
        <f>Table1347456[[#This Row],[lnrr]]+(1.96 * Table1347456[[#This Row],[se]])</f>
        <v>0.32245138463618533</v>
      </c>
    </row>
    <row r="714" spans="1:67">
      <c r="A714" s="13" t="s">
        <v>250</v>
      </c>
      <c r="B714" s="13" t="s">
        <v>251</v>
      </c>
      <c r="C714" s="13" t="s">
        <v>43</v>
      </c>
      <c r="D714" s="13" t="s">
        <v>252</v>
      </c>
      <c r="E714" s="13" t="s">
        <v>253</v>
      </c>
      <c r="F714" s="13" t="s">
        <v>586</v>
      </c>
      <c r="G714" s="13" t="s">
        <v>46</v>
      </c>
      <c r="H714" s="13">
        <v>29.3</v>
      </c>
      <c r="I714" s="13" t="s">
        <v>46</v>
      </c>
      <c r="J714" s="13" t="s">
        <v>656</v>
      </c>
      <c r="K714" s="13" t="s">
        <v>878</v>
      </c>
      <c r="L714" s="13" t="s">
        <v>879</v>
      </c>
      <c r="M714" s="13" t="s">
        <v>803</v>
      </c>
      <c r="N714" s="13" t="s">
        <v>256</v>
      </c>
      <c r="O714" s="13" t="s">
        <v>645</v>
      </c>
      <c r="P714" s="13" t="s">
        <v>48</v>
      </c>
      <c r="Q714" s="13" t="s">
        <v>48</v>
      </c>
      <c r="R714" s="4">
        <v>7</v>
      </c>
      <c r="S714" s="13" t="s">
        <v>596</v>
      </c>
      <c r="T714" s="13">
        <v>90</v>
      </c>
      <c r="U714" s="4" t="s">
        <v>254</v>
      </c>
      <c r="V714" s="4">
        <v>500</v>
      </c>
      <c r="W714" s="4" t="s">
        <v>601</v>
      </c>
      <c r="X714" s="4">
        <v>521.66</v>
      </c>
      <c r="Y714" s="4">
        <v>10</v>
      </c>
      <c r="AA714" s="4" t="s">
        <v>49</v>
      </c>
      <c r="AB714" s="4">
        <v>0</v>
      </c>
      <c r="AC714" s="4" t="s">
        <v>49</v>
      </c>
      <c r="AD714" s="4">
        <v>0</v>
      </c>
      <c r="AE714" s="4" t="s">
        <v>49</v>
      </c>
      <c r="AF714" s="4">
        <v>0</v>
      </c>
      <c r="AG714" s="4" t="s">
        <v>762</v>
      </c>
      <c r="AH714" s="4" t="s">
        <v>791</v>
      </c>
      <c r="AI714" s="4" t="s">
        <v>64</v>
      </c>
      <c r="AJ714" s="13">
        <v>0</v>
      </c>
      <c r="AK714" s="13">
        <v>15</v>
      </c>
      <c r="AN714" s="13" t="s">
        <v>518</v>
      </c>
      <c r="AO714" s="13" t="s">
        <v>519</v>
      </c>
      <c r="AP714" s="13" t="s">
        <v>49</v>
      </c>
      <c r="AQ714" s="13" t="s">
        <v>49</v>
      </c>
      <c r="AR714" s="13" t="s">
        <v>49</v>
      </c>
      <c r="AS714" s="13" t="s">
        <v>49</v>
      </c>
      <c r="AT714" s="13" t="s">
        <v>990</v>
      </c>
      <c r="AU714" s="13" t="s">
        <v>998</v>
      </c>
      <c r="AV714" s="23">
        <v>1.45</v>
      </c>
      <c r="AW714" s="23">
        <v>1.52</v>
      </c>
      <c r="AX714" s="14">
        <f>Table1347456[[#This Row],[treatment_mean]]/Table1347456[[#This Row],[control_mean]]</f>
        <v>0.95394736842105254</v>
      </c>
      <c r="AY714" s="14">
        <f>LN(Table1347456[[#This Row],[rr]])</f>
        <v>-4.7146778425702078E-2</v>
      </c>
      <c r="AZ714" s="13">
        <v>3</v>
      </c>
      <c r="BA714" s="13">
        <v>3</v>
      </c>
      <c r="BB714" s="14">
        <v>0.1</v>
      </c>
      <c r="BC714" s="14">
        <v>0.2</v>
      </c>
      <c r="BD714" s="15">
        <f>Table1347456[[#This Row],[treatment_se]]*SQRT(Table1347456[[#This Row],[treatment_n]])</f>
        <v>0.17320508075688773</v>
      </c>
      <c r="BE714" s="14">
        <f>Table1347456[[#This Row],[control_se]]*SQRT(Table1347456[[#This Row],[control_n]])</f>
        <v>0.34641016151377546</v>
      </c>
      <c r="BF71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2.2069261958952702E-2</v>
      </c>
      <c r="BG714" s="17">
        <f>SQRT(Table1347456[[#This Row],[v_from_sd_and_n]])</f>
        <v>0.14855726828046045</v>
      </c>
      <c r="BH714" s="13" t="s">
        <v>49</v>
      </c>
      <c r="BI714" s="13">
        <v>0.52500000000000002</v>
      </c>
      <c r="BJ714" s="18">
        <f>ABS(_xlfn.NORM.S.INV(Table1347456[[#This Row],[p_value]]/2))</f>
        <v>0.63565701369758276</v>
      </c>
      <c r="BK714" s="19">
        <f>(Table1347456[[#This Row],[lnrr]]/Table1347456[[#This Row],[z_from_p]])^2</f>
        <v>5.5012117043784252E-3</v>
      </c>
      <c r="BL714" s="16">
        <f>Table1347456[[#This Row],[v_from_sd_and_n]]</f>
        <v>2.2069261958952702E-2</v>
      </c>
      <c r="BM714" s="20">
        <f>SQRT(Table1347456[[#This Row],[v]])</f>
        <v>0.14855726828046045</v>
      </c>
      <c r="BN714" s="20">
        <f>Table1347456[[#This Row],[lnrr]]-(1.96*Table1347456[[#This Row],[se]])</f>
        <v>-0.33831902425540455</v>
      </c>
      <c r="BO714" s="20">
        <f>Table1347456[[#This Row],[lnrr]]+(1.96 * Table1347456[[#This Row],[se]])</f>
        <v>0.24402546740400038</v>
      </c>
    </row>
    <row r="715" spans="1:67">
      <c r="A715" s="13" t="s">
        <v>250</v>
      </c>
      <c r="B715" s="13" t="s">
        <v>251</v>
      </c>
      <c r="C715" s="13" t="s">
        <v>43</v>
      </c>
      <c r="D715" s="13" t="s">
        <v>252</v>
      </c>
      <c r="E715" s="13" t="s">
        <v>253</v>
      </c>
      <c r="F715" s="13" t="s">
        <v>586</v>
      </c>
      <c r="G715" s="13" t="s">
        <v>46</v>
      </c>
      <c r="H715" s="13">
        <v>29.3</v>
      </c>
      <c r="I715" s="13" t="s">
        <v>46</v>
      </c>
      <c r="J715" s="13" t="s">
        <v>656</v>
      </c>
      <c r="K715" s="13" t="s">
        <v>878</v>
      </c>
      <c r="L715" s="13" t="s">
        <v>879</v>
      </c>
      <c r="M715" s="13" t="s">
        <v>803</v>
      </c>
      <c r="N715" s="13" t="s">
        <v>256</v>
      </c>
      <c r="O715" s="13" t="s">
        <v>645</v>
      </c>
      <c r="P715" s="13" t="s">
        <v>48</v>
      </c>
      <c r="Q715" s="13" t="s">
        <v>48</v>
      </c>
      <c r="R715" s="4">
        <v>7</v>
      </c>
      <c r="S715" s="13" t="s">
        <v>596</v>
      </c>
      <c r="T715" s="13">
        <v>90</v>
      </c>
      <c r="U715" s="4" t="s">
        <v>254</v>
      </c>
      <c r="V715" s="4">
        <v>500</v>
      </c>
      <c r="W715" s="4" t="s">
        <v>601</v>
      </c>
      <c r="X715" s="4">
        <v>521.66</v>
      </c>
      <c r="Y715" s="4">
        <v>20</v>
      </c>
      <c r="AA715" s="4" t="s">
        <v>49</v>
      </c>
      <c r="AB715" s="4">
        <v>0</v>
      </c>
      <c r="AC715" s="4" t="s">
        <v>49</v>
      </c>
      <c r="AD715" s="4">
        <v>0</v>
      </c>
      <c r="AE715" s="4" t="s">
        <v>49</v>
      </c>
      <c r="AF715" s="4">
        <v>0</v>
      </c>
      <c r="AG715" s="4" t="s">
        <v>762</v>
      </c>
      <c r="AH715" s="4" t="s">
        <v>791</v>
      </c>
      <c r="AI715" s="4" t="s">
        <v>64</v>
      </c>
      <c r="AJ715" s="13">
        <v>0</v>
      </c>
      <c r="AK715" s="13">
        <v>15</v>
      </c>
      <c r="AN715" s="13" t="s">
        <v>518</v>
      </c>
      <c r="AO715" s="13" t="s">
        <v>519</v>
      </c>
      <c r="AP715" s="13" t="s">
        <v>49</v>
      </c>
      <c r="AQ715" s="13" t="s">
        <v>49</v>
      </c>
      <c r="AR715" s="13" t="s">
        <v>49</v>
      </c>
      <c r="AS715" s="13" t="s">
        <v>49</v>
      </c>
      <c r="AT715" s="13" t="s">
        <v>990</v>
      </c>
      <c r="AU715" s="13" t="s">
        <v>998</v>
      </c>
      <c r="AV715" s="23">
        <v>1.48</v>
      </c>
      <c r="AW715" s="23">
        <v>1.52</v>
      </c>
      <c r="AX715" s="14">
        <f>Table1347456[[#This Row],[treatment_mean]]/Table1347456[[#This Row],[control_mean]]</f>
        <v>0.97368421052631582</v>
      </c>
      <c r="AY715" s="14">
        <f>LN(Table1347456[[#This Row],[rr]])</f>
        <v>-2.6668247082161294E-2</v>
      </c>
      <c r="AZ715" s="13">
        <v>3</v>
      </c>
      <c r="BA715" s="13">
        <v>3</v>
      </c>
      <c r="BB715" s="14">
        <v>0.08</v>
      </c>
      <c r="BC715" s="14">
        <v>0.2</v>
      </c>
      <c r="BD715" s="15">
        <f>Table1347456[[#This Row],[treatment_se]]*SQRT(Table1347456[[#This Row],[treatment_n]])</f>
        <v>0.13856406460551018</v>
      </c>
      <c r="BE715" s="14">
        <f>Table1347456[[#This Row],[control_se]]*SQRT(Table1347456[[#This Row],[control_n]])</f>
        <v>0.34641016151377546</v>
      </c>
      <c r="BF71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2.0234860150260311E-2</v>
      </c>
      <c r="BG715" s="17">
        <f>SQRT(Table1347456[[#This Row],[v_from_sd_and_n]])</f>
        <v>0.14224928875133369</v>
      </c>
      <c r="BH715" s="13" t="s">
        <v>49</v>
      </c>
      <c r="BI715" s="13">
        <v>0.52500000000000002</v>
      </c>
      <c r="BJ715" s="18">
        <f>ABS(_xlfn.NORM.S.INV(Table1347456[[#This Row],[p_value]]/2))</f>
        <v>0.63565701369758276</v>
      </c>
      <c r="BK715" s="19">
        <f>(Table1347456[[#This Row],[lnrr]]/Table1347456[[#This Row],[z_from_p]])^2</f>
        <v>1.7601239561065157E-3</v>
      </c>
      <c r="BL715" s="16">
        <f>Table1347456[[#This Row],[v_from_sd_and_n]]</f>
        <v>2.0234860150260311E-2</v>
      </c>
      <c r="BM715" s="20">
        <f>SQRT(Table1347456[[#This Row],[v]])</f>
        <v>0.14224928875133369</v>
      </c>
      <c r="BN715" s="20">
        <f>Table1347456[[#This Row],[lnrr]]-(1.96*Table1347456[[#This Row],[se]])</f>
        <v>-0.30547685303477534</v>
      </c>
      <c r="BO715" s="20">
        <f>Table1347456[[#This Row],[lnrr]]+(1.96 * Table1347456[[#This Row],[se]])</f>
        <v>0.25214035887045272</v>
      </c>
    </row>
    <row r="716" spans="1:67">
      <c r="A716" s="13" t="s">
        <v>250</v>
      </c>
      <c r="B716" s="13" t="s">
        <v>251</v>
      </c>
      <c r="C716" s="13" t="s">
        <v>43</v>
      </c>
      <c r="D716" s="13" t="s">
        <v>252</v>
      </c>
      <c r="E716" s="13" t="s">
        <v>253</v>
      </c>
      <c r="F716" s="13" t="s">
        <v>586</v>
      </c>
      <c r="G716" s="13" t="s">
        <v>46</v>
      </c>
      <c r="H716" s="13">
        <v>29.3</v>
      </c>
      <c r="I716" s="13" t="s">
        <v>46</v>
      </c>
      <c r="J716" s="13" t="s">
        <v>656</v>
      </c>
      <c r="K716" s="13" t="s">
        <v>878</v>
      </c>
      <c r="L716" s="13" t="s">
        <v>879</v>
      </c>
      <c r="M716" s="13" t="s">
        <v>803</v>
      </c>
      <c r="N716" s="13" t="s">
        <v>256</v>
      </c>
      <c r="O716" s="13" t="s">
        <v>645</v>
      </c>
      <c r="P716" s="13" t="s">
        <v>48</v>
      </c>
      <c r="Q716" s="13" t="s">
        <v>48</v>
      </c>
      <c r="R716" s="4">
        <v>7</v>
      </c>
      <c r="S716" s="13" t="s">
        <v>596</v>
      </c>
      <c r="T716" s="13">
        <v>90</v>
      </c>
      <c r="U716" s="4" t="s">
        <v>254</v>
      </c>
      <c r="V716" s="4">
        <v>500</v>
      </c>
      <c r="W716" s="4" t="s">
        <v>601</v>
      </c>
      <c r="X716" s="4">
        <v>521.66</v>
      </c>
      <c r="Y716" s="4">
        <v>30</v>
      </c>
      <c r="AA716" s="4" t="s">
        <v>49</v>
      </c>
      <c r="AB716" s="4">
        <v>0</v>
      </c>
      <c r="AC716" s="4" t="s">
        <v>49</v>
      </c>
      <c r="AD716" s="4">
        <v>0</v>
      </c>
      <c r="AE716" s="4" t="s">
        <v>49</v>
      </c>
      <c r="AF716" s="4">
        <v>0</v>
      </c>
      <c r="AG716" s="4" t="s">
        <v>762</v>
      </c>
      <c r="AH716" s="4" t="s">
        <v>791</v>
      </c>
      <c r="AI716" s="4" t="s">
        <v>64</v>
      </c>
      <c r="AJ716" s="13">
        <v>0</v>
      </c>
      <c r="AK716" s="13">
        <v>15</v>
      </c>
      <c r="AN716" s="13" t="s">
        <v>518</v>
      </c>
      <c r="AO716" s="13" t="s">
        <v>519</v>
      </c>
      <c r="AP716" s="13" t="s">
        <v>49</v>
      </c>
      <c r="AQ716" s="13" t="s">
        <v>49</v>
      </c>
      <c r="AR716" s="13" t="s">
        <v>49</v>
      </c>
      <c r="AS716" s="13" t="s">
        <v>49</v>
      </c>
      <c r="AT716" s="13" t="s">
        <v>990</v>
      </c>
      <c r="AU716" s="13" t="s">
        <v>998</v>
      </c>
      <c r="AV716" s="23">
        <v>1.57</v>
      </c>
      <c r="AW716" s="23">
        <v>1.52</v>
      </c>
      <c r="AX716" s="14">
        <f>Table1347456[[#This Row],[treatment_mean]]/Table1347456[[#This Row],[control_mean]]</f>
        <v>1.0328947368421053</v>
      </c>
      <c r="AY716" s="14">
        <f>LN(Table1347456[[#This Row],[rr]])</f>
        <v>3.2365284502031716E-2</v>
      </c>
      <c r="AZ716" s="13">
        <v>3</v>
      </c>
      <c r="BA716" s="13">
        <v>3</v>
      </c>
      <c r="BB716" s="14">
        <v>0.16</v>
      </c>
      <c r="BC716" s="14">
        <v>0.2</v>
      </c>
      <c r="BD716" s="15">
        <f>Table1347456[[#This Row],[treatment_se]]*SQRT(Table1347456[[#This Row],[treatment_n]])</f>
        <v>0.27712812921102037</v>
      </c>
      <c r="BE716" s="14">
        <f>Table1347456[[#This Row],[control_se]]*SQRT(Table1347456[[#This Row],[control_n]])</f>
        <v>0.34641016151377546</v>
      </c>
      <c r="BF71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2.7698836259420209E-2</v>
      </c>
      <c r="BG716" s="17">
        <f>SQRT(Table1347456[[#This Row],[v_from_sd_and_n]])</f>
        <v>0.16642967361447358</v>
      </c>
      <c r="BH716" s="13" t="s">
        <v>49</v>
      </c>
      <c r="BI716" s="13">
        <v>0.52500000000000002</v>
      </c>
      <c r="BJ716" s="18">
        <f>ABS(_xlfn.NORM.S.INV(Table1347456[[#This Row],[p_value]]/2))</f>
        <v>0.63565701369758276</v>
      </c>
      <c r="BK716" s="19">
        <f>(Table1347456[[#This Row],[lnrr]]/Table1347456[[#This Row],[z_from_p]])^2</f>
        <v>2.5924666092200102E-3</v>
      </c>
      <c r="BL716" s="16">
        <f>Table1347456[[#This Row],[v_from_sd_and_n]]</f>
        <v>2.7698836259420209E-2</v>
      </c>
      <c r="BM716" s="20">
        <f>SQRT(Table1347456[[#This Row],[v]])</f>
        <v>0.16642967361447358</v>
      </c>
      <c r="BN716" s="20">
        <f>Table1347456[[#This Row],[lnrr]]-(1.96*Table1347456[[#This Row],[se]])</f>
        <v>-0.29383687578233653</v>
      </c>
      <c r="BO716" s="20">
        <f>Table1347456[[#This Row],[lnrr]]+(1.96 * Table1347456[[#This Row],[se]])</f>
        <v>0.3585674447863999</v>
      </c>
    </row>
    <row r="717" spans="1:67">
      <c r="A717" s="13" t="s">
        <v>250</v>
      </c>
      <c r="B717" s="13" t="s">
        <v>251</v>
      </c>
      <c r="C717" s="13" t="s">
        <v>43</v>
      </c>
      <c r="D717" s="13" t="s">
        <v>252</v>
      </c>
      <c r="E717" s="13" t="s">
        <v>253</v>
      </c>
      <c r="F717" s="13" t="s">
        <v>586</v>
      </c>
      <c r="G717" s="13" t="s">
        <v>46</v>
      </c>
      <c r="H717" s="13">
        <v>29.3</v>
      </c>
      <c r="I717" s="13" t="s">
        <v>46</v>
      </c>
      <c r="K717" s="13" t="s">
        <v>878</v>
      </c>
      <c r="L717" s="13" t="s">
        <v>879</v>
      </c>
      <c r="N717" s="13" t="s">
        <v>257</v>
      </c>
      <c r="O717" s="13" t="s">
        <v>645</v>
      </c>
      <c r="P717" s="13" t="s">
        <v>48</v>
      </c>
      <c r="Q717" s="13" t="s">
        <v>48</v>
      </c>
      <c r="R717" s="4">
        <v>7</v>
      </c>
      <c r="S717" s="13" t="s">
        <v>596</v>
      </c>
      <c r="T717" s="13">
        <v>90</v>
      </c>
      <c r="U717" s="4" t="s">
        <v>186</v>
      </c>
      <c r="V717" s="4">
        <v>500</v>
      </c>
      <c r="W717" s="4" t="s">
        <v>601</v>
      </c>
      <c r="X717" s="4">
        <v>731.57</v>
      </c>
      <c r="Y717" s="4">
        <v>10</v>
      </c>
      <c r="AA717" s="4" t="s">
        <v>49</v>
      </c>
      <c r="AB717" s="4">
        <v>0</v>
      </c>
      <c r="AC717" s="4" t="s">
        <v>49</v>
      </c>
      <c r="AD717" s="4">
        <v>0</v>
      </c>
      <c r="AE717" s="4" t="s">
        <v>49</v>
      </c>
      <c r="AF717" s="4">
        <v>0</v>
      </c>
      <c r="AG717" s="4" t="s">
        <v>731</v>
      </c>
      <c r="AH717" s="4" t="s">
        <v>791</v>
      </c>
      <c r="AI717" s="4" t="s">
        <v>64</v>
      </c>
      <c r="AJ717" s="13">
        <v>0</v>
      </c>
      <c r="AK717" s="13">
        <v>15</v>
      </c>
      <c r="AN717" s="13" t="s">
        <v>518</v>
      </c>
      <c r="AO717" s="13" t="s">
        <v>519</v>
      </c>
      <c r="AP717" s="13" t="s">
        <v>49</v>
      </c>
      <c r="AQ717" s="13" t="s">
        <v>49</v>
      </c>
      <c r="AR717" s="13" t="s">
        <v>49</v>
      </c>
      <c r="AS717" s="13" t="s">
        <v>49</v>
      </c>
      <c r="AT717" s="13" t="s">
        <v>990</v>
      </c>
      <c r="AU717" s="13" t="s">
        <v>998</v>
      </c>
      <c r="AV717" s="14">
        <v>3.79</v>
      </c>
      <c r="AW717" s="14">
        <v>4.08</v>
      </c>
      <c r="AX717" s="14">
        <f>Table1347456[[#This Row],[treatment_mean]]/Table1347456[[#This Row],[control_mean]]</f>
        <v>0.92892156862745101</v>
      </c>
      <c r="AY717" s="14">
        <f>LN(Table1347456[[#This Row],[rr]])</f>
        <v>-7.3730969321735312E-2</v>
      </c>
      <c r="AZ717" s="13">
        <v>3</v>
      </c>
      <c r="BA717" s="13">
        <v>3</v>
      </c>
      <c r="BB717" s="14">
        <v>0.1</v>
      </c>
      <c r="BC717" s="14">
        <v>0.12</v>
      </c>
      <c r="BD717" s="15">
        <f>Table1347456[[#This Row],[treatment_se]]*SQRT(Table1347456[[#This Row],[treatment_n]])</f>
        <v>0.17320508075688773</v>
      </c>
      <c r="BE717" s="14">
        <f>Table1347456[[#This Row],[control_se]]*SQRT(Table1347456[[#This Row],[control_n]])</f>
        <v>0.20784609690826525</v>
      </c>
      <c r="BF71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1.5612319631249077E-3</v>
      </c>
      <c r="BG717" s="17">
        <f>SQRT(Table1347456[[#This Row],[v_from_sd_and_n]])</f>
        <v>3.9512427957857865E-2</v>
      </c>
      <c r="BH717" s="13" t="s">
        <v>49</v>
      </c>
      <c r="BI717" s="13">
        <v>0.52500000000000002</v>
      </c>
      <c r="BJ717" s="18">
        <f>ABS(_xlfn.NORM.S.INV(Table1347456[[#This Row],[p_value]]/2))</f>
        <v>0.63565701369758276</v>
      </c>
      <c r="BK717" s="19">
        <f>(Table1347456[[#This Row],[lnrr]]/Table1347456[[#This Row],[z_from_p]])^2</f>
        <v>1.3454086032727502E-2</v>
      </c>
      <c r="BL717" s="16">
        <f>Table1347456[[#This Row],[v_from_sd_and_n]]</f>
        <v>1.5612319631249077E-3</v>
      </c>
      <c r="BM717" s="20">
        <f>SQRT(Table1347456[[#This Row],[v]])</f>
        <v>3.9512427957857865E-2</v>
      </c>
      <c r="BN717" s="20">
        <f>Table1347456[[#This Row],[lnrr]]-(1.96*Table1347456[[#This Row],[se]])</f>
        <v>-0.15117532811913673</v>
      </c>
      <c r="BO717" s="20">
        <f>Table1347456[[#This Row],[lnrr]]+(1.96 * Table1347456[[#This Row],[se]])</f>
        <v>3.7133894756661012E-3</v>
      </c>
    </row>
    <row r="718" spans="1:67">
      <c r="A718" s="13" t="s">
        <v>250</v>
      </c>
      <c r="B718" s="13" t="s">
        <v>251</v>
      </c>
      <c r="C718" s="13" t="s">
        <v>43</v>
      </c>
      <c r="D718" s="13" t="s">
        <v>252</v>
      </c>
      <c r="E718" s="13" t="s">
        <v>253</v>
      </c>
      <c r="F718" s="13" t="s">
        <v>586</v>
      </c>
      <c r="G718" s="13" t="s">
        <v>46</v>
      </c>
      <c r="H718" s="13">
        <v>29.3</v>
      </c>
      <c r="I718" s="13" t="s">
        <v>46</v>
      </c>
      <c r="K718" s="13" t="s">
        <v>878</v>
      </c>
      <c r="L718" s="13" t="s">
        <v>879</v>
      </c>
      <c r="N718" s="13" t="s">
        <v>257</v>
      </c>
      <c r="O718" s="13" t="s">
        <v>645</v>
      </c>
      <c r="P718" s="13" t="s">
        <v>48</v>
      </c>
      <c r="Q718" s="13" t="s">
        <v>48</v>
      </c>
      <c r="R718" s="4">
        <v>7</v>
      </c>
      <c r="S718" s="13" t="s">
        <v>596</v>
      </c>
      <c r="T718" s="13">
        <v>90</v>
      </c>
      <c r="U718" s="4" t="s">
        <v>186</v>
      </c>
      <c r="V718" s="4">
        <v>500</v>
      </c>
      <c r="W718" s="4" t="s">
        <v>601</v>
      </c>
      <c r="X718" s="4">
        <v>731.57</v>
      </c>
      <c r="Y718" s="4">
        <v>20</v>
      </c>
      <c r="AA718" s="4" t="s">
        <v>49</v>
      </c>
      <c r="AB718" s="4">
        <v>0</v>
      </c>
      <c r="AC718" s="4" t="s">
        <v>49</v>
      </c>
      <c r="AD718" s="4">
        <v>0</v>
      </c>
      <c r="AE718" s="4" t="s">
        <v>49</v>
      </c>
      <c r="AF718" s="4">
        <v>0</v>
      </c>
      <c r="AG718" s="4" t="s">
        <v>731</v>
      </c>
      <c r="AH718" s="4" t="s">
        <v>791</v>
      </c>
      <c r="AI718" s="4" t="s">
        <v>64</v>
      </c>
      <c r="AJ718" s="13">
        <v>0</v>
      </c>
      <c r="AK718" s="13">
        <v>15</v>
      </c>
      <c r="AN718" s="13" t="s">
        <v>518</v>
      </c>
      <c r="AO718" s="13" t="s">
        <v>519</v>
      </c>
      <c r="AP718" s="13" t="s">
        <v>49</v>
      </c>
      <c r="AQ718" s="13" t="s">
        <v>49</v>
      </c>
      <c r="AR718" s="13" t="s">
        <v>49</v>
      </c>
      <c r="AS718" s="13" t="s">
        <v>49</v>
      </c>
      <c r="AT718" s="13" t="s">
        <v>990</v>
      </c>
      <c r="AU718" s="13" t="s">
        <v>998</v>
      </c>
      <c r="AV718" s="14">
        <v>4</v>
      </c>
      <c r="AW718" s="14">
        <v>4.08</v>
      </c>
      <c r="AX718" s="14">
        <f>Table1347456[[#This Row],[treatment_mean]]/Table1347456[[#This Row],[control_mean]]</f>
        <v>0.98039215686274506</v>
      </c>
      <c r="AY718" s="14">
        <f>LN(Table1347456[[#This Row],[rr]])</f>
        <v>-1.9802627296179754E-2</v>
      </c>
      <c r="AZ718" s="13">
        <v>3</v>
      </c>
      <c r="BA718" s="13">
        <v>3</v>
      </c>
      <c r="BB718" s="14">
        <v>0.12</v>
      </c>
      <c r="BC718" s="14">
        <v>0.12</v>
      </c>
      <c r="BD718" s="15">
        <f>Table1347456[[#This Row],[treatment_se]]*SQRT(Table1347456[[#This Row],[treatment_n]])</f>
        <v>0.20784609690826525</v>
      </c>
      <c r="BE718" s="14">
        <f>Table1347456[[#This Row],[control_se]]*SQRT(Table1347456[[#This Row],[control_n]])</f>
        <v>0.20784609690826525</v>
      </c>
      <c r="BF71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1.7650519031141864E-3</v>
      </c>
      <c r="BG718" s="17">
        <f>SQRT(Table1347456[[#This Row],[v_from_sd_and_n]])</f>
        <v>4.2012520789809632E-2</v>
      </c>
      <c r="BH718" s="13" t="s">
        <v>49</v>
      </c>
      <c r="BI718" s="13">
        <v>0.52500000000000002</v>
      </c>
      <c r="BJ718" s="18">
        <f>ABS(_xlfn.NORM.S.INV(Table1347456[[#This Row],[p_value]]/2))</f>
        <v>0.63565701369758276</v>
      </c>
      <c r="BK718" s="19">
        <f>(Table1347456[[#This Row],[lnrr]]/Table1347456[[#This Row],[z_from_p]])^2</f>
        <v>9.7050983522846564E-4</v>
      </c>
      <c r="BL718" s="16">
        <f>Table1347456[[#This Row],[v_from_sd_and_n]]</f>
        <v>1.7650519031141864E-3</v>
      </c>
      <c r="BM718" s="20">
        <f>SQRT(Table1347456[[#This Row],[v]])</f>
        <v>4.2012520789809632E-2</v>
      </c>
      <c r="BN718" s="20">
        <f>Table1347456[[#This Row],[lnrr]]-(1.96*Table1347456[[#This Row],[se]])</f>
        <v>-0.10214716804420662</v>
      </c>
      <c r="BO718" s="20">
        <f>Table1347456[[#This Row],[lnrr]]+(1.96 * Table1347456[[#This Row],[se]])</f>
        <v>6.254191345184712E-2</v>
      </c>
    </row>
    <row r="719" spans="1:67">
      <c r="A719" s="13" t="s">
        <v>250</v>
      </c>
      <c r="B719" s="13" t="s">
        <v>251</v>
      </c>
      <c r="C719" s="13" t="s">
        <v>43</v>
      </c>
      <c r="D719" s="13" t="s">
        <v>252</v>
      </c>
      <c r="E719" s="13" t="s">
        <v>253</v>
      </c>
      <c r="F719" s="13" t="s">
        <v>586</v>
      </c>
      <c r="G719" s="13" t="s">
        <v>46</v>
      </c>
      <c r="H719" s="13">
        <v>29.3</v>
      </c>
      <c r="I719" s="13" t="s">
        <v>46</v>
      </c>
      <c r="K719" s="13" t="s">
        <v>878</v>
      </c>
      <c r="L719" s="13" t="s">
        <v>879</v>
      </c>
      <c r="N719" s="13" t="s">
        <v>257</v>
      </c>
      <c r="O719" s="13" t="s">
        <v>645</v>
      </c>
      <c r="P719" s="13" t="s">
        <v>48</v>
      </c>
      <c r="Q719" s="13" t="s">
        <v>48</v>
      </c>
      <c r="R719" s="4">
        <v>7</v>
      </c>
      <c r="S719" s="13" t="s">
        <v>596</v>
      </c>
      <c r="T719" s="13">
        <v>90</v>
      </c>
      <c r="U719" s="4" t="s">
        <v>186</v>
      </c>
      <c r="V719" s="4">
        <v>500</v>
      </c>
      <c r="W719" s="4" t="s">
        <v>601</v>
      </c>
      <c r="X719" s="4">
        <v>731.57</v>
      </c>
      <c r="Y719" s="4">
        <v>30</v>
      </c>
      <c r="AA719" s="4" t="s">
        <v>49</v>
      </c>
      <c r="AB719" s="4">
        <v>0</v>
      </c>
      <c r="AC719" s="4" t="s">
        <v>49</v>
      </c>
      <c r="AD719" s="4">
        <v>0</v>
      </c>
      <c r="AE719" s="4" t="s">
        <v>49</v>
      </c>
      <c r="AF719" s="4">
        <v>0</v>
      </c>
      <c r="AG719" s="4" t="s">
        <v>731</v>
      </c>
      <c r="AH719" s="4" t="s">
        <v>791</v>
      </c>
      <c r="AI719" s="4" t="s">
        <v>64</v>
      </c>
      <c r="AJ719" s="13">
        <v>0</v>
      </c>
      <c r="AK719" s="13">
        <v>15</v>
      </c>
      <c r="AN719" s="13" t="s">
        <v>518</v>
      </c>
      <c r="AO719" s="13" t="s">
        <v>519</v>
      </c>
      <c r="AP719" s="13" t="s">
        <v>49</v>
      </c>
      <c r="AQ719" s="13" t="s">
        <v>49</v>
      </c>
      <c r="AR719" s="13" t="s">
        <v>49</v>
      </c>
      <c r="AS719" s="13" t="s">
        <v>49</v>
      </c>
      <c r="AT719" s="13" t="s">
        <v>990</v>
      </c>
      <c r="AU719" s="13" t="s">
        <v>998</v>
      </c>
      <c r="AV719" s="14">
        <v>3.99</v>
      </c>
      <c r="AW719" s="14">
        <v>4.08</v>
      </c>
      <c r="AX719" s="14">
        <f>Table1347456[[#This Row],[treatment_mean]]/Table1347456[[#This Row],[control_mean]]</f>
        <v>0.97794117647058831</v>
      </c>
      <c r="AY719" s="14">
        <f>LN(Table1347456[[#This Row],[rr]])</f>
        <v>-2.2305757514298162E-2</v>
      </c>
      <c r="AZ719" s="13">
        <v>3</v>
      </c>
      <c r="BA719" s="13">
        <v>3</v>
      </c>
      <c r="BB719" s="14">
        <v>0.19</v>
      </c>
      <c r="BC719" s="14">
        <v>0.12</v>
      </c>
      <c r="BD719" s="15">
        <f>Table1347456[[#This Row],[treatment_se]]*SQRT(Table1347456[[#This Row],[treatment_n]])</f>
        <v>0.32908965343808666</v>
      </c>
      <c r="BE719" s="14">
        <f>Table1347456[[#This Row],[control_se]]*SQRT(Table1347456[[#This Row],[control_n]])</f>
        <v>0.20784609690826525</v>
      </c>
      <c r="BF71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3.132625599259311E-3</v>
      </c>
      <c r="BG719" s="17">
        <f>SQRT(Table1347456[[#This Row],[v_from_sd_and_n]])</f>
        <v>5.5969863312851774E-2</v>
      </c>
      <c r="BH719" s="13" t="s">
        <v>49</v>
      </c>
      <c r="BI719" s="13">
        <v>0.52500000000000002</v>
      </c>
      <c r="BJ719" s="18">
        <f>ABS(_xlfn.NORM.S.INV(Table1347456[[#This Row],[p_value]]/2))</f>
        <v>0.63565701369758276</v>
      </c>
      <c r="BK719" s="19">
        <f>(Table1347456[[#This Row],[lnrr]]/Table1347456[[#This Row],[z_from_p]])^2</f>
        <v>1.2313691443340405E-3</v>
      </c>
      <c r="BL719" s="16">
        <f>Table1347456[[#This Row],[v_from_sd_and_n]]</f>
        <v>3.132625599259311E-3</v>
      </c>
      <c r="BM719" s="20">
        <f>SQRT(Table1347456[[#This Row],[v]])</f>
        <v>5.5969863312851774E-2</v>
      </c>
      <c r="BN719" s="20">
        <f>Table1347456[[#This Row],[lnrr]]-(1.96*Table1347456[[#This Row],[se]])</f>
        <v>-0.13200668960748763</v>
      </c>
      <c r="BO719" s="20">
        <f>Table1347456[[#This Row],[lnrr]]+(1.96 * Table1347456[[#This Row],[se]])</f>
        <v>8.7395174578891316E-2</v>
      </c>
    </row>
    <row r="720" spans="1:67">
      <c r="A720" s="13" t="s">
        <v>250</v>
      </c>
      <c r="B720" s="13" t="s">
        <v>251</v>
      </c>
      <c r="C720" s="13" t="s">
        <v>43</v>
      </c>
      <c r="D720" s="13" t="s">
        <v>252</v>
      </c>
      <c r="E720" s="13" t="s">
        <v>253</v>
      </c>
      <c r="F720" s="13" t="s">
        <v>586</v>
      </c>
      <c r="G720" s="13" t="s">
        <v>46</v>
      </c>
      <c r="H720" s="13">
        <v>29.3</v>
      </c>
      <c r="I720" s="13" t="s">
        <v>46</v>
      </c>
      <c r="K720" s="13" t="s">
        <v>878</v>
      </c>
      <c r="L720" s="13" t="s">
        <v>879</v>
      </c>
      <c r="N720" s="13" t="s">
        <v>257</v>
      </c>
      <c r="O720" s="13" t="s">
        <v>645</v>
      </c>
      <c r="P720" s="13" t="s">
        <v>48</v>
      </c>
      <c r="Q720" s="13" t="s">
        <v>48</v>
      </c>
      <c r="R720" s="4">
        <v>7</v>
      </c>
      <c r="S720" s="13" t="s">
        <v>596</v>
      </c>
      <c r="T720" s="13">
        <v>90</v>
      </c>
      <c r="U720" s="4" t="s">
        <v>254</v>
      </c>
      <c r="V720" s="4">
        <v>500</v>
      </c>
      <c r="W720" s="4" t="s">
        <v>601</v>
      </c>
      <c r="X720" s="4">
        <v>521.66</v>
      </c>
      <c r="Y720" s="4">
        <v>10</v>
      </c>
      <c r="AA720" s="4" t="s">
        <v>49</v>
      </c>
      <c r="AB720" s="4">
        <v>0</v>
      </c>
      <c r="AC720" s="4" t="s">
        <v>49</v>
      </c>
      <c r="AD720" s="4">
        <v>0</v>
      </c>
      <c r="AE720" s="4" t="s">
        <v>49</v>
      </c>
      <c r="AF720" s="4">
        <v>0</v>
      </c>
      <c r="AG720" s="4" t="s">
        <v>762</v>
      </c>
      <c r="AH720" s="4" t="s">
        <v>791</v>
      </c>
      <c r="AI720" s="4" t="s">
        <v>64</v>
      </c>
      <c r="AJ720" s="13">
        <v>0</v>
      </c>
      <c r="AK720" s="13">
        <v>15</v>
      </c>
      <c r="AN720" s="13" t="s">
        <v>518</v>
      </c>
      <c r="AO720" s="13" t="s">
        <v>519</v>
      </c>
      <c r="AP720" s="13" t="s">
        <v>49</v>
      </c>
      <c r="AQ720" s="13" t="s">
        <v>49</v>
      </c>
      <c r="AR720" s="13" t="s">
        <v>49</v>
      </c>
      <c r="AS720" s="13" t="s">
        <v>49</v>
      </c>
      <c r="AT720" s="13" t="s">
        <v>990</v>
      </c>
      <c r="AU720" s="13" t="s">
        <v>998</v>
      </c>
      <c r="AV720" s="14">
        <v>4.33</v>
      </c>
      <c r="AW720" s="14">
        <v>4.08</v>
      </c>
      <c r="AX720" s="14">
        <f>Table1347456[[#This Row],[treatment_mean]]/Table1347456[[#This Row],[control_mean]]</f>
        <v>1.0612745098039216</v>
      </c>
      <c r="AY720" s="14">
        <f>LN(Table1347456[[#This Row],[rr]])</f>
        <v>5.9470553598328153E-2</v>
      </c>
      <c r="AZ720" s="13">
        <v>3</v>
      </c>
      <c r="BA720" s="13">
        <v>3</v>
      </c>
      <c r="BB720" s="14">
        <v>0.16</v>
      </c>
      <c r="BC720" s="14">
        <v>0.2</v>
      </c>
      <c r="BD720" s="15">
        <f>Table1347456[[#This Row],[treatment_se]]*SQRT(Table1347456[[#This Row],[treatment_n]])</f>
        <v>0.27712812921102037</v>
      </c>
      <c r="BE720" s="14">
        <f>Table1347456[[#This Row],[control_se]]*SQRT(Table1347456[[#This Row],[control_n]])</f>
        <v>0.34641016151377546</v>
      </c>
      <c r="BF72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3.7683353906833019E-3</v>
      </c>
      <c r="BG720" s="17">
        <f>SQRT(Table1347456[[#This Row],[v_from_sd_and_n]])</f>
        <v>6.1386768856841634E-2</v>
      </c>
      <c r="BH720" s="13" t="s">
        <v>49</v>
      </c>
      <c r="BI720" s="13">
        <v>0.52500000000000002</v>
      </c>
      <c r="BJ720" s="18">
        <f>ABS(_xlfn.NORM.S.INV(Table1347456[[#This Row],[p_value]]/2))</f>
        <v>0.63565701369758276</v>
      </c>
      <c r="BK720" s="19">
        <f>(Table1347456[[#This Row],[lnrr]]/Table1347456[[#This Row],[z_from_p]])^2</f>
        <v>8.7530271592787603E-3</v>
      </c>
      <c r="BL720" s="16">
        <f>Table1347456[[#This Row],[v_from_sd_and_n]]</f>
        <v>3.7683353906833019E-3</v>
      </c>
      <c r="BM720" s="20">
        <f>SQRT(Table1347456[[#This Row],[v]])</f>
        <v>6.1386768856841634E-2</v>
      </c>
      <c r="BN720" s="20">
        <f>Table1347456[[#This Row],[lnrr]]-(1.96*Table1347456[[#This Row],[se]])</f>
        <v>-6.0847513361081441E-2</v>
      </c>
      <c r="BO720" s="20">
        <f>Table1347456[[#This Row],[lnrr]]+(1.96 * Table1347456[[#This Row],[se]])</f>
        <v>0.17978862055773775</v>
      </c>
    </row>
    <row r="721" spans="1:67">
      <c r="A721" s="13" t="s">
        <v>250</v>
      </c>
      <c r="B721" s="13" t="s">
        <v>251</v>
      </c>
      <c r="C721" s="13" t="s">
        <v>43</v>
      </c>
      <c r="D721" s="13" t="s">
        <v>252</v>
      </c>
      <c r="E721" s="13" t="s">
        <v>253</v>
      </c>
      <c r="F721" s="13" t="s">
        <v>586</v>
      </c>
      <c r="G721" s="13" t="s">
        <v>46</v>
      </c>
      <c r="H721" s="13">
        <v>29.3</v>
      </c>
      <c r="I721" s="13" t="s">
        <v>46</v>
      </c>
      <c r="K721" s="13" t="s">
        <v>878</v>
      </c>
      <c r="L721" s="13" t="s">
        <v>879</v>
      </c>
      <c r="N721" s="13" t="s">
        <v>257</v>
      </c>
      <c r="O721" s="13" t="s">
        <v>645</v>
      </c>
      <c r="P721" s="13" t="s">
        <v>48</v>
      </c>
      <c r="Q721" s="13" t="s">
        <v>48</v>
      </c>
      <c r="R721" s="4">
        <v>7</v>
      </c>
      <c r="S721" s="13" t="s">
        <v>596</v>
      </c>
      <c r="T721" s="13">
        <v>90</v>
      </c>
      <c r="U721" s="4" t="s">
        <v>254</v>
      </c>
      <c r="V721" s="4">
        <v>500</v>
      </c>
      <c r="W721" s="4" t="s">
        <v>601</v>
      </c>
      <c r="X721" s="4">
        <v>521.66</v>
      </c>
      <c r="Y721" s="4">
        <v>20</v>
      </c>
      <c r="AA721" s="4" t="s">
        <v>49</v>
      </c>
      <c r="AB721" s="4">
        <v>0</v>
      </c>
      <c r="AC721" s="4" t="s">
        <v>49</v>
      </c>
      <c r="AD721" s="4">
        <v>0</v>
      </c>
      <c r="AE721" s="4" t="s">
        <v>49</v>
      </c>
      <c r="AF721" s="4">
        <v>0</v>
      </c>
      <c r="AG721" s="4" t="s">
        <v>762</v>
      </c>
      <c r="AH721" s="4" t="s">
        <v>791</v>
      </c>
      <c r="AI721" s="4" t="s">
        <v>64</v>
      </c>
      <c r="AJ721" s="13">
        <v>0</v>
      </c>
      <c r="AK721" s="13">
        <v>15</v>
      </c>
      <c r="AN721" s="13" t="s">
        <v>518</v>
      </c>
      <c r="AO721" s="13" t="s">
        <v>519</v>
      </c>
      <c r="AP721" s="13" t="s">
        <v>49</v>
      </c>
      <c r="AQ721" s="13" t="s">
        <v>49</v>
      </c>
      <c r="AR721" s="13" t="s">
        <v>49</v>
      </c>
      <c r="AS721" s="13" t="s">
        <v>49</v>
      </c>
      <c r="AT721" s="13" t="s">
        <v>990</v>
      </c>
      <c r="AU721" s="13" t="s">
        <v>998</v>
      </c>
      <c r="AV721" s="14">
        <v>4.22</v>
      </c>
      <c r="AW721" s="14">
        <v>4.08</v>
      </c>
      <c r="AX721" s="14">
        <f>Table1347456[[#This Row],[treatment_mean]]/Table1347456[[#This Row],[control_mean]]</f>
        <v>1.034313725490196</v>
      </c>
      <c r="AY721" s="14">
        <f>LN(Table1347456[[#This Row],[rr]])</f>
        <v>3.3738139631849989E-2</v>
      </c>
      <c r="AZ721" s="13">
        <v>3</v>
      </c>
      <c r="BA721" s="13">
        <v>3</v>
      </c>
      <c r="BB721" s="14">
        <v>0.17</v>
      </c>
      <c r="BC721" s="14">
        <v>0.2</v>
      </c>
      <c r="BD721" s="15">
        <f>Table1347456[[#This Row],[treatment_se]]*SQRT(Table1347456[[#This Row],[treatment_n]])</f>
        <v>0.29444863728670917</v>
      </c>
      <c r="BE721" s="14">
        <f>Table1347456[[#This Row],[control_se]]*SQRT(Table1347456[[#This Row],[control_n]])</f>
        <v>0.34641016151377546</v>
      </c>
      <c r="BF72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4.0257516289782542E-3</v>
      </c>
      <c r="BG721" s="17">
        <f>SQRT(Table1347456[[#This Row],[v_from_sd_and_n]])</f>
        <v>6.3448811091920812E-2</v>
      </c>
      <c r="BH721" s="13" t="s">
        <v>49</v>
      </c>
      <c r="BI721" s="13">
        <v>0.52500000000000002</v>
      </c>
      <c r="BJ721" s="18">
        <f>ABS(_xlfn.NORM.S.INV(Table1347456[[#This Row],[p_value]]/2))</f>
        <v>0.63565701369758276</v>
      </c>
      <c r="BK721" s="19">
        <f>(Table1347456[[#This Row],[lnrr]]/Table1347456[[#This Row],[z_from_p]])^2</f>
        <v>2.8170631074298184E-3</v>
      </c>
      <c r="BL721" s="16">
        <f>Table1347456[[#This Row],[v_from_sd_and_n]]</f>
        <v>4.0257516289782542E-3</v>
      </c>
      <c r="BM721" s="20">
        <f>SQRT(Table1347456[[#This Row],[v]])</f>
        <v>6.3448811091920812E-2</v>
      </c>
      <c r="BN721" s="20">
        <f>Table1347456[[#This Row],[lnrr]]-(1.96*Table1347456[[#This Row],[se]])</f>
        <v>-9.0621530108314793E-2</v>
      </c>
      <c r="BO721" s="20">
        <f>Table1347456[[#This Row],[lnrr]]+(1.96 * Table1347456[[#This Row],[se]])</f>
        <v>0.15809780937201479</v>
      </c>
    </row>
    <row r="722" spans="1:67">
      <c r="A722" s="13" t="s">
        <v>250</v>
      </c>
      <c r="B722" s="13" t="s">
        <v>251</v>
      </c>
      <c r="C722" s="13" t="s">
        <v>43</v>
      </c>
      <c r="D722" s="13" t="s">
        <v>252</v>
      </c>
      <c r="E722" s="13" t="s">
        <v>253</v>
      </c>
      <c r="F722" s="13" t="s">
        <v>586</v>
      </c>
      <c r="G722" s="13" t="s">
        <v>46</v>
      </c>
      <c r="H722" s="13">
        <v>29.3</v>
      </c>
      <c r="I722" s="13" t="s">
        <v>46</v>
      </c>
      <c r="K722" s="13" t="s">
        <v>878</v>
      </c>
      <c r="L722" s="13" t="s">
        <v>879</v>
      </c>
      <c r="N722" s="13" t="s">
        <v>257</v>
      </c>
      <c r="O722" s="13" t="s">
        <v>645</v>
      </c>
      <c r="P722" s="13" t="s">
        <v>48</v>
      </c>
      <c r="Q722" s="13" t="s">
        <v>48</v>
      </c>
      <c r="R722" s="4">
        <v>7</v>
      </c>
      <c r="S722" s="13" t="s">
        <v>596</v>
      </c>
      <c r="T722" s="13">
        <v>90</v>
      </c>
      <c r="U722" s="4" t="s">
        <v>254</v>
      </c>
      <c r="V722" s="4">
        <v>500</v>
      </c>
      <c r="W722" s="4" t="s">
        <v>601</v>
      </c>
      <c r="X722" s="4">
        <v>521.66</v>
      </c>
      <c r="Y722" s="4">
        <v>30</v>
      </c>
      <c r="AA722" s="4" t="s">
        <v>49</v>
      </c>
      <c r="AB722" s="4">
        <v>0</v>
      </c>
      <c r="AC722" s="4" t="s">
        <v>49</v>
      </c>
      <c r="AD722" s="4">
        <v>0</v>
      </c>
      <c r="AE722" s="4" t="s">
        <v>49</v>
      </c>
      <c r="AF722" s="4">
        <v>0</v>
      </c>
      <c r="AG722" s="4" t="s">
        <v>762</v>
      </c>
      <c r="AH722" s="4" t="s">
        <v>791</v>
      </c>
      <c r="AI722" s="4" t="s">
        <v>64</v>
      </c>
      <c r="AJ722" s="13">
        <v>0</v>
      </c>
      <c r="AK722" s="13">
        <v>15</v>
      </c>
      <c r="AN722" s="13" t="s">
        <v>518</v>
      </c>
      <c r="AO722" s="13" t="s">
        <v>519</v>
      </c>
      <c r="AP722" s="13" t="s">
        <v>49</v>
      </c>
      <c r="AQ722" s="13" t="s">
        <v>49</v>
      </c>
      <c r="AR722" s="13" t="s">
        <v>49</v>
      </c>
      <c r="AS722" s="13" t="s">
        <v>49</v>
      </c>
      <c r="AT722" s="13" t="s">
        <v>990</v>
      </c>
      <c r="AU722" s="13" t="s">
        <v>998</v>
      </c>
      <c r="AV722" s="14">
        <v>4.79</v>
      </c>
      <c r="AW722" s="14">
        <v>4.08</v>
      </c>
      <c r="AX722" s="14">
        <f>Table1347456[[#This Row],[treatment_mean]]/Table1347456[[#This Row],[control_mean]]</f>
        <v>1.1740196078431373</v>
      </c>
      <c r="AY722" s="14">
        <f>LN(Table1347456[[#This Row],[rr]])</f>
        <v>0.16043342300675359</v>
      </c>
      <c r="AZ722" s="13">
        <v>3</v>
      </c>
      <c r="BA722" s="13">
        <v>3</v>
      </c>
      <c r="BB722" s="14">
        <v>0.11</v>
      </c>
      <c r="BC722" s="14">
        <v>0.2</v>
      </c>
      <c r="BD722" s="15">
        <f>Table1347456[[#This Row],[treatment_se]]*SQRT(Table1347456[[#This Row],[treatment_n]])</f>
        <v>0.1905255888325765</v>
      </c>
      <c r="BE722" s="14">
        <f>Table1347456[[#This Row],[control_se]]*SQRT(Table1347456[[#This Row],[control_n]])</f>
        <v>0.34641016151377546</v>
      </c>
      <c r="BF72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2.9302906448283499E-3</v>
      </c>
      <c r="BG722" s="17">
        <f>SQRT(Table1347456[[#This Row],[v_from_sd_and_n]])</f>
        <v>5.4132159063059272E-2</v>
      </c>
      <c r="BH722" s="13" t="s">
        <v>49</v>
      </c>
      <c r="BI722" s="13">
        <v>0.52500000000000002</v>
      </c>
      <c r="BJ722" s="18">
        <f>ABS(_xlfn.NORM.S.INV(Table1347456[[#This Row],[p_value]]/2))</f>
        <v>0.63565701369758276</v>
      </c>
      <c r="BK722" s="19">
        <f>(Table1347456[[#This Row],[lnrr]]/Table1347456[[#This Row],[z_from_p]])^2</f>
        <v>6.3700671854337199E-2</v>
      </c>
      <c r="BL722" s="16">
        <f>Table1347456[[#This Row],[v_from_sd_and_n]]</f>
        <v>2.9302906448283499E-3</v>
      </c>
      <c r="BM722" s="20">
        <f>SQRT(Table1347456[[#This Row],[v]])</f>
        <v>5.4132159063059272E-2</v>
      </c>
      <c r="BN722" s="20">
        <f>Table1347456[[#This Row],[lnrr]]-(1.96*Table1347456[[#This Row],[se]])</f>
        <v>5.4334391243157421E-2</v>
      </c>
      <c r="BO722" s="20">
        <f>Table1347456[[#This Row],[lnrr]]+(1.96 * Table1347456[[#This Row],[se]])</f>
        <v>0.26653245477034976</v>
      </c>
    </row>
    <row r="723" spans="1:67">
      <c r="A723" s="13" t="s">
        <v>258</v>
      </c>
      <c r="B723" s="13" t="s">
        <v>259</v>
      </c>
      <c r="C723" s="13" t="s">
        <v>43</v>
      </c>
      <c r="D723" s="13" t="s">
        <v>260</v>
      </c>
      <c r="E723" s="13" t="s">
        <v>110</v>
      </c>
      <c r="F723" s="13" t="s">
        <v>586</v>
      </c>
      <c r="G723" s="13" t="s">
        <v>261</v>
      </c>
      <c r="H723" s="13">
        <v>18</v>
      </c>
      <c r="I723" s="13">
        <v>275</v>
      </c>
      <c r="K723" s="13" t="s">
        <v>880</v>
      </c>
      <c r="L723" s="13" t="s">
        <v>881</v>
      </c>
      <c r="N723" s="13" t="s">
        <v>61</v>
      </c>
      <c r="O723" s="13" t="s">
        <v>642</v>
      </c>
      <c r="P723" s="13" t="s">
        <v>262</v>
      </c>
      <c r="Q723" s="13" t="s">
        <v>48</v>
      </c>
      <c r="R723" s="4">
        <v>5</v>
      </c>
      <c r="S723" s="13" t="s">
        <v>594</v>
      </c>
      <c r="T723" s="13">
        <v>90</v>
      </c>
      <c r="U723" s="4" t="s">
        <v>263</v>
      </c>
      <c r="V723" s="4">
        <v>600</v>
      </c>
      <c r="W723" s="4" t="s">
        <v>602</v>
      </c>
      <c r="X723" s="4" t="s">
        <v>46</v>
      </c>
      <c r="Y723" s="4">
        <v>20</v>
      </c>
      <c r="AA723" s="4" t="s">
        <v>50</v>
      </c>
      <c r="AB723" s="4">
        <v>120</v>
      </c>
      <c r="AC723" s="4" t="s">
        <v>49</v>
      </c>
      <c r="AD723" s="4">
        <v>0</v>
      </c>
      <c r="AE723" s="4" t="s">
        <v>49</v>
      </c>
      <c r="AF723" s="4">
        <v>0</v>
      </c>
      <c r="AG723" s="4" t="s">
        <v>781</v>
      </c>
      <c r="AH723" s="4" t="s">
        <v>780</v>
      </c>
      <c r="AI723" s="4" t="s">
        <v>64</v>
      </c>
      <c r="AJ723" s="13">
        <v>0</v>
      </c>
      <c r="AK723" s="13">
        <v>25</v>
      </c>
      <c r="AM723" s="13" t="s">
        <v>520</v>
      </c>
      <c r="AP723" s="13" t="s">
        <v>49</v>
      </c>
      <c r="AQ723" s="13" t="s">
        <v>49</v>
      </c>
      <c r="AR723" s="13" t="s">
        <v>50</v>
      </c>
      <c r="AS723" s="13" t="s">
        <v>49</v>
      </c>
      <c r="AT723" s="13" t="s">
        <v>992</v>
      </c>
      <c r="AU723" s="4" t="s">
        <v>1000</v>
      </c>
      <c r="AV723" s="14">
        <v>4.57</v>
      </c>
      <c r="AW723" s="14">
        <v>3.96</v>
      </c>
      <c r="AX723" s="14">
        <f>Table1347456[[#This Row],[treatment_mean]]/Table1347456[[#This Row],[control_mean]]</f>
        <v>1.1540404040404042</v>
      </c>
      <c r="AY723" s="14">
        <f>LN(Table1347456[[#This Row],[rr]])</f>
        <v>0.1432691796397243</v>
      </c>
      <c r="AZ723" s="13">
        <v>5</v>
      </c>
      <c r="BA723" s="13">
        <v>5</v>
      </c>
      <c r="BB723" s="14">
        <f>Table1347456[[#This Row],[treatment_sd]]/SQRT(Table1347456[[#This Row],[treatment_n]])</f>
        <v>0.23702320561497769</v>
      </c>
      <c r="BC723" s="14">
        <f>Table1347456[[#This Row],[control_sd]]/SQRT(Table1347456[[#This Row],[control_n]])</f>
        <v>3.1304951684997057E-2</v>
      </c>
      <c r="BD723" s="15">
        <v>0.53</v>
      </c>
      <c r="BE723" s="14">
        <v>7.0000000000000007E-2</v>
      </c>
      <c r="BF72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2.7524753802543743E-3</v>
      </c>
      <c r="BG723" s="17">
        <f>SQRT(Table1347456[[#This Row],[v_from_sd_and_n]])</f>
        <v>5.246403892433725E-2</v>
      </c>
      <c r="BH723" s="13" t="s">
        <v>50</v>
      </c>
      <c r="BI723" s="13">
        <v>2.5000000000000001E-2</v>
      </c>
      <c r="BJ723" s="18">
        <f>ABS(_xlfn.NORM.S.INV(Table1347456[[#This Row],[p_value]]/2))</f>
        <v>2.2414027276049446</v>
      </c>
      <c r="BK723" s="19">
        <f>(Table1347456[[#This Row],[lnrr]]/Table1347456[[#This Row],[z_from_p]])^2</f>
        <v>4.0856932401189885E-3</v>
      </c>
      <c r="BL723" s="16">
        <f>Table1347456[[#This Row],[v_from_sd_and_n]]</f>
        <v>2.7524753802543743E-3</v>
      </c>
      <c r="BM723" s="20">
        <f>SQRT(Table1347456[[#This Row],[v]])</f>
        <v>5.246403892433725E-2</v>
      </c>
      <c r="BN723" s="20">
        <f>Table1347456[[#This Row],[lnrr]]-(1.96*Table1347456[[#This Row],[se]])</f>
        <v>4.0439663348023291E-2</v>
      </c>
      <c r="BO723" s="20">
        <f>Table1347456[[#This Row],[lnrr]]+(1.96 * Table1347456[[#This Row],[se]])</f>
        <v>0.2460986959314253</v>
      </c>
    </row>
    <row r="724" spans="1:67">
      <c r="A724" s="13" t="s">
        <v>258</v>
      </c>
      <c r="B724" s="13" t="s">
        <v>259</v>
      </c>
      <c r="C724" s="13" t="s">
        <v>43</v>
      </c>
      <c r="D724" s="13" t="s">
        <v>260</v>
      </c>
      <c r="E724" s="13" t="s">
        <v>110</v>
      </c>
      <c r="F724" s="13" t="s">
        <v>586</v>
      </c>
      <c r="G724" s="13" t="s">
        <v>261</v>
      </c>
      <c r="H724" s="13">
        <v>18</v>
      </c>
      <c r="I724" s="13">
        <v>275</v>
      </c>
      <c r="K724" s="13" t="s">
        <v>880</v>
      </c>
      <c r="L724" s="13" t="s">
        <v>881</v>
      </c>
      <c r="N724" s="13" t="s">
        <v>69</v>
      </c>
      <c r="O724" s="13" t="s">
        <v>70</v>
      </c>
      <c r="P724" s="13" t="s">
        <v>482</v>
      </c>
      <c r="Q724" s="13" t="s">
        <v>71</v>
      </c>
      <c r="R724" s="4">
        <v>5</v>
      </c>
      <c r="S724" s="13" t="s">
        <v>594</v>
      </c>
      <c r="T724" s="13">
        <v>90</v>
      </c>
      <c r="U724" s="4" t="s">
        <v>263</v>
      </c>
      <c r="V724" s="4">
        <v>600</v>
      </c>
      <c r="W724" s="4" t="s">
        <v>602</v>
      </c>
      <c r="X724" s="4" t="s">
        <v>46</v>
      </c>
      <c r="Y724" s="4">
        <v>20</v>
      </c>
      <c r="AA724" s="4" t="s">
        <v>50</v>
      </c>
      <c r="AB724" s="4">
        <v>120</v>
      </c>
      <c r="AC724" s="4" t="s">
        <v>49</v>
      </c>
      <c r="AD724" s="4">
        <v>0</v>
      </c>
      <c r="AE724" s="4" t="s">
        <v>49</v>
      </c>
      <c r="AF724" s="4">
        <v>0</v>
      </c>
      <c r="AG724" s="4" t="s">
        <v>781</v>
      </c>
      <c r="AH724" s="4" t="s">
        <v>780</v>
      </c>
      <c r="AI724" s="4" t="s">
        <v>64</v>
      </c>
      <c r="AJ724" s="13">
        <v>0</v>
      </c>
      <c r="AK724" s="13">
        <v>25</v>
      </c>
      <c r="AM724" s="13" t="s">
        <v>520</v>
      </c>
      <c r="AP724" s="13" t="s">
        <v>49</v>
      </c>
      <c r="AQ724" s="13" t="s">
        <v>49</v>
      </c>
      <c r="AR724" s="13" t="s">
        <v>50</v>
      </c>
      <c r="AS724" s="13" t="s">
        <v>49</v>
      </c>
      <c r="AT724" s="13" t="s">
        <v>992</v>
      </c>
      <c r="AU724" s="4" t="s">
        <v>1000</v>
      </c>
      <c r="AV724" s="14">
        <f>369/100</f>
        <v>3.69</v>
      </c>
      <c r="AW724" s="14">
        <f>373/100</f>
        <v>3.73</v>
      </c>
      <c r="AX724" s="14">
        <f>Table1347456[[#This Row],[treatment_mean]]/Table1347456[[#This Row],[control_mean]]</f>
        <v>0.98927613941018766</v>
      </c>
      <c r="AY724" s="14">
        <f>LN(Table1347456[[#This Row],[rr]])</f>
        <v>-1.0781775603288362E-2</v>
      </c>
      <c r="AZ724" s="13">
        <v>5</v>
      </c>
      <c r="BA724" s="13">
        <v>5</v>
      </c>
      <c r="BB724" s="14">
        <f>Table1347456[[#This Row],[treatment_sd]]/SQRT(Table1347456[[#This Row],[treatment_n]])</f>
        <v>8.4970583144992007E-2</v>
      </c>
      <c r="BC724" s="14">
        <f>Table1347456[[#This Row],[control_sd]]/SQRT(Table1347456[[#This Row],[control_n]])</f>
        <v>5.8137767414994532E-2</v>
      </c>
      <c r="BD724" s="15">
        <f>19/100</f>
        <v>0.19</v>
      </c>
      <c r="BE724" s="14">
        <f>13/100</f>
        <v>0.13</v>
      </c>
      <c r="BF72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7.7319463035828017E-4</v>
      </c>
      <c r="BG724" s="17">
        <f>SQRT(Table1347456[[#This Row],[v_from_sd_and_n]])</f>
        <v>2.7806377512331233E-2</v>
      </c>
      <c r="BH724" s="13" t="s">
        <v>50</v>
      </c>
      <c r="BI724" s="13">
        <v>2.5000000000000001E-2</v>
      </c>
      <c r="BJ724" s="18">
        <f>ABS(_xlfn.NORM.S.INV(Table1347456[[#This Row],[p_value]]/2))</f>
        <v>2.2414027276049446</v>
      </c>
      <c r="BK724" s="19">
        <f>(Table1347456[[#This Row],[lnrr]]/Table1347456[[#This Row],[z_from_p]])^2</f>
        <v>2.3138797501659652E-5</v>
      </c>
      <c r="BL724" s="16">
        <f>Table1347456[[#This Row],[v_from_sd_and_n]]</f>
        <v>7.7319463035828017E-4</v>
      </c>
      <c r="BM724" s="20">
        <f>SQRT(Table1347456[[#This Row],[v]])</f>
        <v>2.7806377512331233E-2</v>
      </c>
      <c r="BN724" s="20">
        <f>Table1347456[[#This Row],[lnrr]]-(1.96*Table1347456[[#This Row],[se]])</f>
        <v>-6.5282275527457578E-2</v>
      </c>
      <c r="BO724" s="20">
        <f>Table1347456[[#This Row],[lnrr]]+(1.96 * Table1347456[[#This Row],[se]])</f>
        <v>4.371872432088085E-2</v>
      </c>
    </row>
    <row r="725" spans="1:67">
      <c r="A725" s="13" t="s">
        <v>258</v>
      </c>
      <c r="B725" s="13" t="s">
        <v>259</v>
      </c>
      <c r="C725" s="13" t="s">
        <v>43</v>
      </c>
      <c r="D725" s="13" t="s">
        <v>260</v>
      </c>
      <c r="E725" s="13" t="s">
        <v>110</v>
      </c>
      <c r="F725" s="13" t="s">
        <v>586</v>
      </c>
      <c r="G725" s="13" t="s">
        <v>261</v>
      </c>
      <c r="H725" s="13">
        <v>18</v>
      </c>
      <c r="I725" s="13">
        <v>275</v>
      </c>
      <c r="K725" s="13" t="s">
        <v>880</v>
      </c>
      <c r="L725" s="13" t="s">
        <v>881</v>
      </c>
      <c r="N725" s="13" t="s">
        <v>53</v>
      </c>
      <c r="O725" s="13" t="s">
        <v>54</v>
      </c>
      <c r="P725" s="13" t="s">
        <v>85</v>
      </c>
      <c r="Q725" s="13" t="s">
        <v>48</v>
      </c>
      <c r="R725" s="4">
        <v>5</v>
      </c>
      <c r="S725" s="13" t="s">
        <v>594</v>
      </c>
      <c r="T725" s="13">
        <v>90</v>
      </c>
      <c r="U725" s="4" t="s">
        <v>263</v>
      </c>
      <c r="V725" s="4">
        <v>600</v>
      </c>
      <c r="W725" s="4" t="s">
        <v>602</v>
      </c>
      <c r="X725" s="4" t="s">
        <v>46</v>
      </c>
      <c r="Y725" s="4">
        <v>20</v>
      </c>
      <c r="AA725" s="4" t="s">
        <v>49</v>
      </c>
      <c r="AB725" s="4">
        <v>0</v>
      </c>
      <c r="AC725" s="4" t="s">
        <v>49</v>
      </c>
      <c r="AD725" s="4">
        <v>0</v>
      </c>
      <c r="AE725" s="4" t="s">
        <v>49</v>
      </c>
      <c r="AF725" s="4">
        <v>0</v>
      </c>
      <c r="AG725" s="4" t="s">
        <v>781</v>
      </c>
      <c r="AH725" s="4" t="s">
        <v>780</v>
      </c>
      <c r="AI725" s="4" t="s">
        <v>64</v>
      </c>
      <c r="AJ725" s="13">
        <v>0</v>
      </c>
      <c r="AK725" s="13">
        <v>25</v>
      </c>
      <c r="AM725" s="13" t="s">
        <v>520</v>
      </c>
      <c r="AP725" s="13" t="s">
        <v>49</v>
      </c>
      <c r="AQ725" s="13" t="s">
        <v>49</v>
      </c>
      <c r="AR725" s="13" t="s">
        <v>50</v>
      </c>
      <c r="AS725" s="13" t="s">
        <v>49</v>
      </c>
      <c r="AT725" s="13" t="s">
        <v>990</v>
      </c>
      <c r="AU725" s="13" t="s">
        <v>998</v>
      </c>
      <c r="AV725" s="14">
        <f>2.5/1000</f>
        <v>2.5000000000000001E-3</v>
      </c>
      <c r="AW725" s="14">
        <f>5.3/1000</f>
        <v>5.3E-3</v>
      </c>
      <c r="AX725" s="14">
        <f>Table1347456[[#This Row],[treatment_mean]]/Table1347456[[#This Row],[control_mean]]</f>
        <v>0.47169811320754718</v>
      </c>
      <c r="AY725" s="14">
        <f>LN(Table1347456[[#This Row],[rr]])</f>
        <v>-0.75141608868392107</v>
      </c>
      <c r="AZ725" s="13">
        <v>5</v>
      </c>
      <c r="BA725" s="13">
        <v>5</v>
      </c>
      <c r="BB725" s="14">
        <f>Table1347456[[#This Row],[treatment_sd]]/SQRT(Table1347456[[#This Row],[treatment_n]])</f>
        <v>1.7888543819998318E-4</v>
      </c>
      <c r="BC725" s="14">
        <f>Table1347456[[#This Row],[control_sd]]/SQRT(Table1347456[[#This Row],[control_n]])</f>
        <v>5.3665631459994944E-4</v>
      </c>
      <c r="BD725" s="15">
        <f>0.4/1000</f>
        <v>4.0000000000000002E-4</v>
      </c>
      <c r="BE725" s="14">
        <f>1.2/1000</f>
        <v>1.1999999999999999E-3</v>
      </c>
      <c r="BF72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1.5372758988964043E-2</v>
      </c>
      <c r="BG725" s="17">
        <f>SQRT(Table1347456[[#This Row],[v_from_sd_and_n]])</f>
        <v>0.12398693071837871</v>
      </c>
      <c r="BH725" s="13" t="s">
        <v>50</v>
      </c>
      <c r="BI725" s="13">
        <v>2.5000000000000001E-2</v>
      </c>
      <c r="BJ725" s="18">
        <f>ABS(_xlfn.NORM.S.INV(Table1347456[[#This Row],[p_value]]/2))</f>
        <v>2.2414027276049446</v>
      </c>
      <c r="BK725" s="19">
        <f>(Table1347456[[#This Row],[lnrr]]/Table1347456[[#This Row],[z_from_p]])^2</f>
        <v>0.11238832196451842</v>
      </c>
      <c r="BL725" s="16">
        <f>Table1347456[[#This Row],[v_from_sd_and_n]]</f>
        <v>1.5372758988964043E-2</v>
      </c>
      <c r="BM725" s="20">
        <f>SQRT(Table1347456[[#This Row],[v]])</f>
        <v>0.12398693071837871</v>
      </c>
      <c r="BN725" s="20">
        <f>Table1347456[[#This Row],[lnrr]]-(1.96*Table1347456[[#This Row],[se]])</f>
        <v>-0.99443047289194331</v>
      </c>
      <c r="BO725" s="20">
        <f>Table1347456[[#This Row],[lnrr]]+(1.96 * Table1347456[[#This Row],[se]])</f>
        <v>-0.50840170447589883</v>
      </c>
    </row>
    <row r="726" spans="1:67">
      <c r="A726" s="13" t="s">
        <v>258</v>
      </c>
      <c r="B726" s="13" t="s">
        <v>259</v>
      </c>
      <c r="C726" s="13" t="s">
        <v>43</v>
      </c>
      <c r="D726" s="13" t="s">
        <v>260</v>
      </c>
      <c r="E726" s="13" t="s">
        <v>110</v>
      </c>
      <c r="F726" s="13" t="s">
        <v>586</v>
      </c>
      <c r="G726" s="13" t="s">
        <v>261</v>
      </c>
      <c r="H726" s="13">
        <v>18</v>
      </c>
      <c r="I726" s="13">
        <v>275</v>
      </c>
      <c r="K726" s="13" t="s">
        <v>880</v>
      </c>
      <c r="L726" s="13" t="s">
        <v>881</v>
      </c>
      <c r="N726" s="13" t="s">
        <v>53</v>
      </c>
      <c r="O726" s="13" t="s">
        <v>54</v>
      </c>
      <c r="P726" s="13" t="s">
        <v>85</v>
      </c>
      <c r="Q726" s="13" t="s">
        <v>48</v>
      </c>
      <c r="R726" s="4">
        <v>5</v>
      </c>
      <c r="S726" s="13" t="s">
        <v>594</v>
      </c>
      <c r="T726" s="13">
        <v>90</v>
      </c>
      <c r="U726" s="4" t="s">
        <v>263</v>
      </c>
      <c r="V726" s="4">
        <v>600</v>
      </c>
      <c r="W726" s="4" t="s">
        <v>602</v>
      </c>
      <c r="X726" s="4" t="s">
        <v>46</v>
      </c>
      <c r="Y726" s="4">
        <v>20</v>
      </c>
      <c r="AA726" s="4" t="s">
        <v>50</v>
      </c>
      <c r="AB726" s="4">
        <v>120</v>
      </c>
      <c r="AC726" s="4" t="s">
        <v>49</v>
      </c>
      <c r="AD726" s="4">
        <v>0</v>
      </c>
      <c r="AE726" s="4" t="s">
        <v>49</v>
      </c>
      <c r="AF726" s="4">
        <v>0</v>
      </c>
      <c r="AG726" s="4" t="s">
        <v>781</v>
      </c>
      <c r="AH726" s="4" t="s">
        <v>780</v>
      </c>
      <c r="AI726" s="4" t="s">
        <v>64</v>
      </c>
      <c r="AJ726" s="13">
        <v>0</v>
      </c>
      <c r="AK726" s="13">
        <v>25</v>
      </c>
      <c r="AM726" s="13" t="s">
        <v>520</v>
      </c>
      <c r="AP726" s="13" t="s">
        <v>49</v>
      </c>
      <c r="AQ726" s="13" t="s">
        <v>49</v>
      </c>
      <c r="AR726" s="13" t="s">
        <v>50</v>
      </c>
      <c r="AS726" s="13" t="s">
        <v>49</v>
      </c>
      <c r="AT726" s="13" t="s">
        <v>992</v>
      </c>
      <c r="AU726" s="4" t="s">
        <v>1000</v>
      </c>
      <c r="AV726" s="14">
        <f>103.6/1000</f>
        <v>0.1036</v>
      </c>
      <c r="AW726" s="14">
        <f>95.1/1000</f>
        <v>9.509999999999999E-2</v>
      </c>
      <c r="AX726" s="14">
        <f>Table1347456[[#This Row],[treatment_mean]]/Table1347456[[#This Row],[control_mean]]</f>
        <v>1.08937960042061</v>
      </c>
      <c r="AY726" s="14">
        <f>LN(Table1347456[[#This Row],[rr]])</f>
        <v>8.5608360274038162E-2</v>
      </c>
      <c r="AZ726" s="13">
        <v>5</v>
      </c>
      <c r="BA726" s="13">
        <v>5</v>
      </c>
      <c r="BB726" s="14">
        <f>Table1347456[[#This Row],[treatment_sd]]/SQRT(Table1347456[[#This Row],[treatment_n]])</f>
        <v>1.0017584539199056E-2</v>
      </c>
      <c r="BC726" s="14">
        <f>Table1347456[[#This Row],[control_sd]]/SQRT(Table1347456[[#This Row],[control_n]])</f>
        <v>2.4283698235647713E-2</v>
      </c>
      <c r="BD726" s="15">
        <f>22.4/1000</f>
        <v>2.24E-2</v>
      </c>
      <c r="BE726" s="14">
        <f>54.3/1000</f>
        <v>5.4299999999999994E-2</v>
      </c>
      <c r="BF72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7.4553046995371589E-2</v>
      </c>
      <c r="BG726" s="17">
        <f>SQRT(Table1347456[[#This Row],[v_from_sd_and_n]])</f>
        <v>0.27304403856405945</v>
      </c>
      <c r="BH726" s="13" t="s">
        <v>50</v>
      </c>
      <c r="BI726" s="13">
        <v>2.5000000000000001E-2</v>
      </c>
      <c r="BJ726" s="18">
        <f>ABS(_xlfn.NORM.S.INV(Table1347456[[#This Row],[p_value]]/2))</f>
        <v>2.2414027276049446</v>
      </c>
      <c r="BK726" s="19">
        <f>(Table1347456[[#This Row],[lnrr]]/Table1347456[[#This Row],[z_from_p]])^2</f>
        <v>1.4587892869297925E-3</v>
      </c>
      <c r="BL726" s="16">
        <f>Table1347456[[#This Row],[v_from_sd_and_n]]</f>
        <v>7.4553046995371589E-2</v>
      </c>
      <c r="BM726" s="20">
        <f>SQRT(Table1347456[[#This Row],[v]])</f>
        <v>0.27304403856405945</v>
      </c>
      <c r="BN726" s="20">
        <f>Table1347456[[#This Row],[lnrr]]-(1.96*Table1347456[[#This Row],[se]])</f>
        <v>-0.44955795531151832</v>
      </c>
      <c r="BO726" s="20">
        <f>Table1347456[[#This Row],[lnrr]]+(1.96 * Table1347456[[#This Row],[se]])</f>
        <v>0.62077467585959467</v>
      </c>
    </row>
    <row r="727" spans="1:67">
      <c r="A727" s="13" t="s">
        <v>258</v>
      </c>
      <c r="B727" s="13" t="s">
        <v>259</v>
      </c>
      <c r="C727" s="13" t="s">
        <v>43</v>
      </c>
      <c r="D727" s="13" t="s">
        <v>260</v>
      </c>
      <c r="E727" s="13" t="s">
        <v>110</v>
      </c>
      <c r="F727" s="13" t="s">
        <v>586</v>
      </c>
      <c r="G727" s="13" t="s">
        <v>261</v>
      </c>
      <c r="H727" s="13">
        <v>18</v>
      </c>
      <c r="I727" s="13">
        <v>275</v>
      </c>
      <c r="K727" s="13" t="s">
        <v>880</v>
      </c>
      <c r="L727" s="13" t="s">
        <v>881</v>
      </c>
      <c r="N727" s="13" t="s">
        <v>617</v>
      </c>
      <c r="O727" s="13" t="s">
        <v>54</v>
      </c>
      <c r="P727" s="13" t="s">
        <v>85</v>
      </c>
      <c r="Q727" s="13" t="s">
        <v>48</v>
      </c>
      <c r="R727" s="4">
        <v>5</v>
      </c>
      <c r="S727" s="13" t="s">
        <v>594</v>
      </c>
      <c r="T727" s="13">
        <v>90</v>
      </c>
      <c r="U727" s="4" t="s">
        <v>263</v>
      </c>
      <c r="V727" s="4">
        <v>600</v>
      </c>
      <c r="W727" s="4" t="s">
        <v>602</v>
      </c>
      <c r="X727" s="4" t="s">
        <v>46</v>
      </c>
      <c r="Y727" s="4">
        <v>20</v>
      </c>
      <c r="AA727" s="4" t="s">
        <v>49</v>
      </c>
      <c r="AB727" s="4">
        <v>0</v>
      </c>
      <c r="AC727" s="4" t="s">
        <v>49</v>
      </c>
      <c r="AD727" s="4">
        <v>0</v>
      </c>
      <c r="AE727" s="4" t="s">
        <v>49</v>
      </c>
      <c r="AF727" s="4">
        <v>0</v>
      </c>
      <c r="AG727" s="4" t="s">
        <v>781</v>
      </c>
      <c r="AH727" s="4" t="s">
        <v>780</v>
      </c>
      <c r="AI727" s="4" t="s">
        <v>64</v>
      </c>
      <c r="AJ727" s="13">
        <v>0</v>
      </c>
      <c r="AK727" s="13">
        <v>25</v>
      </c>
      <c r="AM727" s="13" t="s">
        <v>520</v>
      </c>
      <c r="AP727" s="13" t="s">
        <v>49</v>
      </c>
      <c r="AQ727" s="13" t="s">
        <v>49</v>
      </c>
      <c r="AR727" s="13" t="s">
        <v>50</v>
      </c>
      <c r="AS727" s="13" t="s">
        <v>49</v>
      </c>
      <c r="AT727" s="13" t="s">
        <v>990</v>
      </c>
      <c r="AU727" s="13" t="s">
        <v>998</v>
      </c>
      <c r="AV727" s="14">
        <f>3.33/1000</f>
        <v>3.3300000000000001E-3</v>
      </c>
      <c r="AW727" s="14">
        <f>3.58/1000</f>
        <v>3.5800000000000003E-3</v>
      </c>
      <c r="AX727" s="14">
        <f>Table1347456[[#This Row],[treatment_mean]]/Table1347456[[#This Row],[control_mean]]</f>
        <v>0.93016759776536306</v>
      </c>
      <c r="AY727" s="14">
        <f>LN(Table1347456[[#This Row],[rr]])</f>
        <v>-7.239049642025655E-2</v>
      </c>
      <c r="AZ727" s="13">
        <v>5</v>
      </c>
      <c r="BA727" s="13">
        <v>5</v>
      </c>
      <c r="BB727" s="14">
        <f>Table1347456[[#This Row],[treatment_sd]]/SQRT(Table1347456[[#This Row],[treatment_n]])</f>
        <v>2.6832815729997472E-4</v>
      </c>
      <c r="BC727" s="14">
        <f>Table1347456[[#This Row],[control_sd]]/SQRT(Table1347456[[#This Row],[control_n]])</f>
        <v>2.593838853899756E-4</v>
      </c>
      <c r="BD727" s="15">
        <f>0.6/1000</f>
        <v>5.9999999999999995E-4</v>
      </c>
      <c r="BE727" s="14">
        <f>0.58/1000</f>
        <v>5.8E-4</v>
      </c>
      <c r="BF72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1.1742503513266816E-2</v>
      </c>
      <c r="BG727" s="17">
        <f>SQRT(Table1347456[[#This Row],[v_from_sd_and_n]])</f>
        <v>0.10836283271152898</v>
      </c>
      <c r="BH727" s="13" t="s">
        <v>50</v>
      </c>
      <c r="BI727" s="13">
        <v>2.5000000000000001E-2</v>
      </c>
      <c r="BJ727" s="18">
        <f>ABS(_xlfn.NORM.S.INV(Table1347456[[#This Row],[p_value]]/2))</f>
        <v>2.2414027276049446</v>
      </c>
      <c r="BK727" s="19">
        <f>(Table1347456[[#This Row],[lnrr]]/Table1347456[[#This Row],[z_from_p]])^2</f>
        <v>1.0430936881498112E-3</v>
      </c>
      <c r="BL727" s="16">
        <f>Table1347456[[#This Row],[v_from_sd_and_n]]</f>
        <v>1.1742503513266816E-2</v>
      </c>
      <c r="BM727" s="20">
        <f>SQRT(Table1347456[[#This Row],[v]])</f>
        <v>0.10836283271152898</v>
      </c>
      <c r="BN727" s="20">
        <f>Table1347456[[#This Row],[lnrr]]-(1.96*Table1347456[[#This Row],[se]])</f>
        <v>-0.28478164853485333</v>
      </c>
      <c r="BO727" s="20">
        <f>Table1347456[[#This Row],[lnrr]]+(1.96 * Table1347456[[#This Row],[se]])</f>
        <v>0.14000065569434025</v>
      </c>
    </row>
    <row r="728" spans="1:67">
      <c r="A728" s="13" t="s">
        <v>258</v>
      </c>
      <c r="B728" s="13" t="s">
        <v>259</v>
      </c>
      <c r="C728" s="13" t="s">
        <v>43</v>
      </c>
      <c r="D728" s="13" t="s">
        <v>260</v>
      </c>
      <c r="E728" s="13" t="s">
        <v>110</v>
      </c>
      <c r="F728" s="13" t="s">
        <v>586</v>
      </c>
      <c r="G728" s="13" t="s">
        <v>261</v>
      </c>
      <c r="H728" s="13">
        <v>18</v>
      </c>
      <c r="I728" s="13">
        <v>275</v>
      </c>
      <c r="K728" s="13" t="s">
        <v>880</v>
      </c>
      <c r="L728" s="13" t="s">
        <v>881</v>
      </c>
      <c r="N728" s="13" t="s">
        <v>617</v>
      </c>
      <c r="O728" s="13" t="s">
        <v>54</v>
      </c>
      <c r="P728" s="13" t="s">
        <v>85</v>
      </c>
      <c r="Q728" s="13" t="s">
        <v>48</v>
      </c>
      <c r="R728" s="4">
        <v>5</v>
      </c>
      <c r="S728" s="13" t="s">
        <v>594</v>
      </c>
      <c r="T728" s="13">
        <v>90</v>
      </c>
      <c r="U728" s="4" t="s">
        <v>263</v>
      </c>
      <c r="V728" s="4">
        <v>600</v>
      </c>
      <c r="W728" s="4" t="s">
        <v>602</v>
      </c>
      <c r="X728" s="4" t="s">
        <v>46</v>
      </c>
      <c r="Y728" s="4">
        <v>20</v>
      </c>
      <c r="AA728" s="4" t="s">
        <v>50</v>
      </c>
      <c r="AB728" s="4">
        <v>120</v>
      </c>
      <c r="AC728" s="4" t="s">
        <v>49</v>
      </c>
      <c r="AD728" s="4">
        <v>0</v>
      </c>
      <c r="AE728" s="4" t="s">
        <v>49</v>
      </c>
      <c r="AF728" s="4">
        <v>0</v>
      </c>
      <c r="AG728" s="4" t="s">
        <v>781</v>
      </c>
      <c r="AH728" s="4" t="s">
        <v>780</v>
      </c>
      <c r="AI728" s="4" t="s">
        <v>64</v>
      </c>
      <c r="AJ728" s="13">
        <v>0</v>
      </c>
      <c r="AK728" s="13">
        <v>25</v>
      </c>
      <c r="AM728" s="13" t="s">
        <v>520</v>
      </c>
      <c r="AP728" s="13" t="s">
        <v>49</v>
      </c>
      <c r="AQ728" s="13" t="s">
        <v>49</v>
      </c>
      <c r="AR728" s="13" t="s">
        <v>50</v>
      </c>
      <c r="AS728" s="13" t="s">
        <v>49</v>
      </c>
      <c r="AT728" s="13" t="s">
        <v>992</v>
      </c>
      <c r="AU728" s="4" t="s">
        <v>1000</v>
      </c>
      <c r="AV728" s="14">
        <f>3.19/1000</f>
        <v>3.1900000000000001E-3</v>
      </c>
      <c r="AW728" s="14">
        <f>3.45/1000</f>
        <v>3.4500000000000004E-3</v>
      </c>
      <c r="AX728" s="14">
        <f>Table1347456[[#This Row],[treatment_mean]]/Table1347456[[#This Row],[control_mean]]</f>
        <v>0.92463768115942024</v>
      </c>
      <c r="AY728" s="14">
        <f>LN(Table1347456[[#This Row],[rr]])</f>
        <v>-7.8353314246515232E-2</v>
      </c>
      <c r="AZ728" s="13">
        <v>5</v>
      </c>
      <c r="BA728" s="13">
        <v>5</v>
      </c>
      <c r="BB728" s="14">
        <f>Table1347456[[#This Row],[treatment_sd]]/SQRT(Table1347456[[#This Row],[treatment_n]])</f>
        <v>2.1019038988498022E-4</v>
      </c>
      <c r="BC728" s="14">
        <f>Table1347456[[#This Row],[control_sd]]/SQRT(Table1347456[[#This Row],[control_n]])</f>
        <v>2.6385602134497513E-4</v>
      </c>
      <c r="BD728" s="15">
        <f>0.47/1000</f>
        <v>4.6999999999999999E-4</v>
      </c>
      <c r="BE728" s="14">
        <f>0.59/1000</f>
        <v>5.8999999999999992E-4</v>
      </c>
      <c r="BF72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1.0190736732112626E-2</v>
      </c>
      <c r="BG728" s="17">
        <f>SQRT(Table1347456[[#This Row],[v_from_sd_and_n]])</f>
        <v>0.10094917895710012</v>
      </c>
      <c r="BH728" s="13" t="s">
        <v>50</v>
      </c>
      <c r="BI728" s="13">
        <v>2.5000000000000001E-2</v>
      </c>
      <c r="BJ728" s="18">
        <f>ABS(_xlfn.NORM.S.INV(Table1347456[[#This Row],[p_value]]/2))</f>
        <v>2.2414027276049446</v>
      </c>
      <c r="BK728" s="19">
        <f>(Table1347456[[#This Row],[lnrr]]/Table1347456[[#This Row],[z_from_p]])^2</f>
        <v>1.2220105361690937E-3</v>
      </c>
      <c r="BL728" s="16">
        <f>Table1347456[[#This Row],[v_from_sd_and_n]]</f>
        <v>1.0190736732112626E-2</v>
      </c>
      <c r="BM728" s="20">
        <f>SQRT(Table1347456[[#This Row],[v]])</f>
        <v>0.10094917895710012</v>
      </c>
      <c r="BN728" s="20">
        <f>Table1347456[[#This Row],[lnrr]]-(1.96*Table1347456[[#This Row],[se]])</f>
        <v>-0.27621370500243148</v>
      </c>
      <c r="BO728" s="20">
        <f>Table1347456[[#This Row],[lnrr]]+(1.96 * Table1347456[[#This Row],[se]])</f>
        <v>0.11950707650940101</v>
      </c>
    </row>
    <row r="729" spans="1:67">
      <c r="A729" s="13" t="s">
        <v>264</v>
      </c>
      <c r="B729" s="13" t="s">
        <v>265</v>
      </c>
      <c r="C729" s="13" t="s">
        <v>43</v>
      </c>
      <c r="D729" s="13" t="s">
        <v>266</v>
      </c>
      <c r="E729" s="13" t="s">
        <v>267</v>
      </c>
      <c r="F729" s="13" t="s">
        <v>587</v>
      </c>
      <c r="G729" s="13" t="s">
        <v>46</v>
      </c>
      <c r="H729" s="13">
        <v>25</v>
      </c>
      <c r="I729" s="13" t="s">
        <v>46</v>
      </c>
      <c r="K729" s="13" t="s">
        <v>882</v>
      </c>
      <c r="L729" s="13" t="s">
        <v>883</v>
      </c>
      <c r="N729" s="13" t="s">
        <v>668</v>
      </c>
      <c r="O729" s="13" t="s">
        <v>668</v>
      </c>
      <c r="P729" s="13" t="s">
        <v>521</v>
      </c>
      <c r="Q729" s="13" t="s">
        <v>87</v>
      </c>
      <c r="R729" s="4">
        <v>3</v>
      </c>
      <c r="S729" s="13" t="s">
        <v>595</v>
      </c>
      <c r="T729" s="13">
        <v>150</v>
      </c>
      <c r="U729" s="4" t="s">
        <v>120</v>
      </c>
      <c r="V729" s="4">
        <v>200</v>
      </c>
      <c r="W729" s="4" t="s">
        <v>42</v>
      </c>
      <c r="X729" s="4">
        <v>397</v>
      </c>
      <c r="Y729" s="4">
        <v>56</v>
      </c>
      <c r="Z729" s="4" t="s">
        <v>491</v>
      </c>
      <c r="AA729" s="4" t="s">
        <v>49</v>
      </c>
      <c r="AB729" s="4">
        <v>0</v>
      </c>
      <c r="AC729" s="4" t="s">
        <v>49</v>
      </c>
      <c r="AD729" s="4">
        <v>0</v>
      </c>
      <c r="AE729" s="4" t="s">
        <v>49</v>
      </c>
      <c r="AF729" s="4">
        <v>0</v>
      </c>
      <c r="AG729" s="4" t="s">
        <v>769</v>
      </c>
      <c r="AH729" s="4" t="s">
        <v>768</v>
      </c>
      <c r="AI729" s="4" t="s">
        <v>268</v>
      </c>
      <c r="AJ729" s="13">
        <v>0</v>
      </c>
      <c r="AK729" s="13">
        <v>20</v>
      </c>
      <c r="AL729" s="13" t="s">
        <v>522</v>
      </c>
      <c r="AP729" s="13" t="s">
        <v>49</v>
      </c>
      <c r="AQ729" s="13" t="s">
        <v>49</v>
      </c>
      <c r="AR729" s="13" t="s">
        <v>49</v>
      </c>
      <c r="AS729" s="13" t="s">
        <v>49</v>
      </c>
      <c r="AT729" s="13" t="s">
        <v>990</v>
      </c>
      <c r="AU729" s="13" t="s">
        <v>998</v>
      </c>
      <c r="AV729" s="14">
        <f>87.02/10</f>
        <v>8.702</v>
      </c>
      <c r="AW729" s="14">
        <f>81.49/10</f>
        <v>8.1489999999999991</v>
      </c>
      <c r="AX729" s="14">
        <f>Table1347456[[#This Row],[treatment_mean]]/Table1347456[[#This Row],[control_mean]]</f>
        <v>1.0678610872499694</v>
      </c>
      <c r="AY729" s="14">
        <f>LN(Table1347456[[#This Row],[rr]])</f>
        <v>6.5657663960405718E-2</v>
      </c>
      <c r="AZ729" s="13">
        <v>3</v>
      </c>
      <c r="BA729" s="13">
        <v>3</v>
      </c>
      <c r="BB729" s="14" t="s">
        <v>46</v>
      </c>
      <c r="BC729" s="14" t="s">
        <v>46</v>
      </c>
      <c r="BD729" s="15" t="s">
        <v>46</v>
      </c>
      <c r="BE729" s="14" t="s">
        <v>46</v>
      </c>
      <c r="BF72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29" s="17" t="s">
        <v>46</v>
      </c>
      <c r="BH729" s="13" t="s">
        <v>50</v>
      </c>
      <c r="BI729" s="13">
        <v>2.5000000000000001E-2</v>
      </c>
      <c r="BJ729" s="18">
        <f>ABS(_xlfn.NORM.S.INV(Table1347456[[#This Row],[p_value]]/2))</f>
        <v>2.2414027276049446</v>
      </c>
      <c r="BK729" s="19">
        <f>(Table1347456[[#This Row],[lnrr]]/Table1347456[[#This Row],[z_from_p]])^2</f>
        <v>8.5808648444753481E-4</v>
      </c>
      <c r="BL729" s="16">
        <f>Table1347456[[#This Row],[v_from_z_from_p]]</f>
        <v>8.5808648444753481E-4</v>
      </c>
      <c r="BM729" s="20">
        <f>SQRT(Table1347456[[#This Row],[v]])</f>
        <v>2.9293113259732821E-2</v>
      </c>
      <c r="BN729" s="20">
        <f>Table1347456[[#This Row],[lnrr]]-(1.96*Table1347456[[#This Row],[se]])</f>
        <v>8.2431619713293908E-3</v>
      </c>
      <c r="BO729" s="20">
        <f>Table1347456[[#This Row],[lnrr]]+(1.96 * Table1347456[[#This Row],[se]])</f>
        <v>0.12307216594948205</v>
      </c>
    </row>
    <row r="730" spans="1:67">
      <c r="A730" s="13" t="s">
        <v>264</v>
      </c>
      <c r="B730" s="13" t="s">
        <v>265</v>
      </c>
      <c r="C730" s="13" t="s">
        <v>43</v>
      </c>
      <c r="D730" s="13" t="s">
        <v>266</v>
      </c>
      <c r="E730" s="13" t="s">
        <v>267</v>
      </c>
      <c r="F730" s="13" t="s">
        <v>587</v>
      </c>
      <c r="G730" s="13" t="s">
        <v>46</v>
      </c>
      <c r="H730" s="13">
        <v>25</v>
      </c>
      <c r="I730" s="13" t="s">
        <v>46</v>
      </c>
      <c r="K730" s="13" t="s">
        <v>882</v>
      </c>
      <c r="L730" s="13" t="s">
        <v>883</v>
      </c>
      <c r="N730" s="13" t="s">
        <v>668</v>
      </c>
      <c r="O730" s="13" t="s">
        <v>668</v>
      </c>
      <c r="P730" s="13" t="s">
        <v>521</v>
      </c>
      <c r="Q730" s="13" t="s">
        <v>87</v>
      </c>
      <c r="R730" s="4">
        <v>3</v>
      </c>
      <c r="S730" s="13" t="s">
        <v>595</v>
      </c>
      <c r="T730" s="13">
        <v>150</v>
      </c>
      <c r="U730" s="4" t="s">
        <v>120</v>
      </c>
      <c r="V730" s="4">
        <v>300</v>
      </c>
      <c r="W730" s="4" t="s">
        <v>42</v>
      </c>
      <c r="X730" s="4">
        <v>424</v>
      </c>
      <c r="Y730" s="4">
        <v>56</v>
      </c>
      <c r="Z730" s="4" t="s">
        <v>491</v>
      </c>
      <c r="AA730" s="4" t="s">
        <v>49</v>
      </c>
      <c r="AB730" s="4">
        <v>0</v>
      </c>
      <c r="AC730" s="4" t="s">
        <v>49</v>
      </c>
      <c r="AD730" s="4">
        <v>0</v>
      </c>
      <c r="AE730" s="4" t="s">
        <v>49</v>
      </c>
      <c r="AF730" s="4">
        <v>0</v>
      </c>
      <c r="AG730" s="4" t="s">
        <v>770</v>
      </c>
      <c r="AH730" s="4" t="s">
        <v>768</v>
      </c>
      <c r="AI730" s="4" t="s">
        <v>268</v>
      </c>
      <c r="AJ730" s="13">
        <v>0</v>
      </c>
      <c r="AK730" s="13">
        <v>20</v>
      </c>
      <c r="AL730" s="13" t="s">
        <v>522</v>
      </c>
      <c r="AP730" s="13" t="s">
        <v>49</v>
      </c>
      <c r="AQ730" s="13" t="s">
        <v>49</v>
      </c>
      <c r="AR730" s="13" t="s">
        <v>49</v>
      </c>
      <c r="AS730" s="13" t="s">
        <v>49</v>
      </c>
      <c r="AT730" s="13" t="s">
        <v>990</v>
      </c>
      <c r="AU730" s="13" t="s">
        <v>998</v>
      </c>
      <c r="AV730" s="14">
        <f>92.55/10</f>
        <v>9.254999999999999</v>
      </c>
      <c r="AW730" s="14">
        <f>81.49/10</f>
        <v>8.1489999999999991</v>
      </c>
      <c r="AX730" s="14">
        <f>Table1347456[[#This Row],[treatment_mean]]/Table1347456[[#This Row],[control_mean]]</f>
        <v>1.1357221744999386</v>
      </c>
      <c r="AY730" s="14">
        <f>LN(Table1347456[[#This Row],[rr]])</f>
        <v>0.12726872568737807</v>
      </c>
      <c r="AZ730" s="13">
        <v>3</v>
      </c>
      <c r="BA730" s="13">
        <v>3</v>
      </c>
      <c r="BB730" s="14" t="s">
        <v>46</v>
      </c>
      <c r="BC730" s="14" t="s">
        <v>46</v>
      </c>
      <c r="BD730" s="15" t="s">
        <v>46</v>
      </c>
      <c r="BE730" s="14" t="s">
        <v>46</v>
      </c>
      <c r="BF73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30" s="17" t="s">
        <v>46</v>
      </c>
      <c r="BH730" s="13" t="s">
        <v>50</v>
      </c>
      <c r="BI730" s="13">
        <v>2.5000000000000001E-2</v>
      </c>
      <c r="BJ730" s="18">
        <f>ABS(_xlfn.NORM.S.INV(Table1347456[[#This Row],[p_value]]/2))</f>
        <v>2.2414027276049446</v>
      </c>
      <c r="BK730" s="19">
        <f>(Table1347456[[#This Row],[lnrr]]/Table1347456[[#This Row],[z_from_p]])^2</f>
        <v>3.2240635902514472E-3</v>
      </c>
      <c r="BL730" s="16">
        <f>Table1347456[[#This Row],[v_from_z_from_p]]</f>
        <v>3.2240635902514472E-3</v>
      </c>
      <c r="BM730" s="20">
        <f>SQRT(Table1347456[[#This Row],[v]])</f>
        <v>5.6780838231321025E-2</v>
      </c>
      <c r="BN730" s="20">
        <f>Table1347456[[#This Row],[lnrr]]-(1.96*Table1347456[[#This Row],[se]])</f>
        <v>1.5978282753988868E-2</v>
      </c>
      <c r="BO730" s="20">
        <f>Table1347456[[#This Row],[lnrr]]+(1.96 * Table1347456[[#This Row],[se]])</f>
        <v>0.23855916862076726</v>
      </c>
    </row>
    <row r="731" spans="1:67">
      <c r="A731" s="13" t="s">
        <v>264</v>
      </c>
      <c r="B731" s="13" t="s">
        <v>265</v>
      </c>
      <c r="C731" s="13" t="s">
        <v>43</v>
      </c>
      <c r="D731" s="13" t="s">
        <v>266</v>
      </c>
      <c r="E731" s="13" t="s">
        <v>267</v>
      </c>
      <c r="F731" s="13" t="s">
        <v>587</v>
      </c>
      <c r="G731" s="13" t="s">
        <v>46</v>
      </c>
      <c r="H731" s="13">
        <v>25</v>
      </c>
      <c r="I731" s="13" t="s">
        <v>46</v>
      </c>
      <c r="K731" s="13" t="s">
        <v>882</v>
      </c>
      <c r="L731" s="13" t="s">
        <v>883</v>
      </c>
      <c r="N731" s="13" t="s">
        <v>668</v>
      </c>
      <c r="O731" s="13" t="s">
        <v>668</v>
      </c>
      <c r="P731" s="13" t="s">
        <v>521</v>
      </c>
      <c r="Q731" s="13" t="s">
        <v>87</v>
      </c>
      <c r="R731" s="4">
        <v>3</v>
      </c>
      <c r="S731" s="13" t="s">
        <v>595</v>
      </c>
      <c r="T731" s="13">
        <v>150</v>
      </c>
      <c r="U731" s="4" t="s">
        <v>120</v>
      </c>
      <c r="V731" s="4">
        <v>400</v>
      </c>
      <c r="W731" s="4" t="s">
        <v>42</v>
      </c>
      <c r="X731" s="4">
        <v>579</v>
      </c>
      <c r="Y731" s="4">
        <v>56</v>
      </c>
      <c r="Z731" s="4" t="s">
        <v>491</v>
      </c>
      <c r="AA731" s="4" t="s">
        <v>49</v>
      </c>
      <c r="AB731" s="4">
        <v>0</v>
      </c>
      <c r="AC731" s="4" t="s">
        <v>49</v>
      </c>
      <c r="AD731" s="4">
        <v>0</v>
      </c>
      <c r="AE731" s="4" t="s">
        <v>49</v>
      </c>
      <c r="AF731" s="4">
        <v>0</v>
      </c>
      <c r="AG731" s="4" t="s">
        <v>771</v>
      </c>
      <c r="AH731" s="4" t="s">
        <v>768</v>
      </c>
      <c r="AI731" s="4" t="s">
        <v>268</v>
      </c>
      <c r="AJ731" s="13">
        <v>0</v>
      </c>
      <c r="AK731" s="13">
        <v>20</v>
      </c>
      <c r="AL731" s="13" t="s">
        <v>522</v>
      </c>
      <c r="AP731" s="13" t="s">
        <v>49</v>
      </c>
      <c r="AQ731" s="13" t="s">
        <v>49</v>
      </c>
      <c r="AR731" s="13" t="s">
        <v>49</v>
      </c>
      <c r="AS731" s="13" t="s">
        <v>49</v>
      </c>
      <c r="AT731" s="13" t="s">
        <v>990</v>
      </c>
      <c r="AU731" s="13" t="s">
        <v>998</v>
      </c>
      <c r="AV731" s="14">
        <f>93.19/10</f>
        <v>9.3189999999999991</v>
      </c>
      <c r="AW731" s="14">
        <f>81.49/10</f>
        <v>8.1489999999999991</v>
      </c>
      <c r="AX731" s="14">
        <f>Table1347456[[#This Row],[treatment_mean]]/Table1347456[[#This Row],[control_mean]]</f>
        <v>1.1435758988832985</v>
      </c>
      <c r="AY731" s="14">
        <f>LN(Table1347456[[#This Row],[rr]])</f>
        <v>0.13416010646543561</v>
      </c>
      <c r="AZ731" s="13">
        <v>3</v>
      </c>
      <c r="BA731" s="13">
        <v>3</v>
      </c>
      <c r="BB731" s="14" t="s">
        <v>46</v>
      </c>
      <c r="BC731" s="14" t="s">
        <v>46</v>
      </c>
      <c r="BD731" s="15" t="s">
        <v>46</v>
      </c>
      <c r="BE731" s="14" t="s">
        <v>46</v>
      </c>
      <c r="BF73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31" s="17" t="s">
        <v>46</v>
      </c>
      <c r="BH731" s="13" t="s">
        <v>50</v>
      </c>
      <c r="BI731" s="13">
        <v>2.5000000000000001E-2</v>
      </c>
      <c r="BJ731" s="18">
        <f>ABS(_xlfn.NORM.S.INV(Table1347456[[#This Row],[p_value]]/2))</f>
        <v>2.2414027276049446</v>
      </c>
      <c r="BK731" s="19">
        <f>(Table1347456[[#This Row],[lnrr]]/Table1347456[[#This Row],[z_from_p]])^2</f>
        <v>3.5826715605667219E-3</v>
      </c>
      <c r="BL731" s="16">
        <f>Table1347456[[#This Row],[v_from_z_from_p]]</f>
        <v>3.5826715605667219E-3</v>
      </c>
      <c r="BM731" s="20">
        <f>SQRT(Table1347456[[#This Row],[v]])</f>
        <v>5.9855422148429642E-2</v>
      </c>
      <c r="BN731" s="20">
        <f>Table1347456[[#This Row],[lnrr]]-(1.96*Table1347456[[#This Row],[se]])</f>
        <v>1.6843479054513513E-2</v>
      </c>
      <c r="BO731" s="20">
        <f>Table1347456[[#This Row],[lnrr]]+(1.96 * Table1347456[[#This Row],[se]])</f>
        <v>0.25147673387635772</v>
      </c>
    </row>
    <row r="732" spans="1:67">
      <c r="A732" s="13" t="s">
        <v>264</v>
      </c>
      <c r="B732" s="13" t="s">
        <v>265</v>
      </c>
      <c r="C732" s="13" t="s">
        <v>43</v>
      </c>
      <c r="D732" s="13" t="s">
        <v>266</v>
      </c>
      <c r="E732" s="13" t="s">
        <v>267</v>
      </c>
      <c r="F732" s="13" t="s">
        <v>587</v>
      </c>
      <c r="G732" s="13" t="s">
        <v>46</v>
      </c>
      <c r="H732" s="13">
        <v>25</v>
      </c>
      <c r="I732" s="13" t="s">
        <v>46</v>
      </c>
      <c r="J732" s="13" t="s">
        <v>656</v>
      </c>
      <c r="K732" s="13" t="s">
        <v>882</v>
      </c>
      <c r="L732" s="13" t="s">
        <v>883</v>
      </c>
      <c r="M732" s="13" t="s">
        <v>803</v>
      </c>
      <c r="N732" s="13" t="s">
        <v>84</v>
      </c>
      <c r="O732" s="13" t="s">
        <v>644</v>
      </c>
      <c r="P732" s="13" t="s">
        <v>85</v>
      </c>
      <c r="Q732" s="13" t="s">
        <v>48</v>
      </c>
      <c r="R732" s="4">
        <v>3</v>
      </c>
      <c r="S732" s="13" t="s">
        <v>595</v>
      </c>
      <c r="T732" s="13">
        <v>150</v>
      </c>
      <c r="U732" s="4" t="s">
        <v>120</v>
      </c>
      <c r="V732" s="4">
        <v>200</v>
      </c>
      <c r="W732" s="4" t="s">
        <v>42</v>
      </c>
      <c r="X732" s="4">
        <v>397</v>
      </c>
      <c r="Y732" s="4">
        <v>56</v>
      </c>
      <c r="Z732" s="4" t="s">
        <v>491</v>
      </c>
      <c r="AA732" s="4" t="s">
        <v>49</v>
      </c>
      <c r="AB732" s="4">
        <v>0</v>
      </c>
      <c r="AC732" s="4" t="s">
        <v>49</v>
      </c>
      <c r="AD732" s="4">
        <v>0</v>
      </c>
      <c r="AE732" s="4" t="s">
        <v>49</v>
      </c>
      <c r="AF732" s="4">
        <v>0</v>
      </c>
      <c r="AG732" s="4" t="s">
        <v>769</v>
      </c>
      <c r="AH732" s="4" t="s">
        <v>768</v>
      </c>
      <c r="AI732" s="4" t="s">
        <v>268</v>
      </c>
      <c r="AJ732" s="13">
        <v>0</v>
      </c>
      <c r="AK732" s="13">
        <v>20</v>
      </c>
      <c r="AL732" s="13" t="s">
        <v>522</v>
      </c>
      <c r="AP732" s="13" t="s">
        <v>49</v>
      </c>
      <c r="AQ732" s="13" t="s">
        <v>49</v>
      </c>
      <c r="AR732" s="13" t="s">
        <v>49</v>
      </c>
      <c r="AS732" s="13" t="s">
        <v>49</v>
      </c>
      <c r="AT732" s="13" t="s">
        <v>990</v>
      </c>
      <c r="AU732" s="13" t="s">
        <v>998</v>
      </c>
      <c r="AV732" s="23">
        <f>106/1000</f>
        <v>0.106</v>
      </c>
      <c r="AW732" s="23">
        <f>3.54/1000</f>
        <v>3.5400000000000002E-3</v>
      </c>
      <c r="AX732" s="14">
        <f>Table1347456[[#This Row],[treatment_mean]]/Table1347456[[#This Row],[control_mean]]</f>
        <v>29.943502824858754</v>
      </c>
      <c r="AY732" s="14">
        <f>LN(Table1347456[[#This Row],[rr]])</f>
        <v>3.3993123669663841</v>
      </c>
      <c r="AZ732" s="13">
        <v>3</v>
      </c>
      <c r="BA732" s="13">
        <v>3</v>
      </c>
      <c r="BB732" s="14" t="s">
        <v>46</v>
      </c>
      <c r="BC732" s="14" t="s">
        <v>46</v>
      </c>
      <c r="BD732" s="15" t="s">
        <v>46</v>
      </c>
      <c r="BE732" s="14" t="s">
        <v>46</v>
      </c>
      <c r="BF73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32" s="17" t="s">
        <v>46</v>
      </c>
      <c r="BH732" s="13" t="s">
        <v>50</v>
      </c>
      <c r="BI732" s="13">
        <v>2.5000000000000001E-2</v>
      </c>
      <c r="BJ732" s="18">
        <f>ABS(_xlfn.NORM.S.INV(Table1347456[[#This Row],[p_value]]/2))</f>
        <v>2.2414027276049446</v>
      </c>
      <c r="BK732" s="19">
        <f>(Table1347456[[#This Row],[lnrr]]/Table1347456[[#This Row],[z_from_p]])^2</f>
        <v>2.3000769001072001</v>
      </c>
      <c r="BL732" s="16">
        <f>Table1347456[[#This Row],[v_from_z_from_p]]</f>
        <v>2.3000769001072001</v>
      </c>
      <c r="BM732" s="20">
        <f>SQRT(Table1347456[[#This Row],[v]])</f>
        <v>1.5166004418129384</v>
      </c>
      <c r="BN732" s="20">
        <f>Table1347456[[#This Row],[lnrr]]-(1.96*Table1347456[[#This Row],[se]])</f>
        <v>0.42677550101302497</v>
      </c>
      <c r="BO732" s="20">
        <f>Table1347456[[#This Row],[lnrr]]+(1.96 * Table1347456[[#This Row],[se]])</f>
        <v>6.3718492329197431</v>
      </c>
    </row>
    <row r="733" spans="1:67">
      <c r="A733" s="13" t="s">
        <v>264</v>
      </c>
      <c r="B733" s="13" t="s">
        <v>265</v>
      </c>
      <c r="C733" s="13" t="s">
        <v>43</v>
      </c>
      <c r="D733" s="13" t="s">
        <v>266</v>
      </c>
      <c r="E733" s="13" t="s">
        <v>267</v>
      </c>
      <c r="F733" s="13" t="s">
        <v>587</v>
      </c>
      <c r="G733" s="13" t="s">
        <v>46</v>
      </c>
      <c r="H733" s="13">
        <v>25</v>
      </c>
      <c r="I733" s="13" t="s">
        <v>46</v>
      </c>
      <c r="J733" s="13" t="s">
        <v>656</v>
      </c>
      <c r="K733" s="13" t="s">
        <v>882</v>
      </c>
      <c r="L733" s="13" t="s">
        <v>883</v>
      </c>
      <c r="M733" s="13" t="s">
        <v>803</v>
      </c>
      <c r="N733" s="13" t="s">
        <v>84</v>
      </c>
      <c r="O733" s="13" t="s">
        <v>644</v>
      </c>
      <c r="P733" s="13" t="s">
        <v>85</v>
      </c>
      <c r="Q733" s="13" t="s">
        <v>48</v>
      </c>
      <c r="R733" s="4">
        <v>3</v>
      </c>
      <c r="S733" s="13" t="s">
        <v>595</v>
      </c>
      <c r="T733" s="13">
        <v>150</v>
      </c>
      <c r="U733" s="4" t="s">
        <v>120</v>
      </c>
      <c r="V733" s="4">
        <v>300</v>
      </c>
      <c r="W733" s="4" t="s">
        <v>42</v>
      </c>
      <c r="X733" s="4">
        <v>424</v>
      </c>
      <c r="Y733" s="4">
        <v>56</v>
      </c>
      <c r="Z733" s="4" t="s">
        <v>491</v>
      </c>
      <c r="AA733" s="4" t="s">
        <v>49</v>
      </c>
      <c r="AB733" s="4">
        <v>0</v>
      </c>
      <c r="AC733" s="4" t="s">
        <v>49</v>
      </c>
      <c r="AD733" s="4">
        <v>0</v>
      </c>
      <c r="AE733" s="4" t="s">
        <v>49</v>
      </c>
      <c r="AF733" s="4">
        <v>0</v>
      </c>
      <c r="AG733" s="4" t="s">
        <v>770</v>
      </c>
      <c r="AH733" s="4" t="s">
        <v>768</v>
      </c>
      <c r="AI733" s="4" t="s">
        <v>268</v>
      </c>
      <c r="AJ733" s="13">
        <v>0</v>
      </c>
      <c r="AK733" s="13">
        <v>20</v>
      </c>
      <c r="AL733" s="13" t="s">
        <v>522</v>
      </c>
      <c r="AP733" s="13" t="s">
        <v>49</v>
      </c>
      <c r="AQ733" s="13" t="s">
        <v>49</v>
      </c>
      <c r="AR733" s="13" t="s">
        <v>49</v>
      </c>
      <c r="AS733" s="13" t="s">
        <v>49</v>
      </c>
      <c r="AT733" s="13" t="s">
        <v>990</v>
      </c>
      <c r="AU733" s="13" t="s">
        <v>998</v>
      </c>
      <c r="AV733" s="23">
        <f>125/1000</f>
        <v>0.125</v>
      </c>
      <c r="AW733" s="23">
        <f>3.54/1000</f>
        <v>3.5400000000000002E-3</v>
      </c>
      <c r="AX733" s="14">
        <f>Table1347456[[#This Row],[treatment_mean]]/Table1347456[[#This Row],[control_mean]]</f>
        <v>35.310734463276837</v>
      </c>
      <c r="AY733" s="14">
        <f>LN(Table1347456[[#This Row],[rr]])</f>
        <v>3.5641870101566182</v>
      </c>
      <c r="AZ733" s="13">
        <v>3</v>
      </c>
      <c r="BA733" s="13">
        <v>3</v>
      </c>
      <c r="BB733" s="14" t="s">
        <v>46</v>
      </c>
      <c r="BC733" s="14" t="s">
        <v>46</v>
      </c>
      <c r="BD733" s="15" t="s">
        <v>46</v>
      </c>
      <c r="BE733" s="14" t="s">
        <v>46</v>
      </c>
      <c r="BF73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33" s="17" t="s">
        <v>46</v>
      </c>
      <c r="BH733" s="13" t="s">
        <v>50</v>
      </c>
      <c r="BI733" s="13">
        <v>2.5000000000000001E-2</v>
      </c>
      <c r="BJ733" s="18">
        <f>ABS(_xlfn.NORM.S.INV(Table1347456[[#This Row],[p_value]]/2))</f>
        <v>2.2414027276049446</v>
      </c>
      <c r="BK733" s="19">
        <f>(Table1347456[[#This Row],[lnrr]]/Table1347456[[#This Row],[z_from_p]])^2</f>
        <v>2.5286060570887989</v>
      </c>
      <c r="BL733" s="16">
        <f>Table1347456[[#This Row],[v_from_z_from_p]]</f>
        <v>2.5286060570887989</v>
      </c>
      <c r="BM733" s="20">
        <f>SQRT(Table1347456[[#This Row],[v]])</f>
        <v>1.590159129486354</v>
      </c>
      <c r="BN733" s="20">
        <f>Table1347456[[#This Row],[lnrr]]-(1.96*Table1347456[[#This Row],[se]])</f>
        <v>0.44747511636336457</v>
      </c>
      <c r="BO733" s="20">
        <f>Table1347456[[#This Row],[lnrr]]+(1.96 * Table1347456[[#This Row],[se]])</f>
        <v>6.6808989039498723</v>
      </c>
    </row>
    <row r="734" spans="1:67">
      <c r="A734" s="13" t="s">
        <v>264</v>
      </c>
      <c r="B734" s="13" t="s">
        <v>265</v>
      </c>
      <c r="C734" s="13" t="s">
        <v>43</v>
      </c>
      <c r="D734" s="13" t="s">
        <v>266</v>
      </c>
      <c r="E734" s="13" t="s">
        <v>267</v>
      </c>
      <c r="F734" s="13" t="s">
        <v>587</v>
      </c>
      <c r="G734" s="13" t="s">
        <v>46</v>
      </c>
      <c r="H734" s="13">
        <v>25</v>
      </c>
      <c r="I734" s="13" t="s">
        <v>46</v>
      </c>
      <c r="J734" s="13" t="s">
        <v>656</v>
      </c>
      <c r="K734" s="13" t="s">
        <v>882</v>
      </c>
      <c r="L734" s="13" t="s">
        <v>883</v>
      </c>
      <c r="M734" s="13" t="s">
        <v>803</v>
      </c>
      <c r="N734" s="13" t="s">
        <v>84</v>
      </c>
      <c r="O734" s="13" t="s">
        <v>644</v>
      </c>
      <c r="P734" s="13" t="s">
        <v>85</v>
      </c>
      <c r="Q734" s="13" t="s">
        <v>48</v>
      </c>
      <c r="R734" s="4">
        <v>3</v>
      </c>
      <c r="S734" s="13" t="s">
        <v>595</v>
      </c>
      <c r="T734" s="13">
        <v>150</v>
      </c>
      <c r="U734" s="4" t="s">
        <v>120</v>
      </c>
      <c r="V734" s="4">
        <v>400</v>
      </c>
      <c r="W734" s="4" t="s">
        <v>42</v>
      </c>
      <c r="X734" s="4">
        <v>579</v>
      </c>
      <c r="Y734" s="4">
        <v>56</v>
      </c>
      <c r="Z734" s="4" t="s">
        <v>491</v>
      </c>
      <c r="AA734" s="4" t="s">
        <v>49</v>
      </c>
      <c r="AB734" s="4">
        <v>0</v>
      </c>
      <c r="AC734" s="4" t="s">
        <v>49</v>
      </c>
      <c r="AD734" s="4">
        <v>0</v>
      </c>
      <c r="AE734" s="4" t="s">
        <v>49</v>
      </c>
      <c r="AF734" s="4">
        <v>0</v>
      </c>
      <c r="AG734" s="4" t="s">
        <v>771</v>
      </c>
      <c r="AH734" s="4" t="s">
        <v>768</v>
      </c>
      <c r="AI734" s="4" t="s">
        <v>268</v>
      </c>
      <c r="AJ734" s="13">
        <v>0</v>
      </c>
      <c r="AK734" s="13">
        <v>20</v>
      </c>
      <c r="AL734" s="13" t="s">
        <v>522</v>
      </c>
      <c r="AP734" s="13" t="s">
        <v>49</v>
      </c>
      <c r="AQ734" s="13" t="s">
        <v>49</v>
      </c>
      <c r="AR734" s="13" t="s">
        <v>49</v>
      </c>
      <c r="AS734" s="13" t="s">
        <v>49</v>
      </c>
      <c r="AT734" s="13" t="s">
        <v>990</v>
      </c>
      <c r="AU734" s="13" t="s">
        <v>998</v>
      </c>
      <c r="AV734" s="23">
        <f>107/1000</f>
        <v>0.107</v>
      </c>
      <c r="AW734" s="23">
        <f>3.54/1000</f>
        <v>3.5400000000000002E-3</v>
      </c>
      <c r="AX734" s="14">
        <f>Table1347456[[#This Row],[treatment_mean]]/Table1347456[[#This Row],[control_mean]]</f>
        <v>30.225988700564969</v>
      </c>
      <c r="AY734" s="14">
        <f>LN(Table1347456[[#This Row],[rr]])</f>
        <v>3.4087021073162229</v>
      </c>
      <c r="AZ734" s="13">
        <v>3</v>
      </c>
      <c r="BA734" s="13">
        <v>3</v>
      </c>
      <c r="BB734" s="14" t="s">
        <v>46</v>
      </c>
      <c r="BC734" s="14" t="s">
        <v>46</v>
      </c>
      <c r="BD734" s="15" t="s">
        <v>46</v>
      </c>
      <c r="BE734" s="14" t="s">
        <v>46</v>
      </c>
      <c r="BF73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34" s="17" t="s">
        <v>46</v>
      </c>
      <c r="BH734" s="13" t="s">
        <v>50</v>
      </c>
      <c r="BI734" s="13">
        <v>2.5000000000000001E-2</v>
      </c>
      <c r="BJ734" s="18">
        <f>ABS(_xlfn.NORM.S.INV(Table1347456[[#This Row],[p_value]]/2))</f>
        <v>2.2414027276049446</v>
      </c>
      <c r="BK734" s="19">
        <f>(Table1347456[[#This Row],[lnrr]]/Table1347456[[#This Row],[z_from_p]])^2</f>
        <v>2.312801210696255</v>
      </c>
      <c r="BL734" s="16">
        <f>Table1347456[[#This Row],[v_from_z_from_p]]</f>
        <v>2.312801210696255</v>
      </c>
      <c r="BM734" s="20">
        <f>SQRT(Table1347456[[#This Row],[v]])</f>
        <v>1.5207896668166361</v>
      </c>
      <c r="BN734" s="20">
        <f>Table1347456[[#This Row],[lnrr]]-(1.96*Table1347456[[#This Row],[se]])</f>
        <v>0.42795436035561618</v>
      </c>
      <c r="BO734" s="20">
        <f>Table1347456[[#This Row],[lnrr]]+(1.96 * Table1347456[[#This Row],[se]])</f>
        <v>6.3894498542768297</v>
      </c>
    </row>
    <row r="735" spans="1:67">
      <c r="A735" s="13" t="s">
        <v>264</v>
      </c>
      <c r="B735" s="13" t="s">
        <v>265</v>
      </c>
      <c r="C735" s="13" t="s">
        <v>43</v>
      </c>
      <c r="D735" s="13" t="s">
        <v>266</v>
      </c>
      <c r="E735" s="13" t="s">
        <v>267</v>
      </c>
      <c r="F735" s="13" t="s">
        <v>587</v>
      </c>
      <c r="G735" s="13" t="s">
        <v>46</v>
      </c>
      <c r="H735" s="13">
        <v>25</v>
      </c>
      <c r="I735" s="13" t="s">
        <v>46</v>
      </c>
      <c r="K735" s="13" t="s">
        <v>882</v>
      </c>
      <c r="L735" s="13" t="s">
        <v>883</v>
      </c>
      <c r="N735" s="13" t="s">
        <v>86</v>
      </c>
      <c r="O735" s="13" t="s">
        <v>644</v>
      </c>
      <c r="P735" s="13" t="s">
        <v>85</v>
      </c>
      <c r="Q735" s="13" t="s">
        <v>48</v>
      </c>
      <c r="R735" s="4">
        <v>3</v>
      </c>
      <c r="S735" s="13" t="s">
        <v>595</v>
      </c>
      <c r="T735" s="13">
        <v>150</v>
      </c>
      <c r="U735" s="4" t="s">
        <v>120</v>
      </c>
      <c r="V735" s="4">
        <v>200</v>
      </c>
      <c r="W735" s="4" t="s">
        <v>42</v>
      </c>
      <c r="X735" s="4">
        <v>397</v>
      </c>
      <c r="Y735" s="4">
        <v>56</v>
      </c>
      <c r="Z735" s="4" t="s">
        <v>491</v>
      </c>
      <c r="AA735" s="4" t="s">
        <v>49</v>
      </c>
      <c r="AB735" s="4">
        <v>0</v>
      </c>
      <c r="AC735" s="4" t="s">
        <v>49</v>
      </c>
      <c r="AD735" s="4">
        <v>0</v>
      </c>
      <c r="AE735" s="4" t="s">
        <v>49</v>
      </c>
      <c r="AF735" s="4">
        <v>0</v>
      </c>
      <c r="AG735" s="4" t="s">
        <v>769</v>
      </c>
      <c r="AH735" s="4" t="s">
        <v>768</v>
      </c>
      <c r="AI735" s="4" t="s">
        <v>268</v>
      </c>
      <c r="AJ735" s="13">
        <v>0</v>
      </c>
      <c r="AK735" s="13">
        <v>20</v>
      </c>
      <c r="AL735" s="13" t="s">
        <v>522</v>
      </c>
      <c r="AP735" s="13" t="s">
        <v>49</v>
      </c>
      <c r="AQ735" s="13" t="s">
        <v>49</v>
      </c>
      <c r="AR735" s="13" t="s">
        <v>49</v>
      </c>
      <c r="AS735" s="13" t="s">
        <v>49</v>
      </c>
      <c r="AT735" s="13" t="s">
        <v>990</v>
      </c>
      <c r="AU735" s="13" t="s">
        <v>998</v>
      </c>
      <c r="AV735" s="14">
        <f>894.22/1000</f>
        <v>0.89422000000000001</v>
      </c>
      <c r="AW735" s="14">
        <f>164.45/1000</f>
        <v>0.16444999999999999</v>
      </c>
      <c r="AX735" s="14">
        <f>Table1347456[[#This Row],[treatment_mean]]/Table1347456[[#This Row],[control_mean]]</f>
        <v>5.4376406202493168</v>
      </c>
      <c r="AY735" s="14">
        <f>LN(Table1347456[[#This Row],[rr]])</f>
        <v>1.6933452572756842</v>
      </c>
      <c r="AZ735" s="13">
        <v>3</v>
      </c>
      <c r="BA735" s="13">
        <v>3</v>
      </c>
      <c r="BB735" s="14" t="s">
        <v>46</v>
      </c>
      <c r="BC735" s="14" t="s">
        <v>46</v>
      </c>
      <c r="BD735" s="15" t="s">
        <v>46</v>
      </c>
      <c r="BE735" s="14" t="s">
        <v>46</v>
      </c>
      <c r="BF73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35" s="17" t="s">
        <v>46</v>
      </c>
      <c r="BH735" s="13" t="s">
        <v>50</v>
      </c>
      <c r="BI735" s="13">
        <v>2.5000000000000001E-2</v>
      </c>
      <c r="BJ735" s="18">
        <f>ABS(_xlfn.NORM.S.INV(Table1347456[[#This Row],[p_value]]/2))</f>
        <v>2.2414027276049446</v>
      </c>
      <c r="BK735" s="19">
        <f>(Table1347456[[#This Row],[lnrr]]/Table1347456[[#This Row],[z_from_p]])^2</f>
        <v>0.57075699039085936</v>
      </c>
      <c r="BL735" s="16">
        <f>Table1347456[[#This Row],[v_from_z_from_p]]</f>
        <v>0.57075699039085936</v>
      </c>
      <c r="BM735" s="20">
        <f>SQRT(Table1347456[[#This Row],[v]])</f>
        <v>0.75548460632289482</v>
      </c>
      <c r="BN735" s="20">
        <f>Table1347456[[#This Row],[lnrr]]-(1.96*Table1347456[[#This Row],[se]])</f>
        <v>0.21259542888281047</v>
      </c>
      <c r="BO735" s="20">
        <f>Table1347456[[#This Row],[lnrr]]+(1.96 * Table1347456[[#This Row],[se]])</f>
        <v>3.1740950856685579</v>
      </c>
    </row>
    <row r="736" spans="1:67">
      <c r="A736" s="13" t="s">
        <v>264</v>
      </c>
      <c r="B736" s="13" t="s">
        <v>265</v>
      </c>
      <c r="C736" s="13" t="s">
        <v>43</v>
      </c>
      <c r="D736" s="13" t="s">
        <v>266</v>
      </c>
      <c r="E736" s="13" t="s">
        <v>267</v>
      </c>
      <c r="F736" s="13" t="s">
        <v>587</v>
      </c>
      <c r="G736" s="13" t="s">
        <v>46</v>
      </c>
      <c r="H736" s="13">
        <v>25</v>
      </c>
      <c r="I736" s="13" t="s">
        <v>46</v>
      </c>
      <c r="K736" s="13" t="s">
        <v>882</v>
      </c>
      <c r="L736" s="13" t="s">
        <v>883</v>
      </c>
      <c r="N736" s="13" t="s">
        <v>86</v>
      </c>
      <c r="O736" s="13" t="s">
        <v>644</v>
      </c>
      <c r="P736" s="13" t="s">
        <v>85</v>
      </c>
      <c r="Q736" s="13" t="s">
        <v>48</v>
      </c>
      <c r="R736" s="4">
        <v>3</v>
      </c>
      <c r="S736" s="13" t="s">
        <v>595</v>
      </c>
      <c r="T736" s="13">
        <v>150</v>
      </c>
      <c r="U736" s="4" t="s">
        <v>120</v>
      </c>
      <c r="V736" s="4">
        <v>300</v>
      </c>
      <c r="W736" s="4" t="s">
        <v>42</v>
      </c>
      <c r="X736" s="4">
        <v>424</v>
      </c>
      <c r="Y736" s="4">
        <v>56</v>
      </c>
      <c r="Z736" s="4" t="s">
        <v>491</v>
      </c>
      <c r="AA736" s="4" t="s">
        <v>49</v>
      </c>
      <c r="AB736" s="4">
        <v>0</v>
      </c>
      <c r="AC736" s="4" t="s">
        <v>49</v>
      </c>
      <c r="AD736" s="4">
        <v>0</v>
      </c>
      <c r="AE736" s="4" t="s">
        <v>49</v>
      </c>
      <c r="AF736" s="4">
        <v>0</v>
      </c>
      <c r="AG736" s="4" t="s">
        <v>770</v>
      </c>
      <c r="AH736" s="4" t="s">
        <v>768</v>
      </c>
      <c r="AI736" s="4" t="s">
        <v>268</v>
      </c>
      <c r="AJ736" s="13">
        <v>0</v>
      </c>
      <c r="AK736" s="13">
        <v>20</v>
      </c>
      <c r="AL736" s="13" t="s">
        <v>522</v>
      </c>
      <c r="AP736" s="13" t="s">
        <v>49</v>
      </c>
      <c r="AQ736" s="13" t="s">
        <v>49</v>
      </c>
      <c r="AR736" s="13" t="s">
        <v>49</v>
      </c>
      <c r="AS736" s="13" t="s">
        <v>49</v>
      </c>
      <c r="AT736" s="13" t="s">
        <v>990</v>
      </c>
      <c r="AU736" s="13" t="s">
        <v>998</v>
      </c>
      <c r="AV736" s="14">
        <f>976.45/1000</f>
        <v>0.97645000000000004</v>
      </c>
      <c r="AW736" s="14">
        <f>164.45/1000</f>
        <v>0.16444999999999999</v>
      </c>
      <c r="AX736" s="14">
        <f>Table1347456[[#This Row],[treatment_mean]]/Table1347456[[#This Row],[control_mean]]</f>
        <v>5.937671024627547</v>
      </c>
      <c r="AY736" s="14">
        <f>LN(Table1347456[[#This Row],[rr]])</f>
        <v>1.7813169730937255</v>
      </c>
      <c r="AZ736" s="13">
        <v>3</v>
      </c>
      <c r="BA736" s="13">
        <v>3</v>
      </c>
      <c r="BB736" s="14" t="s">
        <v>46</v>
      </c>
      <c r="BC736" s="14" t="s">
        <v>46</v>
      </c>
      <c r="BD736" s="15" t="s">
        <v>46</v>
      </c>
      <c r="BE736" s="14" t="s">
        <v>46</v>
      </c>
      <c r="BF73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36" s="17" t="s">
        <v>46</v>
      </c>
      <c r="BH736" s="13" t="s">
        <v>50</v>
      </c>
      <c r="BI736" s="13">
        <v>2.5000000000000001E-2</v>
      </c>
      <c r="BJ736" s="18">
        <f>ABS(_xlfn.NORM.S.INV(Table1347456[[#This Row],[p_value]]/2))</f>
        <v>2.2414027276049446</v>
      </c>
      <c r="BK736" s="19">
        <f>(Table1347456[[#This Row],[lnrr]]/Table1347456[[#This Row],[z_from_p]])^2</f>
        <v>0.63160072508085874</v>
      </c>
      <c r="BL736" s="16">
        <f>Table1347456[[#This Row],[v_from_z_from_p]]</f>
        <v>0.63160072508085874</v>
      </c>
      <c r="BM736" s="20">
        <f>SQRT(Table1347456[[#This Row],[v]])</f>
        <v>0.7947331156311902</v>
      </c>
      <c r="BN736" s="20">
        <f>Table1347456[[#This Row],[lnrr]]-(1.96*Table1347456[[#This Row],[se]])</f>
        <v>0.22364006645659273</v>
      </c>
      <c r="BO736" s="20">
        <f>Table1347456[[#This Row],[lnrr]]+(1.96 * Table1347456[[#This Row],[se]])</f>
        <v>3.3389938797308583</v>
      </c>
    </row>
    <row r="737" spans="1:67">
      <c r="A737" s="13" t="s">
        <v>264</v>
      </c>
      <c r="B737" s="13" t="s">
        <v>265</v>
      </c>
      <c r="C737" s="13" t="s">
        <v>43</v>
      </c>
      <c r="D737" s="13" t="s">
        <v>266</v>
      </c>
      <c r="E737" s="13" t="s">
        <v>267</v>
      </c>
      <c r="F737" s="13" t="s">
        <v>587</v>
      </c>
      <c r="G737" s="13" t="s">
        <v>46</v>
      </c>
      <c r="H737" s="13">
        <v>25</v>
      </c>
      <c r="I737" s="13" t="s">
        <v>46</v>
      </c>
      <c r="K737" s="13" t="s">
        <v>882</v>
      </c>
      <c r="L737" s="13" t="s">
        <v>883</v>
      </c>
      <c r="N737" s="13" t="s">
        <v>86</v>
      </c>
      <c r="O737" s="13" t="s">
        <v>644</v>
      </c>
      <c r="P737" s="13" t="s">
        <v>85</v>
      </c>
      <c r="Q737" s="13" t="s">
        <v>48</v>
      </c>
      <c r="R737" s="4">
        <v>3</v>
      </c>
      <c r="S737" s="13" t="s">
        <v>595</v>
      </c>
      <c r="T737" s="13">
        <v>150</v>
      </c>
      <c r="U737" s="4" t="s">
        <v>120</v>
      </c>
      <c r="V737" s="4">
        <v>400</v>
      </c>
      <c r="W737" s="4" t="s">
        <v>42</v>
      </c>
      <c r="X737" s="4">
        <v>579</v>
      </c>
      <c r="Y737" s="4">
        <v>56</v>
      </c>
      <c r="Z737" s="4" t="s">
        <v>491</v>
      </c>
      <c r="AA737" s="4" t="s">
        <v>49</v>
      </c>
      <c r="AB737" s="4">
        <v>0</v>
      </c>
      <c r="AC737" s="4" t="s">
        <v>49</v>
      </c>
      <c r="AD737" s="4">
        <v>0</v>
      </c>
      <c r="AE737" s="4" t="s">
        <v>49</v>
      </c>
      <c r="AF737" s="4">
        <v>0</v>
      </c>
      <c r="AG737" s="4" t="s">
        <v>771</v>
      </c>
      <c r="AH737" s="4" t="s">
        <v>768</v>
      </c>
      <c r="AI737" s="4" t="s">
        <v>268</v>
      </c>
      <c r="AJ737" s="13">
        <v>0</v>
      </c>
      <c r="AK737" s="13">
        <v>20</v>
      </c>
      <c r="AL737" s="13" t="s">
        <v>522</v>
      </c>
      <c r="AP737" s="13" t="s">
        <v>49</v>
      </c>
      <c r="AQ737" s="13" t="s">
        <v>49</v>
      </c>
      <c r="AR737" s="13" t="s">
        <v>49</v>
      </c>
      <c r="AS737" s="13" t="s">
        <v>49</v>
      </c>
      <c r="AT737" s="13" t="s">
        <v>990</v>
      </c>
      <c r="AU737" s="13" t="s">
        <v>998</v>
      </c>
      <c r="AV737" s="14">
        <f>1486.94/1000</f>
        <v>1.4869400000000002</v>
      </c>
      <c r="AW737" s="14">
        <f>164.45/1000</f>
        <v>0.16444999999999999</v>
      </c>
      <c r="AX737" s="14">
        <f>Table1347456[[#This Row],[treatment_mean]]/Table1347456[[#This Row],[control_mean]]</f>
        <v>9.041897233201583</v>
      </c>
      <c r="AY737" s="14">
        <f>LN(Table1347456[[#This Row],[rr]])</f>
        <v>2.2018690233136411</v>
      </c>
      <c r="AZ737" s="13">
        <v>3</v>
      </c>
      <c r="BA737" s="13">
        <v>3</v>
      </c>
      <c r="BB737" s="14" t="s">
        <v>46</v>
      </c>
      <c r="BC737" s="14" t="s">
        <v>46</v>
      </c>
      <c r="BD737" s="15" t="s">
        <v>46</v>
      </c>
      <c r="BE737" s="14" t="s">
        <v>46</v>
      </c>
      <c r="BF73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37" s="17" t="s">
        <v>46</v>
      </c>
      <c r="BH737" s="13" t="s">
        <v>50</v>
      </c>
      <c r="BI737" s="13">
        <v>2.5000000000000001E-2</v>
      </c>
      <c r="BJ737" s="18">
        <f>ABS(_xlfn.NORM.S.INV(Table1347456[[#This Row],[p_value]]/2))</f>
        <v>2.2414027276049446</v>
      </c>
      <c r="BK737" s="19">
        <f>(Table1347456[[#This Row],[lnrr]]/Table1347456[[#This Row],[z_from_p]])^2</f>
        <v>0.96503523667987345</v>
      </c>
      <c r="BL737" s="16">
        <f>Table1347456[[#This Row],[v_from_z_from_p]]</f>
        <v>0.96503523667987345</v>
      </c>
      <c r="BM737" s="20">
        <f>SQRT(Table1347456[[#This Row],[v]])</f>
        <v>0.98236207005353859</v>
      </c>
      <c r="BN737" s="20">
        <f>Table1347456[[#This Row],[lnrr]]-(1.96*Table1347456[[#This Row],[se]])</f>
        <v>0.27643936600870544</v>
      </c>
      <c r="BO737" s="20">
        <f>Table1347456[[#This Row],[lnrr]]+(1.96 * Table1347456[[#This Row],[se]])</f>
        <v>4.1272986806185763</v>
      </c>
    </row>
    <row r="738" spans="1:67">
      <c r="A738" s="13" t="s">
        <v>269</v>
      </c>
      <c r="B738" s="13" t="s">
        <v>270</v>
      </c>
      <c r="C738" s="13" t="s">
        <v>43</v>
      </c>
      <c r="D738" s="13" t="s">
        <v>195</v>
      </c>
      <c r="E738" s="13" t="s">
        <v>249</v>
      </c>
      <c r="F738" s="13" t="s">
        <v>588</v>
      </c>
      <c r="G738" s="13" t="s">
        <v>46</v>
      </c>
      <c r="H738" s="13">
        <v>28</v>
      </c>
      <c r="I738" s="13">
        <v>348</v>
      </c>
      <c r="K738" s="13" t="s">
        <v>884</v>
      </c>
      <c r="L738" s="13" t="s">
        <v>885</v>
      </c>
      <c r="N738" s="13" t="s">
        <v>47</v>
      </c>
      <c r="O738" s="13" t="s">
        <v>645</v>
      </c>
      <c r="P738" s="13" t="s">
        <v>422</v>
      </c>
      <c r="Q738" s="13" t="s">
        <v>48</v>
      </c>
      <c r="R738" s="4">
        <v>3</v>
      </c>
      <c r="S738" s="13" t="s">
        <v>594</v>
      </c>
      <c r="T738" s="13">
        <v>730</v>
      </c>
      <c r="U738" s="4" t="s">
        <v>147</v>
      </c>
      <c r="V738" s="4">
        <v>580</v>
      </c>
      <c r="W738" s="4" t="s">
        <v>601</v>
      </c>
      <c r="X738" s="4">
        <v>598</v>
      </c>
      <c r="Y738" s="4">
        <v>10</v>
      </c>
      <c r="AA738" s="4" t="s">
        <v>49</v>
      </c>
      <c r="AB738" s="4">
        <v>0</v>
      </c>
      <c r="AC738" s="4" t="s">
        <v>49</v>
      </c>
      <c r="AD738" s="4">
        <v>0</v>
      </c>
      <c r="AE738" s="4" t="s">
        <v>49</v>
      </c>
      <c r="AF738" s="4">
        <v>0</v>
      </c>
      <c r="AG738" s="4" t="s">
        <v>683</v>
      </c>
      <c r="AH738" s="4" t="s">
        <v>684</v>
      </c>
      <c r="AI738" s="4" t="s">
        <v>271</v>
      </c>
      <c r="AJ738" s="13">
        <v>0</v>
      </c>
      <c r="AK738" s="13">
        <v>10</v>
      </c>
      <c r="AM738" s="13" t="s">
        <v>523</v>
      </c>
      <c r="AP738" s="13" t="s">
        <v>49</v>
      </c>
      <c r="AQ738" s="13" t="s">
        <v>49</v>
      </c>
      <c r="AR738" s="13" t="s">
        <v>49</v>
      </c>
      <c r="AS738" s="13" t="s">
        <v>49</v>
      </c>
      <c r="AT738" s="13" t="s">
        <v>990</v>
      </c>
      <c r="AU738" s="13" t="s">
        <v>998</v>
      </c>
      <c r="AV738" s="14">
        <f>0.22*10</f>
        <v>2.2000000000000002</v>
      </c>
      <c r="AW738" s="14">
        <f>0.15*10</f>
        <v>1.5</v>
      </c>
      <c r="AX738" s="14">
        <f>Table1347456[[#This Row],[treatment_mean]]/Table1347456[[#This Row],[control_mean]]</f>
        <v>1.4666666666666668</v>
      </c>
      <c r="AY738" s="14">
        <f>LN(Table1347456[[#This Row],[rr]])</f>
        <v>0.38299225225610589</v>
      </c>
      <c r="AZ738" s="13">
        <v>3</v>
      </c>
      <c r="BA738" s="13">
        <v>3</v>
      </c>
      <c r="BB738" s="14" t="s">
        <v>46</v>
      </c>
      <c r="BC738" s="14" t="s">
        <v>46</v>
      </c>
      <c r="BD738" s="15" t="s">
        <v>46</v>
      </c>
      <c r="BE738" s="14" t="s">
        <v>46</v>
      </c>
      <c r="BF73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38" s="17" t="s">
        <v>46</v>
      </c>
      <c r="BH738" s="13" t="s">
        <v>50</v>
      </c>
      <c r="BI738" s="13">
        <v>0.05</v>
      </c>
      <c r="BJ738" s="18">
        <f>ABS(_xlfn.NORM.S.INV(Table1347456[[#This Row],[p_value]]/2))</f>
        <v>1.9599639845400538</v>
      </c>
      <c r="BK738" s="19">
        <f>(Table1347456[[#This Row],[lnrr]]/Table1347456[[#This Row],[z_from_p]])^2</f>
        <v>3.8184208691244038E-2</v>
      </c>
      <c r="BL738" s="16">
        <f>Table1347456[[#This Row],[v_from_z_from_p]]</f>
        <v>3.8184208691244038E-2</v>
      </c>
      <c r="BM738" s="20">
        <f>SQRT(Table1347456[[#This Row],[v]])</f>
        <v>0.19540780099894692</v>
      </c>
      <c r="BN738" s="20">
        <f>Table1347456[[#This Row],[lnrr]]-(1.96*Table1347456[[#This Row],[se]])</f>
        <v>-7.0377018300815664E-6</v>
      </c>
      <c r="BO738" s="20">
        <f>Table1347456[[#This Row],[lnrr]]+(1.96 * Table1347456[[#This Row],[se]])</f>
        <v>0.76599154221404187</v>
      </c>
    </row>
    <row r="739" spans="1:67">
      <c r="A739" s="13" t="s">
        <v>269</v>
      </c>
      <c r="B739" s="13" t="s">
        <v>270</v>
      </c>
      <c r="C739" s="13" t="s">
        <v>43</v>
      </c>
      <c r="D739" s="13" t="s">
        <v>195</v>
      </c>
      <c r="E739" s="13" t="s">
        <v>249</v>
      </c>
      <c r="F739" s="13" t="s">
        <v>588</v>
      </c>
      <c r="G739" s="13" t="s">
        <v>46</v>
      </c>
      <c r="H739" s="13">
        <v>28</v>
      </c>
      <c r="I739" s="13">
        <v>348</v>
      </c>
      <c r="K739" s="13" t="s">
        <v>884</v>
      </c>
      <c r="L739" s="13" t="s">
        <v>885</v>
      </c>
      <c r="N739" s="13" t="s">
        <v>47</v>
      </c>
      <c r="O739" s="13" t="s">
        <v>645</v>
      </c>
      <c r="P739" s="13" t="s">
        <v>422</v>
      </c>
      <c r="Q739" s="13" t="s">
        <v>48</v>
      </c>
      <c r="R739" s="4">
        <v>3</v>
      </c>
      <c r="S739" s="13" t="s">
        <v>594</v>
      </c>
      <c r="T739" s="13">
        <v>730</v>
      </c>
      <c r="U739" s="4" t="s">
        <v>147</v>
      </c>
      <c r="V739" s="4">
        <v>580</v>
      </c>
      <c r="W739" s="4" t="s">
        <v>601</v>
      </c>
      <c r="X739" s="4">
        <v>598</v>
      </c>
      <c r="Y739" s="4">
        <v>20</v>
      </c>
      <c r="AA739" s="4" t="s">
        <v>49</v>
      </c>
      <c r="AB739" s="4">
        <v>0</v>
      </c>
      <c r="AC739" s="4" t="s">
        <v>49</v>
      </c>
      <c r="AD739" s="4">
        <v>0</v>
      </c>
      <c r="AE739" s="4" t="s">
        <v>49</v>
      </c>
      <c r="AF739" s="4">
        <v>0</v>
      </c>
      <c r="AG739" s="4" t="s">
        <v>683</v>
      </c>
      <c r="AH739" s="4" t="s">
        <v>684</v>
      </c>
      <c r="AI739" s="4" t="s">
        <v>271</v>
      </c>
      <c r="AJ739" s="13">
        <v>0</v>
      </c>
      <c r="AK739" s="13">
        <v>10</v>
      </c>
      <c r="AM739" s="13" t="s">
        <v>523</v>
      </c>
      <c r="AP739" s="13" t="s">
        <v>49</v>
      </c>
      <c r="AQ739" s="13" t="s">
        <v>49</v>
      </c>
      <c r="AR739" s="13" t="s">
        <v>49</v>
      </c>
      <c r="AS739" s="13" t="s">
        <v>49</v>
      </c>
      <c r="AT739" s="13" t="s">
        <v>990</v>
      </c>
      <c r="AU739" s="13" t="s">
        <v>998</v>
      </c>
      <c r="AV739" s="14">
        <f>0.26*10</f>
        <v>2.6</v>
      </c>
      <c r="AW739" s="14">
        <f>0.15*10</f>
        <v>1.5</v>
      </c>
      <c r="AX739" s="14">
        <f>Table1347456[[#This Row],[treatment_mean]]/Table1347456[[#This Row],[control_mean]]</f>
        <v>1.7333333333333334</v>
      </c>
      <c r="AY739" s="14">
        <f>LN(Table1347456[[#This Row],[rr]])</f>
        <v>0.55004633691927196</v>
      </c>
      <c r="AZ739" s="13">
        <v>3</v>
      </c>
      <c r="BA739" s="13">
        <v>3</v>
      </c>
      <c r="BB739" s="14" t="s">
        <v>46</v>
      </c>
      <c r="BC739" s="14" t="s">
        <v>46</v>
      </c>
      <c r="BD739" s="15" t="s">
        <v>46</v>
      </c>
      <c r="BE739" s="14" t="s">
        <v>46</v>
      </c>
      <c r="BF73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39" s="17" t="s">
        <v>46</v>
      </c>
      <c r="BH739" s="13" t="s">
        <v>50</v>
      </c>
      <c r="BI739" s="13">
        <v>0.05</v>
      </c>
      <c r="BJ739" s="18">
        <f>ABS(_xlfn.NORM.S.INV(Table1347456[[#This Row],[p_value]]/2))</f>
        <v>1.9599639845400538</v>
      </c>
      <c r="BK739" s="19">
        <f>(Table1347456[[#This Row],[lnrr]]/Table1347456[[#This Row],[z_from_p]])^2</f>
        <v>7.8759395032026003E-2</v>
      </c>
      <c r="BL739" s="16">
        <f>Table1347456[[#This Row],[v_from_z_from_p]]</f>
        <v>7.8759395032026003E-2</v>
      </c>
      <c r="BM739" s="20">
        <f>SQRT(Table1347456[[#This Row],[v]])</f>
        <v>0.28064104302832471</v>
      </c>
      <c r="BN739" s="20">
        <f>Table1347456[[#This Row],[lnrr]]-(1.96*Table1347456[[#This Row],[se]])</f>
        <v>-1.0107416244409251E-5</v>
      </c>
      <c r="BO739" s="20">
        <f>Table1347456[[#This Row],[lnrr]]+(1.96 * Table1347456[[#This Row],[se]])</f>
        <v>1.1001027812547883</v>
      </c>
    </row>
    <row r="740" spans="1:67">
      <c r="A740" s="13" t="s">
        <v>269</v>
      </c>
      <c r="B740" s="13" t="s">
        <v>270</v>
      </c>
      <c r="C740" s="13" t="s">
        <v>43</v>
      </c>
      <c r="D740" s="13" t="s">
        <v>195</v>
      </c>
      <c r="E740" s="13" t="s">
        <v>249</v>
      </c>
      <c r="F740" s="13" t="s">
        <v>588</v>
      </c>
      <c r="G740" s="13" t="s">
        <v>46</v>
      </c>
      <c r="H740" s="13">
        <v>28</v>
      </c>
      <c r="I740" s="13">
        <v>348</v>
      </c>
      <c r="K740" s="13" t="s">
        <v>884</v>
      </c>
      <c r="L740" s="13" t="s">
        <v>885</v>
      </c>
      <c r="N740" s="13" t="s">
        <v>47</v>
      </c>
      <c r="O740" s="13" t="s">
        <v>645</v>
      </c>
      <c r="P740" s="13" t="s">
        <v>422</v>
      </c>
      <c r="Q740" s="13" t="s">
        <v>48</v>
      </c>
      <c r="R740" s="4">
        <v>3</v>
      </c>
      <c r="S740" s="13" t="s">
        <v>594</v>
      </c>
      <c r="T740" s="13">
        <v>730</v>
      </c>
      <c r="U740" s="4" t="s">
        <v>147</v>
      </c>
      <c r="V740" s="4">
        <v>580</v>
      </c>
      <c r="W740" s="4" t="s">
        <v>601</v>
      </c>
      <c r="X740" s="4">
        <v>598</v>
      </c>
      <c r="Y740" s="4">
        <v>30</v>
      </c>
      <c r="AA740" s="4" t="s">
        <v>49</v>
      </c>
      <c r="AB740" s="4">
        <v>0</v>
      </c>
      <c r="AC740" s="4" t="s">
        <v>49</v>
      </c>
      <c r="AD740" s="4">
        <v>0</v>
      </c>
      <c r="AE740" s="4" t="s">
        <v>49</v>
      </c>
      <c r="AF740" s="4">
        <v>0</v>
      </c>
      <c r="AG740" s="4" t="s">
        <v>683</v>
      </c>
      <c r="AH740" s="4" t="s">
        <v>684</v>
      </c>
      <c r="AI740" s="4" t="s">
        <v>271</v>
      </c>
      <c r="AJ740" s="13">
        <v>0</v>
      </c>
      <c r="AK740" s="13">
        <v>10</v>
      </c>
      <c r="AM740" s="13" t="s">
        <v>523</v>
      </c>
      <c r="AP740" s="13" t="s">
        <v>49</v>
      </c>
      <c r="AQ740" s="13" t="s">
        <v>49</v>
      </c>
      <c r="AR740" s="13" t="s">
        <v>49</v>
      </c>
      <c r="AS740" s="13" t="s">
        <v>49</v>
      </c>
      <c r="AT740" s="13" t="s">
        <v>990</v>
      </c>
      <c r="AU740" s="13" t="s">
        <v>998</v>
      </c>
      <c r="AV740" s="14">
        <f>0.3*10</f>
        <v>3</v>
      </c>
      <c r="AW740" s="14">
        <f>0.15*10</f>
        <v>1.5</v>
      </c>
      <c r="AX740" s="14">
        <f>Table1347456[[#This Row],[treatment_mean]]/Table1347456[[#This Row],[control_mean]]</f>
        <v>2</v>
      </c>
      <c r="AY740" s="14">
        <f>LN(Table1347456[[#This Row],[rr]])</f>
        <v>0.69314718055994529</v>
      </c>
      <c r="AZ740" s="13">
        <v>3</v>
      </c>
      <c r="BA740" s="13">
        <v>3</v>
      </c>
      <c r="BB740" s="14" t="s">
        <v>46</v>
      </c>
      <c r="BC740" s="14" t="s">
        <v>46</v>
      </c>
      <c r="BD740" s="15" t="s">
        <v>46</v>
      </c>
      <c r="BE740" s="14" t="s">
        <v>46</v>
      </c>
      <c r="BF74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40" s="17" t="s">
        <v>46</v>
      </c>
      <c r="BH740" s="13" t="s">
        <v>50</v>
      </c>
      <c r="BI740" s="13">
        <v>0.05</v>
      </c>
      <c r="BJ740" s="18">
        <f>ABS(_xlfn.NORM.S.INV(Table1347456[[#This Row],[p_value]]/2))</f>
        <v>1.9599639845400538</v>
      </c>
      <c r="BK740" s="19">
        <f>(Table1347456[[#This Row],[lnrr]]/Table1347456[[#This Row],[z_from_p]])^2</f>
        <v>0.12507045795466495</v>
      </c>
      <c r="BL740" s="16">
        <f>Table1347456[[#This Row],[v_from_z_from_p]]</f>
        <v>0.12507045795466495</v>
      </c>
      <c r="BM740" s="20">
        <f>SQRT(Table1347456[[#This Row],[v]])</f>
        <v>0.35365301915106701</v>
      </c>
      <c r="BN740" s="20">
        <f>Table1347456[[#This Row],[lnrr]]-(1.96*Table1347456[[#This Row],[se]])</f>
        <v>-1.2736976146010548E-5</v>
      </c>
      <c r="BO740" s="20">
        <f>Table1347456[[#This Row],[lnrr]]+(1.96 * Table1347456[[#This Row],[se]])</f>
        <v>1.3863070980960366</v>
      </c>
    </row>
    <row r="741" spans="1:67">
      <c r="A741" s="13" t="s">
        <v>269</v>
      </c>
      <c r="B741" s="13" t="s">
        <v>270</v>
      </c>
      <c r="C741" s="13" t="s">
        <v>43</v>
      </c>
      <c r="D741" s="13" t="s">
        <v>195</v>
      </c>
      <c r="E741" s="13" t="s">
        <v>249</v>
      </c>
      <c r="F741" s="13" t="s">
        <v>588</v>
      </c>
      <c r="G741" s="13" t="s">
        <v>46</v>
      </c>
      <c r="H741" s="13">
        <v>28</v>
      </c>
      <c r="I741" s="13">
        <v>348</v>
      </c>
      <c r="J741" s="13" t="s">
        <v>662</v>
      </c>
      <c r="K741" s="13" t="s">
        <v>884</v>
      </c>
      <c r="L741" s="13" t="s">
        <v>885</v>
      </c>
      <c r="M741" s="13" t="s">
        <v>800</v>
      </c>
      <c r="N741" s="13" t="s">
        <v>84</v>
      </c>
      <c r="O741" s="13" t="s">
        <v>644</v>
      </c>
      <c r="P741" s="13" t="s">
        <v>85</v>
      </c>
      <c r="Q741" s="13" t="s">
        <v>48</v>
      </c>
      <c r="R741" s="4">
        <v>3</v>
      </c>
      <c r="S741" s="13" t="s">
        <v>594</v>
      </c>
      <c r="T741" s="13">
        <v>730</v>
      </c>
      <c r="U741" s="4" t="s">
        <v>147</v>
      </c>
      <c r="V741" s="4">
        <v>580</v>
      </c>
      <c r="W741" s="4" t="s">
        <v>601</v>
      </c>
      <c r="X741" s="4">
        <v>598</v>
      </c>
      <c r="Y741" s="4">
        <v>10</v>
      </c>
      <c r="AA741" s="4" t="s">
        <v>49</v>
      </c>
      <c r="AB741" s="4">
        <v>0</v>
      </c>
      <c r="AC741" s="4" t="s">
        <v>49</v>
      </c>
      <c r="AD741" s="4">
        <v>0</v>
      </c>
      <c r="AE741" s="4" t="s">
        <v>49</v>
      </c>
      <c r="AF741" s="4">
        <v>0</v>
      </c>
      <c r="AG741" s="4" t="s">
        <v>683</v>
      </c>
      <c r="AH741" s="4" t="s">
        <v>684</v>
      </c>
      <c r="AI741" s="4" t="s">
        <v>271</v>
      </c>
      <c r="AJ741" s="13">
        <v>0</v>
      </c>
      <c r="AK741" s="13">
        <v>10</v>
      </c>
      <c r="AM741" s="13" t="s">
        <v>523</v>
      </c>
      <c r="AP741" s="13" t="s">
        <v>49</v>
      </c>
      <c r="AQ741" s="13" t="s">
        <v>49</v>
      </c>
      <c r="AR741" s="13" t="s">
        <v>49</v>
      </c>
      <c r="AS741" s="13" t="s">
        <v>49</v>
      </c>
      <c r="AT741" s="13" t="s">
        <v>990</v>
      </c>
      <c r="AU741" s="13" t="s">
        <v>998</v>
      </c>
      <c r="AV741" s="23">
        <f>5.6/1000</f>
        <v>5.5999999999999999E-3</v>
      </c>
      <c r="AW741" s="23">
        <f>3.73/1000</f>
        <v>3.7299999999999998E-3</v>
      </c>
      <c r="AX741" s="14">
        <f>Table1347456[[#This Row],[treatment_mean]]/Table1347456[[#This Row],[control_mean]]</f>
        <v>1.5013404825737267</v>
      </c>
      <c r="AY741" s="14">
        <f>LN(Table1347456[[#This Row],[rr]])</f>
        <v>0.40635836408537945</v>
      </c>
      <c r="AZ741" s="13">
        <v>3</v>
      </c>
      <c r="BA741" s="13">
        <v>3</v>
      </c>
      <c r="BB741" s="14" t="s">
        <v>46</v>
      </c>
      <c r="BC741" s="14" t="s">
        <v>46</v>
      </c>
      <c r="BD741" s="15" t="s">
        <v>46</v>
      </c>
      <c r="BE741" s="14" t="s">
        <v>46</v>
      </c>
      <c r="BF74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41" s="17" t="s">
        <v>46</v>
      </c>
      <c r="BH741" s="13" t="s">
        <v>50</v>
      </c>
      <c r="BI741" s="13">
        <v>0.05</v>
      </c>
      <c r="BJ741" s="18">
        <f>ABS(_xlfn.NORM.S.INV(Table1347456[[#This Row],[p_value]]/2))</f>
        <v>1.9599639845400538</v>
      </c>
      <c r="BK741" s="19">
        <f>(Table1347456[[#This Row],[lnrr]]/Table1347456[[#This Row],[z_from_p]])^2</f>
        <v>4.2985523929762841E-2</v>
      </c>
      <c r="BL741" s="16">
        <f>Table1347456[[#This Row],[v_from_z_from_p]]</f>
        <v>4.2985523929762841E-2</v>
      </c>
      <c r="BM741" s="20">
        <f>SQRT(Table1347456[[#This Row],[v]])</f>
        <v>0.20732950569024863</v>
      </c>
      <c r="BN741" s="20">
        <f>Table1347456[[#This Row],[lnrr]]-(1.96*Table1347456[[#This Row],[se]])</f>
        <v>-7.4670675078714055E-6</v>
      </c>
      <c r="BO741" s="20">
        <f>Table1347456[[#This Row],[lnrr]]+(1.96 * Table1347456[[#This Row],[se]])</f>
        <v>0.81272419523826678</v>
      </c>
    </row>
    <row r="742" spans="1:67">
      <c r="A742" s="13" t="s">
        <v>269</v>
      </c>
      <c r="B742" s="13" t="s">
        <v>270</v>
      </c>
      <c r="C742" s="13" t="s">
        <v>43</v>
      </c>
      <c r="D742" s="13" t="s">
        <v>195</v>
      </c>
      <c r="E742" s="13" t="s">
        <v>249</v>
      </c>
      <c r="F742" s="13" t="s">
        <v>588</v>
      </c>
      <c r="G742" s="13" t="s">
        <v>46</v>
      </c>
      <c r="H742" s="13">
        <v>28</v>
      </c>
      <c r="I742" s="13">
        <v>348</v>
      </c>
      <c r="J742" s="13" t="s">
        <v>662</v>
      </c>
      <c r="K742" s="13" t="s">
        <v>884</v>
      </c>
      <c r="L742" s="13" t="s">
        <v>885</v>
      </c>
      <c r="M742" s="13" t="s">
        <v>800</v>
      </c>
      <c r="N742" s="13" t="s">
        <v>84</v>
      </c>
      <c r="O742" s="13" t="s">
        <v>644</v>
      </c>
      <c r="P742" s="13" t="s">
        <v>85</v>
      </c>
      <c r="Q742" s="13" t="s">
        <v>48</v>
      </c>
      <c r="R742" s="4">
        <v>3</v>
      </c>
      <c r="S742" s="13" t="s">
        <v>594</v>
      </c>
      <c r="T742" s="13">
        <v>730</v>
      </c>
      <c r="U742" s="4" t="s">
        <v>147</v>
      </c>
      <c r="V742" s="4">
        <v>580</v>
      </c>
      <c r="W742" s="4" t="s">
        <v>601</v>
      </c>
      <c r="X742" s="4">
        <v>598</v>
      </c>
      <c r="Y742" s="4">
        <v>20</v>
      </c>
      <c r="AA742" s="4" t="s">
        <v>49</v>
      </c>
      <c r="AB742" s="4">
        <v>0</v>
      </c>
      <c r="AC742" s="4" t="s">
        <v>49</v>
      </c>
      <c r="AD742" s="4">
        <v>0</v>
      </c>
      <c r="AE742" s="4" t="s">
        <v>49</v>
      </c>
      <c r="AF742" s="4">
        <v>0</v>
      </c>
      <c r="AG742" s="4" t="s">
        <v>683</v>
      </c>
      <c r="AH742" s="4" t="s">
        <v>684</v>
      </c>
      <c r="AI742" s="4" t="s">
        <v>271</v>
      </c>
      <c r="AJ742" s="13">
        <v>0</v>
      </c>
      <c r="AK742" s="13">
        <v>10</v>
      </c>
      <c r="AM742" s="13" t="s">
        <v>523</v>
      </c>
      <c r="AP742" s="13" t="s">
        <v>49</v>
      </c>
      <c r="AQ742" s="13" t="s">
        <v>49</v>
      </c>
      <c r="AR742" s="13" t="s">
        <v>49</v>
      </c>
      <c r="AS742" s="13" t="s">
        <v>49</v>
      </c>
      <c r="AT742" s="13" t="s">
        <v>990</v>
      </c>
      <c r="AU742" s="13" t="s">
        <v>998</v>
      </c>
      <c r="AV742" s="23">
        <f>6.42/1000</f>
        <v>6.4200000000000004E-3</v>
      </c>
      <c r="AW742" s="23">
        <f>3.73/1000</f>
        <v>3.7299999999999998E-3</v>
      </c>
      <c r="AX742" s="14">
        <f>Table1347456[[#This Row],[treatment_mean]]/Table1347456[[#This Row],[control_mean]]</f>
        <v>1.7211796246648796</v>
      </c>
      <c r="AY742" s="14">
        <f>LN(Table1347456[[#This Row],[rr]])</f>
        <v>0.54300988404614581</v>
      </c>
      <c r="AZ742" s="13">
        <v>3</v>
      </c>
      <c r="BA742" s="13">
        <v>3</v>
      </c>
      <c r="BB742" s="14" t="s">
        <v>46</v>
      </c>
      <c r="BC742" s="14" t="s">
        <v>46</v>
      </c>
      <c r="BD742" s="15" t="s">
        <v>46</v>
      </c>
      <c r="BE742" s="14" t="s">
        <v>46</v>
      </c>
      <c r="BF74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42" s="17" t="s">
        <v>46</v>
      </c>
      <c r="BH742" s="13" t="s">
        <v>50</v>
      </c>
      <c r="BI742" s="13">
        <v>0.05</v>
      </c>
      <c r="BJ742" s="18">
        <f>ABS(_xlfn.NORM.S.INV(Table1347456[[#This Row],[p_value]]/2))</f>
        <v>1.9599639845400538</v>
      </c>
      <c r="BK742" s="19">
        <f>(Table1347456[[#This Row],[lnrr]]/Table1347456[[#This Row],[z_from_p]])^2</f>
        <v>7.6757228942136546E-2</v>
      </c>
      <c r="BL742" s="16">
        <f>Table1347456[[#This Row],[v_from_z_from_p]]</f>
        <v>7.6757228942136546E-2</v>
      </c>
      <c r="BM742" s="20">
        <f>SQRT(Table1347456[[#This Row],[v]])</f>
        <v>0.27705095008343961</v>
      </c>
      <c r="BN742" s="20">
        <f>Table1347456[[#This Row],[lnrr]]-(1.96*Table1347456[[#This Row],[se]])</f>
        <v>-9.9781173957813607E-6</v>
      </c>
      <c r="BO742" s="20">
        <f>Table1347456[[#This Row],[lnrr]]+(1.96 * Table1347456[[#This Row],[se]])</f>
        <v>1.0860297462096873</v>
      </c>
    </row>
    <row r="743" spans="1:67">
      <c r="A743" s="13" t="s">
        <v>269</v>
      </c>
      <c r="B743" s="13" t="s">
        <v>270</v>
      </c>
      <c r="C743" s="13" t="s">
        <v>43</v>
      </c>
      <c r="D743" s="13" t="s">
        <v>195</v>
      </c>
      <c r="E743" s="13" t="s">
        <v>249</v>
      </c>
      <c r="F743" s="13" t="s">
        <v>588</v>
      </c>
      <c r="G743" s="13" t="s">
        <v>46</v>
      </c>
      <c r="H743" s="13">
        <v>28</v>
      </c>
      <c r="I743" s="13">
        <v>348</v>
      </c>
      <c r="J743" s="13" t="s">
        <v>662</v>
      </c>
      <c r="K743" s="13" t="s">
        <v>884</v>
      </c>
      <c r="L743" s="13" t="s">
        <v>885</v>
      </c>
      <c r="M743" s="13" t="s">
        <v>800</v>
      </c>
      <c r="N743" s="13" t="s">
        <v>84</v>
      </c>
      <c r="O743" s="13" t="s">
        <v>644</v>
      </c>
      <c r="P743" s="13" t="s">
        <v>85</v>
      </c>
      <c r="Q743" s="13" t="s">
        <v>48</v>
      </c>
      <c r="R743" s="4">
        <v>3</v>
      </c>
      <c r="S743" s="13" t="s">
        <v>594</v>
      </c>
      <c r="T743" s="13">
        <v>730</v>
      </c>
      <c r="U743" s="4" t="s">
        <v>147</v>
      </c>
      <c r="V743" s="4">
        <v>580</v>
      </c>
      <c r="W743" s="4" t="s">
        <v>601</v>
      </c>
      <c r="X743" s="4">
        <v>598</v>
      </c>
      <c r="Y743" s="4">
        <v>30</v>
      </c>
      <c r="AA743" s="4" t="s">
        <v>49</v>
      </c>
      <c r="AB743" s="4">
        <v>0</v>
      </c>
      <c r="AC743" s="4" t="s">
        <v>49</v>
      </c>
      <c r="AD743" s="4">
        <v>0</v>
      </c>
      <c r="AE743" s="4" t="s">
        <v>49</v>
      </c>
      <c r="AF743" s="4">
        <v>0</v>
      </c>
      <c r="AG743" s="4" t="s">
        <v>683</v>
      </c>
      <c r="AH743" s="4" t="s">
        <v>684</v>
      </c>
      <c r="AI743" s="4" t="s">
        <v>271</v>
      </c>
      <c r="AJ743" s="13">
        <v>0</v>
      </c>
      <c r="AK743" s="13">
        <v>10</v>
      </c>
      <c r="AM743" s="13" t="s">
        <v>523</v>
      </c>
      <c r="AP743" s="13" t="s">
        <v>49</v>
      </c>
      <c r="AQ743" s="13" t="s">
        <v>49</v>
      </c>
      <c r="AR743" s="13" t="s">
        <v>49</v>
      </c>
      <c r="AS743" s="13" t="s">
        <v>49</v>
      </c>
      <c r="AT743" s="13" t="s">
        <v>990</v>
      </c>
      <c r="AU743" s="13" t="s">
        <v>998</v>
      </c>
      <c r="AV743" s="23">
        <f>7.08/1000</f>
        <v>7.0800000000000004E-3</v>
      </c>
      <c r="AW743" s="23">
        <f>3.73/1000</f>
        <v>3.7299999999999998E-3</v>
      </c>
      <c r="AX743" s="14">
        <f>Table1347456[[#This Row],[treatment_mean]]/Table1347456[[#This Row],[control_mean]]</f>
        <v>1.898123324396783</v>
      </c>
      <c r="AY743" s="14">
        <f>LN(Table1347456[[#This Row],[rr]])</f>
        <v>0.64086567404990435</v>
      </c>
      <c r="AZ743" s="13">
        <v>3</v>
      </c>
      <c r="BA743" s="13">
        <v>3</v>
      </c>
      <c r="BB743" s="14" t="s">
        <v>46</v>
      </c>
      <c r="BC743" s="14" t="s">
        <v>46</v>
      </c>
      <c r="BD743" s="15" t="s">
        <v>46</v>
      </c>
      <c r="BE743" s="14" t="s">
        <v>46</v>
      </c>
      <c r="BF74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43" s="17" t="s">
        <v>46</v>
      </c>
      <c r="BH743" s="13" t="s">
        <v>50</v>
      </c>
      <c r="BI743" s="13">
        <v>0.05</v>
      </c>
      <c r="BJ743" s="18">
        <f>ABS(_xlfn.NORM.S.INV(Table1347456[[#This Row],[p_value]]/2))</f>
        <v>1.9599639845400538</v>
      </c>
      <c r="BK743" s="19">
        <f>(Table1347456[[#This Row],[lnrr]]/Table1347456[[#This Row],[z_from_p]])^2</f>
        <v>0.10691480277308454</v>
      </c>
      <c r="BL743" s="16">
        <f>Table1347456[[#This Row],[v_from_z_from_p]]</f>
        <v>0.10691480277308454</v>
      </c>
      <c r="BM743" s="20">
        <f>SQRT(Table1347456[[#This Row],[v]])</f>
        <v>0.32697829098135023</v>
      </c>
      <c r="BN743" s="20">
        <f>Table1347456[[#This Row],[lnrr]]-(1.96*Table1347456[[#This Row],[se]])</f>
        <v>-1.177627354209676E-5</v>
      </c>
      <c r="BO743" s="20">
        <f>Table1347456[[#This Row],[lnrr]]+(1.96 * Table1347456[[#This Row],[se]])</f>
        <v>1.2817431243733508</v>
      </c>
    </row>
    <row r="744" spans="1:67">
      <c r="A744" s="13" t="s">
        <v>269</v>
      </c>
      <c r="B744" s="13" t="s">
        <v>270</v>
      </c>
      <c r="C744" s="13" t="s">
        <v>43</v>
      </c>
      <c r="D744" s="13" t="s">
        <v>195</v>
      </c>
      <c r="E744" s="13" t="s">
        <v>249</v>
      </c>
      <c r="F744" s="13" t="s">
        <v>588</v>
      </c>
      <c r="G744" s="13" t="s">
        <v>46</v>
      </c>
      <c r="H744" s="13">
        <v>28</v>
      </c>
      <c r="I744" s="13">
        <v>348</v>
      </c>
      <c r="K744" s="13" t="s">
        <v>884</v>
      </c>
      <c r="L744" s="13" t="s">
        <v>885</v>
      </c>
      <c r="N744" s="13" t="s">
        <v>86</v>
      </c>
      <c r="O744" s="13" t="s">
        <v>644</v>
      </c>
      <c r="P744" s="13" t="s">
        <v>87</v>
      </c>
      <c r="Q744" s="13" t="s">
        <v>48</v>
      </c>
      <c r="R744" s="4">
        <v>3</v>
      </c>
      <c r="S744" s="13" t="s">
        <v>594</v>
      </c>
      <c r="T744" s="13">
        <v>730</v>
      </c>
      <c r="U744" s="4" t="s">
        <v>147</v>
      </c>
      <c r="V744" s="4">
        <v>580</v>
      </c>
      <c r="W744" s="4" t="s">
        <v>601</v>
      </c>
      <c r="X744" s="4">
        <v>598</v>
      </c>
      <c r="Y744" s="4">
        <v>10</v>
      </c>
      <c r="AA744" s="4" t="s">
        <v>49</v>
      </c>
      <c r="AB744" s="4">
        <v>0</v>
      </c>
      <c r="AC744" s="4" t="s">
        <v>49</v>
      </c>
      <c r="AD744" s="4">
        <v>0</v>
      </c>
      <c r="AE744" s="4" t="s">
        <v>49</v>
      </c>
      <c r="AF744" s="4">
        <v>0</v>
      </c>
      <c r="AG744" s="4" t="s">
        <v>683</v>
      </c>
      <c r="AH744" s="4" t="s">
        <v>684</v>
      </c>
      <c r="AI744" s="4" t="s">
        <v>271</v>
      </c>
      <c r="AJ744" s="13">
        <v>0</v>
      </c>
      <c r="AK744" s="13">
        <v>10</v>
      </c>
      <c r="AM744" s="13" t="s">
        <v>523</v>
      </c>
      <c r="AP744" s="13" t="s">
        <v>49</v>
      </c>
      <c r="AQ744" s="13" t="s">
        <v>49</v>
      </c>
      <c r="AR744" s="13" t="s">
        <v>49</v>
      </c>
      <c r="AS744" s="13" t="s">
        <v>49</v>
      </c>
      <c r="AT744" s="13" t="s">
        <v>990</v>
      </c>
      <c r="AU744" s="13" t="s">
        <v>998</v>
      </c>
      <c r="AV744" s="14">
        <f>(0.5*39.1*10)/1000</f>
        <v>0.19550000000000001</v>
      </c>
      <c r="AW744" s="14">
        <f>(0.18*39.1*10)/1000</f>
        <v>7.0379999999999998E-2</v>
      </c>
      <c r="AX744" s="14">
        <f>Table1347456[[#This Row],[treatment_mean]]/Table1347456[[#This Row],[control_mean]]</f>
        <v>2.7777777777777781</v>
      </c>
      <c r="AY744" s="14">
        <f>LN(Table1347456[[#This Row],[rr]])</f>
        <v>1.0216512475319814</v>
      </c>
      <c r="AZ744" s="13">
        <v>3</v>
      </c>
      <c r="BA744" s="13">
        <v>3</v>
      </c>
      <c r="BB744" s="14" t="s">
        <v>46</v>
      </c>
      <c r="BC744" s="14" t="s">
        <v>46</v>
      </c>
      <c r="BD744" s="15" t="s">
        <v>46</v>
      </c>
      <c r="BE744" s="14" t="s">
        <v>46</v>
      </c>
      <c r="BF74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44" s="17" t="s">
        <v>46</v>
      </c>
      <c r="BH744" s="13" t="s">
        <v>50</v>
      </c>
      <c r="BI744" s="13">
        <v>0.05</v>
      </c>
      <c r="BJ744" s="18">
        <f>ABS(_xlfn.NORM.S.INV(Table1347456[[#This Row],[p_value]]/2))</f>
        <v>1.9599639845400538</v>
      </c>
      <c r="BK744" s="19">
        <f>(Table1347456[[#This Row],[lnrr]]/Table1347456[[#This Row],[z_from_p]])^2</f>
        <v>0.27171221150694308</v>
      </c>
      <c r="BL744" s="16">
        <f>Table1347456[[#This Row],[v_from_z_from_p]]</f>
        <v>0.27171221150694308</v>
      </c>
      <c r="BM744" s="20">
        <f>SQRT(Table1347456[[#This Row],[v]])</f>
        <v>0.52126021477467765</v>
      </c>
      <c r="BN744" s="20">
        <f>Table1347456[[#This Row],[lnrr]]-(1.96*Table1347456[[#This Row],[se]])</f>
        <v>-1.8773426386786696E-5</v>
      </c>
      <c r="BO744" s="20">
        <f>Table1347456[[#This Row],[lnrr]]+(1.96 * Table1347456[[#This Row],[se]])</f>
        <v>2.0433212684903497</v>
      </c>
    </row>
    <row r="745" spans="1:67">
      <c r="A745" s="13" t="s">
        <v>269</v>
      </c>
      <c r="B745" s="13" t="s">
        <v>270</v>
      </c>
      <c r="C745" s="13" t="s">
        <v>43</v>
      </c>
      <c r="D745" s="13" t="s">
        <v>195</v>
      </c>
      <c r="E745" s="13" t="s">
        <v>249</v>
      </c>
      <c r="F745" s="13" t="s">
        <v>588</v>
      </c>
      <c r="G745" s="13" t="s">
        <v>46</v>
      </c>
      <c r="H745" s="13">
        <v>28</v>
      </c>
      <c r="I745" s="13">
        <v>348</v>
      </c>
      <c r="K745" s="13" t="s">
        <v>884</v>
      </c>
      <c r="L745" s="13" t="s">
        <v>885</v>
      </c>
      <c r="N745" s="13" t="s">
        <v>86</v>
      </c>
      <c r="O745" s="13" t="s">
        <v>644</v>
      </c>
      <c r="P745" s="13" t="s">
        <v>87</v>
      </c>
      <c r="Q745" s="13" t="s">
        <v>48</v>
      </c>
      <c r="R745" s="4">
        <v>3</v>
      </c>
      <c r="S745" s="13" t="s">
        <v>594</v>
      </c>
      <c r="T745" s="13">
        <v>730</v>
      </c>
      <c r="U745" s="4" t="s">
        <v>147</v>
      </c>
      <c r="V745" s="4">
        <v>580</v>
      </c>
      <c r="W745" s="4" t="s">
        <v>601</v>
      </c>
      <c r="X745" s="4">
        <v>598</v>
      </c>
      <c r="Y745" s="4">
        <v>20</v>
      </c>
      <c r="AA745" s="4" t="s">
        <v>49</v>
      </c>
      <c r="AB745" s="4">
        <v>0</v>
      </c>
      <c r="AC745" s="4" t="s">
        <v>49</v>
      </c>
      <c r="AD745" s="4">
        <v>0</v>
      </c>
      <c r="AE745" s="4" t="s">
        <v>49</v>
      </c>
      <c r="AF745" s="4">
        <v>0</v>
      </c>
      <c r="AG745" s="4" t="s">
        <v>683</v>
      </c>
      <c r="AH745" s="4" t="s">
        <v>684</v>
      </c>
      <c r="AI745" s="4" t="s">
        <v>271</v>
      </c>
      <c r="AJ745" s="13">
        <v>0</v>
      </c>
      <c r="AK745" s="13">
        <v>10</v>
      </c>
      <c r="AM745" s="13" t="s">
        <v>523</v>
      </c>
      <c r="AP745" s="13" t="s">
        <v>49</v>
      </c>
      <c r="AQ745" s="13" t="s">
        <v>49</v>
      </c>
      <c r="AR745" s="13" t="s">
        <v>49</v>
      </c>
      <c r="AS745" s="13" t="s">
        <v>49</v>
      </c>
      <c r="AT745" s="13" t="s">
        <v>990</v>
      </c>
      <c r="AU745" s="13" t="s">
        <v>998</v>
      </c>
      <c r="AV745" s="14">
        <f>(0.65*39.1*10)/1000</f>
        <v>0.25415000000000004</v>
      </c>
      <c r="AW745" s="14">
        <f>(0.18*39.1*10)/1000</f>
        <v>7.0379999999999998E-2</v>
      </c>
      <c r="AX745" s="14">
        <f>Table1347456[[#This Row],[treatment_mean]]/Table1347456[[#This Row],[control_mean]]</f>
        <v>3.6111111111111116</v>
      </c>
      <c r="AY745" s="14">
        <f>LN(Table1347456[[#This Row],[rr]])</f>
        <v>1.2840155119994725</v>
      </c>
      <c r="AZ745" s="13">
        <v>3</v>
      </c>
      <c r="BA745" s="13">
        <v>3</v>
      </c>
      <c r="BB745" s="14" t="s">
        <v>46</v>
      </c>
      <c r="BC745" s="14" t="s">
        <v>46</v>
      </c>
      <c r="BD745" s="15" t="s">
        <v>46</v>
      </c>
      <c r="BE745" s="14" t="s">
        <v>46</v>
      </c>
      <c r="BF74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45" s="17" t="s">
        <v>46</v>
      </c>
      <c r="BH745" s="13" t="s">
        <v>50</v>
      </c>
      <c r="BI745" s="13">
        <v>0.05</v>
      </c>
      <c r="BJ745" s="18">
        <f>ABS(_xlfn.NORM.S.INV(Table1347456[[#This Row],[p_value]]/2))</f>
        <v>1.9599639845400538</v>
      </c>
      <c r="BK745" s="19">
        <f>(Table1347456[[#This Row],[lnrr]]/Table1347456[[#This Row],[z_from_p]])^2</f>
        <v>0.42918482587231277</v>
      </c>
      <c r="BL745" s="16">
        <f>Table1347456[[#This Row],[v_from_z_from_p]]</f>
        <v>0.42918482587231277</v>
      </c>
      <c r="BM745" s="20">
        <f>SQRT(Table1347456[[#This Row],[v]])</f>
        <v>0.65512199312213049</v>
      </c>
      <c r="BN745" s="20">
        <f>Table1347456[[#This Row],[lnrr]]-(1.96*Table1347456[[#This Row],[se]])</f>
        <v>-2.3594519903191724E-5</v>
      </c>
      <c r="BO745" s="20">
        <f>Table1347456[[#This Row],[lnrr]]+(1.96 * Table1347456[[#This Row],[se]])</f>
        <v>2.5680546185188482</v>
      </c>
    </row>
    <row r="746" spans="1:67">
      <c r="A746" s="13" t="s">
        <v>269</v>
      </c>
      <c r="B746" s="13" t="s">
        <v>270</v>
      </c>
      <c r="C746" s="13" t="s">
        <v>43</v>
      </c>
      <c r="D746" s="13" t="s">
        <v>195</v>
      </c>
      <c r="E746" s="13" t="s">
        <v>249</v>
      </c>
      <c r="F746" s="13" t="s">
        <v>588</v>
      </c>
      <c r="G746" s="13" t="s">
        <v>46</v>
      </c>
      <c r="H746" s="13">
        <v>28</v>
      </c>
      <c r="I746" s="13">
        <v>348</v>
      </c>
      <c r="K746" s="13" t="s">
        <v>884</v>
      </c>
      <c r="L746" s="13" t="s">
        <v>885</v>
      </c>
      <c r="N746" s="13" t="s">
        <v>86</v>
      </c>
      <c r="O746" s="13" t="s">
        <v>644</v>
      </c>
      <c r="P746" s="13" t="s">
        <v>87</v>
      </c>
      <c r="Q746" s="13" t="s">
        <v>48</v>
      </c>
      <c r="R746" s="4">
        <v>3</v>
      </c>
      <c r="S746" s="13" t="s">
        <v>594</v>
      </c>
      <c r="T746" s="13">
        <v>730</v>
      </c>
      <c r="U746" s="4" t="s">
        <v>147</v>
      </c>
      <c r="V746" s="4">
        <v>580</v>
      </c>
      <c r="W746" s="4" t="s">
        <v>601</v>
      </c>
      <c r="X746" s="4">
        <v>598</v>
      </c>
      <c r="Y746" s="4">
        <v>30</v>
      </c>
      <c r="AA746" s="4" t="s">
        <v>49</v>
      </c>
      <c r="AB746" s="4">
        <v>0</v>
      </c>
      <c r="AC746" s="4" t="s">
        <v>49</v>
      </c>
      <c r="AD746" s="4">
        <v>0</v>
      </c>
      <c r="AE746" s="4" t="s">
        <v>49</v>
      </c>
      <c r="AF746" s="4">
        <v>0</v>
      </c>
      <c r="AG746" s="4" t="s">
        <v>683</v>
      </c>
      <c r="AH746" s="4" t="s">
        <v>684</v>
      </c>
      <c r="AI746" s="4" t="s">
        <v>271</v>
      </c>
      <c r="AJ746" s="13">
        <v>0</v>
      </c>
      <c r="AK746" s="13">
        <v>10</v>
      </c>
      <c r="AM746" s="13" t="s">
        <v>523</v>
      </c>
      <c r="AP746" s="13" t="s">
        <v>49</v>
      </c>
      <c r="AQ746" s="13" t="s">
        <v>49</v>
      </c>
      <c r="AR746" s="13" t="s">
        <v>49</v>
      </c>
      <c r="AS746" s="13" t="s">
        <v>49</v>
      </c>
      <c r="AT746" s="13" t="s">
        <v>990</v>
      </c>
      <c r="AU746" s="13" t="s">
        <v>998</v>
      </c>
      <c r="AV746" s="14">
        <f>(0.78*39.1*10)/1000</f>
        <v>0.30498000000000003</v>
      </c>
      <c r="AW746" s="14">
        <f>(0.18*39.1*10)/1000</f>
        <v>7.0379999999999998E-2</v>
      </c>
      <c r="AX746" s="14">
        <f>Table1347456[[#This Row],[treatment_mean]]/Table1347456[[#This Row],[control_mean]]</f>
        <v>4.3333333333333339</v>
      </c>
      <c r="AY746" s="14">
        <f>LN(Table1347456[[#This Row],[rr]])</f>
        <v>1.4663370687934272</v>
      </c>
      <c r="AZ746" s="13">
        <v>3</v>
      </c>
      <c r="BA746" s="13">
        <v>3</v>
      </c>
      <c r="BB746" s="14" t="s">
        <v>46</v>
      </c>
      <c r="BC746" s="14" t="s">
        <v>46</v>
      </c>
      <c r="BD746" s="15" t="s">
        <v>46</v>
      </c>
      <c r="BE746" s="14" t="s">
        <v>46</v>
      </c>
      <c r="BF74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46" s="17" t="s">
        <v>46</v>
      </c>
      <c r="BH746" s="13" t="s">
        <v>50</v>
      </c>
      <c r="BI746" s="13">
        <v>0.05</v>
      </c>
      <c r="BJ746" s="18">
        <f>ABS(_xlfn.NORM.S.INV(Table1347456[[#This Row],[p_value]]/2))</f>
        <v>1.9599639845400538</v>
      </c>
      <c r="BK746" s="19">
        <f>(Table1347456[[#This Row],[lnrr]]/Table1347456[[#This Row],[z_from_p]])^2</f>
        <v>0.55972079870667057</v>
      </c>
      <c r="BL746" s="16">
        <f>Table1347456[[#This Row],[v_from_z_from_p]]</f>
        <v>0.55972079870667057</v>
      </c>
      <c r="BM746" s="20">
        <f>SQRT(Table1347456[[#This Row],[v]])</f>
        <v>0.74814490488585872</v>
      </c>
      <c r="BN746" s="20">
        <f>Table1347456[[#This Row],[lnrr]]-(1.96*Table1347456[[#This Row],[se]])</f>
        <v>-2.6944782855808924E-5</v>
      </c>
      <c r="BO746" s="20">
        <f>Table1347456[[#This Row],[lnrr]]+(1.96 * Table1347456[[#This Row],[se]])</f>
        <v>2.9327010823697099</v>
      </c>
    </row>
    <row r="747" spans="1:67">
      <c r="A747" s="13" t="s">
        <v>269</v>
      </c>
      <c r="B747" s="13" t="s">
        <v>270</v>
      </c>
      <c r="C747" s="13" t="s">
        <v>43</v>
      </c>
      <c r="D747" s="13" t="s">
        <v>195</v>
      </c>
      <c r="E747" s="13" t="s">
        <v>249</v>
      </c>
      <c r="F747" s="13" t="s">
        <v>588</v>
      </c>
      <c r="G747" s="13" t="s">
        <v>46</v>
      </c>
      <c r="H747" s="13">
        <v>28</v>
      </c>
      <c r="I747" s="13">
        <v>348</v>
      </c>
      <c r="K747" s="13" t="s">
        <v>884</v>
      </c>
      <c r="L747" s="13" t="s">
        <v>885</v>
      </c>
      <c r="N747" s="13" t="s">
        <v>81</v>
      </c>
      <c r="O747" s="13" t="s">
        <v>82</v>
      </c>
      <c r="P747" s="13" t="s">
        <v>83</v>
      </c>
      <c r="Q747" s="13" t="s">
        <v>83</v>
      </c>
      <c r="R747" s="4">
        <v>3</v>
      </c>
      <c r="S747" s="13" t="s">
        <v>594</v>
      </c>
      <c r="T747" s="13">
        <v>730</v>
      </c>
      <c r="U747" s="4" t="s">
        <v>147</v>
      </c>
      <c r="V747" s="4">
        <v>580</v>
      </c>
      <c r="W747" s="4" t="s">
        <v>601</v>
      </c>
      <c r="X747" s="4">
        <v>598</v>
      </c>
      <c r="Y747" s="4">
        <v>10</v>
      </c>
      <c r="AA747" s="4" t="s">
        <v>49</v>
      </c>
      <c r="AB747" s="4">
        <v>0</v>
      </c>
      <c r="AC747" s="4" t="s">
        <v>49</v>
      </c>
      <c r="AD747" s="4">
        <v>0</v>
      </c>
      <c r="AE747" s="4" t="s">
        <v>49</v>
      </c>
      <c r="AF747" s="4">
        <v>0</v>
      </c>
      <c r="AG747" s="4" t="s">
        <v>683</v>
      </c>
      <c r="AH747" s="4" t="s">
        <v>684</v>
      </c>
      <c r="AI747" s="4" t="s">
        <v>271</v>
      </c>
      <c r="AJ747" s="13">
        <v>0</v>
      </c>
      <c r="AK747" s="13">
        <v>10</v>
      </c>
      <c r="AM747" s="13" t="s">
        <v>523</v>
      </c>
      <c r="AP747" s="13" t="s">
        <v>49</v>
      </c>
      <c r="AQ747" s="13" t="s">
        <v>49</v>
      </c>
      <c r="AR747" s="13" t="s">
        <v>49</v>
      </c>
      <c r="AS747" s="13" t="s">
        <v>49</v>
      </c>
      <c r="AT747" s="13" t="s">
        <v>990</v>
      </c>
      <c r="AU747" s="13" t="s">
        <v>998</v>
      </c>
      <c r="AV747" s="14">
        <v>2.62</v>
      </c>
      <c r="AW747" s="14">
        <v>1.8</v>
      </c>
      <c r="AX747" s="14">
        <f>Table1347456[[#This Row],[treatment_mean]]/Table1347456[[#This Row],[control_mean]]</f>
        <v>1.4555555555555555</v>
      </c>
      <c r="AY747" s="14">
        <f>LN(Table1347456[[#This Row],[rr]])</f>
        <v>0.37538765287088643</v>
      </c>
      <c r="AZ747" s="13">
        <v>3</v>
      </c>
      <c r="BA747" s="13">
        <v>3</v>
      </c>
      <c r="BB747" s="14" t="s">
        <v>46</v>
      </c>
      <c r="BC747" s="14" t="s">
        <v>46</v>
      </c>
      <c r="BD747" s="15" t="s">
        <v>46</v>
      </c>
      <c r="BE747" s="14" t="s">
        <v>46</v>
      </c>
      <c r="BF74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47" s="17" t="s">
        <v>46</v>
      </c>
      <c r="BH747" s="13" t="s">
        <v>50</v>
      </c>
      <c r="BI747" s="13">
        <v>0.05</v>
      </c>
      <c r="BJ747" s="18">
        <f>ABS(_xlfn.NORM.S.INV(Table1347456[[#This Row],[p_value]]/2))</f>
        <v>1.9599639845400538</v>
      </c>
      <c r="BK747" s="19">
        <f>(Table1347456[[#This Row],[lnrr]]/Table1347456[[#This Row],[z_from_p]])^2</f>
        <v>3.6682910452870775E-2</v>
      </c>
      <c r="BL747" s="16">
        <f>Table1347456[[#This Row],[v_from_z_from_p]]</f>
        <v>3.6682910452870775E-2</v>
      </c>
      <c r="BM747" s="20">
        <f>SQRT(Table1347456[[#This Row],[v]])</f>
        <v>0.19152783205808699</v>
      </c>
      <c r="BN747" s="20">
        <f>Table1347456[[#This Row],[lnrr]]-(1.96*Table1347456[[#This Row],[se]])</f>
        <v>-6.8979629640475437E-6</v>
      </c>
      <c r="BO747" s="20">
        <f>Table1347456[[#This Row],[lnrr]]+(1.96 * Table1347456[[#This Row],[se]])</f>
        <v>0.75078220370473692</v>
      </c>
    </row>
    <row r="748" spans="1:67">
      <c r="A748" s="13" t="s">
        <v>269</v>
      </c>
      <c r="B748" s="13" t="s">
        <v>270</v>
      </c>
      <c r="C748" s="13" t="s">
        <v>43</v>
      </c>
      <c r="D748" s="13" t="s">
        <v>195</v>
      </c>
      <c r="E748" s="13" t="s">
        <v>249</v>
      </c>
      <c r="F748" s="13" t="s">
        <v>588</v>
      </c>
      <c r="G748" s="13" t="s">
        <v>46</v>
      </c>
      <c r="H748" s="13">
        <v>28</v>
      </c>
      <c r="I748" s="13">
        <v>348</v>
      </c>
      <c r="K748" s="13" t="s">
        <v>884</v>
      </c>
      <c r="L748" s="13" t="s">
        <v>885</v>
      </c>
      <c r="N748" s="13" t="s">
        <v>81</v>
      </c>
      <c r="O748" s="13" t="s">
        <v>82</v>
      </c>
      <c r="P748" s="13" t="s">
        <v>83</v>
      </c>
      <c r="Q748" s="13" t="s">
        <v>83</v>
      </c>
      <c r="R748" s="4">
        <v>3</v>
      </c>
      <c r="S748" s="13" t="s">
        <v>594</v>
      </c>
      <c r="T748" s="13">
        <v>730</v>
      </c>
      <c r="U748" s="4" t="s">
        <v>147</v>
      </c>
      <c r="V748" s="4">
        <v>580</v>
      </c>
      <c r="W748" s="4" t="s">
        <v>601</v>
      </c>
      <c r="X748" s="4">
        <v>598</v>
      </c>
      <c r="Y748" s="4">
        <v>20</v>
      </c>
      <c r="AA748" s="4" t="s">
        <v>49</v>
      </c>
      <c r="AB748" s="4">
        <v>0</v>
      </c>
      <c r="AC748" s="4" t="s">
        <v>49</v>
      </c>
      <c r="AD748" s="4">
        <v>0</v>
      </c>
      <c r="AE748" s="4" t="s">
        <v>49</v>
      </c>
      <c r="AF748" s="4">
        <v>0</v>
      </c>
      <c r="AG748" s="4" t="s">
        <v>683</v>
      </c>
      <c r="AH748" s="4" t="s">
        <v>684</v>
      </c>
      <c r="AI748" s="4" t="s">
        <v>271</v>
      </c>
      <c r="AJ748" s="13">
        <v>0</v>
      </c>
      <c r="AK748" s="13">
        <v>10</v>
      </c>
      <c r="AM748" s="13" t="s">
        <v>523</v>
      </c>
      <c r="AP748" s="13" t="s">
        <v>49</v>
      </c>
      <c r="AQ748" s="13" t="s">
        <v>49</v>
      </c>
      <c r="AR748" s="13" t="s">
        <v>49</v>
      </c>
      <c r="AS748" s="13" t="s">
        <v>49</v>
      </c>
      <c r="AT748" s="13" t="s">
        <v>990</v>
      </c>
      <c r="AU748" s="13" t="s">
        <v>998</v>
      </c>
      <c r="AV748" s="14">
        <v>3.01</v>
      </c>
      <c r="AW748" s="14">
        <v>1.8</v>
      </c>
      <c r="AX748" s="14">
        <f>Table1347456[[#This Row],[treatment_mean]]/Table1347456[[#This Row],[control_mean]]</f>
        <v>1.6722222222222221</v>
      </c>
      <c r="AY748" s="14">
        <f>LN(Table1347456[[#This Row],[rr]])</f>
        <v>0.5141534138586652</v>
      </c>
      <c r="AZ748" s="13">
        <v>3</v>
      </c>
      <c r="BA748" s="13">
        <v>3</v>
      </c>
      <c r="BB748" s="14" t="s">
        <v>46</v>
      </c>
      <c r="BC748" s="14" t="s">
        <v>46</v>
      </c>
      <c r="BD748" s="15" t="s">
        <v>46</v>
      </c>
      <c r="BE748" s="14" t="s">
        <v>46</v>
      </c>
      <c r="BF74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48" s="17" t="s">
        <v>46</v>
      </c>
      <c r="BH748" s="13" t="s">
        <v>50</v>
      </c>
      <c r="BI748" s="13">
        <v>0.05</v>
      </c>
      <c r="BJ748" s="18">
        <f>ABS(_xlfn.NORM.S.INV(Table1347456[[#This Row],[p_value]]/2))</f>
        <v>1.9599639845400538</v>
      </c>
      <c r="BK748" s="19">
        <f>(Table1347456[[#This Row],[lnrr]]/Table1347456[[#This Row],[z_from_p]])^2</f>
        <v>6.8815974691290083E-2</v>
      </c>
      <c r="BL748" s="16">
        <f>Table1347456[[#This Row],[v_from_z_from_p]]</f>
        <v>6.8815974691290083E-2</v>
      </c>
      <c r="BM748" s="20">
        <f>SQRT(Table1347456[[#This Row],[v]])</f>
        <v>0.2623279906744419</v>
      </c>
      <c r="BN748" s="20">
        <f>Table1347456[[#This Row],[lnrr]]-(1.96*Table1347456[[#This Row],[se]])</f>
        <v>-9.4478632409744634E-6</v>
      </c>
      <c r="BO748" s="20">
        <f>Table1347456[[#This Row],[lnrr]]+(1.96 * Table1347456[[#This Row],[se]])</f>
        <v>1.0283162755805715</v>
      </c>
    </row>
    <row r="749" spans="1:67">
      <c r="A749" s="13" t="s">
        <v>269</v>
      </c>
      <c r="B749" s="13" t="s">
        <v>270</v>
      </c>
      <c r="C749" s="13" t="s">
        <v>43</v>
      </c>
      <c r="D749" s="13" t="s">
        <v>195</v>
      </c>
      <c r="E749" s="13" t="s">
        <v>249</v>
      </c>
      <c r="F749" s="13" t="s">
        <v>588</v>
      </c>
      <c r="G749" s="13" t="s">
        <v>46</v>
      </c>
      <c r="H749" s="13">
        <v>28</v>
      </c>
      <c r="I749" s="13">
        <v>348</v>
      </c>
      <c r="K749" s="13" t="s">
        <v>884</v>
      </c>
      <c r="L749" s="13" t="s">
        <v>885</v>
      </c>
      <c r="N749" s="13" t="s">
        <v>81</v>
      </c>
      <c r="O749" s="13" t="s">
        <v>82</v>
      </c>
      <c r="P749" s="13" t="s">
        <v>83</v>
      </c>
      <c r="Q749" s="13" t="s">
        <v>83</v>
      </c>
      <c r="R749" s="4">
        <v>3</v>
      </c>
      <c r="S749" s="13" t="s">
        <v>594</v>
      </c>
      <c r="T749" s="13">
        <v>730</v>
      </c>
      <c r="U749" s="4" t="s">
        <v>147</v>
      </c>
      <c r="V749" s="4">
        <v>580</v>
      </c>
      <c r="W749" s="4" t="s">
        <v>601</v>
      </c>
      <c r="X749" s="4">
        <v>598</v>
      </c>
      <c r="Y749" s="4">
        <v>30</v>
      </c>
      <c r="AA749" s="4" t="s">
        <v>49</v>
      </c>
      <c r="AB749" s="4">
        <v>0</v>
      </c>
      <c r="AC749" s="4" t="s">
        <v>49</v>
      </c>
      <c r="AD749" s="4">
        <v>0</v>
      </c>
      <c r="AE749" s="4" t="s">
        <v>49</v>
      </c>
      <c r="AF749" s="4">
        <v>0</v>
      </c>
      <c r="AG749" s="4" t="s">
        <v>683</v>
      </c>
      <c r="AH749" s="4" t="s">
        <v>684</v>
      </c>
      <c r="AI749" s="4" t="s">
        <v>271</v>
      </c>
      <c r="AJ749" s="13">
        <v>0</v>
      </c>
      <c r="AK749" s="13">
        <v>10</v>
      </c>
      <c r="AM749" s="13" t="s">
        <v>523</v>
      </c>
      <c r="AP749" s="13" t="s">
        <v>49</v>
      </c>
      <c r="AQ749" s="13" t="s">
        <v>49</v>
      </c>
      <c r="AR749" s="13" t="s">
        <v>49</v>
      </c>
      <c r="AS749" s="13" t="s">
        <v>49</v>
      </c>
      <c r="AT749" s="13" t="s">
        <v>990</v>
      </c>
      <c r="AU749" s="13" t="s">
        <v>998</v>
      </c>
      <c r="AV749" s="14">
        <v>3.42</v>
      </c>
      <c r="AW749" s="14">
        <v>1.8</v>
      </c>
      <c r="AX749" s="14">
        <f>Table1347456[[#This Row],[treatment_mean]]/Table1347456[[#This Row],[control_mean]]</f>
        <v>1.9</v>
      </c>
      <c r="AY749" s="14">
        <f>LN(Table1347456[[#This Row],[rr]])</f>
        <v>0.64185388617239469</v>
      </c>
      <c r="AZ749" s="13">
        <v>3</v>
      </c>
      <c r="BA749" s="13">
        <v>3</v>
      </c>
      <c r="BB749" s="14" t="s">
        <v>46</v>
      </c>
      <c r="BC749" s="14" t="s">
        <v>46</v>
      </c>
      <c r="BD749" s="15" t="s">
        <v>46</v>
      </c>
      <c r="BE749" s="14" t="s">
        <v>46</v>
      </c>
      <c r="BF74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49" s="17" t="s">
        <v>46</v>
      </c>
      <c r="BH749" s="13" t="s">
        <v>50</v>
      </c>
      <c r="BI749" s="13">
        <v>0.05</v>
      </c>
      <c r="BJ749" s="18">
        <f>ABS(_xlfn.NORM.S.INV(Table1347456[[#This Row],[p_value]]/2))</f>
        <v>1.9599639845400538</v>
      </c>
      <c r="BK749" s="19">
        <f>(Table1347456[[#This Row],[lnrr]]/Table1347456[[#This Row],[z_from_p]])^2</f>
        <v>0.10724478132507072</v>
      </c>
      <c r="BL749" s="16">
        <f>Table1347456[[#This Row],[v_from_z_from_p]]</f>
        <v>0.10724478132507072</v>
      </c>
      <c r="BM749" s="20">
        <f>SQRT(Table1347456[[#This Row],[v]])</f>
        <v>0.32748249010454089</v>
      </c>
      <c r="BN749" s="20">
        <f>Table1347456[[#This Row],[lnrr]]-(1.96*Table1347456[[#This Row],[se]])</f>
        <v>-1.1794432505429775E-5</v>
      </c>
      <c r="BO749" s="20">
        <f>Table1347456[[#This Row],[lnrr]]+(1.96 * Table1347456[[#This Row],[se]])</f>
        <v>1.2837195667772949</v>
      </c>
    </row>
    <row r="750" spans="1:67">
      <c r="A750" s="13" t="s">
        <v>272</v>
      </c>
      <c r="B750" s="13" t="s">
        <v>273</v>
      </c>
      <c r="C750" s="13" t="s">
        <v>43</v>
      </c>
      <c r="D750" s="13" t="s">
        <v>274</v>
      </c>
      <c r="E750" s="13" t="s">
        <v>132</v>
      </c>
      <c r="F750" s="13" t="s">
        <v>589</v>
      </c>
      <c r="G750" s="13" t="s">
        <v>46</v>
      </c>
      <c r="H750" s="13">
        <v>25</v>
      </c>
      <c r="I750" s="13" t="s">
        <v>46</v>
      </c>
      <c r="K750" s="13" t="s">
        <v>886</v>
      </c>
      <c r="L750" s="13" t="s">
        <v>887</v>
      </c>
      <c r="N750" s="13" t="s">
        <v>617</v>
      </c>
      <c r="O750" s="13" t="s">
        <v>54</v>
      </c>
      <c r="P750" s="13" t="s">
        <v>85</v>
      </c>
      <c r="Q750" s="13" t="s">
        <v>48</v>
      </c>
      <c r="R750" s="4">
        <v>3</v>
      </c>
      <c r="S750" s="13" t="s">
        <v>595</v>
      </c>
      <c r="T750" s="13">
        <v>14</v>
      </c>
      <c r="U750" s="4" t="s">
        <v>275</v>
      </c>
      <c r="V750" s="4">
        <v>450</v>
      </c>
      <c r="W750" s="4" t="s">
        <v>601</v>
      </c>
      <c r="X750" s="4" t="s">
        <v>276</v>
      </c>
      <c r="Y750" s="4">
        <v>10</v>
      </c>
      <c r="AA750" s="4" t="s">
        <v>49</v>
      </c>
      <c r="AB750" s="4">
        <v>0</v>
      </c>
      <c r="AC750" s="4" t="s">
        <v>49</v>
      </c>
      <c r="AD750" s="4">
        <v>0</v>
      </c>
      <c r="AE750" s="4" t="s">
        <v>49</v>
      </c>
      <c r="AF750" s="4">
        <v>0</v>
      </c>
      <c r="AG750" s="4" t="s">
        <v>705</v>
      </c>
      <c r="AH750" s="4" t="s">
        <v>704</v>
      </c>
      <c r="AI750" s="4" t="s">
        <v>64</v>
      </c>
      <c r="AJ750" s="13">
        <v>0</v>
      </c>
      <c r="AK750" s="13">
        <v>25</v>
      </c>
      <c r="AL750" s="13" t="s">
        <v>524</v>
      </c>
      <c r="AM750" s="13" t="s">
        <v>525</v>
      </c>
      <c r="AN750" s="13" t="s">
        <v>526</v>
      </c>
      <c r="AP750" s="13" t="s">
        <v>49</v>
      </c>
      <c r="AQ750" s="13" t="s">
        <v>49</v>
      </c>
      <c r="AR750" s="13" t="s">
        <v>49</v>
      </c>
      <c r="AS750" s="13" t="s">
        <v>49</v>
      </c>
      <c r="AT750" s="13" t="s">
        <v>990</v>
      </c>
      <c r="AU750" s="13" t="s">
        <v>998</v>
      </c>
      <c r="AV750" s="14">
        <f>48.3/1000</f>
        <v>4.8299999999999996E-2</v>
      </c>
      <c r="AW750" s="14">
        <f>44/1000</f>
        <v>4.3999999999999997E-2</v>
      </c>
      <c r="AX750" s="14">
        <f>Table1347456[[#This Row],[treatment_mean]]/Table1347456[[#This Row],[control_mean]]</f>
        <v>1.0977272727272727</v>
      </c>
      <c r="AY750" s="14">
        <f>LN(Table1347456[[#This Row],[rr]])</f>
        <v>9.3241926740265782E-2</v>
      </c>
      <c r="AZ750" s="13">
        <v>3</v>
      </c>
      <c r="BA750" s="13">
        <v>3</v>
      </c>
      <c r="BB750" s="14" t="s">
        <v>46</v>
      </c>
      <c r="BC750" s="14" t="s">
        <v>46</v>
      </c>
      <c r="BD750" s="15" t="s">
        <v>46</v>
      </c>
      <c r="BE750" s="14" t="s">
        <v>46</v>
      </c>
      <c r="BF75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50" s="17" t="s">
        <v>46</v>
      </c>
      <c r="BH750" s="13" t="s">
        <v>50</v>
      </c>
      <c r="BI750" s="13">
        <v>2.5000000000000001E-2</v>
      </c>
      <c r="BJ750" s="18">
        <f>ABS(_xlfn.NORM.S.INV(Table1347456[[#This Row],[p_value]]/2))</f>
        <v>2.2414027276049446</v>
      </c>
      <c r="BK750" s="19">
        <f>(Table1347456[[#This Row],[lnrr]]/Table1347456[[#This Row],[z_from_p]])^2</f>
        <v>1.7305441600546688E-3</v>
      </c>
      <c r="BL750" s="16">
        <f>Table1347456[[#This Row],[v_from_z_from_p]]</f>
        <v>1.7305441600546688E-3</v>
      </c>
      <c r="BM750" s="20">
        <f>SQRT(Table1347456[[#This Row],[v]])</f>
        <v>4.159980961560604E-2</v>
      </c>
      <c r="BN750" s="20">
        <f>Table1347456[[#This Row],[lnrr]]-(1.96*Table1347456[[#This Row],[se]])</f>
        <v>1.1706299893677941E-2</v>
      </c>
      <c r="BO750" s="20">
        <f>Table1347456[[#This Row],[lnrr]]+(1.96 * Table1347456[[#This Row],[se]])</f>
        <v>0.17477755358685362</v>
      </c>
    </row>
    <row r="751" spans="1:67">
      <c r="A751" s="13" t="s">
        <v>272</v>
      </c>
      <c r="B751" s="13" t="s">
        <v>273</v>
      </c>
      <c r="C751" s="13" t="s">
        <v>43</v>
      </c>
      <c r="D751" s="13" t="s">
        <v>274</v>
      </c>
      <c r="E751" s="13" t="s">
        <v>132</v>
      </c>
      <c r="F751" s="13" t="s">
        <v>589</v>
      </c>
      <c r="G751" s="13" t="s">
        <v>46</v>
      </c>
      <c r="H751" s="13">
        <v>25</v>
      </c>
      <c r="I751" s="13" t="s">
        <v>46</v>
      </c>
      <c r="K751" s="13" t="s">
        <v>886</v>
      </c>
      <c r="L751" s="13" t="s">
        <v>887</v>
      </c>
      <c r="N751" s="13" t="s">
        <v>617</v>
      </c>
      <c r="O751" s="13" t="s">
        <v>54</v>
      </c>
      <c r="P751" s="13" t="s">
        <v>85</v>
      </c>
      <c r="Q751" s="13" t="s">
        <v>48</v>
      </c>
      <c r="R751" s="4">
        <v>3</v>
      </c>
      <c r="S751" s="13" t="s">
        <v>595</v>
      </c>
      <c r="T751" s="13">
        <v>14</v>
      </c>
      <c r="U751" s="4" t="s">
        <v>277</v>
      </c>
      <c r="V751" s="4">
        <v>450</v>
      </c>
      <c r="W751" s="4" t="s">
        <v>601</v>
      </c>
      <c r="X751" s="4" t="s">
        <v>278</v>
      </c>
      <c r="Y751" s="4">
        <v>10</v>
      </c>
      <c r="AA751" s="4" t="s">
        <v>49</v>
      </c>
      <c r="AB751" s="4">
        <v>0</v>
      </c>
      <c r="AC751" s="4" t="s">
        <v>49</v>
      </c>
      <c r="AD751" s="4">
        <v>0</v>
      </c>
      <c r="AE751" s="4" t="s">
        <v>49</v>
      </c>
      <c r="AF751" s="4">
        <v>0</v>
      </c>
      <c r="AG751" s="4" t="s">
        <v>706</v>
      </c>
      <c r="AH751" s="4" t="s">
        <v>704</v>
      </c>
      <c r="AI751" s="4" t="s">
        <v>64</v>
      </c>
      <c r="AJ751" s="13">
        <v>0</v>
      </c>
      <c r="AK751" s="13">
        <v>25</v>
      </c>
      <c r="AL751" s="13" t="s">
        <v>524</v>
      </c>
      <c r="AM751" s="13" t="s">
        <v>525</v>
      </c>
      <c r="AN751" s="13" t="s">
        <v>526</v>
      </c>
      <c r="AP751" s="13" t="s">
        <v>49</v>
      </c>
      <c r="AQ751" s="13" t="s">
        <v>49</v>
      </c>
      <c r="AR751" s="13" t="s">
        <v>49</v>
      </c>
      <c r="AS751" s="13" t="s">
        <v>49</v>
      </c>
      <c r="AT751" s="13" t="s">
        <v>990</v>
      </c>
      <c r="AU751" s="13" t="s">
        <v>998</v>
      </c>
      <c r="AV751" s="14">
        <f>48.4/1000</f>
        <v>4.8399999999999999E-2</v>
      </c>
      <c r="AW751" s="14">
        <f>44/1000</f>
        <v>4.3999999999999997E-2</v>
      </c>
      <c r="AX751" s="14">
        <f>Table1347456[[#This Row],[treatment_mean]]/Table1347456[[#This Row],[control_mean]]</f>
        <v>1.1000000000000001</v>
      </c>
      <c r="AY751" s="14">
        <f>LN(Table1347456[[#This Row],[rr]])</f>
        <v>9.5310179804324935E-2</v>
      </c>
      <c r="AZ751" s="13">
        <v>3</v>
      </c>
      <c r="BA751" s="13">
        <v>3</v>
      </c>
      <c r="BB751" s="14" t="s">
        <v>46</v>
      </c>
      <c r="BC751" s="14" t="s">
        <v>46</v>
      </c>
      <c r="BD751" s="15" t="s">
        <v>46</v>
      </c>
      <c r="BE751" s="14" t="s">
        <v>46</v>
      </c>
      <c r="BF75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51" s="17" t="s">
        <v>46</v>
      </c>
      <c r="BH751" s="13" t="s">
        <v>50</v>
      </c>
      <c r="BI751" s="13">
        <v>2.5000000000000001E-2</v>
      </c>
      <c r="BJ751" s="18">
        <f>ABS(_xlfn.NORM.S.INV(Table1347456[[#This Row],[p_value]]/2))</f>
        <v>2.2414027276049446</v>
      </c>
      <c r="BK751" s="19">
        <f>(Table1347456[[#This Row],[lnrr]]/Table1347456[[#This Row],[z_from_p]])^2</f>
        <v>1.808168026829423E-3</v>
      </c>
      <c r="BL751" s="16">
        <f>Table1347456[[#This Row],[v_from_z_from_p]]</f>
        <v>1.808168026829423E-3</v>
      </c>
      <c r="BM751" s="20">
        <f>SQRT(Table1347456[[#This Row],[v]])</f>
        <v>4.2522559034345792E-2</v>
      </c>
      <c r="BN751" s="20">
        <f>Table1347456[[#This Row],[lnrr]]-(1.96*Table1347456[[#This Row],[se]])</f>
        <v>1.196596409700719E-2</v>
      </c>
      <c r="BO751" s="20">
        <f>Table1347456[[#This Row],[lnrr]]+(1.96 * Table1347456[[#This Row],[se]])</f>
        <v>0.17865439551164269</v>
      </c>
    </row>
    <row r="752" spans="1:67">
      <c r="A752" s="13" t="s">
        <v>272</v>
      </c>
      <c r="B752" s="13" t="s">
        <v>273</v>
      </c>
      <c r="C752" s="13" t="s">
        <v>43</v>
      </c>
      <c r="D752" s="13" t="s">
        <v>274</v>
      </c>
      <c r="E752" s="13" t="s">
        <v>132</v>
      </c>
      <c r="F752" s="13" t="s">
        <v>589</v>
      </c>
      <c r="G752" s="13" t="s">
        <v>46</v>
      </c>
      <c r="H752" s="13">
        <v>25</v>
      </c>
      <c r="I752" s="13" t="s">
        <v>46</v>
      </c>
      <c r="K752" s="13" t="s">
        <v>886</v>
      </c>
      <c r="L752" s="13" t="s">
        <v>887</v>
      </c>
      <c r="N752" s="13" t="s">
        <v>617</v>
      </c>
      <c r="O752" s="13" t="s">
        <v>54</v>
      </c>
      <c r="P752" s="13" t="s">
        <v>85</v>
      </c>
      <c r="Q752" s="13" t="s">
        <v>48</v>
      </c>
      <c r="R752" s="4">
        <v>3</v>
      </c>
      <c r="S752" s="13" t="s">
        <v>595</v>
      </c>
      <c r="T752" s="13">
        <v>28</v>
      </c>
      <c r="U752" s="4" t="s">
        <v>275</v>
      </c>
      <c r="V752" s="4">
        <v>450</v>
      </c>
      <c r="W752" s="4" t="s">
        <v>601</v>
      </c>
      <c r="X752" s="4" t="s">
        <v>276</v>
      </c>
      <c r="Y752" s="4">
        <v>10</v>
      </c>
      <c r="AA752" s="4" t="s">
        <v>49</v>
      </c>
      <c r="AB752" s="4">
        <v>0</v>
      </c>
      <c r="AC752" s="4" t="s">
        <v>49</v>
      </c>
      <c r="AD752" s="4">
        <v>0</v>
      </c>
      <c r="AE752" s="4" t="s">
        <v>49</v>
      </c>
      <c r="AF752" s="4">
        <v>0</v>
      </c>
      <c r="AG752" s="4" t="s">
        <v>705</v>
      </c>
      <c r="AH752" s="4" t="s">
        <v>704</v>
      </c>
      <c r="AI752" s="4" t="s">
        <v>64</v>
      </c>
      <c r="AJ752" s="13">
        <v>0</v>
      </c>
      <c r="AK752" s="13">
        <v>25</v>
      </c>
      <c r="AL752" s="13" t="s">
        <v>524</v>
      </c>
      <c r="AM752" s="13" t="s">
        <v>525</v>
      </c>
      <c r="AN752" s="13" t="s">
        <v>526</v>
      </c>
      <c r="AP752" s="13" t="s">
        <v>49</v>
      </c>
      <c r="AQ752" s="13" t="s">
        <v>49</v>
      </c>
      <c r="AR752" s="13" t="s">
        <v>49</v>
      </c>
      <c r="AS752" s="13" t="s">
        <v>49</v>
      </c>
      <c r="AT752" s="13" t="s">
        <v>990</v>
      </c>
      <c r="AU752" s="13" t="s">
        <v>998</v>
      </c>
      <c r="AV752" s="14">
        <f>51/1000</f>
        <v>5.0999999999999997E-2</v>
      </c>
      <c r="AW752" s="14">
        <f>58.8/1000</f>
        <v>5.8799999999999998E-2</v>
      </c>
      <c r="AX752" s="14">
        <f>Table1347456[[#This Row],[treatment_mean]]/Table1347456[[#This Row],[control_mean]]</f>
        <v>0.86734693877551017</v>
      </c>
      <c r="AY752" s="14">
        <f>LN(Table1347456[[#This Row],[rr]])</f>
        <v>-0.1423162221802555</v>
      </c>
      <c r="AZ752" s="13">
        <v>3</v>
      </c>
      <c r="BA752" s="13">
        <v>3</v>
      </c>
      <c r="BB752" s="14" t="s">
        <v>46</v>
      </c>
      <c r="BC752" s="14" t="s">
        <v>46</v>
      </c>
      <c r="BD752" s="15" t="s">
        <v>46</v>
      </c>
      <c r="BE752" s="14" t="s">
        <v>46</v>
      </c>
      <c r="BF75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52" s="17" t="s">
        <v>46</v>
      </c>
      <c r="BH752" s="13" t="s">
        <v>50</v>
      </c>
      <c r="BI752" s="13">
        <v>2.5000000000000001E-2</v>
      </c>
      <c r="BJ752" s="18">
        <f>ABS(_xlfn.NORM.S.INV(Table1347456[[#This Row],[p_value]]/2))</f>
        <v>2.2414027276049446</v>
      </c>
      <c r="BK752" s="19">
        <f>(Table1347456[[#This Row],[lnrr]]/Table1347456[[#This Row],[z_from_p]])^2</f>
        <v>4.0315218817655856E-3</v>
      </c>
      <c r="BL752" s="16">
        <f>Table1347456[[#This Row],[v_from_z_from_p]]</f>
        <v>4.0315218817655856E-3</v>
      </c>
      <c r="BM752" s="20">
        <f>SQRT(Table1347456[[#This Row],[v]])</f>
        <v>6.3494266526715512E-2</v>
      </c>
      <c r="BN752" s="20">
        <f>Table1347456[[#This Row],[lnrr]]-(1.96*Table1347456[[#This Row],[se]])</f>
        <v>-0.26676498457261788</v>
      </c>
      <c r="BO752" s="20">
        <f>Table1347456[[#This Row],[lnrr]]+(1.96 * Table1347456[[#This Row],[se]])</f>
        <v>-1.78674597878931E-2</v>
      </c>
    </row>
    <row r="753" spans="1:67">
      <c r="A753" s="13" t="s">
        <v>272</v>
      </c>
      <c r="B753" s="13" t="s">
        <v>273</v>
      </c>
      <c r="C753" s="13" t="s">
        <v>43</v>
      </c>
      <c r="D753" s="13" t="s">
        <v>274</v>
      </c>
      <c r="E753" s="13" t="s">
        <v>132</v>
      </c>
      <c r="F753" s="13" t="s">
        <v>589</v>
      </c>
      <c r="G753" s="13" t="s">
        <v>46</v>
      </c>
      <c r="H753" s="13">
        <v>25</v>
      </c>
      <c r="I753" s="13" t="s">
        <v>46</v>
      </c>
      <c r="K753" s="13" t="s">
        <v>886</v>
      </c>
      <c r="L753" s="13" t="s">
        <v>887</v>
      </c>
      <c r="N753" s="13" t="s">
        <v>617</v>
      </c>
      <c r="O753" s="13" t="s">
        <v>54</v>
      </c>
      <c r="P753" s="13" t="s">
        <v>85</v>
      </c>
      <c r="Q753" s="13" t="s">
        <v>48</v>
      </c>
      <c r="R753" s="4">
        <v>3</v>
      </c>
      <c r="S753" s="13" t="s">
        <v>595</v>
      </c>
      <c r="T753" s="13">
        <v>28</v>
      </c>
      <c r="U753" s="4" t="s">
        <v>277</v>
      </c>
      <c r="V753" s="4">
        <v>450</v>
      </c>
      <c r="W753" s="4" t="s">
        <v>601</v>
      </c>
      <c r="X753" s="4" t="s">
        <v>278</v>
      </c>
      <c r="Y753" s="4">
        <v>10</v>
      </c>
      <c r="AA753" s="4" t="s">
        <v>49</v>
      </c>
      <c r="AB753" s="4">
        <v>0</v>
      </c>
      <c r="AC753" s="4" t="s">
        <v>49</v>
      </c>
      <c r="AD753" s="4">
        <v>0</v>
      </c>
      <c r="AE753" s="4" t="s">
        <v>49</v>
      </c>
      <c r="AF753" s="4">
        <v>0</v>
      </c>
      <c r="AG753" s="4" t="s">
        <v>706</v>
      </c>
      <c r="AH753" s="4" t="s">
        <v>704</v>
      </c>
      <c r="AI753" s="4" t="s">
        <v>64</v>
      </c>
      <c r="AJ753" s="13">
        <v>0</v>
      </c>
      <c r="AK753" s="13">
        <v>25</v>
      </c>
      <c r="AL753" s="13" t="s">
        <v>524</v>
      </c>
      <c r="AM753" s="13" t="s">
        <v>525</v>
      </c>
      <c r="AN753" s="13" t="s">
        <v>526</v>
      </c>
      <c r="AP753" s="13" t="s">
        <v>49</v>
      </c>
      <c r="AQ753" s="13" t="s">
        <v>49</v>
      </c>
      <c r="AR753" s="13" t="s">
        <v>49</v>
      </c>
      <c r="AS753" s="13" t="s">
        <v>49</v>
      </c>
      <c r="AT753" s="13" t="s">
        <v>990</v>
      </c>
      <c r="AU753" s="13" t="s">
        <v>998</v>
      </c>
      <c r="AV753" s="14">
        <f>59.4/1000</f>
        <v>5.9400000000000001E-2</v>
      </c>
      <c r="AW753" s="14">
        <f>58.8/1000</f>
        <v>5.8799999999999998E-2</v>
      </c>
      <c r="AX753" s="14">
        <f>Table1347456[[#This Row],[treatment_mean]]/Table1347456[[#This Row],[control_mean]]</f>
        <v>1.0102040816326532</v>
      </c>
      <c r="AY753" s="14">
        <f>LN(Table1347456[[#This Row],[rr]])</f>
        <v>1.0152371464018128E-2</v>
      </c>
      <c r="AZ753" s="13">
        <v>3</v>
      </c>
      <c r="BA753" s="13">
        <v>3</v>
      </c>
      <c r="BB753" s="14" t="s">
        <v>46</v>
      </c>
      <c r="BC753" s="14" t="s">
        <v>46</v>
      </c>
      <c r="BD753" s="15" t="s">
        <v>46</v>
      </c>
      <c r="BE753" s="14" t="s">
        <v>46</v>
      </c>
      <c r="BF75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53" s="17" t="s">
        <v>46</v>
      </c>
      <c r="BH753" s="13" t="s">
        <v>50</v>
      </c>
      <c r="BI753" s="13">
        <v>2.5000000000000001E-2</v>
      </c>
      <c r="BJ753" s="18">
        <f>ABS(_xlfn.NORM.S.INV(Table1347456[[#This Row],[p_value]]/2))</f>
        <v>2.2414027276049446</v>
      </c>
      <c r="BK753" s="19">
        <f>(Table1347456[[#This Row],[lnrr]]/Table1347456[[#This Row],[z_from_p]])^2</f>
        <v>2.0516118896892787E-5</v>
      </c>
      <c r="BL753" s="16">
        <f>Table1347456[[#This Row],[v_from_z_from_p]]</f>
        <v>2.0516118896892787E-5</v>
      </c>
      <c r="BM753" s="20">
        <f>SQRT(Table1347456[[#This Row],[v]])</f>
        <v>4.5294722536839528E-3</v>
      </c>
      <c r="BN753" s="20">
        <f>Table1347456[[#This Row],[lnrr]]-(1.96*Table1347456[[#This Row],[se]])</f>
        <v>1.2746058467975798E-3</v>
      </c>
      <c r="BO753" s="20">
        <f>Table1347456[[#This Row],[lnrr]]+(1.96 * Table1347456[[#This Row],[se]])</f>
        <v>1.9030137081238678E-2</v>
      </c>
    </row>
    <row r="754" spans="1:67">
      <c r="A754" s="13" t="s">
        <v>272</v>
      </c>
      <c r="B754" s="13" t="s">
        <v>273</v>
      </c>
      <c r="C754" s="13" t="s">
        <v>43</v>
      </c>
      <c r="D754" s="13" t="s">
        <v>274</v>
      </c>
      <c r="E754" s="13" t="s">
        <v>132</v>
      </c>
      <c r="F754" s="13" t="s">
        <v>589</v>
      </c>
      <c r="G754" s="13" t="s">
        <v>46</v>
      </c>
      <c r="H754" s="13">
        <v>25</v>
      </c>
      <c r="I754" s="13" t="s">
        <v>46</v>
      </c>
      <c r="K754" s="13" t="s">
        <v>886</v>
      </c>
      <c r="L754" s="13" t="s">
        <v>887</v>
      </c>
      <c r="N754" s="13" t="s">
        <v>617</v>
      </c>
      <c r="O754" s="13" t="s">
        <v>54</v>
      </c>
      <c r="P754" s="13" t="s">
        <v>85</v>
      </c>
      <c r="Q754" s="13" t="s">
        <v>48</v>
      </c>
      <c r="R754" s="4">
        <v>3</v>
      </c>
      <c r="S754" s="13" t="s">
        <v>595</v>
      </c>
      <c r="T754" s="13">
        <v>42</v>
      </c>
      <c r="U754" s="4" t="s">
        <v>275</v>
      </c>
      <c r="V754" s="4">
        <v>450</v>
      </c>
      <c r="W754" s="4" t="s">
        <v>601</v>
      </c>
      <c r="X754" s="4" t="s">
        <v>276</v>
      </c>
      <c r="Y754" s="4">
        <v>10</v>
      </c>
      <c r="AA754" s="4" t="s">
        <v>49</v>
      </c>
      <c r="AB754" s="4">
        <v>0</v>
      </c>
      <c r="AC754" s="4" t="s">
        <v>49</v>
      </c>
      <c r="AD754" s="4">
        <v>0</v>
      </c>
      <c r="AE754" s="4" t="s">
        <v>49</v>
      </c>
      <c r="AF754" s="4">
        <v>0</v>
      </c>
      <c r="AG754" s="4" t="s">
        <v>705</v>
      </c>
      <c r="AH754" s="4" t="s">
        <v>704</v>
      </c>
      <c r="AI754" s="4" t="s">
        <v>64</v>
      </c>
      <c r="AJ754" s="13">
        <v>0</v>
      </c>
      <c r="AK754" s="13">
        <v>25</v>
      </c>
      <c r="AL754" s="13" t="s">
        <v>524</v>
      </c>
      <c r="AM754" s="13" t="s">
        <v>525</v>
      </c>
      <c r="AN754" s="13" t="s">
        <v>526</v>
      </c>
      <c r="AP754" s="13" t="s">
        <v>49</v>
      </c>
      <c r="AQ754" s="13" t="s">
        <v>49</v>
      </c>
      <c r="AR754" s="13" t="s">
        <v>49</v>
      </c>
      <c r="AS754" s="13" t="s">
        <v>49</v>
      </c>
      <c r="AT754" s="13" t="s">
        <v>990</v>
      </c>
      <c r="AU754" s="13" t="s">
        <v>998</v>
      </c>
      <c r="AV754" s="14">
        <f>63.2/1000</f>
        <v>6.3200000000000006E-2</v>
      </c>
      <c r="AW754" s="14">
        <f>51.2/1000</f>
        <v>5.1200000000000002E-2</v>
      </c>
      <c r="AX754" s="14">
        <f>Table1347456[[#This Row],[treatment_mean]]/Table1347456[[#This Row],[control_mean]]</f>
        <v>1.234375</v>
      </c>
      <c r="AY754" s="14">
        <f>LN(Table1347456[[#This Row],[rr]])</f>
        <v>0.21056476910734964</v>
      </c>
      <c r="AZ754" s="13">
        <v>3</v>
      </c>
      <c r="BA754" s="13">
        <v>3</v>
      </c>
      <c r="BB754" s="14" t="s">
        <v>46</v>
      </c>
      <c r="BC754" s="14" t="s">
        <v>46</v>
      </c>
      <c r="BD754" s="15" t="s">
        <v>46</v>
      </c>
      <c r="BE754" s="14" t="s">
        <v>46</v>
      </c>
      <c r="BF75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54" s="17" t="s">
        <v>46</v>
      </c>
      <c r="BH754" s="13" t="s">
        <v>50</v>
      </c>
      <c r="BI754" s="13">
        <v>2.5000000000000001E-2</v>
      </c>
      <c r="BJ754" s="18">
        <f>ABS(_xlfn.NORM.S.INV(Table1347456[[#This Row],[p_value]]/2))</f>
        <v>2.2414027276049446</v>
      </c>
      <c r="BK754" s="19">
        <f>(Table1347456[[#This Row],[lnrr]]/Table1347456[[#This Row],[z_from_p]])^2</f>
        <v>8.8253436356066275E-3</v>
      </c>
      <c r="BL754" s="16">
        <f>Table1347456[[#This Row],[v_from_z_from_p]]</f>
        <v>8.8253436356066275E-3</v>
      </c>
      <c r="BM754" s="20">
        <f>SQRT(Table1347456[[#This Row],[v]])</f>
        <v>9.3943300110261335E-2</v>
      </c>
      <c r="BN754" s="20">
        <f>Table1347456[[#This Row],[lnrr]]-(1.96*Table1347456[[#This Row],[se]])</f>
        <v>2.6435900891237429E-2</v>
      </c>
      <c r="BO754" s="20">
        <f>Table1347456[[#This Row],[lnrr]]+(1.96 * Table1347456[[#This Row],[se]])</f>
        <v>0.39469363732346185</v>
      </c>
    </row>
    <row r="755" spans="1:67">
      <c r="A755" s="13" t="s">
        <v>272</v>
      </c>
      <c r="B755" s="13" t="s">
        <v>273</v>
      </c>
      <c r="C755" s="13" t="s">
        <v>43</v>
      </c>
      <c r="D755" s="13" t="s">
        <v>274</v>
      </c>
      <c r="E755" s="13" t="s">
        <v>132</v>
      </c>
      <c r="F755" s="13" t="s">
        <v>589</v>
      </c>
      <c r="G755" s="13" t="s">
        <v>46</v>
      </c>
      <c r="H755" s="13">
        <v>25</v>
      </c>
      <c r="I755" s="13" t="s">
        <v>46</v>
      </c>
      <c r="K755" s="13" t="s">
        <v>886</v>
      </c>
      <c r="L755" s="13" t="s">
        <v>887</v>
      </c>
      <c r="N755" s="13" t="s">
        <v>617</v>
      </c>
      <c r="O755" s="13" t="s">
        <v>54</v>
      </c>
      <c r="P755" s="13" t="s">
        <v>85</v>
      </c>
      <c r="Q755" s="13" t="s">
        <v>48</v>
      </c>
      <c r="R755" s="4">
        <v>3</v>
      </c>
      <c r="S755" s="13" t="s">
        <v>595</v>
      </c>
      <c r="T755" s="13">
        <v>42</v>
      </c>
      <c r="U755" s="4" t="s">
        <v>277</v>
      </c>
      <c r="V755" s="4">
        <v>450</v>
      </c>
      <c r="W755" s="4" t="s">
        <v>601</v>
      </c>
      <c r="X755" s="4" t="s">
        <v>278</v>
      </c>
      <c r="Y755" s="4">
        <v>10</v>
      </c>
      <c r="AA755" s="4" t="s">
        <v>49</v>
      </c>
      <c r="AB755" s="4">
        <v>0</v>
      </c>
      <c r="AC755" s="4" t="s">
        <v>49</v>
      </c>
      <c r="AD755" s="4">
        <v>0</v>
      </c>
      <c r="AE755" s="4" t="s">
        <v>49</v>
      </c>
      <c r="AF755" s="4">
        <v>0</v>
      </c>
      <c r="AG755" s="4" t="s">
        <v>706</v>
      </c>
      <c r="AH755" s="4" t="s">
        <v>704</v>
      </c>
      <c r="AI755" s="4" t="s">
        <v>64</v>
      </c>
      <c r="AJ755" s="13">
        <v>0</v>
      </c>
      <c r="AK755" s="13">
        <v>25</v>
      </c>
      <c r="AL755" s="13" t="s">
        <v>524</v>
      </c>
      <c r="AM755" s="13" t="s">
        <v>525</v>
      </c>
      <c r="AN755" s="13" t="s">
        <v>526</v>
      </c>
      <c r="AP755" s="13" t="s">
        <v>49</v>
      </c>
      <c r="AQ755" s="13" t="s">
        <v>49</v>
      </c>
      <c r="AR755" s="13" t="s">
        <v>49</v>
      </c>
      <c r="AS755" s="13" t="s">
        <v>49</v>
      </c>
      <c r="AT755" s="13" t="s">
        <v>990</v>
      </c>
      <c r="AU755" s="13" t="s">
        <v>998</v>
      </c>
      <c r="AV755" s="14">
        <f>61.4/1000</f>
        <v>6.1399999999999996E-2</v>
      </c>
      <c r="AW755" s="14">
        <f>51.2/1000</f>
        <v>5.1200000000000002E-2</v>
      </c>
      <c r="AX755" s="14">
        <f>Table1347456[[#This Row],[treatment_mean]]/Table1347456[[#This Row],[control_mean]]</f>
        <v>1.1992187499999998</v>
      </c>
      <c r="AY755" s="14">
        <f>LN(Table1347456[[#This Row],[rr]])</f>
        <v>0.18167030310763449</v>
      </c>
      <c r="AZ755" s="13">
        <v>3</v>
      </c>
      <c r="BA755" s="13">
        <v>3</v>
      </c>
      <c r="BB755" s="14" t="s">
        <v>46</v>
      </c>
      <c r="BC755" s="14" t="s">
        <v>46</v>
      </c>
      <c r="BD755" s="15" t="s">
        <v>46</v>
      </c>
      <c r="BE755" s="14" t="s">
        <v>46</v>
      </c>
      <c r="BF75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55" s="17" t="s">
        <v>46</v>
      </c>
      <c r="BH755" s="13" t="s">
        <v>50</v>
      </c>
      <c r="BI755" s="13">
        <v>2.5000000000000001E-2</v>
      </c>
      <c r="BJ755" s="18">
        <f>ABS(_xlfn.NORM.S.INV(Table1347456[[#This Row],[p_value]]/2))</f>
        <v>2.2414027276049446</v>
      </c>
      <c r="BK755" s="19">
        <f>(Table1347456[[#This Row],[lnrr]]/Table1347456[[#This Row],[z_from_p]])^2</f>
        <v>6.5694360502341481E-3</v>
      </c>
      <c r="BL755" s="16">
        <f>Table1347456[[#This Row],[v_from_z_from_p]]</f>
        <v>6.5694360502341481E-3</v>
      </c>
      <c r="BM755" s="20">
        <f>SQRT(Table1347456[[#This Row],[v]])</f>
        <v>8.1052057655769283E-2</v>
      </c>
      <c r="BN755" s="20">
        <f>Table1347456[[#This Row],[lnrr]]-(1.96*Table1347456[[#This Row],[se]])</f>
        <v>2.2808270102326694E-2</v>
      </c>
      <c r="BO755" s="20">
        <f>Table1347456[[#This Row],[lnrr]]+(1.96 * Table1347456[[#This Row],[se]])</f>
        <v>0.34053233611294231</v>
      </c>
    </row>
    <row r="756" spans="1:67">
      <c r="A756" s="13" t="s">
        <v>272</v>
      </c>
      <c r="B756" s="13" t="s">
        <v>273</v>
      </c>
      <c r="C756" s="13" t="s">
        <v>43</v>
      </c>
      <c r="D756" s="13" t="s">
        <v>274</v>
      </c>
      <c r="E756" s="13" t="s">
        <v>132</v>
      </c>
      <c r="F756" s="13" t="s">
        <v>589</v>
      </c>
      <c r="G756" s="13" t="s">
        <v>46</v>
      </c>
      <c r="H756" s="13">
        <v>25</v>
      </c>
      <c r="I756" s="13" t="s">
        <v>46</v>
      </c>
      <c r="K756" s="13" t="s">
        <v>886</v>
      </c>
      <c r="L756" s="13" t="s">
        <v>887</v>
      </c>
      <c r="N756" s="13" t="s">
        <v>617</v>
      </c>
      <c r="O756" s="13" t="s">
        <v>54</v>
      </c>
      <c r="P756" s="13" t="s">
        <v>85</v>
      </c>
      <c r="Q756" s="13" t="s">
        <v>48</v>
      </c>
      <c r="R756" s="4">
        <v>3</v>
      </c>
      <c r="S756" s="13" t="s">
        <v>595</v>
      </c>
      <c r="T756" s="13">
        <v>63</v>
      </c>
      <c r="U756" s="4" t="s">
        <v>275</v>
      </c>
      <c r="V756" s="4">
        <v>450</v>
      </c>
      <c r="W756" s="4" t="s">
        <v>601</v>
      </c>
      <c r="X756" s="4" t="s">
        <v>276</v>
      </c>
      <c r="Y756" s="4">
        <v>10</v>
      </c>
      <c r="AA756" s="4" t="s">
        <v>49</v>
      </c>
      <c r="AB756" s="4">
        <v>0</v>
      </c>
      <c r="AC756" s="4" t="s">
        <v>49</v>
      </c>
      <c r="AD756" s="4">
        <v>0</v>
      </c>
      <c r="AE756" s="4" t="s">
        <v>49</v>
      </c>
      <c r="AF756" s="4">
        <v>0</v>
      </c>
      <c r="AG756" s="4" t="s">
        <v>705</v>
      </c>
      <c r="AH756" s="4" t="s">
        <v>704</v>
      </c>
      <c r="AI756" s="4" t="s">
        <v>64</v>
      </c>
      <c r="AJ756" s="13">
        <v>0</v>
      </c>
      <c r="AK756" s="13">
        <v>25</v>
      </c>
      <c r="AL756" s="13" t="s">
        <v>524</v>
      </c>
      <c r="AM756" s="13" t="s">
        <v>525</v>
      </c>
      <c r="AN756" s="13" t="s">
        <v>526</v>
      </c>
      <c r="AP756" s="13" t="s">
        <v>49</v>
      </c>
      <c r="AQ756" s="13" t="s">
        <v>49</v>
      </c>
      <c r="AR756" s="13" t="s">
        <v>49</v>
      </c>
      <c r="AS756" s="13" t="s">
        <v>49</v>
      </c>
      <c r="AT756" s="13" t="s">
        <v>990</v>
      </c>
      <c r="AU756" s="13" t="s">
        <v>998</v>
      </c>
      <c r="AV756" s="14">
        <f>77.9/1000</f>
        <v>7.7900000000000011E-2</v>
      </c>
      <c r="AW756" s="14">
        <f>70.9/1000</f>
        <v>7.0900000000000005E-2</v>
      </c>
      <c r="AX756" s="14">
        <f>Table1347456[[#This Row],[treatment_mean]]/Table1347456[[#This Row],[control_mean]]</f>
        <v>1.0987306064880114</v>
      </c>
      <c r="AY756" s="14">
        <f>LN(Table1347456[[#This Row],[rr]])</f>
        <v>9.4155519338620833E-2</v>
      </c>
      <c r="AZ756" s="13">
        <v>3</v>
      </c>
      <c r="BA756" s="13">
        <v>3</v>
      </c>
      <c r="BB756" s="14" t="s">
        <v>46</v>
      </c>
      <c r="BC756" s="14" t="s">
        <v>46</v>
      </c>
      <c r="BD756" s="15" t="s">
        <v>46</v>
      </c>
      <c r="BE756" s="14" t="s">
        <v>46</v>
      </c>
      <c r="BF75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56" s="17" t="s">
        <v>46</v>
      </c>
      <c r="BH756" s="13" t="s">
        <v>50</v>
      </c>
      <c r="BI756" s="13">
        <v>2.5000000000000001E-2</v>
      </c>
      <c r="BJ756" s="18">
        <f>ABS(_xlfn.NORM.S.INV(Table1347456[[#This Row],[p_value]]/2))</f>
        <v>2.2414027276049446</v>
      </c>
      <c r="BK756" s="19">
        <f>(Table1347456[[#This Row],[lnrr]]/Table1347456[[#This Row],[z_from_p]])^2</f>
        <v>1.7646223444133424E-3</v>
      </c>
      <c r="BL756" s="16">
        <f>Table1347456[[#This Row],[v_from_z_from_p]]</f>
        <v>1.7646223444133424E-3</v>
      </c>
      <c r="BM756" s="20">
        <f>SQRT(Table1347456[[#This Row],[v]])</f>
        <v>4.2007408208711738E-2</v>
      </c>
      <c r="BN756" s="20">
        <f>Table1347456[[#This Row],[lnrr]]-(1.96*Table1347456[[#This Row],[se]])</f>
        <v>1.1820999249545827E-2</v>
      </c>
      <c r="BO756" s="20">
        <f>Table1347456[[#This Row],[lnrr]]+(1.96 * Table1347456[[#This Row],[se]])</f>
        <v>0.17649003942769584</v>
      </c>
    </row>
    <row r="757" spans="1:67">
      <c r="A757" s="13" t="s">
        <v>272</v>
      </c>
      <c r="B757" s="13" t="s">
        <v>273</v>
      </c>
      <c r="C757" s="13" t="s">
        <v>43</v>
      </c>
      <c r="D757" s="13" t="s">
        <v>274</v>
      </c>
      <c r="E757" s="13" t="s">
        <v>132</v>
      </c>
      <c r="F757" s="13" t="s">
        <v>589</v>
      </c>
      <c r="G757" s="13" t="s">
        <v>46</v>
      </c>
      <c r="H757" s="13">
        <v>25</v>
      </c>
      <c r="I757" s="13" t="s">
        <v>46</v>
      </c>
      <c r="K757" s="13" t="s">
        <v>886</v>
      </c>
      <c r="L757" s="13" t="s">
        <v>887</v>
      </c>
      <c r="N757" s="13" t="s">
        <v>617</v>
      </c>
      <c r="O757" s="13" t="s">
        <v>54</v>
      </c>
      <c r="P757" s="13" t="s">
        <v>85</v>
      </c>
      <c r="Q757" s="13" t="s">
        <v>48</v>
      </c>
      <c r="R757" s="4">
        <v>3</v>
      </c>
      <c r="S757" s="13" t="s">
        <v>595</v>
      </c>
      <c r="T757" s="13">
        <v>63</v>
      </c>
      <c r="U757" s="4" t="s">
        <v>277</v>
      </c>
      <c r="V757" s="4">
        <v>450</v>
      </c>
      <c r="W757" s="4" t="s">
        <v>601</v>
      </c>
      <c r="X757" s="4" t="s">
        <v>278</v>
      </c>
      <c r="Y757" s="4">
        <v>10</v>
      </c>
      <c r="AA757" s="4" t="s">
        <v>49</v>
      </c>
      <c r="AB757" s="4">
        <v>0</v>
      </c>
      <c r="AC757" s="4" t="s">
        <v>49</v>
      </c>
      <c r="AD757" s="4">
        <v>0</v>
      </c>
      <c r="AE757" s="4" t="s">
        <v>49</v>
      </c>
      <c r="AF757" s="4">
        <v>0</v>
      </c>
      <c r="AG757" s="4" t="s">
        <v>706</v>
      </c>
      <c r="AH757" s="4" t="s">
        <v>704</v>
      </c>
      <c r="AI757" s="4" t="s">
        <v>64</v>
      </c>
      <c r="AJ757" s="13">
        <v>0</v>
      </c>
      <c r="AK757" s="13">
        <v>25</v>
      </c>
      <c r="AL757" s="13" t="s">
        <v>524</v>
      </c>
      <c r="AM757" s="13" t="s">
        <v>525</v>
      </c>
      <c r="AN757" s="13" t="s">
        <v>526</v>
      </c>
      <c r="AP757" s="13" t="s">
        <v>49</v>
      </c>
      <c r="AQ757" s="13" t="s">
        <v>49</v>
      </c>
      <c r="AR757" s="13" t="s">
        <v>49</v>
      </c>
      <c r="AS757" s="13" t="s">
        <v>49</v>
      </c>
      <c r="AT757" s="13" t="s">
        <v>990</v>
      </c>
      <c r="AU757" s="13" t="s">
        <v>998</v>
      </c>
      <c r="AV757" s="14">
        <f>84.9/1000</f>
        <v>8.4900000000000003E-2</v>
      </c>
      <c r="AW757" s="14">
        <f>70.9/1000</f>
        <v>7.0900000000000005E-2</v>
      </c>
      <c r="AX757" s="14">
        <f>Table1347456[[#This Row],[treatment_mean]]/Table1347456[[#This Row],[control_mean]]</f>
        <v>1.1974612129760225</v>
      </c>
      <c r="AY757" s="14">
        <f>LN(Table1347456[[#This Row],[rr]])</f>
        <v>0.18020365977921973</v>
      </c>
      <c r="AZ757" s="13">
        <v>3</v>
      </c>
      <c r="BA757" s="13">
        <v>3</v>
      </c>
      <c r="BB757" s="14" t="s">
        <v>46</v>
      </c>
      <c r="BC757" s="14" t="s">
        <v>46</v>
      </c>
      <c r="BD757" s="15" t="s">
        <v>46</v>
      </c>
      <c r="BE757" s="14" t="s">
        <v>46</v>
      </c>
      <c r="BF75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57" s="17" t="s">
        <v>46</v>
      </c>
      <c r="BH757" s="13" t="s">
        <v>50</v>
      </c>
      <c r="BI757" s="13">
        <v>2.5000000000000001E-2</v>
      </c>
      <c r="BJ757" s="18">
        <f>ABS(_xlfn.NORM.S.INV(Table1347456[[#This Row],[p_value]]/2))</f>
        <v>2.2414027276049446</v>
      </c>
      <c r="BK757" s="19">
        <f>(Table1347456[[#This Row],[lnrr]]/Table1347456[[#This Row],[z_from_p]])^2</f>
        <v>6.463792726797579E-3</v>
      </c>
      <c r="BL757" s="16">
        <f>Table1347456[[#This Row],[v_from_z_from_p]]</f>
        <v>6.463792726797579E-3</v>
      </c>
      <c r="BM757" s="20">
        <f>SQRT(Table1347456[[#This Row],[v]])</f>
        <v>8.039771593022764E-2</v>
      </c>
      <c r="BN757" s="20">
        <f>Table1347456[[#This Row],[lnrr]]-(1.96*Table1347456[[#This Row],[se]])</f>
        <v>2.2624136555973562E-2</v>
      </c>
      <c r="BO757" s="20">
        <f>Table1347456[[#This Row],[lnrr]]+(1.96 * Table1347456[[#This Row],[se]])</f>
        <v>0.3377831830024659</v>
      </c>
    </row>
    <row r="758" spans="1:67" ht="17">
      <c r="A758" s="13" t="s">
        <v>272</v>
      </c>
      <c r="B758" s="13" t="s">
        <v>273</v>
      </c>
      <c r="C758" s="13" t="s">
        <v>43</v>
      </c>
      <c r="D758" s="13" t="s">
        <v>274</v>
      </c>
      <c r="E758" s="13" t="s">
        <v>132</v>
      </c>
      <c r="F758" s="13" t="s">
        <v>589</v>
      </c>
      <c r="G758" s="13" t="s">
        <v>46</v>
      </c>
      <c r="H758" s="13">
        <v>25</v>
      </c>
      <c r="I758" s="13" t="s">
        <v>46</v>
      </c>
      <c r="J758" s="25" t="s">
        <v>657</v>
      </c>
      <c r="K758" s="13" t="s">
        <v>886</v>
      </c>
      <c r="L758" s="13" t="s">
        <v>887</v>
      </c>
      <c r="M758" s="13" t="s">
        <v>802</v>
      </c>
      <c r="N758" s="13" t="s">
        <v>119</v>
      </c>
      <c r="O758" s="13" t="s">
        <v>645</v>
      </c>
      <c r="P758" s="13" t="s">
        <v>85</v>
      </c>
      <c r="Q758" s="13" t="s">
        <v>48</v>
      </c>
      <c r="R758" s="4">
        <v>3</v>
      </c>
      <c r="S758" s="13" t="s">
        <v>595</v>
      </c>
      <c r="T758" s="13">
        <v>14</v>
      </c>
      <c r="U758" s="4" t="s">
        <v>275</v>
      </c>
      <c r="V758" s="4">
        <v>450</v>
      </c>
      <c r="W758" s="4" t="s">
        <v>601</v>
      </c>
      <c r="X758" s="4" t="s">
        <v>276</v>
      </c>
      <c r="Y758" s="4">
        <v>10</v>
      </c>
      <c r="AA758" s="4" t="s">
        <v>49</v>
      </c>
      <c r="AB758" s="4">
        <v>0</v>
      </c>
      <c r="AC758" s="4" t="s">
        <v>49</v>
      </c>
      <c r="AD758" s="4">
        <v>0</v>
      </c>
      <c r="AE758" s="4" t="s">
        <v>49</v>
      </c>
      <c r="AF758" s="4">
        <v>0</v>
      </c>
      <c r="AG758" s="4" t="s">
        <v>705</v>
      </c>
      <c r="AH758" s="4" t="s">
        <v>704</v>
      </c>
      <c r="AI758" s="4" t="s">
        <v>64</v>
      </c>
      <c r="AJ758" s="13">
        <v>0</v>
      </c>
      <c r="AK758" s="13">
        <v>25</v>
      </c>
      <c r="AL758" s="13" t="s">
        <v>524</v>
      </c>
      <c r="AM758" s="13" t="s">
        <v>525</v>
      </c>
      <c r="AN758" s="13" t="s">
        <v>526</v>
      </c>
      <c r="AP758" s="13" t="s">
        <v>49</v>
      </c>
      <c r="AQ758" s="13" t="s">
        <v>49</v>
      </c>
      <c r="AR758" s="13" t="s">
        <v>49</v>
      </c>
      <c r="AS758" s="13" t="s">
        <v>49</v>
      </c>
      <c r="AT758" s="13" t="s">
        <v>990</v>
      </c>
      <c r="AU758" s="13" t="s">
        <v>998</v>
      </c>
      <c r="AV758" s="23">
        <f>51/1000</f>
        <v>5.0999999999999997E-2</v>
      </c>
      <c r="AW758" s="23">
        <f>10.5/1000</f>
        <v>1.0500000000000001E-2</v>
      </c>
      <c r="AX758" s="14">
        <f>Table1347456[[#This Row],[treatment_mean]]/Table1347456[[#This Row],[control_mean]]</f>
        <v>4.8571428571428568</v>
      </c>
      <c r="AY758" s="14">
        <f>LN(Table1347456[[#This Row],[rr]])</f>
        <v>1.5804503755608481</v>
      </c>
      <c r="AZ758" s="13">
        <v>3</v>
      </c>
      <c r="BA758" s="13">
        <v>3</v>
      </c>
      <c r="BB758" s="14" t="s">
        <v>46</v>
      </c>
      <c r="BC758" s="14" t="s">
        <v>46</v>
      </c>
      <c r="BD758" s="15" t="s">
        <v>46</v>
      </c>
      <c r="BE758" s="14" t="s">
        <v>46</v>
      </c>
      <c r="BF75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58" s="17" t="s">
        <v>46</v>
      </c>
      <c r="BH758" s="13" t="s">
        <v>50</v>
      </c>
      <c r="BI758" s="13">
        <v>2.5000000000000001E-2</v>
      </c>
      <c r="BJ758" s="18">
        <f>ABS(_xlfn.NORM.S.INV(Table1347456[[#This Row],[p_value]]/2))</f>
        <v>2.2414027276049446</v>
      </c>
      <c r="BK758" s="19">
        <f>(Table1347456[[#This Row],[lnrr]]/Table1347456[[#This Row],[z_from_p]])^2</f>
        <v>0.49718948568487303</v>
      </c>
      <c r="BL758" s="16">
        <f>Table1347456[[#This Row],[v_from_z_from_p]]</f>
        <v>0.49718948568487303</v>
      </c>
      <c r="BM758" s="20">
        <f>SQRT(Table1347456[[#This Row],[v]])</f>
        <v>0.7051166468641008</v>
      </c>
      <c r="BN758" s="20">
        <f>Table1347456[[#This Row],[lnrr]]-(1.96*Table1347456[[#This Row],[se]])</f>
        <v>0.19842174770721055</v>
      </c>
      <c r="BO758" s="20">
        <f>Table1347456[[#This Row],[lnrr]]+(1.96 * Table1347456[[#This Row],[se]])</f>
        <v>2.9624790034144857</v>
      </c>
    </row>
    <row r="759" spans="1:67" ht="17">
      <c r="A759" s="13" t="s">
        <v>272</v>
      </c>
      <c r="B759" s="13" t="s">
        <v>273</v>
      </c>
      <c r="C759" s="13" t="s">
        <v>43</v>
      </c>
      <c r="D759" s="13" t="s">
        <v>274</v>
      </c>
      <c r="E759" s="13" t="s">
        <v>132</v>
      </c>
      <c r="F759" s="13" t="s">
        <v>589</v>
      </c>
      <c r="G759" s="13" t="s">
        <v>46</v>
      </c>
      <c r="H759" s="13">
        <v>25</v>
      </c>
      <c r="I759" s="13" t="s">
        <v>46</v>
      </c>
      <c r="J759" s="25" t="s">
        <v>657</v>
      </c>
      <c r="K759" s="13" t="s">
        <v>886</v>
      </c>
      <c r="L759" s="13" t="s">
        <v>887</v>
      </c>
      <c r="M759" s="13" t="s">
        <v>802</v>
      </c>
      <c r="N759" s="13" t="s">
        <v>119</v>
      </c>
      <c r="O759" s="13" t="s">
        <v>645</v>
      </c>
      <c r="P759" s="13" t="s">
        <v>85</v>
      </c>
      <c r="Q759" s="13" t="s">
        <v>48</v>
      </c>
      <c r="R759" s="4">
        <v>3</v>
      </c>
      <c r="S759" s="13" t="s">
        <v>595</v>
      </c>
      <c r="T759" s="13">
        <v>14</v>
      </c>
      <c r="U759" s="4" t="s">
        <v>277</v>
      </c>
      <c r="V759" s="4">
        <v>450</v>
      </c>
      <c r="W759" s="4" t="s">
        <v>601</v>
      </c>
      <c r="X759" s="4" t="s">
        <v>278</v>
      </c>
      <c r="Y759" s="4">
        <v>10</v>
      </c>
      <c r="AA759" s="4" t="s">
        <v>49</v>
      </c>
      <c r="AB759" s="4">
        <v>0</v>
      </c>
      <c r="AC759" s="4" t="s">
        <v>49</v>
      </c>
      <c r="AD759" s="4">
        <v>0</v>
      </c>
      <c r="AE759" s="4" t="s">
        <v>49</v>
      </c>
      <c r="AF759" s="4">
        <v>0</v>
      </c>
      <c r="AG759" s="4" t="s">
        <v>706</v>
      </c>
      <c r="AH759" s="4" t="s">
        <v>704</v>
      </c>
      <c r="AI759" s="4" t="s">
        <v>64</v>
      </c>
      <c r="AJ759" s="13">
        <v>0</v>
      </c>
      <c r="AK759" s="13">
        <v>25</v>
      </c>
      <c r="AL759" s="13" t="s">
        <v>524</v>
      </c>
      <c r="AM759" s="13" t="s">
        <v>525</v>
      </c>
      <c r="AN759" s="13" t="s">
        <v>526</v>
      </c>
      <c r="AP759" s="13" t="s">
        <v>49</v>
      </c>
      <c r="AQ759" s="13" t="s">
        <v>49</v>
      </c>
      <c r="AR759" s="13" t="s">
        <v>49</v>
      </c>
      <c r="AS759" s="13" t="s">
        <v>49</v>
      </c>
      <c r="AT759" s="13" t="s">
        <v>990</v>
      </c>
      <c r="AU759" s="13" t="s">
        <v>998</v>
      </c>
      <c r="AV759" s="23">
        <f>51.9/1000</f>
        <v>5.1900000000000002E-2</v>
      </c>
      <c r="AW759" s="23">
        <f>10.5/1000</f>
        <v>1.0500000000000001E-2</v>
      </c>
      <c r="AX759" s="14">
        <f>Table1347456[[#This Row],[treatment_mean]]/Table1347456[[#This Row],[control_mean]]</f>
        <v>4.9428571428571431</v>
      </c>
      <c r="AY759" s="14">
        <f>LN(Table1347456[[#This Row],[rr]])</f>
        <v>1.5979435330083653</v>
      </c>
      <c r="AZ759" s="13">
        <v>3</v>
      </c>
      <c r="BA759" s="13">
        <v>3</v>
      </c>
      <c r="BB759" s="14" t="s">
        <v>46</v>
      </c>
      <c r="BC759" s="14" t="s">
        <v>46</v>
      </c>
      <c r="BD759" s="15" t="s">
        <v>46</v>
      </c>
      <c r="BE759" s="14" t="s">
        <v>46</v>
      </c>
      <c r="BF75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59" s="17" t="s">
        <v>46</v>
      </c>
      <c r="BH759" s="13" t="s">
        <v>50</v>
      </c>
      <c r="BI759" s="13">
        <v>2.5000000000000001E-2</v>
      </c>
      <c r="BJ759" s="18">
        <f>ABS(_xlfn.NORM.S.INV(Table1347456[[#This Row],[p_value]]/2))</f>
        <v>2.2414027276049446</v>
      </c>
      <c r="BK759" s="19">
        <f>(Table1347456[[#This Row],[lnrr]]/Table1347456[[#This Row],[z_from_p]])^2</f>
        <v>0.5082566442549098</v>
      </c>
      <c r="BL759" s="16">
        <f>Table1347456[[#This Row],[v_from_z_from_p]]</f>
        <v>0.5082566442549098</v>
      </c>
      <c r="BM759" s="20">
        <f>SQRT(Table1347456[[#This Row],[v]])</f>
        <v>0.7129212048010003</v>
      </c>
      <c r="BN759" s="20">
        <f>Table1347456[[#This Row],[lnrr]]-(1.96*Table1347456[[#This Row],[se]])</f>
        <v>0.20061797159840489</v>
      </c>
      <c r="BO759" s="20">
        <f>Table1347456[[#This Row],[lnrr]]+(1.96 * Table1347456[[#This Row],[se]])</f>
        <v>2.995269094418326</v>
      </c>
    </row>
    <row r="760" spans="1:67" ht="17">
      <c r="A760" s="13" t="s">
        <v>272</v>
      </c>
      <c r="B760" s="13" t="s">
        <v>273</v>
      </c>
      <c r="C760" s="13" t="s">
        <v>43</v>
      </c>
      <c r="D760" s="13" t="s">
        <v>274</v>
      </c>
      <c r="E760" s="13" t="s">
        <v>132</v>
      </c>
      <c r="F760" s="13" t="s">
        <v>589</v>
      </c>
      <c r="G760" s="13" t="s">
        <v>46</v>
      </c>
      <c r="H760" s="13">
        <v>25</v>
      </c>
      <c r="I760" s="13" t="s">
        <v>46</v>
      </c>
      <c r="J760" s="25" t="s">
        <v>657</v>
      </c>
      <c r="K760" s="13" t="s">
        <v>886</v>
      </c>
      <c r="L760" s="13" t="s">
        <v>887</v>
      </c>
      <c r="M760" s="13" t="s">
        <v>802</v>
      </c>
      <c r="N760" s="13" t="s">
        <v>119</v>
      </c>
      <c r="O760" s="13" t="s">
        <v>645</v>
      </c>
      <c r="P760" s="13" t="s">
        <v>85</v>
      </c>
      <c r="Q760" s="13" t="s">
        <v>48</v>
      </c>
      <c r="R760" s="4">
        <v>3</v>
      </c>
      <c r="S760" s="13" t="s">
        <v>595</v>
      </c>
      <c r="T760" s="13">
        <v>28</v>
      </c>
      <c r="U760" s="4" t="s">
        <v>275</v>
      </c>
      <c r="V760" s="4">
        <v>450</v>
      </c>
      <c r="W760" s="4" t="s">
        <v>601</v>
      </c>
      <c r="X760" s="4" t="s">
        <v>276</v>
      </c>
      <c r="Y760" s="4">
        <v>10</v>
      </c>
      <c r="AA760" s="4" t="s">
        <v>49</v>
      </c>
      <c r="AB760" s="4">
        <v>0</v>
      </c>
      <c r="AC760" s="4" t="s">
        <v>49</v>
      </c>
      <c r="AD760" s="4">
        <v>0</v>
      </c>
      <c r="AE760" s="4" t="s">
        <v>49</v>
      </c>
      <c r="AF760" s="4">
        <v>0</v>
      </c>
      <c r="AG760" s="4" t="s">
        <v>705</v>
      </c>
      <c r="AH760" s="4" t="s">
        <v>704</v>
      </c>
      <c r="AI760" s="4" t="s">
        <v>64</v>
      </c>
      <c r="AJ760" s="13">
        <v>0</v>
      </c>
      <c r="AK760" s="13">
        <v>25</v>
      </c>
      <c r="AL760" s="13" t="s">
        <v>524</v>
      </c>
      <c r="AM760" s="13" t="s">
        <v>525</v>
      </c>
      <c r="AN760" s="13" t="s">
        <v>526</v>
      </c>
      <c r="AP760" s="13" t="s">
        <v>49</v>
      </c>
      <c r="AQ760" s="13" t="s">
        <v>49</v>
      </c>
      <c r="AR760" s="13" t="s">
        <v>49</v>
      </c>
      <c r="AS760" s="13" t="s">
        <v>49</v>
      </c>
      <c r="AT760" s="13" t="s">
        <v>990</v>
      </c>
      <c r="AU760" s="13" t="s">
        <v>998</v>
      </c>
      <c r="AV760" s="23">
        <f>46.6/1000</f>
        <v>4.6600000000000003E-2</v>
      </c>
      <c r="AW760" s="23">
        <f>7.6/1000</f>
        <v>7.6E-3</v>
      </c>
      <c r="AX760" s="14">
        <f>Table1347456[[#This Row],[treatment_mean]]/Table1347456[[#This Row],[control_mean]]</f>
        <v>6.1315789473684212</v>
      </c>
      <c r="AY760" s="14">
        <f>LN(Table1347456[[#This Row],[rr]])</f>
        <v>1.8134522938393147</v>
      </c>
      <c r="AZ760" s="13">
        <v>3</v>
      </c>
      <c r="BA760" s="13">
        <v>3</v>
      </c>
      <c r="BB760" s="14" t="s">
        <v>46</v>
      </c>
      <c r="BC760" s="14" t="s">
        <v>46</v>
      </c>
      <c r="BD760" s="15" t="s">
        <v>46</v>
      </c>
      <c r="BE760" s="14" t="s">
        <v>46</v>
      </c>
      <c r="BF76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60" s="17" t="s">
        <v>46</v>
      </c>
      <c r="BH760" s="13" t="s">
        <v>50</v>
      </c>
      <c r="BI760" s="13">
        <v>2.5000000000000001E-2</v>
      </c>
      <c r="BJ760" s="18">
        <f>ABS(_xlfn.NORM.S.INV(Table1347456[[#This Row],[p_value]]/2))</f>
        <v>2.2414027276049446</v>
      </c>
      <c r="BK760" s="19">
        <f>(Table1347456[[#This Row],[lnrr]]/Table1347456[[#This Row],[z_from_p]])^2</f>
        <v>0.65459469012946203</v>
      </c>
      <c r="BL760" s="16">
        <f>Table1347456[[#This Row],[v_from_z_from_p]]</f>
        <v>0.65459469012946203</v>
      </c>
      <c r="BM760" s="20">
        <f>SQRT(Table1347456[[#This Row],[v]])</f>
        <v>0.80907026278900029</v>
      </c>
      <c r="BN760" s="20">
        <f>Table1347456[[#This Row],[lnrr]]-(1.96*Table1347456[[#This Row],[se]])</f>
        <v>0.22767457877287423</v>
      </c>
      <c r="BO760" s="20">
        <f>Table1347456[[#This Row],[lnrr]]+(1.96 * Table1347456[[#This Row],[se]])</f>
        <v>3.3992300089057554</v>
      </c>
    </row>
    <row r="761" spans="1:67" ht="17">
      <c r="A761" s="13" t="s">
        <v>272</v>
      </c>
      <c r="B761" s="13" t="s">
        <v>273</v>
      </c>
      <c r="C761" s="13" t="s">
        <v>43</v>
      </c>
      <c r="D761" s="13" t="s">
        <v>274</v>
      </c>
      <c r="E761" s="13" t="s">
        <v>132</v>
      </c>
      <c r="F761" s="13" t="s">
        <v>589</v>
      </c>
      <c r="G761" s="13" t="s">
        <v>46</v>
      </c>
      <c r="H761" s="13">
        <v>25</v>
      </c>
      <c r="I761" s="13" t="s">
        <v>46</v>
      </c>
      <c r="J761" s="25" t="s">
        <v>657</v>
      </c>
      <c r="K761" s="13" t="s">
        <v>886</v>
      </c>
      <c r="L761" s="13" t="s">
        <v>887</v>
      </c>
      <c r="M761" s="13" t="s">
        <v>802</v>
      </c>
      <c r="N761" s="13" t="s">
        <v>119</v>
      </c>
      <c r="O761" s="13" t="s">
        <v>645</v>
      </c>
      <c r="P761" s="13" t="s">
        <v>85</v>
      </c>
      <c r="Q761" s="13" t="s">
        <v>48</v>
      </c>
      <c r="R761" s="4">
        <v>3</v>
      </c>
      <c r="S761" s="13" t="s">
        <v>595</v>
      </c>
      <c r="T761" s="13">
        <v>28</v>
      </c>
      <c r="U761" s="4" t="s">
        <v>277</v>
      </c>
      <c r="V761" s="4">
        <v>450</v>
      </c>
      <c r="W761" s="4" t="s">
        <v>601</v>
      </c>
      <c r="X761" s="4" t="s">
        <v>278</v>
      </c>
      <c r="Y761" s="4">
        <v>10</v>
      </c>
      <c r="AA761" s="4" t="s">
        <v>49</v>
      </c>
      <c r="AB761" s="4">
        <v>0</v>
      </c>
      <c r="AC761" s="4" t="s">
        <v>49</v>
      </c>
      <c r="AD761" s="4">
        <v>0</v>
      </c>
      <c r="AE761" s="4" t="s">
        <v>49</v>
      </c>
      <c r="AF761" s="4">
        <v>0</v>
      </c>
      <c r="AG761" s="4" t="s">
        <v>706</v>
      </c>
      <c r="AH761" s="4" t="s">
        <v>704</v>
      </c>
      <c r="AI761" s="4" t="s">
        <v>64</v>
      </c>
      <c r="AJ761" s="13">
        <v>0</v>
      </c>
      <c r="AK761" s="13">
        <v>25</v>
      </c>
      <c r="AL761" s="13" t="s">
        <v>524</v>
      </c>
      <c r="AM761" s="13" t="s">
        <v>525</v>
      </c>
      <c r="AN761" s="13" t="s">
        <v>526</v>
      </c>
      <c r="AP761" s="13" t="s">
        <v>49</v>
      </c>
      <c r="AQ761" s="13" t="s">
        <v>49</v>
      </c>
      <c r="AR761" s="13" t="s">
        <v>49</v>
      </c>
      <c r="AS761" s="13" t="s">
        <v>49</v>
      </c>
      <c r="AT761" s="13" t="s">
        <v>990</v>
      </c>
      <c r="AU761" s="13" t="s">
        <v>998</v>
      </c>
      <c r="AV761" s="23">
        <f>66.9/1000</f>
        <v>6.6900000000000001E-2</v>
      </c>
      <c r="AW761" s="23">
        <f>7.6/1000</f>
        <v>7.6E-3</v>
      </c>
      <c r="AX761" s="14">
        <f>Table1347456[[#This Row],[treatment_mean]]/Table1347456[[#This Row],[control_mean]]</f>
        <v>8.8026315789473681</v>
      </c>
      <c r="AY761" s="14">
        <f>LN(Table1347456[[#This Row],[rr]])</f>
        <v>2.1750507198418974</v>
      </c>
      <c r="AZ761" s="13">
        <v>3</v>
      </c>
      <c r="BA761" s="13">
        <v>3</v>
      </c>
      <c r="BB761" s="14" t="s">
        <v>46</v>
      </c>
      <c r="BC761" s="14" t="s">
        <v>46</v>
      </c>
      <c r="BD761" s="15" t="s">
        <v>46</v>
      </c>
      <c r="BE761" s="14" t="s">
        <v>46</v>
      </c>
      <c r="BF76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61" s="17" t="s">
        <v>46</v>
      </c>
      <c r="BH761" s="13" t="s">
        <v>50</v>
      </c>
      <c r="BI761" s="13">
        <v>2.5000000000000001E-2</v>
      </c>
      <c r="BJ761" s="18">
        <f>ABS(_xlfn.NORM.S.INV(Table1347456[[#This Row],[p_value]]/2))</f>
        <v>2.2414027276049446</v>
      </c>
      <c r="BK761" s="19">
        <f>(Table1347456[[#This Row],[lnrr]]/Table1347456[[#This Row],[z_from_p]])^2</f>
        <v>0.9416705429812392</v>
      </c>
      <c r="BL761" s="16">
        <f>Table1347456[[#This Row],[v_from_z_from_p]]</f>
        <v>0.9416705429812392</v>
      </c>
      <c r="BM761" s="20">
        <f>SQRT(Table1347456[[#This Row],[v]])</f>
        <v>0.9703971058186639</v>
      </c>
      <c r="BN761" s="20">
        <f>Table1347456[[#This Row],[lnrr]]-(1.96*Table1347456[[#This Row],[se]])</f>
        <v>0.27307239243731618</v>
      </c>
      <c r="BO761" s="20">
        <f>Table1347456[[#This Row],[lnrr]]+(1.96 * Table1347456[[#This Row],[se]])</f>
        <v>4.0770290472464783</v>
      </c>
    </row>
    <row r="762" spans="1:67" ht="17">
      <c r="A762" s="13" t="s">
        <v>272</v>
      </c>
      <c r="B762" s="13" t="s">
        <v>273</v>
      </c>
      <c r="C762" s="13" t="s">
        <v>43</v>
      </c>
      <c r="D762" s="13" t="s">
        <v>274</v>
      </c>
      <c r="E762" s="13" t="s">
        <v>132</v>
      </c>
      <c r="F762" s="13" t="s">
        <v>589</v>
      </c>
      <c r="G762" s="13" t="s">
        <v>46</v>
      </c>
      <c r="H762" s="13">
        <v>25</v>
      </c>
      <c r="I762" s="13" t="s">
        <v>46</v>
      </c>
      <c r="J762" s="25" t="s">
        <v>657</v>
      </c>
      <c r="K762" s="13" t="s">
        <v>886</v>
      </c>
      <c r="L762" s="13" t="s">
        <v>887</v>
      </c>
      <c r="M762" s="13" t="s">
        <v>802</v>
      </c>
      <c r="N762" s="13" t="s">
        <v>119</v>
      </c>
      <c r="O762" s="13" t="s">
        <v>645</v>
      </c>
      <c r="P762" s="13" t="s">
        <v>85</v>
      </c>
      <c r="Q762" s="13" t="s">
        <v>48</v>
      </c>
      <c r="R762" s="4">
        <v>3</v>
      </c>
      <c r="S762" s="13" t="s">
        <v>595</v>
      </c>
      <c r="T762" s="13">
        <v>42</v>
      </c>
      <c r="U762" s="4" t="s">
        <v>275</v>
      </c>
      <c r="V762" s="4">
        <v>450</v>
      </c>
      <c r="W762" s="4" t="s">
        <v>601</v>
      </c>
      <c r="X762" s="4" t="s">
        <v>276</v>
      </c>
      <c r="Y762" s="4">
        <v>10</v>
      </c>
      <c r="AA762" s="4" t="s">
        <v>49</v>
      </c>
      <c r="AB762" s="4">
        <v>0</v>
      </c>
      <c r="AC762" s="4" t="s">
        <v>49</v>
      </c>
      <c r="AD762" s="4">
        <v>0</v>
      </c>
      <c r="AE762" s="4" t="s">
        <v>49</v>
      </c>
      <c r="AF762" s="4">
        <v>0</v>
      </c>
      <c r="AG762" s="4" t="s">
        <v>705</v>
      </c>
      <c r="AH762" s="4" t="s">
        <v>704</v>
      </c>
      <c r="AI762" s="4" t="s">
        <v>64</v>
      </c>
      <c r="AJ762" s="13">
        <v>0</v>
      </c>
      <c r="AK762" s="13">
        <v>25</v>
      </c>
      <c r="AL762" s="13" t="s">
        <v>524</v>
      </c>
      <c r="AM762" s="13" t="s">
        <v>525</v>
      </c>
      <c r="AN762" s="13" t="s">
        <v>526</v>
      </c>
      <c r="AP762" s="13" t="s">
        <v>49</v>
      </c>
      <c r="AQ762" s="13" t="s">
        <v>49</v>
      </c>
      <c r="AR762" s="13" t="s">
        <v>49</v>
      </c>
      <c r="AS762" s="13" t="s">
        <v>49</v>
      </c>
      <c r="AT762" s="13" t="s">
        <v>990</v>
      </c>
      <c r="AU762" s="13" t="s">
        <v>998</v>
      </c>
      <c r="AV762" s="23">
        <f>55/1000</f>
        <v>5.5E-2</v>
      </c>
      <c r="AW762" s="23">
        <f>7.71/1000</f>
        <v>7.7099999999999998E-3</v>
      </c>
      <c r="AX762" s="14">
        <f>Table1347456[[#This Row],[treatment_mean]]/Table1347456[[#This Row],[control_mean]]</f>
        <v>7.1335927367055776</v>
      </c>
      <c r="AY762" s="14">
        <f>LN(Table1347456[[#This Row],[rr]])</f>
        <v>1.9648149976572329</v>
      </c>
      <c r="AZ762" s="13">
        <v>3</v>
      </c>
      <c r="BA762" s="13">
        <v>3</v>
      </c>
      <c r="BB762" s="14" t="s">
        <v>46</v>
      </c>
      <c r="BC762" s="14" t="s">
        <v>46</v>
      </c>
      <c r="BD762" s="15" t="s">
        <v>46</v>
      </c>
      <c r="BE762" s="14" t="s">
        <v>46</v>
      </c>
      <c r="BF76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62" s="17" t="s">
        <v>46</v>
      </c>
      <c r="BH762" s="13" t="s">
        <v>50</v>
      </c>
      <c r="BI762" s="13">
        <v>2.5000000000000001E-2</v>
      </c>
      <c r="BJ762" s="18">
        <f>ABS(_xlfn.NORM.S.INV(Table1347456[[#This Row],[p_value]]/2))</f>
        <v>2.2414027276049446</v>
      </c>
      <c r="BK762" s="19">
        <f>(Table1347456[[#This Row],[lnrr]]/Table1347456[[#This Row],[z_from_p]])^2</f>
        <v>0.76842862896981956</v>
      </c>
      <c r="BL762" s="16">
        <f>Table1347456[[#This Row],[v_from_z_from_p]]</f>
        <v>0.76842862896981956</v>
      </c>
      <c r="BM762" s="20">
        <f>SQRT(Table1347456[[#This Row],[v]])</f>
        <v>0.87660060972475917</v>
      </c>
      <c r="BN762" s="20">
        <f>Table1347456[[#This Row],[lnrr]]-(1.96*Table1347456[[#This Row],[se]])</f>
        <v>0.24667780259670491</v>
      </c>
      <c r="BO762" s="20">
        <f>Table1347456[[#This Row],[lnrr]]+(1.96 * Table1347456[[#This Row],[se]])</f>
        <v>3.6829521927177611</v>
      </c>
    </row>
    <row r="763" spans="1:67" ht="17">
      <c r="A763" s="13" t="s">
        <v>272</v>
      </c>
      <c r="B763" s="13" t="s">
        <v>273</v>
      </c>
      <c r="C763" s="13" t="s">
        <v>43</v>
      </c>
      <c r="D763" s="13" t="s">
        <v>274</v>
      </c>
      <c r="E763" s="13" t="s">
        <v>132</v>
      </c>
      <c r="F763" s="13" t="s">
        <v>589</v>
      </c>
      <c r="G763" s="13" t="s">
        <v>46</v>
      </c>
      <c r="H763" s="13">
        <v>25</v>
      </c>
      <c r="I763" s="13" t="s">
        <v>46</v>
      </c>
      <c r="J763" s="25" t="s">
        <v>657</v>
      </c>
      <c r="K763" s="13" t="s">
        <v>886</v>
      </c>
      <c r="L763" s="13" t="s">
        <v>887</v>
      </c>
      <c r="M763" s="13" t="s">
        <v>802</v>
      </c>
      <c r="N763" s="13" t="s">
        <v>119</v>
      </c>
      <c r="O763" s="13" t="s">
        <v>645</v>
      </c>
      <c r="P763" s="13" t="s">
        <v>85</v>
      </c>
      <c r="Q763" s="13" t="s">
        <v>48</v>
      </c>
      <c r="R763" s="4">
        <v>3</v>
      </c>
      <c r="S763" s="13" t="s">
        <v>595</v>
      </c>
      <c r="T763" s="13">
        <v>42</v>
      </c>
      <c r="U763" s="4" t="s">
        <v>277</v>
      </c>
      <c r="V763" s="4">
        <v>450</v>
      </c>
      <c r="W763" s="4" t="s">
        <v>601</v>
      </c>
      <c r="X763" s="4" t="s">
        <v>278</v>
      </c>
      <c r="Y763" s="4">
        <v>10</v>
      </c>
      <c r="AA763" s="4" t="s">
        <v>49</v>
      </c>
      <c r="AB763" s="4">
        <v>0</v>
      </c>
      <c r="AC763" s="4" t="s">
        <v>49</v>
      </c>
      <c r="AD763" s="4">
        <v>0</v>
      </c>
      <c r="AE763" s="4" t="s">
        <v>49</v>
      </c>
      <c r="AF763" s="4">
        <v>0</v>
      </c>
      <c r="AG763" s="4" t="s">
        <v>706</v>
      </c>
      <c r="AH763" s="4" t="s">
        <v>704</v>
      </c>
      <c r="AI763" s="4" t="s">
        <v>64</v>
      </c>
      <c r="AJ763" s="13">
        <v>0</v>
      </c>
      <c r="AK763" s="13">
        <v>25</v>
      </c>
      <c r="AL763" s="13" t="s">
        <v>524</v>
      </c>
      <c r="AM763" s="13" t="s">
        <v>525</v>
      </c>
      <c r="AN763" s="13" t="s">
        <v>526</v>
      </c>
      <c r="AP763" s="13" t="s">
        <v>49</v>
      </c>
      <c r="AQ763" s="13" t="s">
        <v>49</v>
      </c>
      <c r="AR763" s="13" t="s">
        <v>49</v>
      </c>
      <c r="AS763" s="13" t="s">
        <v>49</v>
      </c>
      <c r="AT763" s="13" t="s">
        <v>990</v>
      </c>
      <c r="AU763" s="13" t="s">
        <v>998</v>
      </c>
      <c r="AV763" s="23">
        <f>65.7/1000</f>
        <v>6.5700000000000008E-2</v>
      </c>
      <c r="AW763" s="23">
        <f>7.71/1000</f>
        <v>7.7099999999999998E-3</v>
      </c>
      <c r="AX763" s="14">
        <f>Table1347456[[#This Row],[treatment_mean]]/Table1347456[[#This Row],[control_mean]]</f>
        <v>8.5214007782101184</v>
      </c>
      <c r="AY763" s="14">
        <f>LN(Table1347456[[#This Row],[rr]])</f>
        <v>2.1425807379153268</v>
      </c>
      <c r="AZ763" s="13">
        <v>3</v>
      </c>
      <c r="BA763" s="13">
        <v>3</v>
      </c>
      <c r="BB763" s="14" t="s">
        <v>46</v>
      </c>
      <c r="BC763" s="14" t="s">
        <v>46</v>
      </c>
      <c r="BD763" s="15" t="s">
        <v>46</v>
      </c>
      <c r="BE763" s="14" t="s">
        <v>46</v>
      </c>
      <c r="BF76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63" s="17" t="s">
        <v>46</v>
      </c>
      <c r="BH763" s="13" t="s">
        <v>50</v>
      </c>
      <c r="BI763" s="13">
        <v>2.5000000000000001E-2</v>
      </c>
      <c r="BJ763" s="18">
        <f>ABS(_xlfn.NORM.S.INV(Table1347456[[#This Row],[p_value]]/2))</f>
        <v>2.2414027276049446</v>
      </c>
      <c r="BK763" s="19">
        <f>(Table1347456[[#This Row],[lnrr]]/Table1347456[[#This Row],[z_from_p]])^2</f>
        <v>0.91376517049231776</v>
      </c>
      <c r="BL763" s="16">
        <f>Table1347456[[#This Row],[v_from_z_from_p]]</f>
        <v>0.91376517049231776</v>
      </c>
      <c r="BM763" s="20">
        <f>SQRT(Table1347456[[#This Row],[v]])</f>
        <v>0.95591064984773433</v>
      </c>
      <c r="BN763" s="20">
        <f>Table1347456[[#This Row],[lnrr]]-(1.96*Table1347456[[#This Row],[se]])</f>
        <v>0.26899586421376753</v>
      </c>
      <c r="BO763" s="20">
        <f>Table1347456[[#This Row],[lnrr]]+(1.96 * Table1347456[[#This Row],[se]])</f>
        <v>4.016165611616886</v>
      </c>
    </row>
    <row r="764" spans="1:67" ht="17">
      <c r="A764" s="13" t="s">
        <v>272</v>
      </c>
      <c r="B764" s="13" t="s">
        <v>273</v>
      </c>
      <c r="C764" s="13" t="s">
        <v>43</v>
      </c>
      <c r="D764" s="13" t="s">
        <v>274</v>
      </c>
      <c r="E764" s="13" t="s">
        <v>132</v>
      </c>
      <c r="F764" s="13" t="s">
        <v>589</v>
      </c>
      <c r="G764" s="13" t="s">
        <v>46</v>
      </c>
      <c r="H764" s="13">
        <v>25</v>
      </c>
      <c r="I764" s="13" t="s">
        <v>46</v>
      </c>
      <c r="J764" s="25" t="s">
        <v>657</v>
      </c>
      <c r="K764" s="13" t="s">
        <v>886</v>
      </c>
      <c r="L764" s="13" t="s">
        <v>887</v>
      </c>
      <c r="M764" s="13" t="s">
        <v>802</v>
      </c>
      <c r="N764" s="13" t="s">
        <v>119</v>
      </c>
      <c r="O764" s="13" t="s">
        <v>645</v>
      </c>
      <c r="P764" s="13" t="s">
        <v>85</v>
      </c>
      <c r="Q764" s="13" t="s">
        <v>48</v>
      </c>
      <c r="R764" s="4">
        <v>3</v>
      </c>
      <c r="S764" s="13" t="s">
        <v>595</v>
      </c>
      <c r="T764" s="13">
        <v>63</v>
      </c>
      <c r="U764" s="4" t="s">
        <v>275</v>
      </c>
      <c r="V764" s="4">
        <v>450</v>
      </c>
      <c r="W764" s="4" t="s">
        <v>601</v>
      </c>
      <c r="X764" s="4" t="s">
        <v>276</v>
      </c>
      <c r="Y764" s="4">
        <v>10</v>
      </c>
      <c r="AA764" s="4" t="s">
        <v>49</v>
      </c>
      <c r="AB764" s="4">
        <v>0</v>
      </c>
      <c r="AC764" s="4" t="s">
        <v>49</v>
      </c>
      <c r="AD764" s="4">
        <v>0</v>
      </c>
      <c r="AE764" s="4" t="s">
        <v>49</v>
      </c>
      <c r="AF764" s="4">
        <v>0</v>
      </c>
      <c r="AG764" s="4" t="s">
        <v>705</v>
      </c>
      <c r="AH764" s="4" t="s">
        <v>704</v>
      </c>
      <c r="AI764" s="4" t="s">
        <v>64</v>
      </c>
      <c r="AJ764" s="13">
        <v>0</v>
      </c>
      <c r="AK764" s="13">
        <v>25</v>
      </c>
      <c r="AL764" s="13" t="s">
        <v>524</v>
      </c>
      <c r="AM764" s="13" t="s">
        <v>525</v>
      </c>
      <c r="AN764" s="13" t="s">
        <v>526</v>
      </c>
      <c r="AP764" s="13" t="s">
        <v>49</v>
      </c>
      <c r="AQ764" s="13" t="s">
        <v>49</v>
      </c>
      <c r="AR764" s="13" t="s">
        <v>49</v>
      </c>
      <c r="AS764" s="13" t="s">
        <v>49</v>
      </c>
      <c r="AT764" s="13" t="s">
        <v>990</v>
      </c>
      <c r="AU764" s="13" t="s">
        <v>998</v>
      </c>
      <c r="AV764" s="23">
        <f>62/1000</f>
        <v>6.2E-2</v>
      </c>
      <c r="AW764" s="23">
        <f>17.7/1000</f>
        <v>1.77E-2</v>
      </c>
      <c r="AX764" s="14">
        <f>Table1347456[[#This Row],[treatment_mean]]/Table1347456[[#This Row],[control_mean]]</f>
        <v>3.5028248587570618</v>
      </c>
      <c r="AY764" s="14">
        <f>LN(Table1347456[[#This Row],[rr]])</f>
        <v>1.2535697454653081</v>
      </c>
      <c r="AZ764" s="13">
        <v>3</v>
      </c>
      <c r="BA764" s="13">
        <v>3</v>
      </c>
      <c r="BB764" s="14" t="s">
        <v>46</v>
      </c>
      <c r="BC764" s="14" t="s">
        <v>46</v>
      </c>
      <c r="BD764" s="15" t="s">
        <v>46</v>
      </c>
      <c r="BE764" s="14" t="s">
        <v>46</v>
      </c>
      <c r="BF76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64" s="17" t="s">
        <v>46</v>
      </c>
      <c r="BH764" s="13" t="s">
        <v>50</v>
      </c>
      <c r="BI764" s="13">
        <v>2.5000000000000001E-2</v>
      </c>
      <c r="BJ764" s="18">
        <f>ABS(_xlfn.NORM.S.INV(Table1347456[[#This Row],[p_value]]/2))</f>
        <v>2.2414027276049446</v>
      </c>
      <c r="BK764" s="19">
        <f>(Table1347456[[#This Row],[lnrr]]/Table1347456[[#This Row],[z_from_p]])^2</f>
        <v>0.31279313426999483</v>
      </c>
      <c r="BL764" s="16">
        <f>Table1347456[[#This Row],[v_from_z_from_p]]</f>
        <v>0.31279313426999483</v>
      </c>
      <c r="BM764" s="20">
        <f>SQRT(Table1347456[[#This Row],[v]])</f>
        <v>0.55927912018060788</v>
      </c>
      <c r="BN764" s="20">
        <f>Table1347456[[#This Row],[lnrr]]-(1.96*Table1347456[[#This Row],[se]])</f>
        <v>0.15738266991131655</v>
      </c>
      <c r="BO764" s="20">
        <f>Table1347456[[#This Row],[lnrr]]+(1.96 * Table1347456[[#This Row],[se]])</f>
        <v>2.3497568210192998</v>
      </c>
    </row>
    <row r="765" spans="1:67" ht="17">
      <c r="A765" s="13" t="s">
        <v>272</v>
      </c>
      <c r="B765" s="13" t="s">
        <v>273</v>
      </c>
      <c r="C765" s="13" t="s">
        <v>43</v>
      </c>
      <c r="D765" s="13" t="s">
        <v>274</v>
      </c>
      <c r="E765" s="13" t="s">
        <v>132</v>
      </c>
      <c r="F765" s="13" t="s">
        <v>589</v>
      </c>
      <c r="G765" s="13" t="s">
        <v>46</v>
      </c>
      <c r="H765" s="13">
        <v>25</v>
      </c>
      <c r="I765" s="13" t="s">
        <v>46</v>
      </c>
      <c r="J765" s="25" t="s">
        <v>657</v>
      </c>
      <c r="K765" s="13" t="s">
        <v>886</v>
      </c>
      <c r="L765" s="13" t="s">
        <v>887</v>
      </c>
      <c r="M765" s="13" t="s">
        <v>802</v>
      </c>
      <c r="N765" s="13" t="s">
        <v>119</v>
      </c>
      <c r="O765" s="13" t="s">
        <v>645</v>
      </c>
      <c r="P765" s="13" t="s">
        <v>85</v>
      </c>
      <c r="Q765" s="13" t="s">
        <v>48</v>
      </c>
      <c r="R765" s="4">
        <v>3</v>
      </c>
      <c r="S765" s="13" t="s">
        <v>595</v>
      </c>
      <c r="T765" s="13">
        <v>63</v>
      </c>
      <c r="U765" s="4" t="s">
        <v>277</v>
      </c>
      <c r="V765" s="4">
        <v>450</v>
      </c>
      <c r="W765" s="4" t="s">
        <v>601</v>
      </c>
      <c r="X765" s="4" t="s">
        <v>278</v>
      </c>
      <c r="Y765" s="4">
        <v>10</v>
      </c>
      <c r="AA765" s="4" t="s">
        <v>49</v>
      </c>
      <c r="AB765" s="4">
        <v>0</v>
      </c>
      <c r="AC765" s="4" t="s">
        <v>49</v>
      </c>
      <c r="AD765" s="4">
        <v>0</v>
      </c>
      <c r="AE765" s="4" t="s">
        <v>49</v>
      </c>
      <c r="AF765" s="4">
        <v>0</v>
      </c>
      <c r="AG765" s="4" t="s">
        <v>706</v>
      </c>
      <c r="AH765" s="4" t="s">
        <v>704</v>
      </c>
      <c r="AI765" s="4" t="s">
        <v>64</v>
      </c>
      <c r="AJ765" s="13">
        <v>0</v>
      </c>
      <c r="AK765" s="13">
        <v>25</v>
      </c>
      <c r="AL765" s="13" t="s">
        <v>524</v>
      </c>
      <c r="AM765" s="13" t="s">
        <v>525</v>
      </c>
      <c r="AN765" s="13" t="s">
        <v>526</v>
      </c>
      <c r="AP765" s="13" t="s">
        <v>49</v>
      </c>
      <c r="AQ765" s="13" t="s">
        <v>49</v>
      </c>
      <c r="AR765" s="13" t="s">
        <v>49</v>
      </c>
      <c r="AS765" s="13" t="s">
        <v>49</v>
      </c>
      <c r="AT765" s="13" t="s">
        <v>990</v>
      </c>
      <c r="AU765" s="13" t="s">
        <v>998</v>
      </c>
      <c r="AV765" s="23">
        <f>62.9/1000</f>
        <v>6.2899999999999998E-2</v>
      </c>
      <c r="AW765" s="23">
        <f>17.7/1000</f>
        <v>1.77E-2</v>
      </c>
      <c r="AX765" s="14">
        <f>Table1347456[[#This Row],[treatment_mean]]/Table1347456[[#This Row],[control_mean]]</f>
        <v>3.5536723163841804</v>
      </c>
      <c r="AY765" s="14">
        <f>LN(Table1347456[[#This Row],[rr]])</f>
        <v>1.2679815241266112</v>
      </c>
      <c r="AZ765" s="13">
        <v>3</v>
      </c>
      <c r="BA765" s="13">
        <v>3</v>
      </c>
      <c r="BB765" s="14" t="s">
        <v>46</v>
      </c>
      <c r="BC765" s="14" t="s">
        <v>46</v>
      </c>
      <c r="BD765" s="15" t="s">
        <v>46</v>
      </c>
      <c r="BE765" s="14" t="s">
        <v>46</v>
      </c>
      <c r="BF76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65" s="17" t="s">
        <v>46</v>
      </c>
      <c r="BH765" s="13" t="s">
        <v>50</v>
      </c>
      <c r="BI765" s="13">
        <v>2.5000000000000001E-2</v>
      </c>
      <c r="BJ765" s="18">
        <f>ABS(_xlfn.NORM.S.INV(Table1347456[[#This Row],[p_value]]/2))</f>
        <v>2.2414027276049446</v>
      </c>
      <c r="BK765" s="19">
        <f>(Table1347456[[#This Row],[lnrr]]/Table1347456[[#This Row],[z_from_p]])^2</f>
        <v>0.32002658610898027</v>
      </c>
      <c r="BL765" s="16">
        <f>Table1347456[[#This Row],[v_from_z_from_p]]</f>
        <v>0.32002658610898027</v>
      </c>
      <c r="BM765" s="20">
        <f>SQRT(Table1347456[[#This Row],[v]])</f>
        <v>0.56570892348360591</v>
      </c>
      <c r="BN765" s="20">
        <f>Table1347456[[#This Row],[lnrr]]-(1.96*Table1347456[[#This Row],[se]])</f>
        <v>0.15919203409874361</v>
      </c>
      <c r="BO765" s="20">
        <f>Table1347456[[#This Row],[lnrr]]+(1.96 * Table1347456[[#This Row],[se]])</f>
        <v>2.3767710141544791</v>
      </c>
    </row>
    <row r="766" spans="1:67">
      <c r="A766" s="13" t="s">
        <v>272</v>
      </c>
      <c r="B766" s="13" t="s">
        <v>273</v>
      </c>
      <c r="C766" s="13" t="s">
        <v>43</v>
      </c>
      <c r="D766" s="13" t="s">
        <v>274</v>
      </c>
      <c r="E766" s="13" t="s">
        <v>132</v>
      </c>
      <c r="F766" s="13" t="s">
        <v>589</v>
      </c>
      <c r="G766" s="13" t="s">
        <v>46</v>
      </c>
      <c r="H766" s="13">
        <v>25</v>
      </c>
      <c r="I766" s="13" t="s">
        <v>46</v>
      </c>
      <c r="K766" s="13" t="s">
        <v>886</v>
      </c>
      <c r="L766" s="13" t="s">
        <v>887</v>
      </c>
      <c r="N766" s="13" t="s">
        <v>121</v>
      </c>
      <c r="O766" s="13" t="s">
        <v>645</v>
      </c>
      <c r="P766" s="13" t="s">
        <v>85</v>
      </c>
      <c r="Q766" s="13" t="s">
        <v>48</v>
      </c>
      <c r="R766" s="4">
        <v>3</v>
      </c>
      <c r="S766" s="13" t="s">
        <v>595</v>
      </c>
      <c r="T766" s="13">
        <v>14</v>
      </c>
      <c r="U766" s="4" t="s">
        <v>275</v>
      </c>
      <c r="V766" s="4">
        <v>450</v>
      </c>
      <c r="W766" s="4" t="s">
        <v>601</v>
      </c>
      <c r="X766" s="4" t="s">
        <v>276</v>
      </c>
      <c r="Y766" s="4">
        <v>10</v>
      </c>
      <c r="AA766" s="4" t="s">
        <v>49</v>
      </c>
      <c r="AB766" s="4">
        <v>0</v>
      </c>
      <c r="AC766" s="4" t="s">
        <v>49</v>
      </c>
      <c r="AD766" s="4">
        <v>0</v>
      </c>
      <c r="AE766" s="4" t="s">
        <v>49</v>
      </c>
      <c r="AF766" s="4">
        <v>0</v>
      </c>
      <c r="AG766" s="4" t="s">
        <v>705</v>
      </c>
      <c r="AH766" s="4" t="s">
        <v>704</v>
      </c>
      <c r="AI766" s="4" t="s">
        <v>64</v>
      </c>
      <c r="AJ766" s="13">
        <v>0</v>
      </c>
      <c r="AK766" s="13">
        <v>25</v>
      </c>
      <c r="AL766" s="13" t="s">
        <v>524</v>
      </c>
      <c r="AM766" s="13" t="s">
        <v>525</v>
      </c>
      <c r="AN766" s="13" t="s">
        <v>526</v>
      </c>
      <c r="AP766" s="13" t="s">
        <v>49</v>
      </c>
      <c r="AQ766" s="13" t="s">
        <v>49</v>
      </c>
      <c r="AR766" s="13" t="s">
        <v>49</v>
      </c>
      <c r="AS766" s="13" t="s">
        <v>49</v>
      </c>
      <c r="AT766" s="13" t="s">
        <v>990</v>
      </c>
      <c r="AU766" s="13" t="s">
        <v>998</v>
      </c>
      <c r="AV766" s="14">
        <f>340/1000</f>
        <v>0.34</v>
      </c>
      <c r="AW766" s="14">
        <f>30.6/1000</f>
        <v>3.0600000000000002E-2</v>
      </c>
      <c r="AX766" s="14">
        <f>Table1347456[[#This Row],[treatment_mean]]/Table1347456[[#This Row],[control_mean]]</f>
        <v>11.111111111111111</v>
      </c>
      <c r="AY766" s="14">
        <f>LN(Table1347456[[#This Row],[rr]])</f>
        <v>2.4079456086518718</v>
      </c>
      <c r="AZ766" s="13">
        <v>3</v>
      </c>
      <c r="BA766" s="13">
        <v>3</v>
      </c>
      <c r="BB766" s="14" t="s">
        <v>46</v>
      </c>
      <c r="BC766" s="14" t="s">
        <v>46</v>
      </c>
      <c r="BD766" s="15" t="s">
        <v>46</v>
      </c>
      <c r="BE766" s="14" t="s">
        <v>46</v>
      </c>
      <c r="BF76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66" s="17" t="s">
        <v>46</v>
      </c>
      <c r="BH766" s="13" t="s">
        <v>50</v>
      </c>
      <c r="BI766" s="13">
        <v>2.5000000000000001E-2</v>
      </c>
      <c r="BJ766" s="18">
        <f>ABS(_xlfn.NORM.S.INV(Table1347456[[#This Row],[p_value]]/2))</f>
        <v>2.2414027276049446</v>
      </c>
      <c r="BK766" s="19">
        <f>(Table1347456[[#This Row],[lnrr]]/Table1347456[[#This Row],[z_from_p]])^2</f>
        <v>1.154126872711819</v>
      </c>
      <c r="BL766" s="16">
        <f>Table1347456[[#This Row],[v_from_z_from_p]]</f>
        <v>1.154126872711819</v>
      </c>
      <c r="BM766" s="20">
        <f>SQRT(Table1347456[[#This Row],[v]])</f>
        <v>1.0743029706334331</v>
      </c>
      <c r="BN766" s="20">
        <f>Table1347456[[#This Row],[lnrr]]-(1.96*Table1347456[[#This Row],[se]])</f>
        <v>0.30231178621034305</v>
      </c>
      <c r="BO766" s="20">
        <f>Table1347456[[#This Row],[lnrr]]+(1.96 * Table1347456[[#This Row],[se]])</f>
        <v>4.513579431093401</v>
      </c>
    </row>
    <row r="767" spans="1:67">
      <c r="A767" s="13" t="s">
        <v>272</v>
      </c>
      <c r="B767" s="13" t="s">
        <v>273</v>
      </c>
      <c r="C767" s="13" t="s">
        <v>43</v>
      </c>
      <c r="D767" s="13" t="s">
        <v>274</v>
      </c>
      <c r="E767" s="13" t="s">
        <v>132</v>
      </c>
      <c r="F767" s="13" t="s">
        <v>589</v>
      </c>
      <c r="G767" s="13" t="s">
        <v>46</v>
      </c>
      <c r="H767" s="13">
        <v>25</v>
      </c>
      <c r="I767" s="13" t="s">
        <v>46</v>
      </c>
      <c r="K767" s="13" t="s">
        <v>886</v>
      </c>
      <c r="L767" s="13" t="s">
        <v>887</v>
      </c>
      <c r="N767" s="13" t="s">
        <v>121</v>
      </c>
      <c r="O767" s="13" t="s">
        <v>645</v>
      </c>
      <c r="P767" s="13" t="s">
        <v>85</v>
      </c>
      <c r="Q767" s="13" t="s">
        <v>48</v>
      </c>
      <c r="R767" s="4">
        <v>3</v>
      </c>
      <c r="S767" s="13" t="s">
        <v>595</v>
      </c>
      <c r="T767" s="13">
        <v>14</v>
      </c>
      <c r="U767" s="4" t="s">
        <v>277</v>
      </c>
      <c r="V767" s="4">
        <v>450</v>
      </c>
      <c r="W767" s="4" t="s">
        <v>601</v>
      </c>
      <c r="X767" s="4" t="s">
        <v>278</v>
      </c>
      <c r="Y767" s="4">
        <v>10</v>
      </c>
      <c r="AA767" s="4" t="s">
        <v>49</v>
      </c>
      <c r="AB767" s="4">
        <v>0</v>
      </c>
      <c r="AC767" s="4" t="s">
        <v>49</v>
      </c>
      <c r="AD767" s="4">
        <v>0</v>
      </c>
      <c r="AE767" s="4" t="s">
        <v>49</v>
      </c>
      <c r="AF767" s="4">
        <v>0</v>
      </c>
      <c r="AG767" s="4" t="s">
        <v>706</v>
      </c>
      <c r="AH767" s="4" t="s">
        <v>704</v>
      </c>
      <c r="AI767" s="4" t="s">
        <v>64</v>
      </c>
      <c r="AJ767" s="13">
        <v>0</v>
      </c>
      <c r="AK767" s="13">
        <v>25</v>
      </c>
      <c r="AL767" s="13" t="s">
        <v>524</v>
      </c>
      <c r="AM767" s="13" t="s">
        <v>525</v>
      </c>
      <c r="AN767" s="13" t="s">
        <v>526</v>
      </c>
      <c r="AP767" s="13" t="s">
        <v>49</v>
      </c>
      <c r="AQ767" s="13" t="s">
        <v>49</v>
      </c>
      <c r="AR767" s="13" t="s">
        <v>49</v>
      </c>
      <c r="AS767" s="13" t="s">
        <v>49</v>
      </c>
      <c r="AT767" s="13" t="s">
        <v>990</v>
      </c>
      <c r="AU767" s="13" t="s">
        <v>998</v>
      </c>
      <c r="AV767" s="14">
        <f>57.3/1000</f>
        <v>5.7299999999999997E-2</v>
      </c>
      <c r="AW767" s="14">
        <f>30.6/1000</f>
        <v>3.0600000000000002E-2</v>
      </c>
      <c r="AX767" s="14">
        <f>Table1347456[[#This Row],[treatment_mean]]/Table1347456[[#This Row],[control_mean]]</f>
        <v>1.8725490196078429</v>
      </c>
      <c r="AY767" s="14">
        <f>LN(Table1347456[[#This Row],[rr]])</f>
        <v>0.62730061476235865</v>
      </c>
      <c r="AZ767" s="13">
        <v>3</v>
      </c>
      <c r="BA767" s="13">
        <v>3</v>
      </c>
      <c r="BB767" s="14" t="s">
        <v>46</v>
      </c>
      <c r="BC767" s="14" t="s">
        <v>46</v>
      </c>
      <c r="BD767" s="15" t="s">
        <v>46</v>
      </c>
      <c r="BE767" s="14" t="s">
        <v>46</v>
      </c>
      <c r="BF76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67" s="17" t="s">
        <v>46</v>
      </c>
      <c r="BH767" s="13" t="s">
        <v>50</v>
      </c>
      <c r="BI767" s="13">
        <v>2.5000000000000001E-2</v>
      </c>
      <c r="BJ767" s="18">
        <f>ABS(_xlfn.NORM.S.INV(Table1347456[[#This Row],[p_value]]/2))</f>
        <v>2.2414027276049446</v>
      </c>
      <c r="BK767" s="19">
        <f>(Table1347456[[#This Row],[lnrr]]/Table1347456[[#This Row],[z_from_p]])^2</f>
        <v>7.8327025455875249E-2</v>
      </c>
      <c r="BL767" s="16">
        <f>Table1347456[[#This Row],[v_from_z_from_p]]</f>
        <v>7.8327025455875249E-2</v>
      </c>
      <c r="BM767" s="20">
        <f>SQRT(Table1347456[[#This Row],[v]])</f>
        <v>0.279869657976486</v>
      </c>
      <c r="BN767" s="20">
        <f>Table1347456[[#This Row],[lnrr]]-(1.96*Table1347456[[#This Row],[se]])</f>
        <v>7.8756085128446118E-2</v>
      </c>
      <c r="BO767" s="20">
        <f>Table1347456[[#This Row],[lnrr]]+(1.96 * Table1347456[[#This Row],[se]])</f>
        <v>1.1758451443962712</v>
      </c>
    </row>
    <row r="768" spans="1:67">
      <c r="A768" s="13" t="s">
        <v>272</v>
      </c>
      <c r="B768" s="13" t="s">
        <v>273</v>
      </c>
      <c r="C768" s="13" t="s">
        <v>43</v>
      </c>
      <c r="D768" s="13" t="s">
        <v>274</v>
      </c>
      <c r="E768" s="13" t="s">
        <v>132</v>
      </c>
      <c r="F768" s="13" t="s">
        <v>589</v>
      </c>
      <c r="G768" s="13" t="s">
        <v>46</v>
      </c>
      <c r="H768" s="13">
        <v>25</v>
      </c>
      <c r="I768" s="13" t="s">
        <v>46</v>
      </c>
      <c r="K768" s="13" t="s">
        <v>886</v>
      </c>
      <c r="L768" s="13" t="s">
        <v>887</v>
      </c>
      <c r="N768" s="13" t="s">
        <v>121</v>
      </c>
      <c r="O768" s="13" t="s">
        <v>645</v>
      </c>
      <c r="P768" s="13" t="s">
        <v>85</v>
      </c>
      <c r="Q768" s="13" t="s">
        <v>48</v>
      </c>
      <c r="R768" s="4">
        <v>3</v>
      </c>
      <c r="S768" s="13" t="s">
        <v>595</v>
      </c>
      <c r="T768" s="13">
        <v>28</v>
      </c>
      <c r="U768" s="4" t="s">
        <v>275</v>
      </c>
      <c r="V768" s="4">
        <v>450</v>
      </c>
      <c r="W768" s="4" t="s">
        <v>601</v>
      </c>
      <c r="X768" s="4" t="s">
        <v>276</v>
      </c>
      <c r="Y768" s="4">
        <v>10</v>
      </c>
      <c r="AA768" s="4" t="s">
        <v>49</v>
      </c>
      <c r="AB768" s="4">
        <v>0</v>
      </c>
      <c r="AC768" s="4" t="s">
        <v>49</v>
      </c>
      <c r="AD768" s="4">
        <v>0</v>
      </c>
      <c r="AE768" s="4" t="s">
        <v>49</v>
      </c>
      <c r="AF768" s="4">
        <v>0</v>
      </c>
      <c r="AG768" s="4" t="s">
        <v>705</v>
      </c>
      <c r="AH768" s="4" t="s">
        <v>704</v>
      </c>
      <c r="AI768" s="4" t="s">
        <v>64</v>
      </c>
      <c r="AJ768" s="13">
        <v>0</v>
      </c>
      <c r="AK768" s="13">
        <v>25</v>
      </c>
      <c r="AL768" s="13" t="s">
        <v>524</v>
      </c>
      <c r="AM768" s="13" t="s">
        <v>525</v>
      </c>
      <c r="AN768" s="13" t="s">
        <v>526</v>
      </c>
      <c r="AP768" s="13" t="s">
        <v>49</v>
      </c>
      <c r="AQ768" s="13" t="s">
        <v>49</v>
      </c>
      <c r="AR768" s="13" t="s">
        <v>49</v>
      </c>
      <c r="AS768" s="13" t="s">
        <v>49</v>
      </c>
      <c r="AT768" s="13" t="s">
        <v>990</v>
      </c>
      <c r="AU768" s="13" t="s">
        <v>998</v>
      </c>
      <c r="AV768" s="14">
        <f>314/1000</f>
        <v>0.314</v>
      </c>
      <c r="AW768" s="14">
        <f>30/1000</f>
        <v>0.03</v>
      </c>
      <c r="AX768" s="14">
        <f>Table1347456[[#This Row],[treatment_mean]]/Table1347456[[#This Row],[control_mean]]</f>
        <v>10.466666666666667</v>
      </c>
      <c r="AY768" s="14">
        <f>LN(Table1347456[[#This Row],[rr]])</f>
        <v>2.3481956042460981</v>
      </c>
      <c r="AZ768" s="13">
        <v>3</v>
      </c>
      <c r="BA768" s="13">
        <v>3</v>
      </c>
      <c r="BB768" s="14" t="s">
        <v>46</v>
      </c>
      <c r="BC768" s="14" t="s">
        <v>46</v>
      </c>
      <c r="BD768" s="15" t="s">
        <v>46</v>
      </c>
      <c r="BE768" s="14" t="s">
        <v>46</v>
      </c>
      <c r="BF76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68" s="17" t="s">
        <v>46</v>
      </c>
      <c r="BH768" s="13" t="s">
        <v>50</v>
      </c>
      <c r="BI768" s="13">
        <v>2.5000000000000001E-2</v>
      </c>
      <c r="BJ768" s="18">
        <f>ABS(_xlfn.NORM.S.INV(Table1347456[[#This Row],[p_value]]/2))</f>
        <v>2.2414027276049446</v>
      </c>
      <c r="BK768" s="19">
        <f>(Table1347456[[#This Row],[lnrr]]/Table1347456[[#This Row],[z_from_p]])^2</f>
        <v>1.0975612086363316</v>
      </c>
      <c r="BL768" s="16">
        <f>Table1347456[[#This Row],[v_from_z_from_p]]</f>
        <v>1.0975612086363316</v>
      </c>
      <c r="BM768" s="20">
        <f>SQRT(Table1347456[[#This Row],[v]])</f>
        <v>1.0476455548687884</v>
      </c>
      <c r="BN768" s="20">
        <f>Table1347456[[#This Row],[lnrr]]-(1.96*Table1347456[[#This Row],[se]])</f>
        <v>0.29481031670327296</v>
      </c>
      <c r="BO768" s="20">
        <f>Table1347456[[#This Row],[lnrr]]+(1.96 * Table1347456[[#This Row],[se]])</f>
        <v>4.4015808917889228</v>
      </c>
    </row>
    <row r="769" spans="1:67">
      <c r="A769" s="13" t="s">
        <v>272</v>
      </c>
      <c r="B769" s="13" t="s">
        <v>273</v>
      </c>
      <c r="C769" s="13" t="s">
        <v>43</v>
      </c>
      <c r="D769" s="13" t="s">
        <v>274</v>
      </c>
      <c r="E769" s="13" t="s">
        <v>132</v>
      </c>
      <c r="F769" s="13" t="s">
        <v>589</v>
      </c>
      <c r="G769" s="13" t="s">
        <v>46</v>
      </c>
      <c r="H769" s="13">
        <v>25</v>
      </c>
      <c r="I769" s="13" t="s">
        <v>46</v>
      </c>
      <c r="K769" s="13" t="s">
        <v>886</v>
      </c>
      <c r="L769" s="13" t="s">
        <v>887</v>
      </c>
      <c r="N769" s="13" t="s">
        <v>121</v>
      </c>
      <c r="O769" s="13" t="s">
        <v>645</v>
      </c>
      <c r="P769" s="13" t="s">
        <v>85</v>
      </c>
      <c r="Q769" s="13" t="s">
        <v>48</v>
      </c>
      <c r="R769" s="4">
        <v>3</v>
      </c>
      <c r="S769" s="13" t="s">
        <v>595</v>
      </c>
      <c r="T769" s="13">
        <v>28</v>
      </c>
      <c r="U769" s="4" t="s">
        <v>277</v>
      </c>
      <c r="V769" s="4">
        <v>450</v>
      </c>
      <c r="W769" s="4" t="s">
        <v>601</v>
      </c>
      <c r="X769" s="4" t="s">
        <v>278</v>
      </c>
      <c r="Y769" s="4">
        <v>10</v>
      </c>
      <c r="AA769" s="4" t="s">
        <v>49</v>
      </c>
      <c r="AB769" s="4">
        <v>0</v>
      </c>
      <c r="AC769" s="4" t="s">
        <v>49</v>
      </c>
      <c r="AD769" s="4">
        <v>0</v>
      </c>
      <c r="AE769" s="4" t="s">
        <v>49</v>
      </c>
      <c r="AF769" s="4">
        <v>0</v>
      </c>
      <c r="AG769" s="4" t="s">
        <v>706</v>
      </c>
      <c r="AH769" s="4" t="s">
        <v>704</v>
      </c>
      <c r="AI769" s="4" t="s">
        <v>64</v>
      </c>
      <c r="AJ769" s="13">
        <v>0</v>
      </c>
      <c r="AK769" s="13">
        <v>25</v>
      </c>
      <c r="AL769" s="13" t="s">
        <v>524</v>
      </c>
      <c r="AM769" s="13" t="s">
        <v>525</v>
      </c>
      <c r="AN769" s="13" t="s">
        <v>526</v>
      </c>
      <c r="AP769" s="13" t="s">
        <v>49</v>
      </c>
      <c r="AQ769" s="13" t="s">
        <v>49</v>
      </c>
      <c r="AR769" s="13" t="s">
        <v>49</v>
      </c>
      <c r="AS769" s="13" t="s">
        <v>49</v>
      </c>
      <c r="AT769" s="13" t="s">
        <v>990</v>
      </c>
      <c r="AU769" s="13" t="s">
        <v>998</v>
      </c>
      <c r="AV769" s="14">
        <f>57.3/1000</f>
        <v>5.7299999999999997E-2</v>
      </c>
      <c r="AW769" s="14">
        <f>30/1000</f>
        <v>0.03</v>
      </c>
      <c r="AX769" s="14">
        <f>Table1347456[[#This Row],[treatment_mean]]/Table1347456[[#This Row],[control_mean]]</f>
        <v>1.91</v>
      </c>
      <c r="AY769" s="14">
        <f>LN(Table1347456[[#This Row],[rr]])</f>
        <v>0.64710324205853842</v>
      </c>
      <c r="AZ769" s="13">
        <v>3</v>
      </c>
      <c r="BA769" s="13">
        <v>3</v>
      </c>
      <c r="BB769" s="14" t="s">
        <v>46</v>
      </c>
      <c r="BC769" s="14" t="s">
        <v>46</v>
      </c>
      <c r="BD769" s="15" t="s">
        <v>46</v>
      </c>
      <c r="BE769" s="14" t="s">
        <v>46</v>
      </c>
      <c r="BF76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69" s="17" t="s">
        <v>46</v>
      </c>
      <c r="BH769" s="13" t="s">
        <v>50</v>
      </c>
      <c r="BI769" s="13">
        <v>2.5000000000000001E-2</v>
      </c>
      <c r="BJ769" s="18">
        <f>ABS(_xlfn.NORM.S.INV(Table1347456[[#This Row],[p_value]]/2))</f>
        <v>2.2414027276049446</v>
      </c>
      <c r="BK769" s="19">
        <f>(Table1347456[[#This Row],[lnrr]]/Table1347456[[#This Row],[z_from_p]])^2</f>
        <v>8.3350336824902602E-2</v>
      </c>
      <c r="BL769" s="16">
        <f>Table1347456[[#This Row],[v_from_z_from_p]]</f>
        <v>8.3350336824902602E-2</v>
      </c>
      <c r="BM769" s="20">
        <f>SQRT(Table1347456[[#This Row],[v]])</f>
        <v>0.2887045840039652</v>
      </c>
      <c r="BN769" s="20">
        <f>Table1347456[[#This Row],[lnrr]]-(1.96*Table1347456[[#This Row],[se]])</f>
        <v>8.1242257410766627E-2</v>
      </c>
      <c r="BO769" s="20">
        <f>Table1347456[[#This Row],[lnrr]]+(1.96 * Table1347456[[#This Row],[se]])</f>
        <v>1.2129642267063101</v>
      </c>
    </row>
    <row r="770" spans="1:67">
      <c r="A770" s="13" t="s">
        <v>272</v>
      </c>
      <c r="B770" s="13" t="s">
        <v>273</v>
      </c>
      <c r="C770" s="13" t="s">
        <v>43</v>
      </c>
      <c r="D770" s="13" t="s">
        <v>274</v>
      </c>
      <c r="E770" s="13" t="s">
        <v>132</v>
      </c>
      <c r="F770" s="13" t="s">
        <v>589</v>
      </c>
      <c r="G770" s="13" t="s">
        <v>46</v>
      </c>
      <c r="H770" s="13">
        <v>25</v>
      </c>
      <c r="I770" s="13" t="s">
        <v>46</v>
      </c>
      <c r="K770" s="13" t="s">
        <v>886</v>
      </c>
      <c r="L770" s="13" t="s">
        <v>887</v>
      </c>
      <c r="N770" s="13" t="s">
        <v>121</v>
      </c>
      <c r="O770" s="13" t="s">
        <v>645</v>
      </c>
      <c r="P770" s="13" t="s">
        <v>85</v>
      </c>
      <c r="Q770" s="13" t="s">
        <v>48</v>
      </c>
      <c r="R770" s="4">
        <v>3</v>
      </c>
      <c r="S770" s="13" t="s">
        <v>595</v>
      </c>
      <c r="T770" s="13">
        <v>42</v>
      </c>
      <c r="U770" s="4" t="s">
        <v>275</v>
      </c>
      <c r="V770" s="4">
        <v>450</v>
      </c>
      <c r="W770" s="4" t="s">
        <v>601</v>
      </c>
      <c r="X770" s="4" t="s">
        <v>276</v>
      </c>
      <c r="Y770" s="4">
        <v>10</v>
      </c>
      <c r="AA770" s="4" t="s">
        <v>49</v>
      </c>
      <c r="AB770" s="4">
        <v>0</v>
      </c>
      <c r="AC770" s="4" t="s">
        <v>49</v>
      </c>
      <c r="AD770" s="4">
        <v>0</v>
      </c>
      <c r="AE770" s="4" t="s">
        <v>49</v>
      </c>
      <c r="AF770" s="4">
        <v>0</v>
      </c>
      <c r="AG770" s="4" t="s">
        <v>705</v>
      </c>
      <c r="AH770" s="4" t="s">
        <v>704</v>
      </c>
      <c r="AI770" s="4" t="s">
        <v>64</v>
      </c>
      <c r="AJ770" s="13">
        <v>0</v>
      </c>
      <c r="AK770" s="13">
        <v>25</v>
      </c>
      <c r="AL770" s="13" t="s">
        <v>524</v>
      </c>
      <c r="AM770" s="13" t="s">
        <v>525</v>
      </c>
      <c r="AN770" s="13" t="s">
        <v>526</v>
      </c>
      <c r="AP770" s="13" t="s">
        <v>49</v>
      </c>
      <c r="AQ770" s="13" t="s">
        <v>49</v>
      </c>
      <c r="AR770" s="13" t="s">
        <v>49</v>
      </c>
      <c r="AS770" s="13" t="s">
        <v>49</v>
      </c>
      <c r="AT770" s="13" t="s">
        <v>990</v>
      </c>
      <c r="AU770" s="13" t="s">
        <v>998</v>
      </c>
      <c r="AV770" s="14">
        <f>323/1000</f>
        <v>0.32300000000000001</v>
      </c>
      <c r="AW770" s="14">
        <f>31/1000</f>
        <v>3.1E-2</v>
      </c>
      <c r="AX770" s="14">
        <f>Table1347456[[#This Row],[treatment_mean]]/Table1347456[[#This Row],[control_mean]]</f>
        <v>10.419354838709678</v>
      </c>
      <c r="AY770" s="14">
        <f>LN(Table1347456[[#This Row],[rr]])</f>
        <v>2.3436651187375102</v>
      </c>
      <c r="AZ770" s="13">
        <v>3</v>
      </c>
      <c r="BA770" s="13">
        <v>3</v>
      </c>
      <c r="BB770" s="14" t="s">
        <v>46</v>
      </c>
      <c r="BC770" s="14" t="s">
        <v>46</v>
      </c>
      <c r="BD770" s="15" t="s">
        <v>46</v>
      </c>
      <c r="BE770" s="14" t="s">
        <v>46</v>
      </c>
      <c r="BF77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70" s="17" t="s">
        <v>46</v>
      </c>
      <c r="BH770" s="13" t="s">
        <v>50</v>
      </c>
      <c r="BI770" s="13">
        <v>2.5000000000000001E-2</v>
      </c>
      <c r="BJ770" s="18">
        <f>ABS(_xlfn.NORM.S.INV(Table1347456[[#This Row],[p_value]]/2))</f>
        <v>2.2414027276049446</v>
      </c>
      <c r="BK770" s="19">
        <f>(Table1347456[[#This Row],[lnrr]]/Table1347456[[#This Row],[z_from_p]])^2</f>
        <v>1.0933301400529187</v>
      </c>
      <c r="BL770" s="16">
        <f>Table1347456[[#This Row],[v_from_z_from_p]]</f>
        <v>1.0933301400529187</v>
      </c>
      <c r="BM770" s="20">
        <f>SQRT(Table1347456[[#This Row],[v]])</f>
        <v>1.0456242824518369</v>
      </c>
      <c r="BN770" s="20">
        <f>Table1347456[[#This Row],[lnrr]]-(1.96*Table1347456[[#This Row],[se]])</f>
        <v>0.29424152513190993</v>
      </c>
      <c r="BO770" s="20">
        <f>Table1347456[[#This Row],[lnrr]]+(1.96 * Table1347456[[#This Row],[se]])</f>
        <v>4.3930887123431104</v>
      </c>
    </row>
    <row r="771" spans="1:67">
      <c r="A771" s="13" t="s">
        <v>272</v>
      </c>
      <c r="B771" s="13" t="s">
        <v>273</v>
      </c>
      <c r="C771" s="13" t="s">
        <v>43</v>
      </c>
      <c r="D771" s="13" t="s">
        <v>274</v>
      </c>
      <c r="E771" s="13" t="s">
        <v>132</v>
      </c>
      <c r="F771" s="13" t="s">
        <v>589</v>
      </c>
      <c r="G771" s="13" t="s">
        <v>46</v>
      </c>
      <c r="H771" s="13">
        <v>25</v>
      </c>
      <c r="I771" s="13" t="s">
        <v>46</v>
      </c>
      <c r="K771" s="13" t="s">
        <v>886</v>
      </c>
      <c r="L771" s="13" t="s">
        <v>887</v>
      </c>
      <c r="N771" s="13" t="s">
        <v>121</v>
      </c>
      <c r="O771" s="13" t="s">
        <v>645</v>
      </c>
      <c r="P771" s="13" t="s">
        <v>85</v>
      </c>
      <c r="Q771" s="13" t="s">
        <v>48</v>
      </c>
      <c r="R771" s="4">
        <v>3</v>
      </c>
      <c r="S771" s="13" t="s">
        <v>595</v>
      </c>
      <c r="T771" s="13">
        <v>42</v>
      </c>
      <c r="U771" s="4" t="s">
        <v>277</v>
      </c>
      <c r="V771" s="4">
        <v>450</v>
      </c>
      <c r="W771" s="4" t="s">
        <v>601</v>
      </c>
      <c r="X771" s="4" t="s">
        <v>278</v>
      </c>
      <c r="Y771" s="4">
        <v>10</v>
      </c>
      <c r="AA771" s="4" t="s">
        <v>49</v>
      </c>
      <c r="AB771" s="4">
        <v>0</v>
      </c>
      <c r="AC771" s="4" t="s">
        <v>49</v>
      </c>
      <c r="AD771" s="4">
        <v>0</v>
      </c>
      <c r="AE771" s="4" t="s">
        <v>49</v>
      </c>
      <c r="AF771" s="4">
        <v>0</v>
      </c>
      <c r="AG771" s="4" t="s">
        <v>706</v>
      </c>
      <c r="AH771" s="4" t="s">
        <v>704</v>
      </c>
      <c r="AI771" s="4" t="s">
        <v>64</v>
      </c>
      <c r="AJ771" s="13">
        <v>0</v>
      </c>
      <c r="AK771" s="13">
        <v>25</v>
      </c>
      <c r="AL771" s="13" t="s">
        <v>524</v>
      </c>
      <c r="AM771" s="13" t="s">
        <v>525</v>
      </c>
      <c r="AN771" s="13" t="s">
        <v>526</v>
      </c>
      <c r="AP771" s="13" t="s">
        <v>49</v>
      </c>
      <c r="AQ771" s="13" t="s">
        <v>49</v>
      </c>
      <c r="AR771" s="13" t="s">
        <v>49</v>
      </c>
      <c r="AS771" s="13" t="s">
        <v>49</v>
      </c>
      <c r="AT771" s="13" t="s">
        <v>990</v>
      </c>
      <c r="AU771" s="13" t="s">
        <v>998</v>
      </c>
      <c r="AV771" s="14">
        <f>58.3/1000</f>
        <v>5.8299999999999998E-2</v>
      </c>
      <c r="AW771" s="14">
        <f>31/1000</f>
        <v>3.1E-2</v>
      </c>
      <c r="AX771" s="14">
        <f>Table1347456[[#This Row],[treatment_mean]]/Table1347456[[#This Row],[control_mean]]</f>
        <v>1.8806451612903226</v>
      </c>
      <c r="AY771" s="14">
        <f>LN(Table1347456[[#This Row],[rr]])</f>
        <v>0.63161488887130046</v>
      </c>
      <c r="AZ771" s="13">
        <v>3</v>
      </c>
      <c r="BA771" s="13">
        <v>3</v>
      </c>
      <c r="BB771" s="14" t="s">
        <v>46</v>
      </c>
      <c r="BC771" s="14" t="s">
        <v>46</v>
      </c>
      <c r="BD771" s="15" t="s">
        <v>46</v>
      </c>
      <c r="BE771" s="14" t="s">
        <v>46</v>
      </c>
      <c r="BF77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71" s="17" t="s">
        <v>46</v>
      </c>
      <c r="BH771" s="13" t="s">
        <v>50</v>
      </c>
      <c r="BI771" s="13">
        <v>2.5000000000000001E-2</v>
      </c>
      <c r="BJ771" s="18">
        <f>ABS(_xlfn.NORM.S.INV(Table1347456[[#This Row],[p_value]]/2))</f>
        <v>2.2414027276049446</v>
      </c>
      <c r="BK771" s="19">
        <f>(Table1347456[[#This Row],[lnrr]]/Table1347456[[#This Row],[z_from_p]])^2</f>
        <v>7.9408122112958376E-2</v>
      </c>
      <c r="BL771" s="16">
        <f>Table1347456[[#This Row],[v_from_z_from_p]]</f>
        <v>7.9408122112958376E-2</v>
      </c>
      <c r="BM771" s="20">
        <f>SQRT(Table1347456[[#This Row],[v]])</f>
        <v>0.28179446785371493</v>
      </c>
      <c r="BN771" s="20">
        <f>Table1347456[[#This Row],[lnrr]]-(1.96*Table1347456[[#This Row],[se]])</f>
        <v>7.9297731878019251E-2</v>
      </c>
      <c r="BO771" s="20">
        <f>Table1347456[[#This Row],[lnrr]]+(1.96 * Table1347456[[#This Row],[se]])</f>
        <v>1.1839320458645817</v>
      </c>
    </row>
    <row r="772" spans="1:67">
      <c r="A772" s="13" t="s">
        <v>272</v>
      </c>
      <c r="B772" s="13" t="s">
        <v>273</v>
      </c>
      <c r="C772" s="13" t="s">
        <v>43</v>
      </c>
      <c r="D772" s="13" t="s">
        <v>274</v>
      </c>
      <c r="E772" s="13" t="s">
        <v>132</v>
      </c>
      <c r="F772" s="13" t="s">
        <v>589</v>
      </c>
      <c r="G772" s="13" t="s">
        <v>46</v>
      </c>
      <c r="H772" s="13">
        <v>25</v>
      </c>
      <c r="I772" s="13" t="s">
        <v>46</v>
      </c>
      <c r="K772" s="13" t="s">
        <v>886</v>
      </c>
      <c r="L772" s="13" t="s">
        <v>887</v>
      </c>
      <c r="N772" s="13" t="s">
        <v>121</v>
      </c>
      <c r="O772" s="13" t="s">
        <v>645</v>
      </c>
      <c r="P772" s="13" t="s">
        <v>85</v>
      </c>
      <c r="Q772" s="13" t="s">
        <v>48</v>
      </c>
      <c r="R772" s="4">
        <v>3</v>
      </c>
      <c r="S772" s="13" t="s">
        <v>595</v>
      </c>
      <c r="T772" s="13">
        <v>63</v>
      </c>
      <c r="U772" s="4" t="s">
        <v>275</v>
      </c>
      <c r="V772" s="4">
        <v>450</v>
      </c>
      <c r="W772" s="4" t="s">
        <v>601</v>
      </c>
      <c r="X772" s="4" t="s">
        <v>276</v>
      </c>
      <c r="Y772" s="4">
        <v>10</v>
      </c>
      <c r="AA772" s="4" t="s">
        <v>49</v>
      </c>
      <c r="AB772" s="4">
        <v>0</v>
      </c>
      <c r="AC772" s="4" t="s">
        <v>49</v>
      </c>
      <c r="AD772" s="4">
        <v>0</v>
      </c>
      <c r="AE772" s="4" t="s">
        <v>49</v>
      </c>
      <c r="AF772" s="4">
        <v>0</v>
      </c>
      <c r="AG772" s="4" t="s">
        <v>705</v>
      </c>
      <c r="AH772" s="4" t="s">
        <v>704</v>
      </c>
      <c r="AI772" s="4" t="s">
        <v>64</v>
      </c>
      <c r="AJ772" s="13">
        <v>0</v>
      </c>
      <c r="AK772" s="13">
        <v>25</v>
      </c>
      <c r="AL772" s="13" t="s">
        <v>524</v>
      </c>
      <c r="AM772" s="13" t="s">
        <v>525</v>
      </c>
      <c r="AN772" s="13" t="s">
        <v>526</v>
      </c>
      <c r="AP772" s="13" t="s">
        <v>49</v>
      </c>
      <c r="AQ772" s="13" t="s">
        <v>49</v>
      </c>
      <c r="AR772" s="13" t="s">
        <v>49</v>
      </c>
      <c r="AS772" s="13" t="s">
        <v>49</v>
      </c>
      <c r="AT772" s="13" t="s">
        <v>990</v>
      </c>
      <c r="AU772" s="13" t="s">
        <v>998</v>
      </c>
      <c r="AV772" s="14">
        <f>317/1000</f>
        <v>0.317</v>
      </c>
      <c r="AW772" s="14">
        <f>30/1000</f>
        <v>0.03</v>
      </c>
      <c r="AX772" s="14">
        <f>Table1347456[[#This Row],[treatment_mean]]/Table1347456[[#This Row],[control_mean]]</f>
        <v>10.566666666666666</v>
      </c>
      <c r="AY772" s="14">
        <f>LN(Table1347456[[#This Row],[rr]])</f>
        <v>2.3577043922151253</v>
      </c>
      <c r="AZ772" s="13">
        <v>3</v>
      </c>
      <c r="BA772" s="13">
        <v>3</v>
      </c>
      <c r="BB772" s="14" t="s">
        <v>46</v>
      </c>
      <c r="BC772" s="14" t="s">
        <v>46</v>
      </c>
      <c r="BD772" s="15" t="s">
        <v>46</v>
      </c>
      <c r="BE772" s="14" t="s">
        <v>46</v>
      </c>
      <c r="BF77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72" s="17" t="s">
        <v>46</v>
      </c>
      <c r="BH772" s="13" t="s">
        <v>50</v>
      </c>
      <c r="BI772" s="13">
        <v>2.5000000000000001E-2</v>
      </c>
      <c r="BJ772" s="18">
        <f>ABS(_xlfn.NORM.S.INV(Table1347456[[#This Row],[p_value]]/2))</f>
        <v>2.2414027276049446</v>
      </c>
      <c r="BK772" s="19">
        <f>(Table1347456[[#This Row],[lnrr]]/Table1347456[[#This Row],[z_from_p]])^2</f>
        <v>1.1064681391680744</v>
      </c>
      <c r="BL772" s="16">
        <f>Table1347456[[#This Row],[v_from_z_from_p]]</f>
        <v>1.1064681391680744</v>
      </c>
      <c r="BM772" s="20">
        <f>SQRT(Table1347456[[#This Row],[v]])</f>
        <v>1.0518878928707538</v>
      </c>
      <c r="BN772" s="20">
        <f>Table1347456[[#This Row],[lnrr]]-(1.96*Table1347456[[#This Row],[se]])</f>
        <v>0.29600412218844774</v>
      </c>
      <c r="BO772" s="20">
        <f>Table1347456[[#This Row],[lnrr]]+(1.96 * Table1347456[[#This Row],[se]])</f>
        <v>4.4194046622418028</v>
      </c>
    </row>
    <row r="773" spans="1:67">
      <c r="A773" s="13" t="s">
        <v>272</v>
      </c>
      <c r="B773" s="13" t="s">
        <v>273</v>
      </c>
      <c r="C773" s="13" t="s">
        <v>43</v>
      </c>
      <c r="D773" s="13" t="s">
        <v>274</v>
      </c>
      <c r="E773" s="13" t="s">
        <v>132</v>
      </c>
      <c r="F773" s="13" t="s">
        <v>589</v>
      </c>
      <c r="G773" s="13" t="s">
        <v>46</v>
      </c>
      <c r="H773" s="13">
        <v>25</v>
      </c>
      <c r="I773" s="13" t="s">
        <v>46</v>
      </c>
      <c r="K773" s="13" t="s">
        <v>886</v>
      </c>
      <c r="L773" s="13" t="s">
        <v>887</v>
      </c>
      <c r="N773" s="13" t="s">
        <v>121</v>
      </c>
      <c r="O773" s="13" t="s">
        <v>645</v>
      </c>
      <c r="P773" s="13" t="s">
        <v>85</v>
      </c>
      <c r="Q773" s="13" t="s">
        <v>48</v>
      </c>
      <c r="R773" s="4">
        <v>3</v>
      </c>
      <c r="S773" s="13" t="s">
        <v>595</v>
      </c>
      <c r="T773" s="13">
        <v>63</v>
      </c>
      <c r="U773" s="4" t="s">
        <v>277</v>
      </c>
      <c r="V773" s="4">
        <v>450</v>
      </c>
      <c r="W773" s="4" t="s">
        <v>601</v>
      </c>
      <c r="X773" s="4" t="s">
        <v>278</v>
      </c>
      <c r="Y773" s="4">
        <v>10</v>
      </c>
      <c r="AA773" s="4" t="s">
        <v>49</v>
      </c>
      <c r="AB773" s="4">
        <v>0</v>
      </c>
      <c r="AC773" s="4" t="s">
        <v>49</v>
      </c>
      <c r="AD773" s="4">
        <v>0</v>
      </c>
      <c r="AE773" s="4" t="s">
        <v>49</v>
      </c>
      <c r="AF773" s="4">
        <v>0</v>
      </c>
      <c r="AG773" s="4" t="s">
        <v>706</v>
      </c>
      <c r="AH773" s="4" t="s">
        <v>704</v>
      </c>
      <c r="AI773" s="4" t="s">
        <v>64</v>
      </c>
      <c r="AJ773" s="13">
        <v>0</v>
      </c>
      <c r="AK773" s="13">
        <v>25</v>
      </c>
      <c r="AL773" s="13" t="s">
        <v>524</v>
      </c>
      <c r="AM773" s="13" t="s">
        <v>525</v>
      </c>
      <c r="AN773" s="13" t="s">
        <v>526</v>
      </c>
      <c r="AP773" s="13" t="s">
        <v>49</v>
      </c>
      <c r="AQ773" s="13" t="s">
        <v>49</v>
      </c>
      <c r="AR773" s="13" t="s">
        <v>49</v>
      </c>
      <c r="AS773" s="13" t="s">
        <v>49</v>
      </c>
      <c r="AT773" s="13" t="s">
        <v>990</v>
      </c>
      <c r="AU773" s="13" t="s">
        <v>998</v>
      </c>
      <c r="AV773" s="14">
        <f>58/1000</f>
        <v>5.8000000000000003E-2</v>
      </c>
      <c r="AW773" s="14">
        <f>30/1000</f>
        <v>0.03</v>
      </c>
      <c r="AX773" s="14">
        <f>Table1347456[[#This Row],[treatment_mean]]/Table1347456[[#This Row],[control_mean]]</f>
        <v>1.9333333333333336</v>
      </c>
      <c r="AY773" s="14">
        <f>LN(Table1347456[[#This Row],[rr]])</f>
        <v>0.65924562888426408</v>
      </c>
      <c r="AZ773" s="13">
        <v>3</v>
      </c>
      <c r="BA773" s="13">
        <v>3</v>
      </c>
      <c r="BB773" s="14" t="s">
        <v>46</v>
      </c>
      <c r="BC773" s="14" t="s">
        <v>46</v>
      </c>
      <c r="BD773" s="15" t="s">
        <v>46</v>
      </c>
      <c r="BE773" s="14" t="s">
        <v>46</v>
      </c>
      <c r="BF77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73" s="17" t="s">
        <v>46</v>
      </c>
      <c r="BH773" s="13" t="s">
        <v>50</v>
      </c>
      <c r="BI773" s="13">
        <v>2.5000000000000001E-2</v>
      </c>
      <c r="BJ773" s="18">
        <f>ABS(_xlfn.NORM.S.INV(Table1347456[[#This Row],[p_value]]/2))</f>
        <v>2.2414027276049446</v>
      </c>
      <c r="BK773" s="19">
        <f>(Table1347456[[#This Row],[lnrr]]/Table1347456[[#This Row],[z_from_p]])^2</f>
        <v>8.6507692053289106E-2</v>
      </c>
      <c r="BL773" s="16">
        <f>Table1347456[[#This Row],[v_from_z_from_p]]</f>
        <v>8.6507692053289106E-2</v>
      </c>
      <c r="BM773" s="20">
        <f>SQRT(Table1347456[[#This Row],[v]])</f>
        <v>0.29412189998925464</v>
      </c>
      <c r="BN773" s="20">
        <f>Table1347456[[#This Row],[lnrr]]-(1.96*Table1347456[[#This Row],[se]])</f>
        <v>8.2766704905325006E-2</v>
      </c>
      <c r="BO773" s="20">
        <f>Table1347456[[#This Row],[lnrr]]+(1.96 * Table1347456[[#This Row],[se]])</f>
        <v>1.235724552863203</v>
      </c>
    </row>
    <row r="774" spans="1:67">
      <c r="A774" s="13" t="s">
        <v>279</v>
      </c>
      <c r="B774" s="13" t="s">
        <v>280</v>
      </c>
      <c r="C774" s="13" t="s">
        <v>43</v>
      </c>
      <c r="D774" s="13" t="s">
        <v>281</v>
      </c>
      <c r="E774" s="13" t="s">
        <v>282</v>
      </c>
      <c r="F774" s="13" t="s">
        <v>587</v>
      </c>
      <c r="G774" s="13" t="s">
        <v>46</v>
      </c>
      <c r="H774" s="13">
        <v>22</v>
      </c>
      <c r="I774" s="13">
        <v>200</v>
      </c>
      <c r="K774" s="13" t="s">
        <v>888</v>
      </c>
      <c r="L774" s="13" t="s">
        <v>889</v>
      </c>
      <c r="N774" s="13" t="s">
        <v>47</v>
      </c>
      <c r="O774" s="13" t="s">
        <v>645</v>
      </c>
      <c r="P774" s="13" t="s">
        <v>71</v>
      </c>
      <c r="Q774" s="13" t="s">
        <v>48</v>
      </c>
      <c r="R774" s="4">
        <v>4</v>
      </c>
      <c r="S774" s="13" t="s">
        <v>594</v>
      </c>
      <c r="T774" s="13">
        <v>280</v>
      </c>
      <c r="U774" s="4" t="s">
        <v>283</v>
      </c>
      <c r="V774" s="4">
        <v>350</v>
      </c>
      <c r="W774" s="4" t="s">
        <v>42</v>
      </c>
      <c r="X774" s="4">
        <v>718</v>
      </c>
      <c r="Y774" s="4">
        <v>3.1</v>
      </c>
      <c r="AA774" s="4" t="s">
        <v>49</v>
      </c>
      <c r="AB774" s="4">
        <v>0</v>
      </c>
      <c r="AC774" s="4" t="s">
        <v>49</v>
      </c>
      <c r="AD774" s="4">
        <v>0</v>
      </c>
      <c r="AE774" s="4" t="s">
        <v>49</v>
      </c>
      <c r="AF774" s="4">
        <v>0</v>
      </c>
      <c r="AG774" s="4" t="s">
        <v>676</v>
      </c>
      <c r="AH774" s="4" t="s">
        <v>733</v>
      </c>
      <c r="AI774" s="4" t="s">
        <v>271</v>
      </c>
      <c r="AJ774" s="13">
        <v>0</v>
      </c>
      <c r="AK774" s="13">
        <v>15</v>
      </c>
      <c r="AP774" s="13" t="s">
        <v>50</v>
      </c>
      <c r="AQ774" s="13" t="s">
        <v>49</v>
      </c>
      <c r="AR774" s="13" t="s">
        <v>49</v>
      </c>
      <c r="AS774" s="13" t="s">
        <v>49</v>
      </c>
      <c r="AT774" s="13" t="s">
        <v>990</v>
      </c>
      <c r="AU774" s="13" t="s">
        <v>998</v>
      </c>
      <c r="AV774" s="14">
        <f>(52.59*1.5)/1.4/1000</f>
        <v>5.6346428571428582E-2</v>
      </c>
      <c r="AW774" s="14">
        <f>(48.34*1.5)/1.4/1000</f>
        <v>5.1792857142857154E-2</v>
      </c>
      <c r="AX774" s="14">
        <f>Table1347456[[#This Row],[treatment_mean]]/Table1347456[[#This Row],[control_mean]]</f>
        <v>1.0879189077368638</v>
      </c>
      <c r="AY774" s="14">
        <f>LN(Table1347456[[#This Row],[rr]])</f>
        <v>8.4266612325915827E-2</v>
      </c>
      <c r="AZ774" s="13">
        <v>4</v>
      </c>
      <c r="BA774" s="13">
        <v>4</v>
      </c>
      <c r="BB774" s="14">
        <f>Table1347456[[#This Row],[treatment_sd]]/SQRT(Table1347456[[#This Row],[treatment_n]])</f>
        <v>3.3910714285714291E-3</v>
      </c>
      <c r="BC774" s="14">
        <f>Table1347456[[#This Row],[control_sd]]/SQRT(Table1347456[[#This Row],[control_n]])</f>
        <v>1.9017857142857141E-3</v>
      </c>
      <c r="BD774" s="15">
        <f>(6.33*1.5)/1.4/1000</f>
        <v>6.7821428571428581E-3</v>
      </c>
      <c r="BE774" s="14">
        <f>(3.55*1.5)/1.4/1000</f>
        <v>3.8035714285714283E-3</v>
      </c>
      <c r="BF77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4.9702289665436664E-3</v>
      </c>
      <c r="BG774" s="17">
        <f>SQRT(Table1347456[[#This Row],[v_from_sd_and_n]])</f>
        <v>7.0499850826392998E-2</v>
      </c>
      <c r="BH774" s="13" t="s">
        <v>50</v>
      </c>
      <c r="BI774" s="13">
        <v>2.5000000000000001E-2</v>
      </c>
      <c r="BJ774" s="18">
        <f>ABS(_xlfn.NORM.S.INV(Table1347456[[#This Row],[p_value]]/2))</f>
        <v>2.2414027276049446</v>
      </c>
      <c r="BK774" s="19">
        <f>(Table1347456[[#This Row],[lnrr]]/Table1347456[[#This Row],[z_from_p]])^2</f>
        <v>1.413420146900538E-3</v>
      </c>
      <c r="BL774" s="16">
        <f>Table1347456[[#This Row],[v_from_sd_and_n]]</f>
        <v>4.9702289665436664E-3</v>
      </c>
      <c r="BM774" s="20">
        <f>SQRT(Table1347456[[#This Row],[v]])</f>
        <v>7.0499850826392998E-2</v>
      </c>
      <c r="BN774" s="20">
        <f>Table1347456[[#This Row],[lnrr]]-(1.96*Table1347456[[#This Row],[se]])</f>
        <v>-5.3913095293814453E-2</v>
      </c>
      <c r="BO774" s="20">
        <f>Table1347456[[#This Row],[lnrr]]+(1.96 * Table1347456[[#This Row],[se]])</f>
        <v>0.22244631994564612</v>
      </c>
    </row>
    <row r="775" spans="1:67">
      <c r="A775" s="13" t="s">
        <v>279</v>
      </c>
      <c r="B775" s="13" t="s">
        <v>280</v>
      </c>
      <c r="C775" s="13" t="s">
        <v>43</v>
      </c>
      <c r="D775" s="13" t="s">
        <v>281</v>
      </c>
      <c r="E775" s="13" t="s">
        <v>282</v>
      </c>
      <c r="F775" s="13" t="s">
        <v>587</v>
      </c>
      <c r="G775" s="13" t="s">
        <v>46</v>
      </c>
      <c r="H775" s="13">
        <v>22</v>
      </c>
      <c r="I775" s="13">
        <v>200</v>
      </c>
      <c r="K775" s="13" t="s">
        <v>888</v>
      </c>
      <c r="L775" s="13" t="s">
        <v>889</v>
      </c>
      <c r="N775" s="13" t="s">
        <v>47</v>
      </c>
      <c r="O775" s="13" t="s">
        <v>645</v>
      </c>
      <c r="P775" s="13" t="s">
        <v>71</v>
      </c>
      <c r="Q775" s="13" t="s">
        <v>48</v>
      </c>
      <c r="R775" s="4">
        <v>4</v>
      </c>
      <c r="S775" s="13" t="s">
        <v>594</v>
      </c>
      <c r="T775" s="13">
        <v>280</v>
      </c>
      <c r="U775" s="4" t="s">
        <v>283</v>
      </c>
      <c r="V775" s="4">
        <v>350</v>
      </c>
      <c r="W775" s="4" t="s">
        <v>42</v>
      </c>
      <c r="X775" s="4">
        <v>718</v>
      </c>
      <c r="Y775" s="4">
        <v>6.2</v>
      </c>
      <c r="AA775" s="4" t="s">
        <v>49</v>
      </c>
      <c r="AB775" s="4">
        <v>0</v>
      </c>
      <c r="AC775" s="4" t="s">
        <v>49</v>
      </c>
      <c r="AD775" s="4">
        <v>0</v>
      </c>
      <c r="AE775" s="4" t="s">
        <v>49</v>
      </c>
      <c r="AF775" s="4">
        <v>0</v>
      </c>
      <c r="AG775" s="4" t="s">
        <v>676</v>
      </c>
      <c r="AH775" s="4" t="s">
        <v>733</v>
      </c>
      <c r="AI775" s="4" t="s">
        <v>271</v>
      </c>
      <c r="AJ775" s="13">
        <v>0</v>
      </c>
      <c r="AK775" s="13">
        <v>15</v>
      </c>
      <c r="AP775" s="13" t="s">
        <v>50</v>
      </c>
      <c r="AQ775" s="13" t="s">
        <v>49</v>
      </c>
      <c r="AR775" s="13" t="s">
        <v>49</v>
      </c>
      <c r="AS775" s="13" t="s">
        <v>49</v>
      </c>
      <c r="AT775" s="13" t="s">
        <v>990</v>
      </c>
      <c r="AU775" s="13" t="s">
        <v>998</v>
      </c>
      <c r="AV775" s="14">
        <f>(61.46*1.5)/1.4/1000</f>
        <v>6.5850000000000006E-2</v>
      </c>
      <c r="AW775" s="14">
        <f>(48.34*1.5)/1.4/1000</f>
        <v>5.1792857142857154E-2</v>
      </c>
      <c r="AX775" s="14">
        <f>Table1347456[[#This Row],[treatment_mean]]/Table1347456[[#This Row],[control_mean]]</f>
        <v>1.2714108398841537</v>
      </c>
      <c r="AY775" s="14">
        <f>LN(Table1347456[[#This Row],[rr]])</f>
        <v>0.24012718142700148</v>
      </c>
      <c r="AZ775" s="13">
        <v>4</v>
      </c>
      <c r="BA775" s="13">
        <v>4</v>
      </c>
      <c r="BB775" s="14">
        <f>Table1347456[[#This Row],[treatment_sd]]/SQRT(Table1347456[[#This Row],[treatment_n]])</f>
        <v>4.9392857142857146E-3</v>
      </c>
      <c r="BC775" s="14">
        <f>Table1347456[[#This Row],[control_sd]]/SQRT(Table1347456[[#This Row],[control_n]])</f>
        <v>1.9017857142857141E-3</v>
      </c>
      <c r="BD775" s="15">
        <f>(9.22*1.5)/1.4/1000</f>
        <v>9.8785714285714293E-3</v>
      </c>
      <c r="BE775" s="14">
        <f>(3.55*1.5)/1.4/1000</f>
        <v>3.8035714285714283E-3</v>
      </c>
      <c r="BF77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6.9745107110382853E-3</v>
      </c>
      <c r="BG775" s="17">
        <f>SQRT(Table1347456[[#This Row],[v_from_sd_and_n]])</f>
        <v>8.351353609468519E-2</v>
      </c>
      <c r="BH775" s="13" t="s">
        <v>50</v>
      </c>
      <c r="BI775" s="13">
        <v>2.5000000000000001E-2</v>
      </c>
      <c r="BJ775" s="18">
        <f>ABS(_xlfn.NORM.S.INV(Table1347456[[#This Row],[p_value]]/2))</f>
        <v>2.2414027276049446</v>
      </c>
      <c r="BK775" s="19">
        <f>(Table1347456[[#This Row],[lnrr]]/Table1347456[[#This Row],[z_from_p]])^2</f>
        <v>1.1477382470500227E-2</v>
      </c>
      <c r="BL775" s="16">
        <f>Table1347456[[#This Row],[v_from_sd_and_n]]</f>
        <v>6.9745107110382853E-3</v>
      </c>
      <c r="BM775" s="20">
        <f>SQRT(Table1347456[[#This Row],[v]])</f>
        <v>8.351353609468519E-2</v>
      </c>
      <c r="BN775" s="20">
        <f>Table1347456[[#This Row],[lnrr]]-(1.96*Table1347456[[#This Row],[se]])</f>
        <v>7.6440650681418504E-2</v>
      </c>
      <c r="BO775" s="20">
        <f>Table1347456[[#This Row],[lnrr]]+(1.96 * Table1347456[[#This Row],[se]])</f>
        <v>0.40381371217258444</v>
      </c>
    </row>
    <row r="776" spans="1:67">
      <c r="A776" s="13" t="s">
        <v>279</v>
      </c>
      <c r="B776" s="13" t="s">
        <v>280</v>
      </c>
      <c r="C776" s="13" t="s">
        <v>43</v>
      </c>
      <c r="D776" s="13" t="s">
        <v>281</v>
      </c>
      <c r="E776" s="13" t="s">
        <v>282</v>
      </c>
      <c r="F776" s="13" t="s">
        <v>587</v>
      </c>
      <c r="G776" s="13" t="s">
        <v>46</v>
      </c>
      <c r="H776" s="13">
        <v>22</v>
      </c>
      <c r="I776" s="13">
        <v>200</v>
      </c>
      <c r="K776" s="13" t="s">
        <v>888</v>
      </c>
      <c r="L776" s="13" t="s">
        <v>889</v>
      </c>
      <c r="N776" s="13" t="s">
        <v>255</v>
      </c>
      <c r="O776" s="13" t="s">
        <v>645</v>
      </c>
      <c r="P776" s="13" t="s">
        <v>71</v>
      </c>
      <c r="Q776" s="13" t="s">
        <v>48</v>
      </c>
      <c r="R776" s="4">
        <v>4</v>
      </c>
      <c r="S776" s="13" t="s">
        <v>594</v>
      </c>
      <c r="T776" s="13">
        <v>280</v>
      </c>
      <c r="U776" s="4" t="s">
        <v>283</v>
      </c>
      <c r="V776" s="4">
        <v>350</v>
      </c>
      <c r="W776" s="4" t="s">
        <v>42</v>
      </c>
      <c r="X776" s="4">
        <v>718</v>
      </c>
      <c r="Y776" s="4">
        <v>3.1</v>
      </c>
      <c r="AA776" s="4" t="s">
        <v>49</v>
      </c>
      <c r="AB776" s="4">
        <v>0</v>
      </c>
      <c r="AC776" s="4" t="s">
        <v>49</v>
      </c>
      <c r="AD776" s="4">
        <v>0</v>
      </c>
      <c r="AE776" s="4" t="s">
        <v>49</v>
      </c>
      <c r="AF776" s="4">
        <v>0</v>
      </c>
      <c r="AG776" s="4" t="s">
        <v>676</v>
      </c>
      <c r="AH776" s="4" t="s">
        <v>733</v>
      </c>
      <c r="AI776" s="4" t="s">
        <v>271</v>
      </c>
      <c r="AJ776" s="13">
        <v>0</v>
      </c>
      <c r="AK776" s="13">
        <v>15</v>
      </c>
      <c r="AP776" s="13" t="s">
        <v>50</v>
      </c>
      <c r="AQ776" s="13" t="s">
        <v>49</v>
      </c>
      <c r="AR776" s="13" t="s">
        <v>49</v>
      </c>
      <c r="AS776" s="13" t="s">
        <v>49</v>
      </c>
      <c r="AT776" s="13" t="s">
        <v>990</v>
      </c>
      <c r="AU776" s="13" t="s">
        <v>998</v>
      </c>
      <c r="AV776" s="14">
        <f>(72.85*1.5)/1.4/1000</f>
        <v>7.805357142857143E-2</v>
      </c>
      <c r="AW776" s="14">
        <f>(78.15*1.5)/1.4/1000</f>
        <v>8.373214285714288E-2</v>
      </c>
      <c r="AX776" s="14">
        <f>Table1347456[[#This Row],[treatment_mean]]/Table1347456[[#This Row],[control_mean]]</f>
        <v>0.93218170185540605</v>
      </c>
      <c r="AY776" s="14">
        <f>LN(Table1347456[[#This Row],[rr]])</f>
        <v>-7.0227524226272015E-2</v>
      </c>
      <c r="AZ776" s="13">
        <v>4</v>
      </c>
      <c r="BA776" s="13">
        <v>4</v>
      </c>
      <c r="BB776" s="14">
        <f>Table1347456[[#This Row],[treatment_sd]]/SQRT(Table1347456[[#This Row],[treatment_n]])</f>
        <v>5.319642857142857E-3</v>
      </c>
      <c r="BC776" s="14">
        <f>Table1347456[[#This Row],[control_sd]]/SQRT(Table1347456[[#This Row],[control_n]])</f>
        <v>5.319642857142857E-3</v>
      </c>
      <c r="BD776" s="15">
        <f>(9.93*1.5)/1.4/1000</f>
        <v>1.0639285714285714E-2</v>
      </c>
      <c r="BE776" s="14">
        <f>(9.93*1.5)/1.4/1000</f>
        <v>1.0639285714285714E-2</v>
      </c>
      <c r="BF77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8.6812054286185339E-3</v>
      </c>
      <c r="BG776" s="17">
        <f>SQRT(Table1347456[[#This Row],[v_from_sd_and_n]])</f>
        <v>9.3172986582048201E-2</v>
      </c>
      <c r="BH776" s="13" t="s">
        <v>50</v>
      </c>
      <c r="BI776" s="13">
        <v>2.5000000000000001E-2</v>
      </c>
      <c r="BJ776" s="18">
        <f>ABS(_xlfn.NORM.S.INV(Table1347456[[#This Row],[p_value]]/2))</f>
        <v>2.2414027276049446</v>
      </c>
      <c r="BK776" s="19">
        <f>(Table1347456[[#This Row],[lnrr]]/Table1347456[[#This Row],[z_from_p]])^2</f>
        <v>9.8169125952822902E-4</v>
      </c>
      <c r="BL776" s="16">
        <f>Table1347456[[#This Row],[v_from_sd_and_n]]</f>
        <v>8.6812054286185339E-3</v>
      </c>
      <c r="BM776" s="20">
        <f>SQRT(Table1347456[[#This Row],[v]])</f>
        <v>9.3172986582048201E-2</v>
      </c>
      <c r="BN776" s="20">
        <f>Table1347456[[#This Row],[lnrr]]-(1.96*Table1347456[[#This Row],[se]])</f>
        <v>-0.25284657792708648</v>
      </c>
      <c r="BO776" s="20">
        <f>Table1347456[[#This Row],[lnrr]]+(1.96 * Table1347456[[#This Row],[se]])</f>
        <v>0.11239152947454245</v>
      </c>
    </row>
    <row r="777" spans="1:67">
      <c r="A777" s="13" t="s">
        <v>279</v>
      </c>
      <c r="B777" s="13" t="s">
        <v>280</v>
      </c>
      <c r="C777" s="13" t="s">
        <v>43</v>
      </c>
      <c r="D777" s="13" t="s">
        <v>281</v>
      </c>
      <c r="E777" s="13" t="s">
        <v>282</v>
      </c>
      <c r="F777" s="13" t="s">
        <v>587</v>
      </c>
      <c r="G777" s="13" t="s">
        <v>46</v>
      </c>
      <c r="H777" s="13">
        <v>22</v>
      </c>
      <c r="I777" s="13">
        <v>200</v>
      </c>
      <c r="K777" s="13" t="s">
        <v>888</v>
      </c>
      <c r="L777" s="13" t="s">
        <v>889</v>
      </c>
      <c r="N777" s="13" t="s">
        <v>255</v>
      </c>
      <c r="O777" s="13" t="s">
        <v>645</v>
      </c>
      <c r="P777" s="13" t="s">
        <v>71</v>
      </c>
      <c r="Q777" s="13" t="s">
        <v>48</v>
      </c>
      <c r="R777" s="4">
        <v>4</v>
      </c>
      <c r="S777" s="13" t="s">
        <v>594</v>
      </c>
      <c r="T777" s="13">
        <v>280</v>
      </c>
      <c r="U777" s="4" t="s">
        <v>283</v>
      </c>
      <c r="V777" s="4">
        <v>350</v>
      </c>
      <c r="W777" s="4" t="s">
        <v>42</v>
      </c>
      <c r="X777" s="4">
        <v>718</v>
      </c>
      <c r="Y777" s="4">
        <v>6.2</v>
      </c>
      <c r="AA777" s="4" t="s">
        <v>49</v>
      </c>
      <c r="AB777" s="4">
        <v>0</v>
      </c>
      <c r="AC777" s="4" t="s">
        <v>49</v>
      </c>
      <c r="AD777" s="4">
        <v>0</v>
      </c>
      <c r="AE777" s="4" t="s">
        <v>49</v>
      </c>
      <c r="AF777" s="4">
        <v>0</v>
      </c>
      <c r="AG777" s="4" t="s">
        <v>676</v>
      </c>
      <c r="AH777" s="4" t="s">
        <v>733</v>
      </c>
      <c r="AI777" s="4" t="s">
        <v>271</v>
      </c>
      <c r="AJ777" s="13">
        <v>0</v>
      </c>
      <c r="AK777" s="13">
        <v>15</v>
      </c>
      <c r="AP777" s="13" t="s">
        <v>50</v>
      </c>
      <c r="AQ777" s="13" t="s">
        <v>49</v>
      </c>
      <c r="AR777" s="13" t="s">
        <v>49</v>
      </c>
      <c r="AS777" s="13" t="s">
        <v>49</v>
      </c>
      <c r="AT777" s="13" t="s">
        <v>990</v>
      </c>
      <c r="AU777" s="13" t="s">
        <v>998</v>
      </c>
      <c r="AV777" s="14">
        <f>(132.45*1.5)/1.4/1000</f>
        <v>0.14191071428571428</v>
      </c>
      <c r="AW777" s="14">
        <f>(78.15*1.5)/1.4/1000</f>
        <v>8.373214285714288E-2</v>
      </c>
      <c r="AX777" s="14">
        <f>Table1347456[[#This Row],[treatment_mean]]/Table1347456[[#This Row],[control_mean]]</f>
        <v>1.6948176583493277</v>
      </c>
      <c r="AY777" s="14">
        <f>LN(Table1347456[[#This Row],[rr]])</f>
        <v>0.52757515885059281</v>
      </c>
      <c r="AZ777" s="13">
        <v>4</v>
      </c>
      <c r="BA777" s="13">
        <v>4</v>
      </c>
      <c r="BB777" s="14">
        <f>Table1347456[[#This Row],[treatment_sd]]/SQRT(Table1347456[[#This Row],[treatment_n]])</f>
        <v>1.5610714285714287E-2</v>
      </c>
      <c r="BC777" s="14">
        <f>Table1347456[[#This Row],[control_sd]]/SQRT(Table1347456[[#This Row],[control_n]])</f>
        <v>5.319642857142857E-3</v>
      </c>
      <c r="BD777" s="15">
        <f>(29.14*1.5)/1.4/1000</f>
        <v>3.1221428571428574E-2</v>
      </c>
      <c r="BE777" s="14">
        <f>(9.93*1.5)/1.4/1000</f>
        <v>1.0639285714285714E-2</v>
      </c>
      <c r="BF77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1.6137103592244E-2</v>
      </c>
      <c r="BG777" s="17">
        <f>SQRT(Table1347456[[#This Row],[v_from_sd_and_n]])</f>
        <v>0.12703189990015895</v>
      </c>
      <c r="BH777" s="13" t="s">
        <v>50</v>
      </c>
      <c r="BI777" s="13">
        <v>2.5000000000000001E-2</v>
      </c>
      <c r="BJ777" s="18">
        <f>ABS(_xlfn.NORM.S.INV(Table1347456[[#This Row],[p_value]]/2))</f>
        <v>2.2414027276049446</v>
      </c>
      <c r="BK777" s="19">
        <f>(Table1347456[[#This Row],[lnrr]]/Table1347456[[#This Row],[z_from_p]])^2</f>
        <v>5.5402439039923812E-2</v>
      </c>
      <c r="BL777" s="16">
        <f>Table1347456[[#This Row],[v_from_sd_and_n]]</f>
        <v>1.6137103592244E-2</v>
      </c>
      <c r="BM777" s="20">
        <f>SQRT(Table1347456[[#This Row],[v]])</f>
        <v>0.12703189990015895</v>
      </c>
      <c r="BN777" s="20">
        <f>Table1347456[[#This Row],[lnrr]]-(1.96*Table1347456[[#This Row],[se]])</f>
        <v>0.27859263504628129</v>
      </c>
      <c r="BO777" s="20">
        <f>Table1347456[[#This Row],[lnrr]]+(1.96 * Table1347456[[#This Row],[se]])</f>
        <v>0.77655768265490432</v>
      </c>
    </row>
    <row r="778" spans="1:67">
      <c r="A778" s="13" t="s">
        <v>279</v>
      </c>
      <c r="B778" s="13" t="s">
        <v>280</v>
      </c>
      <c r="C778" s="13" t="s">
        <v>43</v>
      </c>
      <c r="D778" s="13" t="s">
        <v>281</v>
      </c>
      <c r="E778" s="13" t="s">
        <v>282</v>
      </c>
      <c r="F778" s="13" t="s">
        <v>587</v>
      </c>
      <c r="G778" s="13" t="s">
        <v>46</v>
      </c>
      <c r="H778" s="13">
        <v>22</v>
      </c>
      <c r="I778" s="13">
        <v>200</v>
      </c>
      <c r="K778" s="13" t="s">
        <v>888</v>
      </c>
      <c r="L778" s="13" t="s">
        <v>889</v>
      </c>
      <c r="N778" s="13" t="s">
        <v>646</v>
      </c>
      <c r="O778" s="13" t="s">
        <v>642</v>
      </c>
      <c r="P778" s="13" t="s">
        <v>71</v>
      </c>
      <c r="Q778" s="13" t="s">
        <v>48</v>
      </c>
      <c r="R778" s="4">
        <v>4</v>
      </c>
      <c r="S778" s="13" t="s">
        <v>594</v>
      </c>
      <c r="T778" s="13">
        <v>280</v>
      </c>
      <c r="U778" s="4" t="s">
        <v>283</v>
      </c>
      <c r="V778" s="4">
        <v>350</v>
      </c>
      <c r="W778" s="4" t="s">
        <v>42</v>
      </c>
      <c r="X778" s="4">
        <v>718</v>
      </c>
      <c r="Y778" s="4">
        <v>3.1</v>
      </c>
      <c r="AA778" s="4" t="s">
        <v>49</v>
      </c>
      <c r="AB778" s="4">
        <v>0</v>
      </c>
      <c r="AC778" s="4" t="s">
        <v>49</v>
      </c>
      <c r="AD778" s="4">
        <v>0</v>
      </c>
      <c r="AE778" s="4" t="s">
        <v>49</v>
      </c>
      <c r="AF778" s="4">
        <v>0</v>
      </c>
      <c r="AG778" s="4" t="s">
        <v>676</v>
      </c>
      <c r="AH778" s="4" t="s">
        <v>733</v>
      </c>
      <c r="AI778" s="4" t="s">
        <v>271</v>
      </c>
      <c r="AJ778" s="13">
        <v>0</v>
      </c>
      <c r="AK778" s="13">
        <v>15</v>
      </c>
      <c r="AP778" s="13" t="s">
        <v>50</v>
      </c>
      <c r="AQ778" s="13" t="s">
        <v>49</v>
      </c>
      <c r="AR778" s="13" t="s">
        <v>49</v>
      </c>
      <c r="AS778" s="13" t="s">
        <v>49</v>
      </c>
      <c r="AT778" s="13" t="s">
        <v>990</v>
      </c>
      <c r="AU778" s="13" t="s">
        <v>998</v>
      </c>
      <c r="AV778" s="14">
        <f>(17.22*1.5)/1.4/1000</f>
        <v>1.8449999999999998E-2</v>
      </c>
      <c r="AW778" s="14">
        <f>(12.58*1.5)/1.4/1000</f>
        <v>1.347857142857143E-2</v>
      </c>
      <c r="AX778" s="14">
        <f>Table1347456[[#This Row],[treatment_mean]]/Table1347456[[#This Row],[control_mean]]</f>
        <v>1.3688394276629567</v>
      </c>
      <c r="AY778" s="14">
        <f>LN(Table1347456[[#This Row],[rr]])</f>
        <v>0.31396324772729001</v>
      </c>
      <c r="AZ778" s="13">
        <v>4</v>
      </c>
      <c r="BA778" s="13">
        <v>4</v>
      </c>
      <c r="BB778" s="14">
        <f>Table1347456[[#This Row],[treatment_sd]]/SQRT(Table1347456[[#This Row],[treatment_n]])</f>
        <v>1.0660714285714286E-3</v>
      </c>
      <c r="BC778" s="14">
        <f>Table1347456[[#This Row],[control_sd]]/SQRT(Table1347456[[#This Row],[control_n]])</f>
        <v>1.4196428571428572E-3</v>
      </c>
      <c r="BD778" s="15">
        <f>(1.99*1.5)/1.4/1000</f>
        <v>2.1321428571428572E-3</v>
      </c>
      <c r="BE778" s="14">
        <f>(2.65*1.5)/1.4/1000</f>
        <v>2.8392857142857143E-3</v>
      </c>
      <c r="BF77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1.4432267180895547E-2</v>
      </c>
      <c r="BG778" s="17">
        <f>SQRT(Table1347456[[#This Row],[v_from_sd_and_n]])</f>
        <v>0.1201343713551436</v>
      </c>
      <c r="BH778" s="13" t="s">
        <v>50</v>
      </c>
      <c r="BI778" s="13">
        <v>2.5000000000000001E-2</v>
      </c>
      <c r="BJ778" s="18">
        <f>ABS(_xlfn.NORM.S.INV(Table1347456[[#This Row],[p_value]]/2))</f>
        <v>2.2414027276049446</v>
      </c>
      <c r="BK778" s="19">
        <f>(Table1347456[[#This Row],[lnrr]]/Table1347456[[#This Row],[z_from_p]])^2</f>
        <v>1.9620850721570961E-2</v>
      </c>
      <c r="BL778" s="16">
        <f>Table1347456[[#This Row],[v_from_sd_and_n]]</f>
        <v>1.4432267180895547E-2</v>
      </c>
      <c r="BM778" s="20">
        <f>SQRT(Table1347456[[#This Row],[v]])</f>
        <v>0.1201343713551436</v>
      </c>
      <c r="BN778" s="20">
        <f>Table1347456[[#This Row],[lnrr]]-(1.96*Table1347456[[#This Row],[se]])</f>
        <v>7.8499879871208544E-2</v>
      </c>
      <c r="BO778" s="20">
        <f>Table1347456[[#This Row],[lnrr]]+(1.96 * Table1347456[[#This Row],[se]])</f>
        <v>0.54942661558337147</v>
      </c>
    </row>
    <row r="779" spans="1:67">
      <c r="A779" s="13" t="s">
        <v>279</v>
      </c>
      <c r="B779" s="13" t="s">
        <v>280</v>
      </c>
      <c r="C779" s="13" t="s">
        <v>43</v>
      </c>
      <c r="D779" s="13" t="s">
        <v>281</v>
      </c>
      <c r="E779" s="13" t="s">
        <v>282</v>
      </c>
      <c r="F779" s="13" t="s">
        <v>587</v>
      </c>
      <c r="G779" s="13" t="s">
        <v>46</v>
      </c>
      <c r="H779" s="13">
        <v>22</v>
      </c>
      <c r="I779" s="13">
        <v>200</v>
      </c>
      <c r="K779" s="13" t="s">
        <v>888</v>
      </c>
      <c r="L779" s="13" t="s">
        <v>889</v>
      </c>
      <c r="N779" s="13" t="s">
        <v>646</v>
      </c>
      <c r="O779" s="13" t="s">
        <v>642</v>
      </c>
      <c r="P779" s="13" t="s">
        <v>71</v>
      </c>
      <c r="Q779" s="13" t="s">
        <v>48</v>
      </c>
      <c r="R779" s="4">
        <v>4</v>
      </c>
      <c r="S779" s="13" t="s">
        <v>594</v>
      </c>
      <c r="T779" s="13">
        <v>280</v>
      </c>
      <c r="U779" s="4" t="s">
        <v>283</v>
      </c>
      <c r="V779" s="4">
        <v>350</v>
      </c>
      <c r="W779" s="4" t="s">
        <v>42</v>
      </c>
      <c r="X779" s="4">
        <v>718</v>
      </c>
      <c r="Y779" s="4">
        <v>6.2</v>
      </c>
      <c r="AA779" s="4" t="s">
        <v>49</v>
      </c>
      <c r="AB779" s="4">
        <v>0</v>
      </c>
      <c r="AC779" s="4" t="s">
        <v>49</v>
      </c>
      <c r="AD779" s="4">
        <v>0</v>
      </c>
      <c r="AE779" s="4" t="s">
        <v>49</v>
      </c>
      <c r="AF779" s="4">
        <v>0</v>
      </c>
      <c r="AG779" s="4" t="s">
        <v>676</v>
      </c>
      <c r="AH779" s="4" t="s">
        <v>733</v>
      </c>
      <c r="AI779" s="4" t="s">
        <v>271</v>
      </c>
      <c r="AJ779" s="13">
        <v>0</v>
      </c>
      <c r="AK779" s="13">
        <v>15</v>
      </c>
      <c r="AP779" s="13" t="s">
        <v>50</v>
      </c>
      <c r="AQ779" s="13" t="s">
        <v>49</v>
      </c>
      <c r="AR779" s="13" t="s">
        <v>49</v>
      </c>
      <c r="AS779" s="13" t="s">
        <v>49</v>
      </c>
      <c r="AT779" s="13" t="s">
        <v>990</v>
      </c>
      <c r="AU779" s="13" t="s">
        <v>998</v>
      </c>
      <c r="AV779" s="14">
        <f>(25.17*1.5)/1.4/1000</f>
        <v>2.6967857142857144E-2</v>
      </c>
      <c r="AW779" s="14">
        <f>(12.58*1.5)/1.4/1000</f>
        <v>1.347857142857143E-2</v>
      </c>
      <c r="AX779" s="14">
        <f>Table1347456[[#This Row],[treatment_mean]]/Table1347456[[#This Row],[control_mean]]</f>
        <v>2.0007949125596185</v>
      </c>
      <c r="AY779" s="14">
        <f>LN(Table1347456[[#This Row],[rr]])</f>
        <v>0.69354455787493008</v>
      </c>
      <c r="AZ779" s="13">
        <v>4</v>
      </c>
      <c r="BA779" s="13">
        <v>4</v>
      </c>
      <c r="BB779" s="14">
        <f>Table1347456[[#This Row],[treatment_sd]]/SQRT(Table1347456[[#This Row],[treatment_n]])</f>
        <v>1.0607142857142857E-3</v>
      </c>
      <c r="BC779" s="14">
        <f>Table1347456[[#This Row],[control_sd]]/SQRT(Table1347456[[#This Row],[control_n]])</f>
        <v>1.4196428571428572E-3</v>
      </c>
      <c r="BD779" s="15">
        <f>(1.98*1.5)/1.4/1000</f>
        <v>2.1214285714285714E-3</v>
      </c>
      <c r="BE779" s="14">
        <f>(2.65*1.5)/1.4/1000</f>
        <v>2.8392857142857143E-3</v>
      </c>
      <c r="BF77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1.2640596794881401E-2</v>
      </c>
      <c r="BG779" s="17">
        <f>SQRT(Table1347456[[#This Row],[v_from_sd_and_n]])</f>
        <v>0.11243040867523964</v>
      </c>
      <c r="BH779" s="13" t="s">
        <v>50</v>
      </c>
      <c r="BI779" s="13">
        <v>2.5000000000000001E-2</v>
      </c>
      <c r="BJ779" s="18">
        <f>ABS(_xlfn.NORM.S.INV(Table1347456[[#This Row],[p_value]]/2))</f>
        <v>2.2414027276049446</v>
      </c>
      <c r="BK779" s="19">
        <f>(Table1347456[[#This Row],[lnrr]]/Table1347456[[#This Row],[z_from_p]])^2</f>
        <v>9.5743421690652253E-2</v>
      </c>
      <c r="BL779" s="16">
        <f>Table1347456[[#This Row],[v_from_sd_and_n]]</f>
        <v>1.2640596794881401E-2</v>
      </c>
      <c r="BM779" s="20">
        <f>SQRT(Table1347456[[#This Row],[v]])</f>
        <v>0.11243040867523964</v>
      </c>
      <c r="BN779" s="20">
        <f>Table1347456[[#This Row],[lnrr]]-(1.96*Table1347456[[#This Row],[se]])</f>
        <v>0.47318095687146039</v>
      </c>
      <c r="BO779" s="20">
        <f>Table1347456[[#This Row],[lnrr]]+(1.96 * Table1347456[[#This Row],[se]])</f>
        <v>0.91390815887839971</v>
      </c>
    </row>
    <row r="780" spans="1:67">
      <c r="A780" s="13" t="s">
        <v>279</v>
      </c>
      <c r="B780" s="13" t="s">
        <v>280</v>
      </c>
      <c r="C780" s="13" t="s">
        <v>43</v>
      </c>
      <c r="D780" s="13" t="s">
        <v>281</v>
      </c>
      <c r="E780" s="13" t="s">
        <v>282</v>
      </c>
      <c r="F780" s="13" t="s">
        <v>587</v>
      </c>
      <c r="G780" s="13" t="s">
        <v>46</v>
      </c>
      <c r="H780" s="13">
        <v>22</v>
      </c>
      <c r="I780" s="13">
        <v>200</v>
      </c>
      <c r="K780" s="13" t="s">
        <v>888</v>
      </c>
      <c r="L780" s="13" t="s">
        <v>889</v>
      </c>
      <c r="N780" s="13" t="s">
        <v>647</v>
      </c>
      <c r="O780" s="13" t="s">
        <v>642</v>
      </c>
      <c r="P780" s="13" t="s">
        <v>71</v>
      </c>
      <c r="Q780" s="13" t="s">
        <v>48</v>
      </c>
      <c r="R780" s="4">
        <v>4</v>
      </c>
      <c r="S780" s="13" t="s">
        <v>594</v>
      </c>
      <c r="T780" s="13">
        <v>280</v>
      </c>
      <c r="U780" s="4" t="s">
        <v>283</v>
      </c>
      <c r="V780" s="4">
        <v>350</v>
      </c>
      <c r="W780" s="4" t="s">
        <v>42</v>
      </c>
      <c r="X780" s="4">
        <v>718</v>
      </c>
      <c r="Y780" s="4">
        <v>3.1</v>
      </c>
      <c r="AA780" s="4" t="s">
        <v>49</v>
      </c>
      <c r="AB780" s="4">
        <v>0</v>
      </c>
      <c r="AC780" s="4" t="s">
        <v>49</v>
      </c>
      <c r="AD780" s="4">
        <v>0</v>
      </c>
      <c r="AE780" s="4" t="s">
        <v>49</v>
      </c>
      <c r="AF780" s="4">
        <v>0</v>
      </c>
      <c r="AG780" s="4" t="s">
        <v>676</v>
      </c>
      <c r="AH780" s="4" t="s">
        <v>733</v>
      </c>
      <c r="AI780" s="4" t="s">
        <v>271</v>
      </c>
      <c r="AJ780" s="13">
        <v>0</v>
      </c>
      <c r="AK780" s="13">
        <v>15</v>
      </c>
      <c r="AP780" s="13" t="s">
        <v>50</v>
      </c>
      <c r="AQ780" s="13" t="s">
        <v>49</v>
      </c>
      <c r="AR780" s="13" t="s">
        <v>49</v>
      </c>
      <c r="AS780" s="13" t="s">
        <v>49</v>
      </c>
      <c r="AT780" s="13" t="s">
        <v>990</v>
      </c>
      <c r="AU780" s="13" t="s">
        <v>998</v>
      </c>
      <c r="AV780" s="14">
        <f>(125.83*1.5)/1.4/1000</f>
        <v>0.13481785714285716</v>
      </c>
      <c r="AW780" s="14">
        <f>(109.93*1.5)/1.4/1000</f>
        <v>0.11778214285714288</v>
      </c>
      <c r="AX780" s="14">
        <f>Table1347456[[#This Row],[treatment_mean]]/Table1347456[[#This Row],[control_mean]]</f>
        <v>1.1446374965887383</v>
      </c>
      <c r="AY780" s="14">
        <f>LN(Table1347456[[#This Row],[rr]])</f>
        <v>0.13508799001310409</v>
      </c>
      <c r="AZ780" s="13">
        <v>4</v>
      </c>
      <c r="BA780" s="13">
        <v>4</v>
      </c>
      <c r="BB780" s="14">
        <f>Table1347456[[#This Row],[treatment_sd]]/SQRT(Table1347456[[#This Row],[treatment_n]])</f>
        <v>1.3125E-2</v>
      </c>
      <c r="BC780" s="14">
        <f>Table1347456[[#This Row],[control_sd]]/SQRT(Table1347456[[#This Row],[control_n]])</f>
        <v>1.1357142857142857E-2</v>
      </c>
      <c r="BD780" s="15">
        <f>(24.5*1.5)/1.4/1000</f>
        <v>2.6249999999999999E-2</v>
      </c>
      <c r="BE780" s="14">
        <f>(21.2*1.5)/1.4/1000</f>
        <v>2.2714285714285715E-2</v>
      </c>
      <c r="BF78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1.8775498222114398E-2</v>
      </c>
      <c r="BG780" s="17">
        <f>SQRT(Table1347456[[#This Row],[v_from_sd_and_n]])</f>
        <v>0.13702371408670252</v>
      </c>
      <c r="BH780" s="13" t="s">
        <v>50</v>
      </c>
      <c r="BI780" s="13">
        <v>2.5000000000000001E-2</v>
      </c>
      <c r="BJ780" s="18">
        <f>ABS(_xlfn.NORM.S.INV(Table1347456[[#This Row],[p_value]]/2))</f>
        <v>2.2414027276049446</v>
      </c>
      <c r="BK780" s="19">
        <f>(Table1347456[[#This Row],[lnrr]]/Table1347456[[#This Row],[z_from_p]])^2</f>
        <v>3.6324001709787776E-3</v>
      </c>
      <c r="BL780" s="16">
        <f>Table1347456[[#This Row],[v_from_sd_and_n]]</f>
        <v>1.8775498222114398E-2</v>
      </c>
      <c r="BM780" s="20">
        <f>SQRT(Table1347456[[#This Row],[v]])</f>
        <v>0.13702371408670252</v>
      </c>
      <c r="BN780" s="20">
        <f>Table1347456[[#This Row],[lnrr]]-(1.96*Table1347456[[#This Row],[se]])</f>
        <v>-0.13347848959683287</v>
      </c>
      <c r="BO780" s="20">
        <f>Table1347456[[#This Row],[lnrr]]+(1.96 * Table1347456[[#This Row],[se]])</f>
        <v>0.40365446962304108</v>
      </c>
    </row>
    <row r="781" spans="1:67">
      <c r="A781" s="13" t="s">
        <v>279</v>
      </c>
      <c r="B781" s="13" t="s">
        <v>280</v>
      </c>
      <c r="C781" s="13" t="s">
        <v>43</v>
      </c>
      <c r="D781" s="13" t="s">
        <v>281</v>
      </c>
      <c r="E781" s="13" t="s">
        <v>282</v>
      </c>
      <c r="F781" s="13" t="s">
        <v>587</v>
      </c>
      <c r="G781" s="13" t="s">
        <v>46</v>
      </c>
      <c r="H781" s="13">
        <v>22</v>
      </c>
      <c r="I781" s="13">
        <v>200</v>
      </c>
      <c r="K781" s="13" t="s">
        <v>888</v>
      </c>
      <c r="L781" s="13" t="s">
        <v>889</v>
      </c>
      <c r="N781" s="13" t="s">
        <v>647</v>
      </c>
      <c r="O781" s="13" t="s">
        <v>642</v>
      </c>
      <c r="P781" s="13" t="s">
        <v>71</v>
      </c>
      <c r="Q781" s="13" t="s">
        <v>48</v>
      </c>
      <c r="R781" s="4">
        <v>4</v>
      </c>
      <c r="S781" s="13" t="s">
        <v>594</v>
      </c>
      <c r="T781" s="13">
        <v>280</v>
      </c>
      <c r="U781" s="4" t="s">
        <v>283</v>
      </c>
      <c r="V781" s="4">
        <v>350</v>
      </c>
      <c r="W781" s="4" t="s">
        <v>42</v>
      </c>
      <c r="X781" s="4">
        <v>718</v>
      </c>
      <c r="Y781" s="4">
        <v>6.2</v>
      </c>
      <c r="AA781" s="4" t="s">
        <v>49</v>
      </c>
      <c r="AB781" s="4">
        <v>0</v>
      </c>
      <c r="AC781" s="4" t="s">
        <v>49</v>
      </c>
      <c r="AD781" s="4">
        <v>0</v>
      </c>
      <c r="AE781" s="4" t="s">
        <v>49</v>
      </c>
      <c r="AF781" s="4">
        <v>0</v>
      </c>
      <c r="AG781" s="4" t="s">
        <v>676</v>
      </c>
      <c r="AH781" s="4" t="s">
        <v>733</v>
      </c>
      <c r="AI781" s="4" t="s">
        <v>271</v>
      </c>
      <c r="AJ781" s="13">
        <v>0</v>
      </c>
      <c r="AK781" s="13">
        <v>15</v>
      </c>
      <c r="AP781" s="13" t="s">
        <v>50</v>
      </c>
      <c r="AQ781" s="13" t="s">
        <v>49</v>
      </c>
      <c r="AR781" s="13" t="s">
        <v>49</v>
      </c>
      <c r="AS781" s="13" t="s">
        <v>49</v>
      </c>
      <c r="AT781" s="13" t="s">
        <v>990</v>
      </c>
      <c r="AU781" s="13" t="s">
        <v>998</v>
      </c>
      <c r="AV781" s="14">
        <f>(248.34*1.5)/1.4/1000</f>
        <v>0.26607857142857144</v>
      </c>
      <c r="AW781" s="14">
        <f>(109.93*1.5)/1.4/1000</f>
        <v>0.11778214285714288</v>
      </c>
      <c r="AX781" s="14">
        <f>Table1347456[[#This Row],[treatment_mean]]/Table1347456[[#This Row],[control_mean]]</f>
        <v>2.2590739561539159</v>
      </c>
      <c r="AY781" s="14">
        <f>LN(Table1347456[[#This Row],[rr]])</f>
        <v>0.8149549753979235</v>
      </c>
      <c r="AZ781" s="13">
        <v>4</v>
      </c>
      <c r="BA781" s="13">
        <v>4</v>
      </c>
      <c r="BB781" s="14">
        <f>Table1347456[[#This Row],[treatment_sd]]/SQRT(Table1347456[[#This Row],[treatment_n]])</f>
        <v>1.8214285714285714E-2</v>
      </c>
      <c r="BC781" s="14">
        <f>Table1347456[[#This Row],[control_sd]]/SQRT(Table1347456[[#This Row],[control_n]])</f>
        <v>1.1357142857142857E-2</v>
      </c>
      <c r="BD781" s="15">
        <f>(34*1.5)/1.4/1000</f>
        <v>3.6428571428571428E-2</v>
      </c>
      <c r="BE781" s="14">
        <f>(21.2*1.5)/1.4/1000</f>
        <v>2.2714285714285715E-2</v>
      </c>
      <c r="BF78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1.39838039774558E-2</v>
      </c>
      <c r="BG781" s="17">
        <f>SQRT(Table1347456[[#This Row],[v_from_sd_and_n]])</f>
        <v>0.11825313516966812</v>
      </c>
      <c r="BH781" s="13" t="s">
        <v>50</v>
      </c>
      <c r="BI781" s="13">
        <v>2.5000000000000001E-2</v>
      </c>
      <c r="BJ781" s="18">
        <f>ABS(_xlfn.NORM.S.INV(Table1347456[[#This Row],[p_value]]/2))</f>
        <v>2.2414027276049446</v>
      </c>
      <c r="BK781" s="19">
        <f>(Table1347456[[#This Row],[lnrr]]/Table1347456[[#This Row],[z_from_p]])^2</f>
        <v>0.13219877743305308</v>
      </c>
      <c r="BL781" s="16">
        <f>Table1347456[[#This Row],[v_from_sd_and_n]]</f>
        <v>1.39838039774558E-2</v>
      </c>
      <c r="BM781" s="20">
        <f>SQRT(Table1347456[[#This Row],[v]])</f>
        <v>0.11825313516966812</v>
      </c>
      <c r="BN781" s="20">
        <f>Table1347456[[#This Row],[lnrr]]-(1.96*Table1347456[[#This Row],[se]])</f>
        <v>0.583178830465374</v>
      </c>
      <c r="BO781" s="20">
        <f>Table1347456[[#This Row],[lnrr]]+(1.96 * Table1347456[[#This Row],[se]])</f>
        <v>1.046731120330473</v>
      </c>
    </row>
    <row r="782" spans="1:67">
      <c r="A782" s="13" t="s">
        <v>279</v>
      </c>
      <c r="B782" s="13" t="s">
        <v>280</v>
      </c>
      <c r="C782" s="13" t="s">
        <v>43</v>
      </c>
      <c r="D782" s="13" t="s">
        <v>281</v>
      </c>
      <c r="E782" s="13" t="s">
        <v>282</v>
      </c>
      <c r="F782" s="13" t="s">
        <v>587</v>
      </c>
      <c r="G782" s="13" t="s">
        <v>46</v>
      </c>
      <c r="H782" s="13">
        <v>22</v>
      </c>
      <c r="I782" s="13">
        <v>200</v>
      </c>
      <c r="K782" s="13" t="s">
        <v>888</v>
      </c>
      <c r="L782" s="13" t="s">
        <v>889</v>
      </c>
      <c r="N782" s="13" t="s">
        <v>614</v>
      </c>
      <c r="O782" s="13" t="s">
        <v>614</v>
      </c>
      <c r="P782" s="13" t="s">
        <v>87</v>
      </c>
      <c r="Q782" s="13" t="s">
        <v>87</v>
      </c>
      <c r="R782" s="4">
        <v>4</v>
      </c>
      <c r="S782" s="13" t="s">
        <v>594</v>
      </c>
      <c r="T782" s="13">
        <v>280</v>
      </c>
      <c r="U782" s="4" t="s">
        <v>283</v>
      </c>
      <c r="V782" s="4">
        <v>350</v>
      </c>
      <c r="W782" s="4" t="s">
        <v>42</v>
      </c>
      <c r="X782" s="4">
        <v>718</v>
      </c>
      <c r="Y782" s="4">
        <v>3.1</v>
      </c>
      <c r="AA782" s="4" t="s">
        <v>49</v>
      </c>
      <c r="AB782" s="4">
        <v>0</v>
      </c>
      <c r="AC782" s="4" t="s">
        <v>49</v>
      </c>
      <c r="AD782" s="4">
        <v>0</v>
      </c>
      <c r="AE782" s="4" t="s">
        <v>49</v>
      </c>
      <c r="AF782" s="4">
        <v>0</v>
      </c>
      <c r="AG782" s="4" t="s">
        <v>676</v>
      </c>
      <c r="AH782" s="4" t="s">
        <v>733</v>
      </c>
      <c r="AI782" s="4" t="s">
        <v>271</v>
      </c>
      <c r="AJ782" s="13">
        <v>0</v>
      </c>
      <c r="AK782" s="13">
        <v>15</v>
      </c>
      <c r="AP782" s="13" t="s">
        <v>50</v>
      </c>
      <c r="AQ782" s="13" t="s">
        <v>49</v>
      </c>
      <c r="AR782" s="13" t="s">
        <v>49</v>
      </c>
      <c r="AS782" s="13" t="s">
        <v>49</v>
      </c>
      <c r="AT782" s="13" t="s">
        <v>990</v>
      </c>
      <c r="AU782" s="13" t="s">
        <v>998</v>
      </c>
      <c r="AV782" s="14">
        <v>3.43</v>
      </c>
      <c r="AW782" s="14">
        <v>3.69</v>
      </c>
      <c r="AX782" s="14">
        <f>Table1347456[[#This Row],[treatment_mean]]/Table1347456[[#This Row],[control_mean]]</f>
        <v>0.92953929539295399</v>
      </c>
      <c r="AY782" s="14">
        <f>LN(Table1347456[[#This Row],[rr]])</f>
        <v>-7.3066196874587208E-2</v>
      </c>
      <c r="AZ782" s="13">
        <v>4</v>
      </c>
      <c r="BA782" s="13">
        <v>4</v>
      </c>
      <c r="BB782" s="14">
        <f>Table1347456[[#This Row],[treatment_sd]]/SQRT(Table1347456[[#This Row],[treatment_n]])</f>
        <v>0.68</v>
      </c>
      <c r="BC782" s="14">
        <f>Table1347456[[#This Row],[control_sd]]/SQRT(Table1347456[[#This Row],[control_n]])</f>
        <v>0.88500000000000001</v>
      </c>
      <c r="BD782" s="15">
        <v>1.36</v>
      </c>
      <c r="BE782" s="14">
        <v>1.77</v>
      </c>
      <c r="BF78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9.6825329153501338E-2</v>
      </c>
      <c r="BG782" s="17">
        <f>SQRT(Table1347456[[#This Row],[v_from_sd_and_n]])</f>
        <v>0.31116768655099991</v>
      </c>
      <c r="BH782" s="13" t="s">
        <v>50</v>
      </c>
      <c r="BI782" s="13">
        <v>2.5000000000000001E-2</v>
      </c>
      <c r="BJ782" s="18">
        <f>ABS(_xlfn.NORM.S.INV(Table1347456[[#This Row],[p_value]]/2))</f>
        <v>2.2414027276049446</v>
      </c>
      <c r="BK782" s="19">
        <f>(Table1347456[[#This Row],[lnrr]]/Table1347456[[#This Row],[z_from_p]])^2</f>
        <v>1.0626572590748307E-3</v>
      </c>
      <c r="BL782" s="16">
        <f>Table1347456[[#This Row],[v_from_sd_and_n]]</f>
        <v>9.6825329153501338E-2</v>
      </c>
      <c r="BM782" s="20">
        <f>SQRT(Table1347456[[#This Row],[v]])</f>
        <v>0.31116768655099991</v>
      </c>
      <c r="BN782" s="20">
        <f>Table1347456[[#This Row],[lnrr]]-(1.96*Table1347456[[#This Row],[se]])</f>
        <v>-0.68295486251454696</v>
      </c>
      <c r="BO782" s="20">
        <f>Table1347456[[#This Row],[lnrr]]+(1.96 * Table1347456[[#This Row],[se]])</f>
        <v>0.53682246876537265</v>
      </c>
    </row>
    <row r="783" spans="1:67">
      <c r="A783" s="13" t="s">
        <v>279</v>
      </c>
      <c r="B783" s="13" t="s">
        <v>280</v>
      </c>
      <c r="C783" s="13" t="s">
        <v>43</v>
      </c>
      <c r="D783" s="13" t="s">
        <v>281</v>
      </c>
      <c r="E783" s="13" t="s">
        <v>282</v>
      </c>
      <c r="F783" s="13" t="s">
        <v>587</v>
      </c>
      <c r="G783" s="13" t="s">
        <v>46</v>
      </c>
      <c r="H783" s="13">
        <v>22</v>
      </c>
      <c r="I783" s="13">
        <v>200</v>
      </c>
      <c r="K783" s="13" t="s">
        <v>888</v>
      </c>
      <c r="L783" s="13" t="s">
        <v>889</v>
      </c>
      <c r="N783" s="13" t="s">
        <v>614</v>
      </c>
      <c r="O783" s="13" t="s">
        <v>614</v>
      </c>
      <c r="P783" s="13" t="s">
        <v>87</v>
      </c>
      <c r="Q783" s="13" t="s">
        <v>87</v>
      </c>
      <c r="R783" s="4">
        <v>4</v>
      </c>
      <c r="S783" s="13" t="s">
        <v>594</v>
      </c>
      <c r="T783" s="13">
        <v>280</v>
      </c>
      <c r="U783" s="4" t="s">
        <v>283</v>
      </c>
      <c r="V783" s="4">
        <v>350</v>
      </c>
      <c r="W783" s="4" t="s">
        <v>42</v>
      </c>
      <c r="X783" s="4">
        <v>718</v>
      </c>
      <c r="Y783" s="4">
        <v>6.2</v>
      </c>
      <c r="AA783" s="4" t="s">
        <v>49</v>
      </c>
      <c r="AB783" s="4">
        <v>0</v>
      </c>
      <c r="AC783" s="4" t="s">
        <v>49</v>
      </c>
      <c r="AD783" s="4">
        <v>0</v>
      </c>
      <c r="AE783" s="4" t="s">
        <v>49</v>
      </c>
      <c r="AF783" s="4">
        <v>0</v>
      </c>
      <c r="AG783" s="4" t="s">
        <v>676</v>
      </c>
      <c r="AH783" s="4" t="s">
        <v>733</v>
      </c>
      <c r="AI783" s="4" t="s">
        <v>271</v>
      </c>
      <c r="AJ783" s="13">
        <v>0</v>
      </c>
      <c r="AK783" s="13">
        <v>15</v>
      </c>
      <c r="AP783" s="13" t="s">
        <v>50</v>
      </c>
      <c r="AQ783" s="13" t="s">
        <v>49</v>
      </c>
      <c r="AR783" s="13" t="s">
        <v>49</v>
      </c>
      <c r="AS783" s="13" t="s">
        <v>49</v>
      </c>
      <c r="AT783" s="13" t="s">
        <v>990</v>
      </c>
      <c r="AU783" s="13" t="s">
        <v>998</v>
      </c>
      <c r="AV783" s="14">
        <v>4.07</v>
      </c>
      <c r="AW783" s="14">
        <v>3.69</v>
      </c>
      <c r="AX783" s="14">
        <f>Table1347456[[#This Row],[treatment_mean]]/Table1347456[[#This Row],[control_mean]]</f>
        <v>1.1029810298102982</v>
      </c>
      <c r="AY783" s="14">
        <f>LN(Table1347456[[#This Row],[rr]])</f>
        <v>9.8016541402067905E-2</v>
      </c>
      <c r="AZ783" s="13">
        <v>4</v>
      </c>
      <c r="BA783" s="13">
        <v>4</v>
      </c>
      <c r="BB783" s="14">
        <f>Table1347456[[#This Row],[treatment_sd]]/SQRT(Table1347456[[#This Row],[treatment_n]])</f>
        <v>0.54500000000000004</v>
      </c>
      <c r="BC783" s="14">
        <f>Table1347456[[#This Row],[control_sd]]/SQRT(Table1347456[[#This Row],[control_n]])</f>
        <v>0.88500000000000001</v>
      </c>
      <c r="BD783" s="15">
        <v>1.0900000000000001</v>
      </c>
      <c r="BE783" s="14">
        <v>1.77</v>
      </c>
      <c r="BF78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7.5452964263006267E-2</v>
      </c>
      <c r="BG783" s="17">
        <f>SQRT(Table1347456[[#This Row],[v_from_sd_and_n]])</f>
        <v>0.27468702965922193</v>
      </c>
      <c r="BH783" s="13" t="s">
        <v>50</v>
      </c>
      <c r="BI783" s="13">
        <v>2.5000000000000001E-2</v>
      </c>
      <c r="BJ783" s="18">
        <f>ABS(_xlfn.NORM.S.INV(Table1347456[[#This Row],[p_value]]/2))</f>
        <v>2.2414027276049446</v>
      </c>
      <c r="BK783" s="19">
        <f>(Table1347456[[#This Row],[lnrr]]/Table1347456[[#This Row],[z_from_p]])^2</f>
        <v>1.9123129048347471E-3</v>
      </c>
      <c r="BL783" s="16">
        <f>Table1347456[[#This Row],[v_from_sd_and_n]]</f>
        <v>7.5452964263006267E-2</v>
      </c>
      <c r="BM783" s="20">
        <f>SQRT(Table1347456[[#This Row],[v]])</f>
        <v>0.27468702965922193</v>
      </c>
      <c r="BN783" s="20">
        <f>Table1347456[[#This Row],[lnrr]]-(1.96*Table1347456[[#This Row],[se]])</f>
        <v>-0.44037003673000702</v>
      </c>
      <c r="BO783" s="20">
        <f>Table1347456[[#This Row],[lnrr]]+(1.96 * Table1347456[[#This Row],[se]])</f>
        <v>0.63640311953414286</v>
      </c>
    </row>
    <row r="784" spans="1:67">
      <c r="A784" s="13" t="s">
        <v>279</v>
      </c>
      <c r="B784" s="13" t="s">
        <v>280</v>
      </c>
      <c r="C784" s="13" t="s">
        <v>43</v>
      </c>
      <c r="D784" s="13" t="s">
        <v>281</v>
      </c>
      <c r="E784" s="13" t="s">
        <v>282</v>
      </c>
      <c r="F784" s="13" t="s">
        <v>587</v>
      </c>
      <c r="G784" s="13" t="s">
        <v>46</v>
      </c>
      <c r="H784" s="13">
        <v>22</v>
      </c>
      <c r="I784" s="13">
        <v>200</v>
      </c>
      <c r="J784" s="13" t="s">
        <v>658</v>
      </c>
      <c r="K784" s="13" t="s">
        <v>888</v>
      </c>
      <c r="L784" s="13" t="s">
        <v>889</v>
      </c>
      <c r="M784" s="13" t="s">
        <v>800</v>
      </c>
      <c r="N784" s="13" t="s">
        <v>84</v>
      </c>
      <c r="O784" s="13" t="s">
        <v>644</v>
      </c>
      <c r="P784" s="13" t="s">
        <v>85</v>
      </c>
      <c r="Q784" s="13" t="s">
        <v>48</v>
      </c>
      <c r="R784" s="4">
        <v>4</v>
      </c>
      <c r="S784" s="13" t="s">
        <v>594</v>
      </c>
      <c r="T784" s="13">
        <v>280</v>
      </c>
      <c r="U784" s="4" t="s">
        <v>283</v>
      </c>
      <c r="V784" s="4">
        <v>350</v>
      </c>
      <c r="W784" s="4" t="s">
        <v>42</v>
      </c>
      <c r="X784" s="4">
        <v>718</v>
      </c>
      <c r="Y784" s="4">
        <v>3.1</v>
      </c>
      <c r="AA784" s="4" t="s">
        <v>49</v>
      </c>
      <c r="AB784" s="4">
        <v>0</v>
      </c>
      <c r="AC784" s="4" t="s">
        <v>49</v>
      </c>
      <c r="AD784" s="4">
        <v>0</v>
      </c>
      <c r="AE784" s="4" t="s">
        <v>49</v>
      </c>
      <c r="AF784" s="4">
        <v>0</v>
      </c>
      <c r="AG784" s="4" t="s">
        <v>676</v>
      </c>
      <c r="AH784" s="4" t="s">
        <v>733</v>
      </c>
      <c r="AI784" s="4" t="s">
        <v>271</v>
      </c>
      <c r="AJ784" s="13">
        <v>0</v>
      </c>
      <c r="AK784" s="13">
        <v>15</v>
      </c>
      <c r="AP784" s="13" t="s">
        <v>50</v>
      </c>
      <c r="AQ784" s="13" t="s">
        <v>49</v>
      </c>
      <c r="AR784" s="13" t="s">
        <v>49</v>
      </c>
      <c r="AS784" s="13" t="s">
        <v>49</v>
      </c>
      <c r="AT784" s="13" t="s">
        <v>990</v>
      </c>
      <c r="AU784" s="13" t="s">
        <v>998</v>
      </c>
      <c r="AV784" s="23">
        <f>23.34/1000</f>
        <v>2.334E-2</v>
      </c>
      <c r="AW784" s="23">
        <f>24.44/1000</f>
        <v>2.444E-2</v>
      </c>
      <c r="AX784" s="14">
        <f>Table1347456[[#This Row],[treatment_mean]]/Table1347456[[#This Row],[control_mean]]</f>
        <v>0.9549918166939444</v>
      </c>
      <c r="AY784" s="14">
        <f>LN(Table1347456[[#This Row],[rr]])</f>
        <v>-4.6052507444984604E-2</v>
      </c>
      <c r="AZ784" s="13">
        <v>4</v>
      </c>
      <c r="BA784" s="13">
        <v>4</v>
      </c>
      <c r="BB784" s="14">
        <f>Table1347456[[#This Row],[treatment_sd]]/SQRT(Table1347456[[#This Row],[treatment_n]])</f>
        <v>2.16E-3</v>
      </c>
      <c r="BC784" s="14">
        <f>Table1347456[[#This Row],[control_sd]]/SQRT(Table1347456[[#This Row],[control_n]])</f>
        <v>6.0750000000000005E-3</v>
      </c>
      <c r="BD784" s="15">
        <f>4.32/1000</f>
        <v>4.3200000000000001E-3</v>
      </c>
      <c r="BE784" s="14">
        <f>12.15/1000</f>
        <v>1.2150000000000001E-2</v>
      </c>
      <c r="BF78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7.0350586215083527E-2</v>
      </c>
      <c r="BG784" s="17">
        <f>SQRT(Table1347456[[#This Row],[v_from_sd_and_n]])</f>
        <v>0.26523684927830732</v>
      </c>
      <c r="BH784" s="13" t="s">
        <v>50</v>
      </c>
      <c r="BI784" s="13">
        <v>2.5000000000000001E-2</v>
      </c>
      <c r="BJ784" s="18">
        <f>ABS(_xlfn.NORM.S.INV(Table1347456[[#This Row],[p_value]]/2))</f>
        <v>2.2414027276049446</v>
      </c>
      <c r="BK784" s="19">
        <f>(Table1347456[[#This Row],[lnrr]]/Table1347456[[#This Row],[z_from_p]])^2</f>
        <v>4.2214997770558248E-4</v>
      </c>
      <c r="BL784" s="16">
        <f>Table1347456[[#This Row],[v_from_sd_and_n]]</f>
        <v>7.0350586215083527E-2</v>
      </c>
      <c r="BM784" s="20">
        <f>SQRT(Table1347456[[#This Row],[v]])</f>
        <v>0.26523684927830732</v>
      </c>
      <c r="BN784" s="20">
        <f>Table1347456[[#This Row],[lnrr]]-(1.96*Table1347456[[#This Row],[se]])</f>
        <v>-0.56591673203046688</v>
      </c>
      <c r="BO784" s="20">
        <f>Table1347456[[#This Row],[lnrr]]+(1.96 * Table1347456[[#This Row],[se]])</f>
        <v>0.47381171714049769</v>
      </c>
    </row>
    <row r="785" spans="1:67">
      <c r="A785" s="13" t="s">
        <v>279</v>
      </c>
      <c r="B785" s="13" t="s">
        <v>280</v>
      </c>
      <c r="C785" s="13" t="s">
        <v>43</v>
      </c>
      <c r="D785" s="13" t="s">
        <v>281</v>
      </c>
      <c r="E785" s="13" t="s">
        <v>282</v>
      </c>
      <c r="F785" s="13" t="s">
        <v>587</v>
      </c>
      <c r="G785" s="13" t="s">
        <v>46</v>
      </c>
      <c r="H785" s="13">
        <v>22</v>
      </c>
      <c r="I785" s="13">
        <v>200</v>
      </c>
      <c r="J785" s="13" t="s">
        <v>658</v>
      </c>
      <c r="K785" s="13" t="s">
        <v>888</v>
      </c>
      <c r="L785" s="13" t="s">
        <v>889</v>
      </c>
      <c r="M785" s="13" t="s">
        <v>800</v>
      </c>
      <c r="N785" s="13" t="s">
        <v>84</v>
      </c>
      <c r="O785" s="13" t="s">
        <v>644</v>
      </c>
      <c r="P785" s="13" t="s">
        <v>85</v>
      </c>
      <c r="Q785" s="13" t="s">
        <v>48</v>
      </c>
      <c r="R785" s="4">
        <v>4</v>
      </c>
      <c r="S785" s="13" t="s">
        <v>594</v>
      </c>
      <c r="T785" s="13">
        <v>280</v>
      </c>
      <c r="U785" s="4" t="s">
        <v>283</v>
      </c>
      <c r="V785" s="4">
        <v>350</v>
      </c>
      <c r="W785" s="4" t="s">
        <v>42</v>
      </c>
      <c r="X785" s="4">
        <v>718</v>
      </c>
      <c r="Y785" s="4">
        <v>6.2</v>
      </c>
      <c r="AA785" s="4" t="s">
        <v>49</v>
      </c>
      <c r="AB785" s="4">
        <v>0</v>
      </c>
      <c r="AC785" s="4" t="s">
        <v>49</v>
      </c>
      <c r="AD785" s="4">
        <v>0</v>
      </c>
      <c r="AE785" s="4" t="s">
        <v>49</v>
      </c>
      <c r="AF785" s="4">
        <v>0</v>
      </c>
      <c r="AG785" s="4" t="s">
        <v>676</v>
      </c>
      <c r="AH785" s="4" t="s">
        <v>733</v>
      </c>
      <c r="AI785" s="4" t="s">
        <v>271</v>
      </c>
      <c r="AJ785" s="13">
        <v>0</v>
      </c>
      <c r="AK785" s="13">
        <v>15</v>
      </c>
      <c r="AP785" s="13" t="s">
        <v>50</v>
      </c>
      <c r="AQ785" s="13" t="s">
        <v>49</v>
      </c>
      <c r="AR785" s="13" t="s">
        <v>49</v>
      </c>
      <c r="AS785" s="13" t="s">
        <v>49</v>
      </c>
      <c r="AT785" s="13" t="s">
        <v>990</v>
      </c>
      <c r="AU785" s="13" t="s">
        <v>998</v>
      </c>
      <c r="AV785" s="23">
        <f>25.94/1000</f>
        <v>2.5940000000000001E-2</v>
      </c>
      <c r="AW785" s="23">
        <f>24.44/1000</f>
        <v>2.444E-2</v>
      </c>
      <c r="AX785" s="14">
        <f>Table1347456[[#This Row],[treatment_mean]]/Table1347456[[#This Row],[control_mean]]</f>
        <v>1.0613747954173487</v>
      </c>
      <c r="AY785" s="14">
        <f>LN(Table1347456[[#This Row],[rr]])</f>
        <v>5.9565044584903332E-2</v>
      </c>
      <c r="AZ785" s="13">
        <v>4</v>
      </c>
      <c r="BA785" s="13">
        <v>4</v>
      </c>
      <c r="BB785" s="14">
        <f>Table1347456[[#This Row],[treatment_sd]]/SQRT(Table1347456[[#This Row],[treatment_n]])</f>
        <v>4.3E-3</v>
      </c>
      <c r="BC785" s="14">
        <f>Table1347456[[#This Row],[control_sd]]/SQRT(Table1347456[[#This Row],[control_n]])</f>
        <v>6.0750000000000005E-3</v>
      </c>
      <c r="BD785" s="15">
        <f>8.6/1000</f>
        <v>8.6E-3</v>
      </c>
      <c r="BE785" s="14">
        <f>12.15/1000</f>
        <v>1.2150000000000001E-2</v>
      </c>
      <c r="BF78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8.9264761236979656E-2</v>
      </c>
      <c r="BG785" s="17">
        <f>SQRT(Table1347456[[#This Row],[v_from_sd_and_n]])</f>
        <v>0.29877208911974967</v>
      </c>
      <c r="BH785" s="13" t="s">
        <v>50</v>
      </c>
      <c r="BI785" s="13">
        <v>2.5000000000000001E-2</v>
      </c>
      <c r="BJ785" s="18">
        <f>ABS(_xlfn.NORM.S.INV(Table1347456[[#This Row],[p_value]]/2))</f>
        <v>2.2414027276049446</v>
      </c>
      <c r="BK785" s="19">
        <f>(Table1347456[[#This Row],[lnrr]]/Table1347456[[#This Row],[z_from_p]])^2</f>
        <v>7.0622510226447163E-4</v>
      </c>
      <c r="BL785" s="16">
        <f>Table1347456[[#This Row],[v_from_sd_and_n]]</f>
        <v>8.9264761236979656E-2</v>
      </c>
      <c r="BM785" s="20">
        <f>SQRT(Table1347456[[#This Row],[v]])</f>
        <v>0.29877208911974967</v>
      </c>
      <c r="BN785" s="20">
        <f>Table1347456[[#This Row],[lnrr]]-(1.96*Table1347456[[#This Row],[se]])</f>
        <v>-0.52602825008980603</v>
      </c>
      <c r="BO785" s="20">
        <f>Table1347456[[#This Row],[lnrr]]+(1.96 * Table1347456[[#This Row],[se]])</f>
        <v>0.64515833925961263</v>
      </c>
    </row>
    <row r="786" spans="1:67">
      <c r="A786" s="13" t="s">
        <v>279</v>
      </c>
      <c r="B786" s="13" t="s">
        <v>280</v>
      </c>
      <c r="C786" s="13" t="s">
        <v>43</v>
      </c>
      <c r="D786" s="13" t="s">
        <v>281</v>
      </c>
      <c r="E786" s="13" t="s">
        <v>282</v>
      </c>
      <c r="F786" s="13" t="s">
        <v>587</v>
      </c>
      <c r="G786" s="13" t="s">
        <v>46</v>
      </c>
      <c r="H786" s="13">
        <v>22</v>
      </c>
      <c r="I786" s="13">
        <v>200</v>
      </c>
      <c r="K786" s="13" t="s">
        <v>888</v>
      </c>
      <c r="L786" s="13" t="s">
        <v>889</v>
      </c>
      <c r="N786" s="13" t="s">
        <v>86</v>
      </c>
      <c r="O786" s="13" t="s">
        <v>644</v>
      </c>
      <c r="P786" s="13" t="s">
        <v>48</v>
      </c>
      <c r="Q786" s="13" t="s">
        <v>48</v>
      </c>
      <c r="R786" s="4">
        <v>4</v>
      </c>
      <c r="S786" s="13" t="s">
        <v>594</v>
      </c>
      <c r="T786" s="13">
        <v>280</v>
      </c>
      <c r="U786" s="4" t="s">
        <v>283</v>
      </c>
      <c r="V786" s="4">
        <v>350</v>
      </c>
      <c r="W786" s="4" t="s">
        <v>42</v>
      </c>
      <c r="X786" s="4">
        <v>718</v>
      </c>
      <c r="Y786" s="4">
        <v>3.1</v>
      </c>
      <c r="AA786" s="4" t="s">
        <v>49</v>
      </c>
      <c r="AB786" s="4">
        <v>0</v>
      </c>
      <c r="AC786" s="4" t="s">
        <v>49</v>
      </c>
      <c r="AD786" s="4">
        <v>0</v>
      </c>
      <c r="AE786" s="4" t="s">
        <v>49</v>
      </c>
      <c r="AF786" s="4">
        <v>0</v>
      </c>
      <c r="AG786" s="4" t="s">
        <v>676</v>
      </c>
      <c r="AH786" s="4" t="s">
        <v>733</v>
      </c>
      <c r="AI786" s="4" t="s">
        <v>271</v>
      </c>
      <c r="AJ786" s="13">
        <v>0</v>
      </c>
      <c r="AK786" s="13">
        <v>15</v>
      </c>
      <c r="AP786" s="13" t="s">
        <v>50</v>
      </c>
      <c r="AQ786" s="13" t="s">
        <v>49</v>
      </c>
      <c r="AR786" s="13" t="s">
        <v>49</v>
      </c>
      <c r="AS786" s="13" t="s">
        <v>49</v>
      </c>
      <c r="AT786" s="13" t="s">
        <v>990</v>
      </c>
      <c r="AU786" s="13" t="s">
        <v>998</v>
      </c>
      <c r="AV786" s="14">
        <f>17/1000</f>
        <v>1.7000000000000001E-2</v>
      </c>
      <c r="AW786" s="14">
        <f>18.4/1000</f>
        <v>1.84E-2</v>
      </c>
      <c r="AX786" s="14">
        <f>Table1347456[[#This Row],[treatment_mean]]/Table1347456[[#This Row],[control_mean]]</f>
        <v>0.92391304347826098</v>
      </c>
      <c r="AY786" s="14">
        <f>LN(Table1347456[[#This Row],[rr]])</f>
        <v>-7.9137320558723745E-2</v>
      </c>
      <c r="AZ786" s="13">
        <v>4</v>
      </c>
      <c r="BA786" s="13">
        <v>4</v>
      </c>
      <c r="BB786" s="14">
        <f>Table1347456[[#This Row],[treatment_sd]]/SQRT(Table1347456[[#This Row],[treatment_n]])</f>
        <v>1.335E-3</v>
      </c>
      <c r="BC786" s="14">
        <f>Table1347456[[#This Row],[control_sd]]/SQRT(Table1347456[[#This Row],[control_n]])</f>
        <v>8.8000000000000003E-4</v>
      </c>
      <c r="BD786" s="15">
        <f>2.67/1000</f>
        <v>2.6700000000000001E-3</v>
      </c>
      <c r="BE786" s="14">
        <f>1.76/1000</f>
        <v>1.7600000000000001E-3</v>
      </c>
      <c r="BF78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8.454203105683504E-3</v>
      </c>
      <c r="BG786" s="17">
        <f>SQRT(Table1347456[[#This Row],[v_from_sd_and_n]])</f>
        <v>9.1946740593038451E-2</v>
      </c>
      <c r="BH786" s="13" t="s">
        <v>50</v>
      </c>
      <c r="BI786" s="13">
        <v>2.5000000000000001E-2</v>
      </c>
      <c r="BJ786" s="18">
        <f>ABS(_xlfn.NORM.S.INV(Table1347456[[#This Row],[p_value]]/2))</f>
        <v>2.2414027276049446</v>
      </c>
      <c r="BK786" s="19">
        <f>(Table1347456[[#This Row],[lnrr]]/Table1347456[[#This Row],[z_from_p]])^2</f>
        <v>1.2465878548417976E-3</v>
      </c>
      <c r="BL786" s="16">
        <f>Table1347456[[#This Row],[v_from_sd_and_n]]</f>
        <v>8.454203105683504E-3</v>
      </c>
      <c r="BM786" s="20">
        <f>SQRT(Table1347456[[#This Row],[v]])</f>
        <v>9.1946740593038451E-2</v>
      </c>
      <c r="BN786" s="20">
        <f>Table1347456[[#This Row],[lnrr]]-(1.96*Table1347456[[#This Row],[se]])</f>
        <v>-0.25935293212107913</v>
      </c>
      <c r="BO786" s="20">
        <f>Table1347456[[#This Row],[lnrr]]+(1.96 * Table1347456[[#This Row],[se]])</f>
        <v>0.10107829100363161</v>
      </c>
    </row>
    <row r="787" spans="1:67">
      <c r="A787" s="13" t="s">
        <v>279</v>
      </c>
      <c r="B787" s="13" t="s">
        <v>280</v>
      </c>
      <c r="C787" s="13" t="s">
        <v>43</v>
      </c>
      <c r="D787" s="13" t="s">
        <v>281</v>
      </c>
      <c r="E787" s="13" t="s">
        <v>282</v>
      </c>
      <c r="F787" s="13" t="s">
        <v>587</v>
      </c>
      <c r="G787" s="13" t="s">
        <v>46</v>
      </c>
      <c r="H787" s="13">
        <v>22</v>
      </c>
      <c r="I787" s="13">
        <v>200</v>
      </c>
      <c r="K787" s="13" t="s">
        <v>888</v>
      </c>
      <c r="L787" s="13" t="s">
        <v>889</v>
      </c>
      <c r="N787" s="13" t="s">
        <v>86</v>
      </c>
      <c r="O787" s="13" t="s">
        <v>644</v>
      </c>
      <c r="P787" s="13" t="s">
        <v>48</v>
      </c>
      <c r="Q787" s="13" t="s">
        <v>48</v>
      </c>
      <c r="R787" s="4">
        <v>4</v>
      </c>
      <c r="S787" s="13" t="s">
        <v>594</v>
      </c>
      <c r="T787" s="13">
        <v>280</v>
      </c>
      <c r="U787" s="4" t="s">
        <v>283</v>
      </c>
      <c r="V787" s="4">
        <v>350</v>
      </c>
      <c r="W787" s="4" t="s">
        <v>42</v>
      </c>
      <c r="X787" s="4">
        <v>718</v>
      </c>
      <c r="Y787" s="4">
        <v>6.2</v>
      </c>
      <c r="AA787" s="4" t="s">
        <v>49</v>
      </c>
      <c r="AB787" s="4">
        <v>0</v>
      </c>
      <c r="AC787" s="4" t="s">
        <v>49</v>
      </c>
      <c r="AD787" s="4">
        <v>0</v>
      </c>
      <c r="AE787" s="4" t="s">
        <v>49</v>
      </c>
      <c r="AF787" s="4">
        <v>0</v>
      </c>
      <c r="AG787" s="4" t="s">
        <v>676</v>
      </c>
      <c r="AH787" s="4" t="s">
        <v>733</v>
      </c>
      <c r="AI787" s="4" t="s">
        <v>271</v>
      </c>
      <c r="AJ787" s="13">
        <v>0</v>
      </c>
      <c r="AK787" s="13">
        <v>15</v>
      </c>
      <c r="AP787" s="13" t="s">
        <v>50</v>
      </c>
      <c r="AQ787" s="13" t="s">
        <v>49</v>
      </c>
      <c r="AR787" s="13" t="s">
        <v>49</v>
      </c>
      <c r="AS787" s="13" t="s">
        <v>49</v>
      </c>
      <c r="AT787" s="13" t="s">
        <v>990</v>
      </c>
      <c r="AU787" s="13" t="s">
        <v>998</v>
      </c>
      <c r="AV787" s="14">
        <f>21.14/1000</f>
        <v>2.1139999999999999E-2</v>
      </c>
      <c r="AW787" s="14">
        <f>18.4/1000</f>
        <v>1.84E-2</v>
      </c>
      <c r="AX787" s="14">
        <f>Table1347456[[#This Row],[treatment_mean]]/Table1347456[[#This Row],[control_mean]]</f>
        <v>1.1489130434782608</v>
      </c>
      <c r="AY787" s="14">
        <f>LN(Table1347456[[#This Row],[rr]])</f>
        <v>0.13881631582715162</v>
      </c>
      <c r="AZ787" s="13">
        <v>4</v>
      </c>
      <c r="BA787" s="13">
        <v>4</v>
      </c>
      <c r="BB787" s="14">
        <f>Table1347456[[#This Row],[treatment_sd]]/SQRT(Table1347456[[#This Row],[treatment_n]])</f>
        <v>2.2750000000000001E-3</v>
      </c>
      <c r="BC787" s="14">
        <f>Table1347456[[#This Row],[control_sd]]/SQRT(Table1347456[[#This Row],[control_n]])</f>
        <v>8.8000000000000003E-4</v>
      </c>
      <c r="BD787" s="15">
        <f>4.55/1000</f>
        <v>4.5500000000000002E-3</v>
      </c>
      <c r="BE787" s="14">
        <f>1.76/1000</f>
        <v>1.7600000000000001E-3</v>
      </c>
      <c r="BF78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1.3868515243544273E-2</v>
      </c>
      <c r="BG787" s="17">
        <f>SQRT(Table1347456[[#This Row],[v_from_sd_and_n]])</f>
        <v>0.11776466041875328</v>
      </c>
      <c r="BH787" s="13" t="s">
        <v>50</v>
      </c>
      <c r="BI787" s="13">
        <v>2.5000000000000001E-2</v>
      </c>
      <c r="BJ787" s="18">
        <f>ABS(_xlfn.NORM.S.INV(Table1347456[[#This Row],[p_value]]/2))</f>
        <v>2.2414027276049446</v>
      </c>
      <c r="BK787" s="19">
        <f>(Table1347456[[#This Row],[lnrr]]/Table1347456[[#This Row],[z_from_p]])^2</f>
        <v>3.8356700015377376E-3</v>
      </c>
      <c r="BL787" s="16">
        <f>Table1347456[[#This Row],[v_from_sd_and_n]]</f>
        <v>1.3868515243544273E-2</v>
      </c>
      <c r="BM787" s="20">
        <f>SQRT(Table1347456[[#This Row],[v]])</f>
        <v>0.11776466041875328</v>
      </c>
      <c r="BN787" s="20">
        <f>Table1347456[[#This Row],[lnrr]]-(1.96*Table1347456[[#This Row],[se]])</f>
        <v>-9.2002418593604807E-2</v>
      </c>
      <c r="BO787" s="20">
        <f>Table1347456[[#This Row],[lnrr]]+(1.96 * Table1347456[[#This Row],[se]])</f>
        <v>0.36963505024790805</v>
      </c>
    </row>
    <row r="788" spans="1:67">
      <c r="A788" s="13" t="s">
        <v>284</v>
      </c>
      <c r="B788" s="13" t="s">
        <v>285</v>
      </c>
      <c r="C788" s="13" t="s">
        <v>43</v>
      </c>
      <c r="D788" s="13" t="s">
        <v>286</v>
      </c>
      <c r="E788" s="13" t="s">
        <v>287</v>
      </c>
      <c r="F788" s="13" t="s">
        <v>586</v>
      </c>
      <c r="G788" s="13" t="s">
        <v>46</v>
      </c>
      <c r="H788" s="13">
        <v>20</v>
      </c>
      <c r="I788" s="13" t="s">
        <v>46</v>
      </c>
      <c r="K788" s="13" t="s">
        <v>890</v>
      </c>
      <c r="L788" s="13" t="s">
        <v>891</v>
      </c>
      <c r="N788" s="13" t="s">
        <v>617</v>
      </c>
      <c r="O788" s="13" t="s">
        <v>54</v>
      </c>
      <c r="P788" s="13" t="s">
        <v>85</v>
      </c>
      <c r="Q788" s="13" t="s">
        <v>48</v>
      </c>
      <c r="R788" s="4">
        <v>5</v>
      </c>
      <c r="S788" s="13" t="s">
        <v>595</v>
      </c>
      <c r="T788" s="13">
        <v>7</v>
      </c>
      <c r="U788" s="4" t="s">
        <v>180</v>
      </c>
      <c r="V788" s="4">
        <v>550</v>
      </c>
      <c r="W788" s="4" t="s">
        <v>601</v>
      </c>
      <c r="X788" s="4">
        <v>863</v>
      </c>
      <c r="Y788" s="4">
        <f>150/1000</f>
        <v>0.15</v>
      </c>
      <c r="Z788" s="4">
        <f>150/1000</f>
        <v>0.15</v>
      </c>
      <c r="AA788" s="4" t="s">
        <v>49</v>
      </c>
      <c r="AB788" s="4">
        <v>0</v>
      </c>
      <c r="AC788" s="4" t="s">
        <v>49</v>
      </c>
      <c r="AD788" s="4">
        <v>0</v>
      </c>
      <c r="AE788" s="4" t="s">
        <v>49</v>
      </c>
      <c r="AF788" s="4">
        <v>0</v>
      </c>
      <c r="AG788" s="4" t="s">
        <v>717</v>
      </c>
      <c r="AH788" s="4" t="s">
        <v>711</v>
      </c>
      <c r="AI788" s="4" t="s">
        <v>271</v>
      </c>
      <c r="AJ788" s="13">
        <v>10</v>
      </c>
      <c r="AK788" s="13">
        <v>30</v>
      </c>
      <c r="AL788" s="13" t="s">
        <v>524</v>
      </c>
      <c r="AN788" s="13" t="s">
        <v>527</v>
      </c>
      <c r="AP788" s="13" t="s">
        <v>49</v>
      </c>
      <c r="AQ788" s="13" t="s">
        <v>49</v>
      </c>
      <c r="AR788" s="13" t="s">
        <v>49</v>
      </c>
      <c r="AS788" s="13" t="s">
        <v>49</v>
      </c>
      <c r="AT788" s="13" t="s">
        <v>990</v>
      </c>
      <c r="AU788" s="13" t="s">
        <v>998</v>
      </c>
      <c r="AV788" s="14">
        <f>0.6/1000</f>
        <v>5.9999999999999995E-4</v>
      </c>
      <c r="AW788" s="14">
        <f>0.7/1000</f>
        <v>6.9999999999999999E-4</v>
      </c>
      <c r="AX788" s="14">
        <f>Table1347456[[#This Row],[treatment_mean]]/Table1347456[[#This Row],[control_mean]]</f>
        <v>0.8571428571428571</v>
      </c>
      <c r="AY788" s="14">
        <f>LN(Table1347456[[#This Row],[rr]])</f>
        <v>-0.15415067982725836</v>
      </c>
      <c r="AZ788" s="13">
        <v>5</v>
      </c>
      <c r="BA788" s="13">
        <v>5</v>
      </c>
      <c r="BB788" s="14" t="s">
        <v>46</v>
      </c>
      <c r="BC788" s="14" t="s">
        <v>46</v>
      </c>
      <c r="BD788" s="15" t="s">
        <v>46</v>
      </c>
      <c r="BE788" s="14" t="s">
        <v>46</v>
      </c>
      <c r="BF78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88" s="17" t="s">
        <v>46</v>
      </c>
      <c r="BH788" s="13" t="s">
        <v>50</v>
      </c>
      <c r="BI788" s="13">
        <v>2.5000000000000001E-2</v>
      </c>
      <c r="BJ788" s="18">
        <f>ABS(_xlfn.NORM.S.INV(Table1347456[[#This Row],[p_value]]/2))</f>
        <v>2.2414027276049446</v>
      </c>
      <c r="BK788" s="19">
        <f>(Table1347456[[#This Row],[lnrr]]/Table1347456[[#This Row],[z_from_p]])^2</f>
        <v>4.729890607634608E-3</v>
      </c>
      <c r="BL788" s="16">
        <f>Table1347456[[#This Row],[v_from_z_from_p]]</f>
        <v>4.729890607634608E-3</v>
      </c>
      <c r="BM788" s="20">
        <f>SQRT(Table1347456[[#This Row],[v]])</f>
        <v>6.87742001599045E-2</v>
      </c>
      <c r="BN788" s="20">
        <f>Table1347456[[#This Row],[lnrr]]-(1.96*Table1347456[[#This Row],[se]])</f>
        <v>-0.28894811214067118</v>
      </c>
      <c r="BO788" s="20">
        <f>Table1347456[[#This Row],[lnrr]]+(1.96 * Table1347456[[#This Row],[se]])</f>
        <v>-1.935324751384554E-2</v>
      </c>
    </row>
    <row r="789" spans="1:67">
      <c r="A789" s="13" t="s">
        <v>284</v>
      </c>
      <c r="B789" s="13" t="s">
        <v>285</v>
      </c>
      <c r="C789" s="13" t="s">
        <v>43</v>
      </c>
      <c r="D789" s="13" t="s">
        <v>286</v>
      </c>
      <c r="E789" s="13" t="s">
        <v>287</v>
      </c>
      <c r="F789" s="13" t="s">
        <v>586</v>
      </c>
      <c r="G789" s="13" t="s">
        <v>46</v>
      </c>
      <c r="H789" s="13">
        <v>20</v>
      </c>
      <c r="I789" s="13" t="s">
        <v>46</v>
      </c>
      <c r="K789" s="13" t="s">
        <v>890</v>
      </c>
      <c r="L789" s="13" t="s">
        <v>891</v>
      </c>
      <c r="N789" s="13" t="s">
        <v>617</v>
      </c>
      <c r="O789" s="13" t="s">
        <v>54</v>
      </c>
      <c r="P789" s="13" t="s">
        <v>85</v>
      </c>
      <c r="Q789" s="13" t="s">
        <v>48</v>
      </c>
      <c r="R789" s="4">
        <v>5</v>
      </c>
      <c r="S789" s="13" t="s">
        <v>595</v>
      </c>
      <c r="T789" s="13">
        <v>7</v>
      </c>
      <c r="U789" s="4" t="s">
        <v>120</v>
      </c>
      <c r="V789" s="4">
        <v>550</v>
      </c>
      <c r="W789" s="4" t="s">
        <v>601</v>
      </c>
      <c r="X789" s="4">
        <v>370</v>
      </c>
      <c r="Y789" s="4">
        <f t="shared" ref="Y789:Z793" si="23">150/1000</f>
        <v>0.15</v>
      </c>
      <c r="Z789" s="4">
        <f t="shared" si="23"/>
        <v>0.15</v>
      </c>
      <c r="AA789" s="4" t="s">
        <v>49</v>
      </c>
      <c r="AB789" s="4">
        <v>0</v>
      </c>
      <c r="AC789" s="4" t="s">
        <v>49</v>
      </c>
      <c r="AD789" s="4">
        <v>0</v>
      </c>
      <c r="AE789" s="4" t="s">
        <v>49</v>
      </c>
      <c r="AF789" s="4">
        <v>0</v>
      </c>
      <c r="AG789" s="4" t="s">
        <v>730</v>
      </c>
      <c r="AH789" s="4" t="s">
        <v>711</v>
      </c>
      <c r="AI789" s="4" t="s">
        <v>271</v>
      </c>
      <c r="AJ789" s="13">
        <v>10</v>
      </c>
      <c r="AK789" s="13">
        <v>30</v>
      </c>
      <c r="AL789" s="13" t="s">
        <v>524</v>
      </c>
      <c r="AN789" s="13" t="s">
        <v>527</v>
      </c>
      <c r="AP789" s="13" t="s">
        <v>49</v>
      </c>
      <c r="AQ789" s="13" t="s">
        <v>49</v>
      </c>
      <c r="AR789" s="13" t="s">
        <v>49</v>
      </c>
      <c r="AS789" s="13" t="s">
        <v>49</v>
      </c>
      <c r="AT789" s="13" t="s">
        <v>990</v>
      </c>
      <c r="AU789" s="13" t="s">
        <v>998</v>
      </c>
      <c r="AV789" s="14">
        <f>0.5/1000</f>
        <v>5.0000000000000001E-4</v>
      </c>
      <c r="AW789" s="14">
        <f>0.7/1000</f>
        <v>6.9999999999999999E-4</v>
      </c>
      <c r="AX789" s="14">
        <f>Table1347456[[#This Row],[treatment_mean]]/Table1347456[[#This Row],[control_mean]]</f>
        <v>0.7142857142857143</v>
      </c>
      <c r="AY789" s="14">
        <f>LN(Table1347456[[#This Row],[rr]])</f>
        <v>-0.33647223662121289</v>
      </c>
      <c r="AZ789" s="13">
        <v>5</v>
      </c>
      <c r="BA789" s="13">
        <v>5</v>
      </c>
      <c r="BB789" s="14" t="s">
        <v>46</v>
      </c>
      <c r="BC789" s="14" t="s">
        <v>46</v>
      </c>
      <c r="BD789" s="15" t="s">
        <v>46</v>
      </c>
      <c r="BE789" s="14" t="s">
        <v>46</v>
      </c>
      <c r="BF78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89" s="17" t="s">
        <v>46</v>
      </c>
      <c r="BH789" s="13" t="s">
        <v>50</v>
      </c>
      <c r="BI789" s="13">
        <v>2.5000000000000001E-2</v>
      </c>
      <c r="BJ789" s="18">
        <f>ABS(_xlfn.NORM.S.INV(Table1347456[[#This Row],[p_value]]/2))</f>
        <v>2.2414027276049446</v>
      </c>
      <c r="BK789" s="19">
        <f>(Table1347456[[#This Row],[lnrr]]/Table1347456[[#This Row],[z_from_p]])^2</f>
        <v>2.2535057880638549E-2</v>
      </c>
      <c r="BL789" s="16">
        <f>Table1347456[[#This Row],[v_from_z_from_p]]</f>
        <v>2.2535057880638549E-2</v>
      </c>
      <c r="BM789" s="20">
        <f>SQRT(Table1347456[[#This Row],[v]])</f>
        <v>0.15011681411700206</v>
      </c>
      <c r="BN789" s="20">
        <f>Table1347456[[#This Row],[lnrr]]-(1.96*Table1347456[[#This Row],[se]])</f>
        <v>-0.630701192290537</v>
      </c>
      <c r="BO789" s="20">
        <f>Table1347456[[#This Row],[lnrr]]+(1.96 * Table1347456[[#This Row],[se]])</f>
        <v>-4.224328095188884E-2</v>
      </c>
    </row>
    <row r="790" spans="1:67">
      <c r="A790" s="13" t="s">
        <v>284</v>
      </c>
      <c r="B790" s="13" t="s">
        <v>285</v>
      </c>
      <c r="C790" s="13" t="s">
        <v>43</v>
      </c>
      <c r="D790" s="13" t="s">
        <v>286</v>
      </c>
      <c r="E790" s="13" t="s">
        <v>287</v>
      </c>
      <c r="F790" s="13" t="s">
        <v>586</v>
      </c>
      <c r="G790" s="13" t="s">
        <v>46</v>
      </c>
      <c r="H790" s="13">
        <v>20</v>
      </c>
      <c r="I790" s="13" t="s">
        <v>46</v>
      </c>
      <c r="K790" s="13" t="s">
        <v>890</v>
      </c>
      <c r="L790" s="13" t="s">
        <v>891</v>
      </c>
      <c r="N790" s="13" t="s">
        <v>617</v>
      </c>
      <c r="O790" s="13" t="s">
        <v>54</v>
      </c>
      <c r="P790" s="13" t="s">
        <v>85</v>
      </c>
      <c r="Q790" s="13" t="s">
        <v>48</v>
      </c>
      <c r="R790" s="4">
        <v>5</v>
      </c>
      <c r="S790" s="13" t="s">
        <v>595</v>
      </c>
      <c r="T790" s="13">
        <v>15</v>
      </c>
      <c r="U790" s="4" t="s">
        <v>180</v>
      </c>
      <c r="V790" s="4">
        <v>550</v>
      </c>
      <c r="W790" s="4" t="s">
        <v>601</v>
      </c>
      <c r="X790" s="4">
        <v>424</v>
      </c>
      <c r="Y790" s="4">
        <f t="shared" si="23"/>
        <v>0.15</v>
      </c>
      <c r="Z790" s="4">
        <f t="shared" si="23"/>
        <v>0.15</v>
      </c>
      <c r="AA790" s="4" t="s">
        <v>49</v>
      </c>
      <c r="AB790" s="4">
        <v>0</v>
      </c>
      <c r="AC790" s="4" t="s">
        <v>49</v>
      </c>
      <c r="AD790" s="4">
        <v>0</v>
      </c>
      <c r="AE790" s="4" t="s">
        <v>49</v>
      </c>
      <c r="AF790" s="4">
        <v>0</v>
      </c>
      <c r="AG790" s="4" t="s">
        <v>717</v>
      </c>
      <c r="AH790" s="4" t="s">
        <v>711</v>
      </c>
      <c r="AI790" s="4" t="s">
        <v>271</v>
      </c>
      <c r="AJ790" s="13">
        <v>10</v>
      </c>
      <c r="AK790" s="13">
        <v>30</v>
      </c>
      <c r="AL790" s="13" t="s">
        <v>524</v>
      </c>
      <c r="AN790" s="13" t="s">
        <v>527</v>
      </c>
      <c r="AP790" s="13" t="s">
        <v>49</v>
      </c>
      <c r="AQ790" s="13" t="s">
        <v>49</v>
      </c>
      <c r="AR790" s="13" t="s">
        <v>49</v>
      </c>
      <c r="AS790" s="13" t="s">
        <v>49</v>
      </c>
      <c r="AT790" s="13" t="s">
        <v>990</v>
      </c>
      <c r="AU790" s="13" t="s">
        <v>998</v>
      </c>
      <c r="AV790" s="14">
        <f>0.41/1000</f>
        <v>4.0999999999999999E-4</v>
      </c>
      <c r="AW790" s="14">
        <f>0.4/1000</f>
        <v>4.0000000000000002E-4</v>
      </c>
      <c r="AX790" s="14">
        <f>Table1347456[[#This Row],[treatment_mean]]/Table1347456[[#This Row],[control_mean]]</f>
        <v>1.0249999999999999</v>
      </c>
      <c r="AY790" s="17">
        <f>LN(Table1347456[[#This Row],[rr]])</f>
        <v>2.4692612590371414E-2</v>
      </c>
      <c r="AZ790" s="13">
        <v>5</v>
      </c>
      <c r="BA790" s="13">
        <v>5</v>
      </c>
      <c r="BB790" s="14" t="s">
        <v>46</v>
      </c>
      <c r="BC790" s="14" t="s">
        <v>46</v>
      </c>
      <c r="BD790" s="15" t="s">
        <v>46</v>
      </c>
      <c r="BE790" s="14" t="s">
        <v>46</v>
      </c>
      <c r="BF79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90" s="17" t="s">
        <v>46</v>
      </c>
      <c r="BH790" s="13" t="s">
        <v>50</v>
      </c>
      <c r="BI790" s="13">
        <v>2.5000000000000001E-2</v>
      </c>
      <c r="BJ790" s="18">
        <f>ABS(_xlfn.NORM.S.INV(Table1347456[[#This Row],[p_value]]/2))</f>
        <v>2.2414027276049446</v>
      </c>
      <c r="BK790" s="19">
        <f>(Table1347456[[#This Row],[lnrr]]/Table1347456[[#This Row],[z_from_p]])^2</f>
        <v>1.2136523277093752E-4</v>
      </c>
      <c r="BL790" s="16">
        <f>Table1347456[[#This Row],[v_from_z_from_p]]</f>
        <v>1.2136523277093752E-4</v>
      </c>
      <c r="BM790" s="20">
        <f>SQRT(Table1347456[[#This Row],[v]])</f>
        <v>1.1016588980757044E-2</v>
      </c>
      <c r="BN790" s="20">
        <f>Table1347456[[#This Row],[lnrr]]-(1.96*Table1347456[[#This Row],[se]])</f>
        <v>3.100098188087607E-3</v>
      </c>
      <c r="BO790" s="20">
        <f>Table1347456[[#This Row],[lnrr]]+(1.96 * Table1347456[[#This Row],[se]])</f>
        <v>4.6285126992655218E-2</v>
      </c>
    </row>
    <row r="791" spans="1:67">
      <c r="A791" s="13" t="s">
        <v>284</v>
      </c>
      <c r="B791" s="13" t="s">
        <v>285</v>
      </c>
      <c r="C791" s="13" t="s">
        <v>43</v>
      </c>
      <c r="D791" s="13" t="s">
        <v>286</v>
      </c>
      <c r="E791" s="13" t="s">
        <v>287</v>
      </c>
      <c r="F791" s="13" t="s">
        <v>586</v>
      </c>
      <c r="G791" s="13" t="s">
        <v>46</v>
      </c>
      <c r="H791" s="13">
        <v>20</v>
      </c>
      <c r="I791" s="13" t="s">
        <v>46</v>
      </c>
      <c r="K791" s="13" t="s">
        <v>890</v>
      </c>
      <c r="L791" s="13" t="s">
        <v>891</v>
      </c>
      <c r="N791" s="13" t="s">
        <v>617</v>
      </c>
      <c r="O791" s="13" t="s">
        <v>54</v>
      </c>
      <c r="P791" s="13" t="s">
        <v>85</v>
      </c>
      <c r="Q791" s="13" t="s">
        <v>48</v>
      </c>
      <c r="R791" s="4">
        <v>5</v>
      </c>
      <c r="S791" s="13" t="s">
        <v>595</v>
      </c>
      <c r="T791" s="13">
        <v>15</v>
      </c>
      <c r="U791" s="4" t="s">
        <v>120</v>
      </c>
      <c r="V791" s="4">
        <v>550</v>
      </c>
      <c r="W791" s="4" t="s">
        <v>601</v>
      </c>
      <c r="X791" s="4">
        <v>579</v>
      </c>
      <c r="Y791" s="4">
        <f t="shared" si="23"/>
        <v>0.15</v>
      </c>
      <c r="Z791" s="4">
        <f t="shared" si="23"/>
        <v>0.15</v>
      </c>
      <c r="AA791" s="4" t="s">
        <v>49</v>
      </c>
      <c r="AB791" s="4">
        <v>0</v>
      </c>
      <c r="AC791" s="4" t="s">
        <v>49</v>
      </c>
      <c r="AD791" s="4">
        <v>0</v>
      </c>
      <c r="AE791" s="4" t="s">
        <v>49</v>
      </c>
      <c r="AF791" s="4">
        <v>0</v>
      </c>
      <c r="AG791" s="4" t="s">
        <v>730</v>
      </c>
      <c r="AH791" s="4" t="s">
        <v>711</v>
      </c>
      <c r="AI791" s="4" t="s">
        <v>271</v>
      </c>
      <c r="AJ791" s="13">
        <v>10</v>
      </c>
      <c r="AK791" s="13">
        <v>30</v>
      </c>
      <c r="AL791" s="13" t="s">
        <v>524</v>
      </c>
      <c r="AN791" s="13" t="s">
        <v>527</v>
      </c>
      <c r="AP791" s="13" t="s">
        <v>49</v>
      </c>
      <c r="AQ791" s="13" t="s">
        <v>49</v>
      </c>
      <c r="AR791" s="13" t="s">
        <v>49</v>
      </c>
      <c r="AS791" s="13" t="s">
        <v>49</v>
      </c>
      <c r="AT791" s="13" t="s">
        <v>990</v>
      </c>
      <c r="AU791" s="13" t="s">
        <v>998</v>
      </c>
      <c r="AV791" s="14">
        <f>0.3/1000</f>
        <v>2.9999999999999997E-4</v>
      </c>
      <c r="AW791" s="14">
        <f>0.4/1000</f>
        <v>4.0000000000000002E-4</v>
      </c>
      <c r="AX791" s="14">
        <f>Table1347456[[#This Row],[treatment_mean]]/Table1347456[[#This Row],[control_mean]]</f>
        <v>0.74999999999999989</v>
      </c>
      <c r="AY791" s="14">
        <f>LN(Table1347456[[#This Row],[rr]])</f>
        <v>-0.28768207245178107</v>
      </c>
      <c r="AZ791" s="13">
        <v>5</v>
      </c>
      <c r="BA791" s="13">
        <v>5</v>
      </c>
      <c r="BB791" s="14" t="s">
        <v>46</v>
      </c>
      <c r="BC791" s="14" t="s">
        <v>46</v>
      </c>
      <c r="BD791" s="15" t="s">
        <v>46</v>
      </c>
      <c r="BE791" s="14" t="s">
        <v>46</v>
      </c>
      <c r="BF79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91" s="17" t="s">
        <v>46</v>
      </c>
      <c r="BH791" s="13" t="s">
        <v>50</v>
      </c>
      <c r="BI791" s="13">
        <v>2.5000000000000001E-2</v>
      </c>
      <c r="BJ791" s="18">
        <f>ABS(_xlfn.NORM.S.INV(Table1347456[[#This Row],[p_value]]/2))</f>
        <v>2.2414027276049446</v>
      </c>
      <c r="BK791" s="19">
        <f>(Table1347456[[#This Row],[lnrr]]/Table1347456[[#This Row],[z_from_p]])^2</f>
        <v>1.6473497154278698E-2</v>
      </c>
      <c r="BL791" s="16">
        <f>Table1347456[[#This Row],[v_from_z_from_p]]</f>
        <v>1.6473497154278698E-2</v>
      </c>
      <c r="BM791" s="20">
        <f>SQRT(Table1347456[[#This Row],[v]])</f>
        <v>0.12834912214066249</v>
      </c>
      <c r="BN791" s="20">
        <f>Table1347456[[#This Row],[lnrr]]-(1.96*Table1347456[[#This Row],[se]])</f>
        <v>-0.53924635184747949</v>
      </c>
      <c r="BO791" s="20">
        <f>Table1347456[[#This Row],[lnrr]]+(1.96 * Table1347456[[#This Row],[se]])</f>
        <v>-3.6117793056082592E-2</v>
      </c>
    </row>
    <row r="792" spans="1:67">
      <c r="A792" s="13" t="s">
        <v>284</v>
      </c>
      <c r="B792" s="13" t="s">
        <v>285</v>
      </c>
      <c r="C792" s="13" t="s">
        <v>43</v>
      </c>
      <c r="D792" s="13" t="s">
        <v>286</v>
      </c>
      <c r="E792" s="13" t="s">
        <v>287</v>
      </c>
      <c r="F792" s="13" t="s">
        <v>586</v>
      </c>
      <c r="G792" s="13" t="s">
        <v>46</v>
      </c>
      <c r="H792" s="13">
        <v>20</v>
      </c>
      <c r="I792" s="13" t="s">
        <v>46</v>
      </c>
      <c r="K792" s="13" t="s">
        <v>890</v>
      </c>
      <c r="L792" s="13" t="s">
        <v>891</v>
      </c>
      <c r="N792" s="13" t="s">
        <v>617</v>
      </c>
      <c r="O792" s="13" t="s">
        <v>54</v>
      </c>
      <c r="P792" s="13" t="s">
        <v>85</v>
      </c>
      <c r="Q792" s="13" t="s">
        <v>48</v>
      </c>
      <c r="R792" s="4">
        <v>5</v>
      </c>
      <c r="S792" s="13" t="s">
        <v>595</v>
      </c>
      <c r="T792" s="13">
        <v>60</v>
      </c>
      <c r="U792" s="4" t="s">
        <v>180</v>
      </c>
      <c r="V792" s="4">
        <v>550</v>
      </c>
      <c r="W792" s="4" t="s">
        <v>601</v>
      </c>
      <c r="X792" s="4">
        <v>863</v>
      </c>
      <c r="Y792" s="4">
        <f t="shared" si="23"/>
        <v>0.15</v>
      </c>
      <c r="Z792" s="4">
        <f t="shared" si="23"/>
        <v>0.15</v>
      </c>
      <c r="AA792" s="4" t="s">
        <v>49</v>
      </c>
      <c r="AB792" s="4">
        <v>0</v>
      </c>
      <c r="AC792" s="4" t="s">
        <v>49</v>
      </c>
      <c r="AD792" s="4">
        <v>0</v>
      </c>
      <c r="AE792" s="4" t="s">
        <v>49</v>
      </c>
      <c r="AF792" s="4">
        <v>0</v>
      </c>
      <c r="AG792" s="4" t="s">
        <v>717</v>
      </c>
      <c r="AH792" s="4" t="s">
        <v>711</v>
      </c>
      <c r="AI792" s="4" t="s">
        <v>271</v>
      </c>
      <c r="AJ792" s="13">
        <v>10</v>
      </c>
      <c r="AK792" s="13">
        <v>30</v>
      </c>
      <c r="AL792" s="13" t="s">
        <v>524</v>
      </c>
      <c r="AN792" s="13" t="s">
        <v>527</v>
      </c>
      <c r="AP792" s="13" t="s">
        <v>49</v>
      </c>
      <c r="AQ792" s="13" t="s">
        <v>49</v>
      </c>
      <c r="AR792" s="13" t="s">
        <v>49</v>
      </c>
      <c r="AS792" s="13" t="s">
        <v>49</v>
      </c>
      <c r="AT792" s="13" t="s">
        <v>990</v>
      </c>
      <c r="AU792" s="13" t="s">
        <v>998</v>
      </c>
      <c r="AV792" s="14">
        <f>0.31/1000</f>
        <v>3.1E-4</v>
      </c>
      <c r="AW792" s="14">
        <f>0.3/1000</f>
        <v>2.9999999999999997E-4</v>
      </c>
      <c r="AX792" s="14">
        <f>Table1347456[[#This Row],[treatment_mean]]/Table1347456[[#This Row],[control_mean]]</f>
        <v>1.0333333333333334</v>
      </c>
      <c r="AY792" s="17">
        <f>LN(Table1347456[[#This Row],[rr]])</f>
        <v>3.278982282299097E-2</v>
      </c>
      <c r="AZ792" s="13">
        <v>5</v>
      </c>
      <c r="BA792" s="13">
        <v>5</v>
      </c>
      <c r="BB792" s="14" t="s">
        <v>46</v>
      </c>
      <c r="BC792" s="14" t="s">
        <v>46</v>
      </c>
      <c r="BD792" s="15" t="s">
        <v>46</v>
      </c>
      <c r="BE792" s="14" t="s">
        <v>46</v>
      </c>
      <c r="BF79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92" s="17" t="s">
        <v>46</v>
      </c>
      <c r="BH792" s="13" t="s">
        <v>50</v>
      </c>
      <c r="BI792" s="13">
        <v>2.5000000000000001E-2</v>
      </c>
      <c r="BJ792" s="18">
        <f>ABS(_xlfn.NORM.S.INV(Table1347456[[#This Row],[p_value]]/2))</f>
        <v>2.2414027276049446</v>
      </c>
      <c r="BK792" s="19">
        <f>(Table1347456[[#This Row],[lnrr]]/Table1347456[[#This Row],[z_from_p]])^2</f>
        <v>2.1401210948566223E-4</v>
      </c>
      <c r="BL792" s="16">
        <f>Table1347456[[#This Row],[v_from_z_from_p]]</f>
        <v>2.1401210948566223E-4</v>
      </c>
      <c r="BM792" s="20">
        <f>SQRT(Table1347456[[#This Row],[v]])</f>
        <v>1.4629152726171882E-2</v>
      </c>
      <c r="BN792" s="20">
        <f>Table1347456[[#This Row],[lnrr]]-(1.96*Table1347456[[#This Row],[se]])</f>
        <v>4.1166834796940825E-3</v>
      </c>
      <c r="BO792" s="20">
        <f>Table1347456[[#This Row],[lnrr]]+(1.96 * Table1347456[[#This Row],[se]])</f>
        <v>6.1462962166287854E-2</v>
      </c>
    </row>
    <row r="793" spans="1:67">
      <c r="A793" s="13" t="s">
        <v>284</v>
      </c>
      <c r="B793" s="13" t="s">
        <v>285</v>
      </c>
      <c r="C793" s="13" t="s">
        <v>43</v>
      </c>
      <c r="D793" s="13" t="s">
        <v>286</v>
      </c>
      <c r="E793" s="13" t="s">
        <v>287</v>
      </c>
      <c r="F793" s="13" t="s">
        <v>586</v>
      </c>
      <c r="G793" s="13" t="s">
        <v>46</v>
      </c>
      <c r="H793" s="13">
        <v>20</v>
      </c>
      <c r="I793" s="13" t="s">
        <v>46</v>
      </c>
      <c r="K793" s="13" t="s">
        <v>890</v>
      </c>
      <c r="L793" s="13" t="s">
        <v>891</v>
      </c>
      <c r="N793" s="13" t="s">
        <v>617</v>
      </c>
      <c r="O793" s="13" t="s">
        <v>54</v>
      </c>
      <c r="P793" s="13" t="s">
        <v>85</v>
      </c>
      <c r="Q793" s="13" t="s">
        <v>48</v>
      </c>
      <c r="R793" s="4">
        <v>5</v>
      </c>
      <c r="S793" s="13" t="s">
        <v>595</v>
      </c>
      <c r="T793" s="13">
        <v>60</v>
      </c>
      <c r="U793" s="4" t="s">
        <v>120</v>
      </c>
      <c r="V793" s="4">
        <v>550</v>
      </c>
      <c r="W793" s="4" t="s">
        <v>601</v>
      </c>
      <c r="X793" s="4">
        <v>370</v>
      </c>
      <c r="Y793" s="4">
        <f t="shared" si="23"/>
        <v>0.15</v>
      </c>
      <c r="Z793" s="4">
        <f t="shared" si="23"/>
        <v>0.15</v>
      </c>
      <c r="AA793" s="4" t="s">
        <v>49</v>
      </c>
      <c r="AB793" s="4">
        <v>0</v>
      </c>
      <c r="AC793" s="4" t="s">
        <v>49</v>
      </c>
      <c r="AD793" s="4">
        <v>0</v>
      </c>
      <c r="AE793" s="4" t="s">
        <v>49</v>
      </c>
      <c r="AF793" s="4">
        <v>0</v>
      </c>
      <c r="AG793" s="4" t="s">
        <v>730</v>
      </c>
      <c r="AH793" s="4" t="s">
        <v>711</v>
      </c>
      <c r="AI793" s="4" t="s">
        <v>271</v>
      </c>
      <c r="AJ793" s="13">
        <v>10</v>
      </c>
      <c r="AK793" s="13">
        <v>30</v>
      </c>
      <c r="AL793" s="13" t="s">
        <v>524</v>
      </c>
      <c r="AN793" s="13" t="s">
        <v>527</v>
      </c>
      <c r="AP793" s="13" t="s">
        <v>49</v>
      </c>
      <c r="AQ793" s="13" t="s">
        <v>49</v>
      </c>
      <c r="AR793" s="13" t="s">
        <v>49</v>
      </c>
      <c r="AS793" s="13" t="s">
        <v>49</v>
      </c>
      <c r="AT793" s="13" t="s">
        <v>990</v>
      </c>
      <c r="AU793" s="13" t="s">
        <v>998</v>
      </c>
      <c r="AV793" s="14">
        <f>0.31/1000</f>
        <v>3.1E-4</v>
      </c>
      <c r="AW793" s="14">
        <f>0.3/1000</f>
        <v>2.9999999999999997E-4</v>
      </c>
      <c r="AX793" s="14">
        <f>Table1347456[[#This Row],[treatment_mean]]/Table1347456[[#This Row],[control_mean]]</f>
        <v>1.0333333333333334</v>
      </c>
      <c r="AY793" s="17">
        <f>LN(Table1347456[[#This Row],[rr]])</f>
        <v>3.278982282299097E-2</v>
      </c>
      <c r="AZ793" s="13">
        <v>5</v>
      </c>
      <c r="BA793" s="13">
        <v>5</v>
      </c>
      <c r="BB793" s="14" t="s">
        <v>46</v>
      </c>
      <c r="BC793" s="14" t="s">
        <v>46</v>
      </c>
      <c r="BD793" s="15" t="s">
        <v>46</v>
      </c>
      <c r="BE793" s="14" t="s">
        <v>46</v>
      </c>
      <c r="BF79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793" s="17" t="s">
        <v>46</v>
      </c>
      <c r="BH793" s="13" t="s">
        <v>50</v>
      </c>
      <c r="BI793" s="13">
        <v>2.5000000000000001E-2</v>
      </c>
      <c r="BJ793" s="18">
        <f>ABS(_xlfn.NORM.S.INV(Table1347456[[#This Row],[p_value]]/2))</f>
        <v>2.2414027276049446</v>
      </c>
      <c r="BK793" s="19">
        <f>(Table1347456[[#This Row],[lnrr]]/Table1347456[[#This Row],[z_from_p]])^2</f>
        <v>2.1401210948566223E-4</v>
      </c>
      <c r="BL793" s="16">
        <f>Table1347456[[#This Row],[v_from_z_from_p]]</f>
        <v>2.1401210948566223E-4</v>
      </c>
      <c r="BM793" s="20">
        <f>SQRT(Table1347456[[#This Row],[v]])</f>
        <v>1.4629152726171882E-2</v>
      </c>
      <c r="BN793" s="20">
        <f>Table1347456[[#This Row],[lnrr]]-(1.96*Table1347456[[#This Row],[se]])</f>
        <v>4.1166834796940825E-3</v>
      </c>
      <c r="BO793" s="20">
        <f>Table1347456[[#This Row],[lnrr]]+(1.96 * Table1347456[[#This Row],[se]])</f>
        <v>6.1462962166287854E-2</v>
      </c>
    </row>
    <row r="794" spans="1:67">
      <c r="A794" s="13" t="s">
        <v>288</v>
      </c>
      <c r="B794" s="13" t="s">
        <v>289</v>
      </c>
      <c r="C794" s="13" t="s">
        <v>43</v>
      </c>
      <c r="D794" s="13" t="s">
        <v>290</v>
      </c>
      <c r="E794" s="13" t="s">
        <v>44</v>
      </c>
      <c r="F794" s="13" t="s">
        <v>584</v>
      </c>
      <c r="G794" s="13" t="s">
        <v>291</v>
      </c>
      <c r="H794" s="13">
        <v>16.3</v>
      </c>
      <c r="I794" s="13">
        <v>272</v>
      </c>
      <c r="K794" s="13" t="s">
        <v>892</v>
      </c>
      <c r="L794" s="13" t="s">
        <v>893</v>
      </c>
      <c r="N794" s="13" t="s">
        <v>638</v>
      </c>
      <c r="O794" s="13" t="s">
        <v>54</v>
      </c>
      <c r="P794" s="13" t="s">
        <v>483</v>
      </c>
      <c r="Q794" s="13" t="s">
        <v>48</v>
      </c>
      <c r="R794" s="4">
        <v>4</v>
      </c>
      <c r="S794" s="13" t="s">
        <v>594</v>
      </c>
      <c r="T794" s="13">
        <v>730</v>
      </c>
      <c r="U794" s="4" t="s">
        <v>292</v>
      </c>
      <c r="V794" s="4">
        <v>700</v>
      </c>
      <c r="W794" s="4" t="s">
        <v>602</v>
      </c>
      <c r="X794" s="4">
        <v>727</v>
      </c>
      <c r="Y794" s="4">
        <v>30</v>
      </c>
      <c r="AA794" s="4" t="s">
        <v>49</v>
      </c>
      <c r="AB794" s="4">
        <v>0</v>
      </c>
      <c r="AC794" s="4" t="s">
        <v>49</v>
      </c>
      <c r="AD794" s="4">
        <v>0</v>
      </c>
      <c r="AE794" s="4" t="s">
        <v>49</v>
      </c>
      <c r="AF794" s="4">
        <v>0</v>
      </c>
      <c r="AG794" s="4" t="s">
        <v>708</v>
      </c>
      <c r="AH794" s="4" t="s">
        <v>707</v>
      </c>
      <c r="AI794" s="4" t="s">
        <v>52</v>
      </c>
      <c r="AJ794" s="13">
        <v>0</v>
      </c>
      <c r="AK794" s="13">
        <v>15</v>
      </c>
      <c r="AM794" s="13" t="s">
        <v>528</v>
      </c>
      <c r="AP794" s="13" t="s">
        <v>50</v>
      </c>
      <c r="AQ794" s="13" t="s">
        <v>49</v>
      </c>
      <c r="AR794" s="13" t="s">
        <v>50</v>
      </c>
      <c r="AS794" s="13" t="s">
        <v>50</v>
      </c>
      <c r="AT794" s="13" t="s">
        <v>990</v>
      </c>
      <c r="AU794" s="13" t="s">
        <v>998</v>
      </c>
      <c r="AV794" s="14">
        <f>64.29/1000</f>
        <v>6.429E-2</v>
      </c>
      <c r="AW794" s="14">
        <f>75.28/1000</f>
        <v>7.528E-2</v>
      </c>
      <c r="AX794" s="14">
        <f>Table1347456[[#This Row],[treatment_mean]]/Table1347456[[#This Row],[control_mean]]</f>
        <v>0.85401168969181718</v>
      </c>
      <c r="AY794" s="14">
        <f>LN(Table1347456[[#This Row],[rr]])</f>
        <v>-0.1578103971235289</v>
      </c>
      <c r="AZ794" s="13">
        <v>8</v>
      </c>
      <c r="BA794" s="13">
        <v>8</v>
      </c>
      <c r="BB794" s="14">
        <f>SQRT(35.59)/1000</f>
        <v>5.9657354953098624E-3</v>
      </c>
      <c r="BC794" s="14">
        <f>SQRT(35.83)/1000</f>
        <v>5.9858165691908738E-3</v>
      </c>
      <c r="BD794" s="15">
        <f>Table1347456[[#This Row],[treatment_se]]*SQRT(Table1347456[[#This Row],[treatment_n]])</f>
        <v>1.6873648093995563E-2</v>
      </c>
      <c r="BE794" s="14">
        <f>Table1347456[[#This Row],[control_se]]*SQRT(Table1347456[[#This Row],[control_n]])</f>
        <v>1.6930445948054648E-2</v>
      </c>
      <c r="BF79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1.4933234888266872E-2</v>
      </c>
      <c r="BG794" s="17">
        <f>SQRT(Table1347456[[#This Row],[v_from_sd_and_n]])</f>
        <v>0.12220161573509113</v>
      </c>
      <c r="BH794" s="13" t="s">
        <v>49</v>
      </c>
      <c r="BI794" s="13">
        <v>7.4999999999999997E-2</v>
      </c>
      <c r="BJ794" s="18">
        <f>ABS(_xlfn.NORM.S.INV(Table1347456[[#This Row],[p_value]]/2))</f>
        <v>1.7804643416920256</v>
      </c>
      <c r="BK794" s="19">
        <f>(Table1347456[[#This Row],[lnrr]]/Table1347456[[#This Row],[z_from_p]])^2</f>
        <v>7.8560577072840591E-3</v>
      </c>
      <c r="BL794" s="16">
        <f>Table1347456[[#This Row],[v_from_sd_and_n]]</f>
        <v>1.4933234888266872E-2</v>
      </c>
      <c r="BM794" s="20">
        <f>SQRT(Table1347456[[#This Row],[v]])</f>
        <v>0.12220161573509113</v>
      </c>
      <c r="BN794" s="20">
        <f>Table1347456[[#This Row],[lnrr]]-(1.96*Table1347456[[#This Row],[se]])</f>
        <v>-0.39732556396430752</v>
      </c>
      <c r="BO794" s="20">
        <f>Table1347456[[#This Row],[lnrr]]+(1.96 * Table1347456[[#This Row],[se]])</f>
        <v>8.1704769717249714E-2</v>
      </c>
    </row>
    <row r="795" spans="1:67">
      <c r="A795" s="13" t="s">
        <v>288</v>
      </c>
      <c r="B795" s="13" t="s">
        <v>289</v>
      </c>
      <c r="C795" s="13" t="s">
        <v>43</v>
      </c>
      <c r="D795" s="13" t="s">
        <v>290</v>
      </c>
      <c r="E795" s="13" t="s">
        <v>44</v>
      </c>
      <c r="F795" s="13" t="s">
        <v>584</v>
      </c>
      <c r="G795" s="13" t="s">
        <v>291</v>
      </c>
      <c r="H795" s="13">
        <v>16.3</v>
      </c>
      <c r="I795" s="13">
        <v>272</v>
      </c>
      <c r="K795" s="13" t="s">
        <v>892</v>
      </c>
      <c r="L795" s="13" t="s">
        <v>893</v>
      </c>
      <c r="N795" s="13" t="s">
        <v>621</v>
      </c>
      <c r="O795" s="13" t="s">
        <v>54</v>
      </c>
      <c r="P795" s="13" t="s">
        <v>483</v>
      </c>
      <c r="Q795" s="13" t="s">
        <v>48</v>
      </c>
      <c r="R795" s="4">
        <v>4</v>
      </c>
      <c r="S795" s="13" t="s">
        <v>594</v>
      </c>
      <c r="T795" s="13">
        <v>730</v>
      </c>
      <c r="U795" s="4" t="s">
        <v>292</v>
      </c>
      <c r="V795" s="4">
        <v>700</v>
      </c>
      <c r="W795" s="4" t="s">
        <v>602</v>
      </c>
      <c r="X795" s="4">
        <v>727</v>
      </c>
      <c r="Y795" s="4">
        <v>30</v>
      </c>
      <c r="AA795" s="4" t="s">
        <v>49</v>
      </c>
      <c r="AB795" s="4">
        <v>0</v>
      </c>
      <c r="AC795" s="4" t="s">
        <v>49</v>
      </c>
      <c r="AD795" s="4">
        <v>0</v>
      </c>
      <c r="AE795" s="4" t="s">
        <v>49</v>
      </c>
      <c r="AF795" s="4">
        <v>0</v>
      </c>
      <c r="AG795" s="4" t="s">
        <v>708</v>
      </c>
      <c r="AH795" s="4" t="s">
        <v>707</v>
      </c>
      <c r="AI795" s="4" t="s">
        <v>52</v>
      </c>
      <c r="AJ795" s="13">
        <v>0</v>
      </c>
      <c r="AK795" s="13">
        <v>15</v>
      </c>
      <c r="AM795" s="13" t="s">
        <v>528</v>
      </c>
      <c r="AP795" s="13" t="s">
        <v>50</v>
      </c>
      <c r="AQ795" s="13" t="s">
        <v>49</v>
      </c>
      <c r="AR795" s="13" t="s">
        <v>50</v>
      </c>
      <c r="AS795" s="13" t="s">
        <v>50</v>
      </c>
      <c r="AT795" s="13" t="s">
        <v>990</v>
      </c>
      <c r="AU795" s="13" t="s">
        <v>998</v>
      </c>
      <c r="AV795" s="14">
        <f>2.8/1000</f>
        <v>2.8E-3</v>
      </c>
      <c r="AW795" s="14">
        <f>2.65/1000</f>
        <v>2.65E-3</v>
      </c>
      <c r="AX795" s="14">
        <f>Table1347456[[#This Row],[treatment_mean]]/Table1347456[[#This Row],[control_mean]]</f>
        <v>1.0566037735849056</v>
      </c>
      <c r="AY795" s="14">
        <f>LN(Table1347456[[#This Row],[rr]])</f>
        <v>5.5059777183027389E-2</v>
      </c>
      <c r="AZ795" s="13">
        <v>8</v>
      </c>
      <c r="BA795" s="13">
        <v>8</v>
      </c>
      <c r="BB795" s="14">
        <f>SQRT(0.12403333)/1000</f>
        <v>3.5218365947329243E-4</v>
      </c>
      <c r="BC795" s="14">
        <f>SQRT(0.12403333)/1000</f>
        <v>3.5218365947329243E-4</v>
      </c>
      <c r="BD795" s="15">
        <f>Table1347456[[#This Row],[treatment_se]]*SQRT(Table1347456[[#This Row],[treatment_n]])</f>
        <v>9.9612581534663596E-4</v>
      </c>
      <c r="BE795" s="14">
        <f>Table1347456[[#This Row],[control_se]]*SQRT(Table1347456[[#This Row],[control_n]])</f>
        <v>9.9612581534663596E-4</v>
      </c>
      <c r="BF79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3.3482853349020292E-2</v>
      </c>
      <c r="BG795" s="17">
        <f>SQRT(Table1347456[[#This Row],[v_from_sd_and_n]])</f>
        <v>0.18298320510096081</v>
      </c>
      <c r="BH795" s="13" t="s">
        <v>49</v>
      </c>
      <c r="BI795" s="13">
        <v>7.4999999999999997E-2</v>
      </c>
      <c r="BJ795" s="18">
        <f>ABS(_xlfn.NORM.S.INV(Table1347456[[#This Row],[p_value]]/2))</f>
        <v>1.7804643416920256</v>
      </c>
      <c r="BK795" s="19">
        <f>(Table1347456[[#This Row],[lnrr]]/Table1347456[[#This Row],[z_from_p]])^2</f>
        <v>9.5631801843404916E-4</v>
      </c>
      <c r="BL795" s="16">
        <f>Table1347456[[#This Row],[v_from_sd_and_n]]</f>
        <v>3.3482853349020292E-2</v>
      </c>
      <c r="BM795" s="20">
        <f>SQRT(Table1347456[[#This Row],[v]])</f>
        <v>0.18298320510096081</v>
      </c>
      <c r="BN795" s="20">
        <f>Table1347456[[#This Row],[lnrr]]-(1.96*Table1347456[[#This Row],[se]])</f>
        <v>-0.3035873048148558</v>
      </c>
      <c r="BO795" s="20">
        <f>Table1347456[[#This Row],[lnrr]]+(1.96 * Table1347456[[#This Row],[se]])</f>
        <v>0.4137068591809106</v>
      </c>
    </row>
    <row r="796" spans="1:67">
      <c r="A796" s="13" t="s">
        <v>288</v>
      </c>
      <c r="B796" s="13" t="s">
        <v>289</v>
      </c>
      <c r="C796" s="13" t="s">
        <v>43</v>
      </c>
      <c r="D796" s="13" t="s">
        <v>290</v>
      </c>
      <c r="E796" s="13" t="s">
        <v>44</v>
      </c>
      <c r="F796" s="13" t="s">
        <v>584</v>
      </c>
      <c r="G796" s="13" t="s">
        <v>291</v>
      </c>
      <c r="H796" s="13">
        <v>16.3</v>
      </c>
      <c r="I796" s="13">
        <v>272</v>
      </c>
      <c r="K796" s="13" t="s">
        <v>892</v>
      </c>
      <c r="L796" s="13" t="s">
        <v>893</v>
      </c>
      <c r="N796" s="13" t="s">
        <v>47</v>
      </c>
      <c r="O796" s="13" t="s">
        <v>645</v>
      </c>
      <c r="P796" s="13" t="s">
        <v>422</v>
      </c>
      <c r="Q796" s="13" t="s">
        <v>48</v>
      </c>
      <c r="R796" s="4">
        <v>4</v>
      </c>
      <c r="S796" s="13" t="s">
        <v>594</v>
      </c>
      <c r="T796" s="13">
        <v>730</v>
      </c>
      <c r="U796" s="4" t="s">
        <v>292</v>
      </c>
      <c r="V796" s="4">
        <v>700</v>
      </c>
      <c r="W796" s="4" t="s">
        <v>602</v>
      </c>
      <c r="X796" s="4">
        <v>727</v>
      </c>
      <c r="Y796" s="4">
        <v>30</v>
      </c>
      <c r="AA796" s="4" t="s">
        <v>49</v>
      </c>
      <c r="AB796" s="4">
        <v>0</v>
      </c>
      <c r="AC796" s="4" t="s">
        <v>49</v>
      </c>
      <c r="AD796" s="4">
        <v>0</v>
      </c>
      <c r="AE796" s="4" t="s">
        <v>49</v>
      </c>
      <c r="AF796" s="4">
        <v>0</v>
      </c>
      <c r="AG796" s="4" t="s">
        <v>708</v>
      </c>
      <c r="AH796" s="4" t="s">
        <v>707</v>
      </c>
      <c r="AI796" s="4" t="s">
        <v>52</v>
      </c>
      <c r="AJ796" s="13">
        <v>0</v>
      </c>
      <c r="AK796" s="13">
        <v>15</v>
      </c>
      <c r="AM796" s="13" t="s">
        <v>528</v>
      </c>
      <c r="AP796" s="13" t="s">
        <v>50</v>
      </c>
      <c r="AQ796" s="13" t="s">
        <v>49</v>
      </c>
      <c r="AR796" s="13" t="s">
        <v>50</v>
      </c>
      <c r="AS796" s="13" t="s">
        <v>50</v>
      </c>
      <c r="AT796" s="13" t="s">
        <v>990</v>
      </c>
      <c r="AU796" s="13" t="s">
        <v>998</v>
      </c>
      <c r="AV796" s="14">
        <f>0.421*10</f>
        <v>4.21</v>
      </c>
      <c r="AW796" s="14">
        <f>0.42*10</f>
        <v>4.2</v>
      </c>
      <c r="AX796" s="14">
        <f>Table1347456[[#This Row],[treatment_mean]]/Table1347456[[#This Row],[control_mean]]</f>
        <v>1.0023809523809524</v>
      </c>
      <c r="AY796" s="17">
        <f>LN(Table1347456[[#This Row],[rr]])</f>
        <v>2.3781224049674193E-3</v>
      </c>
      <c r="AZ796" s="13">
        <v>8</v>
      </c>
      <c r="BA796" s="13">
        <v>8</v>
      </c>
      <c r="BB796" s="14">
        <v>0</v>
      </c>
      <c r="BC796" s="14">
        <v>0</v>
      </c>
      <c r="BD796" s="15">
        <f>Table1347456[[#This Row],[treatment_se]]*SQRT(Table1347456[[#This Row],[treatment_n]])</f>
        <v>0</v>
      </c>
      <c r="BE796" s="14">
        <f>Table1347456[[#This Row],[control_se]]*SQRT(Table1347456[[#This Row],[control_n]])</f>
        <v>0</v>
      </c>
      <c r="BF79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796" s="17">
        <f>SQRT(Table1347456[[#This Row],[v_from_sd_and_n]])</f>
        <v>0</v>
      </c>
      <c r="BH796" s="13" t="s">
        <v>49</v>
      </c>
      <c r="BI796" s="13">
        <v>7.4999999999999997E-2</v>
      </c>
      <c r="BJ796" s="18">
        <f>ABS(_xlfn.NORM.S.INV(Table1347456[[#This Row],[p_value]]/2))</f>
        <v>1.7804643416920256</v>
      </c>
      <c r="BK796" s="19">
        <f>(Table1347456[[#This Row],[lnrr]]/Table1347456[[#This Row],[z_from_p]])^2</f>
        <v>1.7840287489472629E-6</v>
      </c>
      <c r="BL796" s="16">
        <f>Table1347456[[#This Row],[v_from_sd_and_n]]</f>
        <v>0</v>
      </c>
      <c r="BM796" s="20">
        <f>SQRT(Table1347456[[#This Row],[v]])</f>
        <v>0</v>
      </c>
      <c r="BN796" s="20">
        <f>Table1347456[[#This Row],[lnrr]]-(1.96*Table1347456[[#This Row],[se]])</f>
        <v>2.3781224049674193E-3</v>
      </c>
      <c r="BO796" s="20">
        <f>Table1347456[[#This Row],[lnrr]]+(1.96 * Table1347456[[#This Row],[se]])</f>
        <v>2.3781224049674193E-3</v>
      </c>
    </row>
    <row r="797" spans="1:67">
      <c r="A797" s="13" t="s">
        <v>288</v>
      </c>
      <c r="B797" s="13" t="s">
        <v>289</v>
      </c>
      <c r="C797" s="13" t="s">
        <v>43</v>
      </c>
      <c r="D797" s="13" t="s">
        <v>290</v>
      </c>
      <c r="E797" s="13" t="s">
        <v>44</v>
      </c>
      <c r="F797" s="13" t="s">
        <v>584</v>
      </c>
      <c r="G797" s="13" t="s">
        <v>291</v>
      </c>
      <c r="H797" s="13">
        <v>16.3</v>
      </c>
      <c r="I797" s="13">
        <v>272</v>
      </c>
      <c r="J797" s="13" t="s">
        <v>662</v>
      </c>
      <c r="K797" s="13" t="s">
        <v>892</v>
      </c>
      <c r="L797" s="13" t="s">
        <v>893</v>
      </c>
      <c r="M797" s="13" t="s">
        <v>800</v>
      </c>
      <c r="N797" s="13" t="s">
        <v>84</v>
      </c>
      <c r="O797" s="13" t="s">
        <v>644</v>
      </c>
      <c r="P797" s="13" t="s">
        <v>512</v>
      </c>
      <c r="Q797" s="13" t="s">
        <v>48</v>
      </c>
      <c r="R797" s="4">
        <v>4</v>
      </c>
      <c r="S797" s="13" t="s">
        <v>594</v>
      </c>
      <c r="T797" s="13">
        <v>730</v>
      </c>
      <c r="U797" s="4" t="s">
        <v>292</v>
      </c>
      <c r="V797" s="4">
        <v>700</v>
      </c>
      <c r="W797" s="4" t="s">
        <v>602</v>
      </c>
      <c r="X797" s="4">
        <v>727</v>
      </c>
      <c r="Y797" s="4">
        <v>30</v>
      </c>
      <c r="AA797" s="4" t="s">
        <v>49</v>
      </c>
      <c r="AB797" s="4">
        <v>0</v>
      </c>
      <c r="AC797" s="4" t="s">
        <v>49</v>
      </c>
      <c r="AD797" s="4">
        <v>0</v>
      </c>
      <c r="AE797" s="4" t="s">
        <v>49</v>
      </c>
      <c r="AF797" s="4">
        <v>0</v>
      </c>
      <c r="AG797" s="4" t="s">
        <v>708</v>
      </c>
      <c r="AH797" s="4" t="s">
        <v>707</v>
      </c>
      <c r="AI797" s="4" t="s">
        <v>52</v>
      </c>
      <c r="AJ797" s="13">
        <v>0</v>
      </c>
      <c r="AK797" s="13">
        <v>15</v>
      </c>
      <c r="AM797" s="13" t="s">
        <v>528</v>
      </c>
      <c r="AP797" s="13" t="s">
        <v>50</v>
      </c>
      <c r="AQ797" s="13" t="s">
        <v>49</v>
      </c>
      <c r="AR797" s="13" t="s">
        <v>50</v>
      </c>
      <c r="AS797" s="13" t="s">
        <v>50</v>
      </c>
      <c r="AT797" s="13" t="s">
        <v>990</v>
      </c>
      <c r="AU797" s="13" t="s">
        <v>998</v>
      </c>
      <c r="AV797" s="23">
        <f>29.76/1000</f>
        <v>2.9760000000000002E-2</v>
      </c>
      <c r="AW797" s="23">
        <f>25.83/1000</f>
        <v>2.5829999999999999E-2</v>
      </c>
      <c r="AX797" s="14">
        <f>Table1347456[[#This Row],[treatment_mean]]/Table1347456[[#This Row],[control_mean]]</f>
        <v>1.1521486643437864</v>
      </c>
      <c r="AY797" s="14">
        <f>LN(Table1347456[[#This Row],[rr]])</f>
        <v>0.14162860285714207</v>
      </c>
      <c r="AZ797" s="13">
        <v>8</v>
      </c>
      <c r="BA797" s="13">
        <v>8</v>
      </c>
      <c r="BB797" s="14">
        <f>SQRT(3.7445)/1000</f>
        <v>1.935071058126807E-3</v>
      </c>
      <c r="BC797" s="14">
        <f>SQRT(6.92725)/1000</f>
        <v>2.6319669450811877E-3</v>
      </c>
      <c r="BD797" s="15">
        <f>Table1347456[[#This Row],[treatment_se]]*SQRT(Table1347456[[#This Row],[treatment_n]])</f>
        <v>5.473207469117173E-3</v>
      </c>
      <c r="BE797" s="14">
        <f>Table1347456[[#This Row],[control_se]]*SQRT(Table1347456[[#This Row],[control_n]])</f>
        <v>7.4443266989029982E-3</v>
      </c>
      <c r="BF79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1.461067355726829E-2</v>
      </c>
      <c r="BG797" s="17">
        <f>SQRT(Table1347456[[#This Row],[v_from_sd_and_n]])</f>
        <v>0.12087461916079939</v>
      </c>
      <c r="BH797" s="13" t="s">
        <v>49</v>
      </c>
      <c r="BI797" s="13">
        <v>7.4999999999999997E-2</v>
      </c>
      <c r="BJ797" s="18">
        <f>ABS(_xlfn.NORM.S.INV(Table1347456[[#This Row],[p_value]]/2))</f>
        <v>1.7804643416920256</v>
      </c>
      <c r="BK797" s="19">
        <f>(Table1347456[[#This Row],[lnrr]]/Table1347456[[#This Row],[z_from_p]])^2</f>
        <v>6.3275470239583728E-3</v>
      </c>
      <c r="BL797" s="16">
        <f>Table1347456[[#This Row],[v_from_sd_and_n]]</f>
        <v>1.461067355726829E-2</v>
      </c>
      <c r="BM797" s="20">
        <f>SQRT(Table1347456[[#This Row],[v]])</f>
        <v>0.12087461916079939</v>
      </c>
      <c r="BN797" s="20">
        <f>Table1347456[[#This Row],[lnrr]]-(1.96*Table1347456[[#This Row],[se]])</f>
        <v>-9.5285650698024721E-2</v>
      </c>
      <c r="BO797" s="20">
        <f>Table1347456[[#This Row],[lnrr]]+(1.96 * Table1347456[[#This Row],[se]])</f>
        <v>0.37854285641230889</v>
      </c>
    </row>
    <row r="798" spans="1:67">
      <c r="A798" s="13" t="s">
        <v>288</v>
      </c>
      <c r="B798" s="13" t="s">
        <v>289</v>
      </c>
      <c r="C798" s="13" t="s">
        <v>43</v>
      </c>
      <c r="D798" s="13" t="s">
        <v>290</v>
      </c>
      <c r="E798" s="13" t="s">
        <v>44</v>
      </c>
      <c r="F798" s="13" t="s">
        <v>584</v>
      </c>
      <c r="G798" s="13" t="s">
        <v>291</v>
      </c>
      <c r="H798" s="13">
        <v>16.3</v>
      </c>
      <c r="I798" s="13">
        <v>272</v>
      </c>
      <c r="K798" s="13" t="s">
        <v>892</v>
      </c>
      <c r="L798" s="13" t="s">
        <v>893</v>
      </c>
      <c r="N798" s="13" t="s">
        <v>99</v>
      </c>
      <c r="O798" s="13" t="s">
        <v>644</v>
      </c>
      <c r="P798" s="13" t="s">
        <v>488</v>
      </c>
      <c r="Q798" s="13" t="s">
        <v>48</v>
      </c>
      <c r="R798" s="4">
        <v>4</v>
      </c>
      <c r="S798" s="13" t="s">
        <v>594</v>
      </c>
      <c r="T798" s="13">
        <v>730</v>
      </c>
      <c r="U798" s="4" t="s">
        <v>292</v>
      </c>
      <c r="V798" s="4">
        <v>700</v>
      </c>
      <c r="W798" s="4" t="s">
        <v>602</v>
      </c>
      <c r="X798" s="4">
        <v>727</v>
      </c>
      <c r="Y798" s="4">
        <v>30</v>
      </c>
      <c r="AA798" s="4" t="s">
        <v>49</v>
      </c>
      <c r="AB798" s="4">
        <v>0</v>
      </c>
      <c r="AC798" s="4" t="s">
        <v>49</v>
      </c>
      <c r="AD798" s="4">
        <v>0</v>
      </c>
      <c r="AE798" s="4" t="s">
        <v>49</v>
      </c>
      <c r="AF798" s="4">
        <v>0</v>
      </c>
      <c r="AG798" s="4" t="s">
        <v>708</v>
      </c>
      <c r="AH798" s="4" t="s">
        <v>707</v>
      </c>
      <c r="AI798" s="4" t="s">
        <v>52</v>
      </c>
      <c r="AJ798" s="13">
        <v>0</v>
      </c>
      <c r="AK798" s="13">
        <v>15</v>
      </c>
      <c r="AM798" s="13" t="s">
        <v>528</v>
      </c>
      <c r="AP798" s="13" t="s">
        <v>50</v>
      </c>
      <c r="AQ798" s="13" t="s">
        <v>49</v>
      </c>
      <c r="AR798" s="13" t="s">
        <v>50</v>
      </c>
      <c r="AS798" s="13" t="s">
        <v>50</v>
      </c>
      <c r="AT798" s="13" t="s">
        <v>990</v>
      </c>
      <c r="AU798" s="13" t="s">
        <v>998</v>
      </c>
      <c r="AV798" s="14">
        <f>31.75/1000</f>
        <v>3.175E-2</v>
      </c>
      <c r="AW798" s="14">
        <f>39.97/1000</f>
        <v>3.9969999999999999E-2</v>
      </c>
      <c r="AX798" s="14">
        <f>Table1347456[[#This Row],[treatment_mean]]/Table1347456[[#This Row],[control_mean]]</f>
        <v>0.7943457593194897</v>
      </c>
      <c r="AY798" s="14">
        <f>LN(Table1347456[[#This Row],[rr]])</f>
        <v>-0.23023644738453139</v>
      </c>
      <c r="AZ798" s="13">
        <v>8</v>
      </c>
      <c r="BA798" s="13">
        <v>8</v>
      </c>
      <c r="BB798" s="14">
        <f>SQRT(1.57513333)/1000</f>
        <v>1.2550431586204516E-3</v>
      </c>
      <c r="BC798" s="14">
        <f>SQRT(6.2252)/1000</f>
        <v>2.4950350698938082E-3</v>
      </c>
      <c r="BD798" s="15">
        <f>Table1347456[[#This Row],[treatment_se]]*SQRT(Table1347456[[#This Row],[treatment_n]])</f>
        <v>3.5497981125692207E-3</v>
      </c>
      <c r="BE798" s="14">
        <f>Table1347456[[#This Row],[control_se]]*SQRT(Table1347456[[#This Row],[control_n]])</f>
        <v>7.0570248688806543E-3</v>
      </c>
      <c r="BF79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5.4591280856432049E-3</v>
      </c>
      <c r="BG798" s="17">
        <f>SQRT(Table1347456[[#This Row],[v_from_sd_and_n]])</f>
        <v>7.3885912633215839E-2</v>
      </c>
      <c r="BH798" s="13" t="s">
        <v>49</v>
      </c>
      <c r="BI798" s="13">
        <v>7.4999999999999997E-2</v>
      </c>
      <c r="BJ798" s="18">
        <f>ABS(_xlfn.NORM.S.INV(Table1347456[[#This Row],[p_value]]/2))</f>
        <v>1.7804643416920256</v>
      </c>
      <c r="BK798" s="19">
        <f>(Table1347456[[#This Row],[lnrr]]/Table1347456[[#This Row],[z_from_p]])^2</f>
        <v>1.6721744764305154E-2</v>
      </c>
      <c r="BL798" s="16">
        <f>Table1347456[[#This Row],[v_from_sd_and_n]]</f>
        <v>5.4591280856432049E-3</v>
      </c>
      <c r="BM798" s="20">
        <f>SQRT(Table1347456[[#This Row],[v]])</f>
        <v>7.3885912633215839E-2</v>
      </c>
      <c r="BN798" s="20">
        <f>Table1347456[[#This Row],[lnrr]]-(1.96*Table1347456[[#This Row],[se]])</f>
        <v>-0.37505283614563445</v>
      </c>
      <c r="BO798" s="20">
        <f>Table1347456[[#This Row],[lnrr]]+(1.96 * Table1347456[[#This Row],[se]])</f>
        <v>-8.5420058623428358E-2</v>
      </c>
    </row>
    <row r="799" spans="1:67">
      <c r="A799" s="13" t="s">
        <v>288</v>
      </c>
      <c r="B799" s="13" t="s">
        <v>289</v>
      </c>
      <c r="C799" s="13" t="s">
        <v>43</v>
      </c>
      <c r="D799" s="13" t="s">
        <v>290</v>
      </c>
      <c r="E799" s="13" t="s">
        <v>44</v>
      </c>
      <c r="F799" s="13" t="s">
        <v>584</v>
      </c>
      <c r="G799" s="13" t="s">
        <v>291</v>
      </c>
      <c r="H799" s="13">
        <v>16.3</v>
      </c>
      <c r="I799" s="13">
        <v>272</v>
      </c>
      <c r="K799" s="13" t="s">
        <v>892</v>
      </c>
      <c r="L799" s="13" t="s">
        <v>893</v>
      </c>
      <c r="N799" s="13" t="s">
        <v>81</v>
      </c>
      <c r="O799" s="13" t="s">
        <v>82</v>
      </c>
      <c r="P799" s="13" t="s">
        <v>503</v>
      </c>
      <c r="Q799" s="13" t="s">
        <v>83</v>
      </c>
      <c r="R799" s="4">
        <v>4</v>
      </c>
      <c r="S799" s="13" t="s">
        <v>594</v>
      </c>
      <c r="T799" s="13">
        <v>730</v>
      </c>
      <c r="U799" s="4" t="s">
        <v>292</v>
      </c>
      <c r="V799" s="4">
        <v>700</v>
      </c>
      <c r="W799" s="4" t="s">
        <v>602</v>
      </c>
      <c r="X799" s="4">
        <v>727</v>
      </c>
      <c r="Y799" s="4">
        <v>30</v>
      </c>
      <c r="AA799" s="4" t="s">
        <v>49</v>
      </c>
      <c r="AB799" s="4">
        <v>0</v>
      </c>
      <c r="AC799" s="4" t="s">
        <v>49</v>
      </c>
      <c r="AD799" s="4">
        <v>0</v>
      </c>
      <c r="AE799" s="4" t="s">
        <v>49</v>
      </c>
      <c r="AF799" s="4">
        <v>0</v>
      </c>
      <c r="AG799" s="4" t="s">
        <v>708</v>
      </c>
      <c r="AH799" s="4" t="s">
        <v>707</v>
      </c>
      <c r="AI799" s="4" t="s">
        <v>52</v>
      </c>
      <c r="AJ799" s="13">
        <v>0</v>
      </c>
      <c r="AK799" s="13">
        <v>15</v>
      </c>
      <c r="AM799" s="13" t="s">
        <v>528</v>
      </c>
      <c r="AP799" s="13" t="s">
        <v>50</v>
      </c>
      <c r="AQ799" s="13" t="s">
        <v>49</v>
      </c>
      <c r="AR799" s="13" t="s">
        <v>50</v>
      </c>
      <c r="AS799" s="13" t="s">
        <v>50</v>
      </c>
      <c r="AT799" s="13" t="s">
        <v>990</v>
      </c>
      <c r="AU799" s="13" t="s">
        <v>998</v>
      </c>
      <c r="AV799" s="14">
        <v>12.2</v>
      </c>
      <c r="AW799" s="14">
        <v>10.52</v>
      </c>
      <c r="AX799" s="14">
        <f>Table1347456[[#This Row],[treatment_mean]]/Table1347456[[#This Row],[control_mean]]</f>
        <v>1.1596958174904943</v>
      </c>
      <c r="AY799" s="14">
        <f>LN(Table1347456[[#This Row],[rr]])</f>
        <v>0.1481577444296471</v>
      </c>
      <c r="AZ799" s="13">
        <v>8</v>
      </c>
      <c r="BA799" s="13">
        <v>8</v>
      </c>
      <c r="BB799" s="14">
        <f>SQRT(1.57513333)</f>
        <v>1.2550431586204516</v>
      </c>
      <c r="BC799" s="14">
        <f>SQRT(6.2252)</f>
        <v>2.4950350698938082</v>
      </c>
      <c r="BD799" s="15">
        <f>Table1347456[[#This Row],[treatment_se]]*SQRT(Table1347456[[#This Row],[treatment_n]])</f>
        <v>3.5497981125692206</v>
      </c>
      <c r="BE799" s="14">
        <f>Table1347456[[#This Row],[control_se]]*SQRT(Table1347456[[#This Row],[control_n]])</f>
        <v>7.0570248688806538</v>
      </c>
      <c r="BF79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6.6832638276378059E-2</v>
      </c>
      <c r="BG799" s="17">
        <f>SQRT(Table1347456[[#This Row],[v_from_sd_and_n]])</f>
        <v>0.25852009259703213</v>
      </c>
      <c r="BH799" s="13" t="s">
        <v>49</v>
      </c>
      <c r="BI799" s="13">
        <v>7.4999999999999997E-2</v>
      </c>
      <c r="BJ799" s="18">
        <f>ABS(_xlfn.NORM.S.INV(Table1347456[[#This Row],[p_value]]/2))</f>
        <v>1.7804643416920256</v>
      </c>
      <c r="BK799" s="19">
        <f>(Table1347456[[#This Row],[lnrr]]/Table1347456[[#This Row],[z_from_p]])^2</f>
        <v>6.9244001128021685E-3</v>
      </c>
      <c r="BL799" s="16">
        <f>Table1347456[[#This Row],[v_from_sd_and_n]]</f>
        <v>6.6832638276378059E-2</v>
      </c>
      <c r="BM799" s="20">
        <f>SQRT(Table1347456[[#This Row],[v]])</f>
        <v>0.25852009259703213</v>
      </c>
      <c r="BN799" s="20">
        <f>Table1347456[[#This Row],[lnrr]]-(1.96*Table1347456[[#This Row],[se]])</f>
        <v>-0.35854163706053588</v>
      </c>
      <c r="BO799" s="20">
        <f>Table1347456[[#This Row],[lnrr]]+(1.96 * Table1347456[[#This Row],[se]])</f>
        <v>0.65485712591983014</v>
      </c>
    </row>
    <row r="800" spans="1:67">
      <c r="A800" s="13" t="s">
        <v>293</v>
      </c>
      <c r="B800" s="13" t="s">
        <v>294</v>
      </c>
      <c r="C800" s="13" t="s">
        <v>43</v>
      </c>
      <c r="D800" s="13" t="s">
        <v>295</v>
      </c>
      <c r="E800" s="13" t="s">
        <v>296</v>
      </c>
      <c r="F800" s="13" t="s">
        <v>586</v>
      </c>
      <c r="G800" s="13" t="s">
        <v>46</v>
      </c>
      <c r="H800" s="13" t="s">
        <v>46</v>
      </c>
      <c r="I800" s="13" t="s">
        <v>46</v>
      </c>
      <c r="K800" s="13" t="s">
        <v>894</v>
      </c>
      <c r="L800" s="13" t="s">
        <v>895</v>
      </c>
      <c r="N800" s="13" t="s">
        <v>47</v>
      </c>
      <c r="O800" s="13" t="s">
        <v>645</v>
      </c>
      <c r="P800" s="13" t="s">
        <v>48</v>
      </c>
      <c r="Q800" s="13" t="s">
        <v>48</v>
      </c>
      <c r="R800" s="4">
        <v>3</v>
      </c>
      <c r="S800" s="13" t="s">
        <v>594</v>
      </c>
      <c r="T800" s="13">
        <v>1440</v>
      </c>
      <c r="U800" s="4" t="s">
        <v>200</v>
      </c>
      <c r="V800" s="4">
        <v>650</v>
      </c>
      <c r="W800" s="4" t="s">
        <v>602</v>
      </c>
      <c r="X800" s="4">
        <v>538.70000000000005</v>
      </c>
      <c r="Y800" s="4">
        <v>10</v>
      </c>
      <c r="AA800" s="4" t="s">
        <v>49</v>
      </c>
      <c r="AB800" s="4">
        <v>0</v>
      </c>
      <c r="AC800" s="4" t="s">
        <v>49</v>
      </c>
      <c r="AD800" s="4">
        <v>0</v>
      </c>
      <c r="AE800" s="4" t="s">
        <v>49</v>
      </c>
      <c r="AF800" s="4">
        <v>0</v>
      </c>
      <c r="AG800" s="4" t="s">
        <v>46</v>
      </c>
      <c r="AH800" s="4" t="s">
        <v>743</v>
      </c>
      <c r="AI800" s="4" t="s">
        <v>297</v>
      </c>
      <c r="AJ800" s="13">
        <v>0</v>
      </c>
      <c r="AK800" s="13">
        <v>25</v>
      </c>
      <c r="AP800" s="13" t="s">
        <v>50</v>
      </c>
      <c r="AQ800" s="13" t="s">
        <v>49</v>
      </c>
      <c r="AR800" s="13" t="s">
        <v>49</v>
      </c>
      <c r="AS800" s="13" t="s">
        <v>49</v>
      </c>
      <c r="AT800" s="13" t="s">
        <v>990</v>
      </c>
      <c r="AU800" s="13" t="s">
        <v>998</v>
      </c>
      <c r="AV800" s="14">
        <v>0.56000000000000005</v>
      </c>
      <c r="AW800" s="14">
        <v>0.47</v>
      </c>
      <c r="AX800" s="14">
        <f>Table1347456[[#This Row],[treatment_mean]]/Table1347456[[#This Row],[control_mean]]</f>
        <v>1.1914893617021278</v>
      </c>
      <c r="AY800" s="14">
        <f>LN(Table1347456[[#This Row],[rr]])</f>
        <v>0.1752040890250908</v>
      </c>
      <c r="AZ800" s="13">
        <v>3</v>
      </c>
      <c r="BA800" s="13">
        <v>3</v>
      </c>
      <c r="BB800" s="14" t="s">
        <v>46</v>
      </c>
      <c r="BC800" s="14" t="s">
        <v>46</v>
      </c>
      <c r="BD800" s="15" t="s">
        <v>46</v>
      </c>
      <c r="BE800" s="14" t="s">
        <v>46</v>
      </c>
      <c r="BF80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00" s="17" t="s">
        <v>46</v>
      </c>
      <c r="BH800" s="13" t="s">
        <v>50</v>
      </c>
      <c r="BI800" s="13">
        <v>2.5000000000000001E-2</v>
      </c>
      <c r="BJ800" s="18">
        <f>ABS(_xlfn.NORM.S.INV(Table1347456[[#This Row],[p_value]]/2))</f>
        <v>2.2414027276049446</v>
      </c>
      <c r="BK800" s="19">
        <f>(Table1347456[[#This Row],[lnrr]]/Table1347456[[#This Row],[z_from_p]])^2</f>
        <v>6.110105139049392E-3</v>
      </c>
      <c r="BL800" s="16">
        <f>Table1347456[[#This Row],[v_from_z_from_p]]</f>
        <v>6.110105139049392E-3</v>
      </c>
      <c r="BM800" s="20">
        <f>SQRT(Table1347456[[#This Row],[v]])</f>
        <v>7.8167161513319594E-2</v>
      </c>
      <c r="BN800" s="20">
        <f>Table1347456[[#This Row],[lnrr]]-(1.96*Table1347456[[#This Row],[se]])</f>
        <v>2.1996452458984406E-2</v>
      </c>
      <c r="BO800" s="20">
        <f>Table1347456[[#This Row],[lnrr]]+(1.96 * Table1347456[[#This Row],[se]])</f>
        <v>0.32841172559119719</v>
      </c>
    </row>
    <row r="801" spans="1:67">
      <c r="A801" s="13" t="s">
        <v>293</v>
      </c>
      <c r="B801" s="13" t="s">
        <v>294</v>
      </c>
      <c r="C801" s="13" t="s">
        <v>43</v>
      </c>
      <c r="D801" s="13" t="s">
        <v>295</v>
      </c>
      <c r="E801" s="13" t="s">
        <v>296</v>
      </c>
      <c r="F801" s="13" t="s">
        <v>586</v>
      </c>
      <c r="G801" s="13" t="s">
        <v>46</v>
      </c>
      <c r="H801" s="13" t="s">
        <v>46</v>
      </c>
      <c r="I801" s="13" t="s">
        <v>46</v>
      </c>
      <c r="K801" s="13" t="s">
        <v>894</v>
      </c>
      <c r="L801" s="13" t="s">
        <v>895</v>
      </c>
      <c r="N801" s="13" t="s">
        <v>47</v>
      </c>
      <c r="O801" s="13" t="s">
        <v>645</v>
      </c>
      <c r="P801" s="13" t="s">
        <v>48</v>
      </c>
      <c r="Q801" s="13" t="s">
        <v>48</v>
      </c>
      <c r="R801" s="4">
        <v>3</v>
      </c>
      <c r="S801" s="13" t="s">
        <v>594</v>
      </c>
      <c r="T801" s="13">
        <v>1440</v>
      </c>
      <c r="U801" s="4" t="s">
        <v>200</v>
      </c>
      <c r="V801" s="4">
        <v>650</v>
      </c>
      <c r="W801" s="4" t="s">
        <v>602</v>
      </c>
      <c r="X801" s="4">
        <v>538.70000000000005</v>
      </c>
      <c r="Y801" s="4">
        <v>20</v>
      </c>
      <c r="AA801" s="4" t="s">
        <v>49</v>
      </c>
      <c r="AB801" s="4">
        <v>0</v>
      </c>
      <c r="AC801" s="4" t="s">
        <v>49</v>
      </c>
      <c r="AD801" s="4">
        <v>0</v>
      </c>
      <c r="AE801" s="4" t="s">
        <v>49</v>
      </c>
      <c r="AF801" s="4">
        <v>0</v>
      </c>
      <c r="AG801" s="4" t="s">
        <v>46</v>
      </c>
      <c r="AH801" s="4" t="s">
        <v>743</v>
      </c>
      <c r="AI801" s="4" t="s">
        <v>297</v>
      </c>
      <c r="AJ801" s="13">
        <v>0</v>
      </c>
      <c r="AK801" s="13">
        <v>25</v>
      </c>
      <c r="AP801" s="13" t="s">
        <v>50</v>
      </c>
      <c r="AQ801" s="13" t="s">
        <v>49</v>
      </c>
      <c r="AR801" s="13" t="s">
        <v>49</v>
      </c>
      <c r="AS801" s="13" t="s">
        <v>49</v>
      </c>
      <c r="AT801" s="13" t="s">
        <v>990</v>
      </c>
      <c r="AU801" s="13" t="s">
        <v>998</v>
      </c>
      <c r="AV801" s="14">
        <v>0.64</v>
      </c>
      <c r="AW801" s="14">
        <v>0.47</v>
      </c>
      <c r="AX801" s="14">
        <f>Table1347456[[#This Row],[treatment_mean]]/Table1347456[[#This Row],[control_mean]]</f>
        <v>1.3617021276595747</v>
      </c>
      <c r="AY801" s="14">
        <f>LN(Table1347456[[#This Row],[rr]])</f>
        <v>0.3087354816496134</v>
      </c>
      <c r="AZ801" s="13">
        <v>3</v>
      </c>
      <c r="BA801" s="13">
        <v>3</v>
      </c>
      <c r="BB801" s="14" t="s">
        <v>46</v>
      </c>
      <c r="BC801" s="14" t="s">
        <v>46</v>
      </c>
      <c r="BD801" s="15" t="s">
        <v>46</v>
      </c>
      <c r="BE801" s="14" t="s">
        <v>46</v>
      </c>
      <c r="BF80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01" s="17" t="s">
        <v>46</v>
      </c>
      <c r="BH801" s="13" t="s">
        <v>50</v>
      </c>
      <c r="BI801" s="13">
        <v>2.5000000000000001E-2</v>
      </c>
      <c r="BJ801" s="18">
        <f>ABS(_xlfn.NORM.S.INV(Table1347456[[#This Row],[p_value]]/2))</f>
        <v>2.2414027276049446</v>
      </c>
      <c r="BK801" s="19">
        <f>(Table1347456[[#This Row],[lnrr]]/Table1347456[[#This Row],[z_from_p]])^2</f>
        <v>1.8972881565289423E-2</v>
      </c>
      <c r="BL801" s="16">
        <f>Table1347456[[#This Row],[v_from_z_from_p]]</f>
        <v>1.8972881565289423E-2</v>
      </c>
      <c r="BM801" s="20">
        <f>SQRT(Table1347456[[#This Row],[v]])</f>
        <v>0.13774208349407752</v>
      </c>
      <c r="BN801" s="20">
        <f>Table1347456[[#This Row],[lnrr]]-(1.96*Table1347456[[#This Row],[se]])</f>
        <v>3.8760998001221458E-2</v>
      </c>
      <c r="BO801" s="20">
        <f>Table1347456[[#This Row],[lnrr]]+(1.96 * Table1347456[[#This Row],[se]])</f>
        <v>0.57870996529800534</v>
      </c>
    </row>
    <row r="802" spans="1:67">
      <c r="A802" s="13" t="s">
        <v>293</v>
      </c>
      <c r="B802" s="13" t="s">
        <v>294</v>
      </c>
      <c r="C802" s="13" t="s">
        <v>43</v>
      </c>
      <c r="D802" s="13" t="s">
        <v>295</v>
      </c>
      <c r="E802" s="13" t="s">
        <v>296</v>
      </c>
      <c r="F802" s="13" t="s">
        <v>586</v>
      </c>
      <c r="G802" s="13" t="s">
        <v>46</v>
      </c>
      <c r="H802" s="13" t="s">
        <v>46</v>
      </c>
      <c r="I802" s="13" t="s">
        <v>46</v>
      </c>
      <c r="K802" s="13" t="s">
        <v>894</v>
      </c>
      <c r="L802" s="13" t="s">
        <v>895</v>
      </c>
      <c r="N802" s="13" t="s">
        <v>47</v>
      </c>
      <c r="O802" s="13" t="s">
        <v>645</v>
      </c>
      <c r="P802" s="13" t="s">
        <v>48</v>
      </c>
      <c r="Q802" s="13" t="s">
        <v>48</v>
      </c>
      <c r="R802" s="4">
        <v>3</v>
      </c>
      <c r="S802" s="13" t="s">
        <v>594</v>
      </c>
      <c r="T802" s="13">
        <v>1440</v>
      </c>
      <c r="U802" s="4" t="s">
        <v>200</v>
      </c>
      <c r="V802" s="4">
        <v>650</v>
      </c>
      <c r="W802" s="4" t="s">
        <v>602</v>
      </c>
      <c r="X802" s="4">
        <v>538.70000000000005</v>
      </c>
      <c r="Y802" s="4">
        <v>30</v>
      </c>
      <c r="AA802" s="4" t="s">
        <v>49</v>
      </c>
      <c r="AB802" s="4">
        <v>0</v>
      </c>
      <c r="AC802" s="4" t="s">
        <v>49</v>
      </c>
      <c r="AD802" s="4">
        <v>0</v>
      </c>
      <c r="AE802" s="4" t="s">
        <v>49</v>
      </c>
      <c r="AF802" s="4">
        <v>0</v>
      </c>
      <c r="AG802" s="4" t="s">
        <v>46</v>
      </c>
      <c r="AH802" s="4" t="s">
        <v>743</v>
      </c>
      <c r="AI802" s="4" t="s">
        <v>297</v>
      </c>
      <c r="AJ802" s="13">
        <v>0</v>
      </c>
      <c r="AK802" s="13">
        <v>25</v>
      </c>
      <c r="AP802" s="13" t="s">
        <v>50</v>
      </c>
      <c r="AQ802" s="13" t="s">
        <v>49</v>
      </c>
      <c r="AR802" s="13" t="s">
        <v>49</v>
      </c>
      <c r="AS802" s="13" t="s">
        <v>49</v>
      </c>
      <c r="AT802" s="13" t="s">
        <v>990</v>
      </c>
      <c r="AU802" s="13" t="s">
        <v>998</v>
      </c>
      <c r="AV802" s="14">
        <v>0.69</v>
      </c>
      <c r="AW802" s="14">
        <v>0.47</v>
      </c>
      <c r="AX802" s="14">
        <f>Table1347456[[#This Row],[treatment_mean]]/Table1347456[[#This Row],[control_mean]]</f>
        <v>1.4680851063829787</v>
      </c>
      <c r="AY802" s="14">
        <f>LN(Table1347456[[#This Row],[rr]])</f>
        <v>0.3839589028872008</v>
      </c>
      <c r="AZ802" s="13">
        <v>3</v>
      </c>
      <c r="BA802" s="13">
        <v>3</v>
      </c>
      <c r="BB802" s="14" t="s">
        <v>46</v>
      </c>
      <c r="BC802" s="14" t="s">
        <v>46</v>
      </c>
      <c r="BD802" s="15" t="s">
        <v>46</v>
      </c>
      <c r="BE802" s="14" t="s">
        <v>46</v>
      </c>
      <c r="BF80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02" s="17" t="s">
        <v>46</v>
      </c>
      <c r="BH802" s="13" t="s">
        <v>50</v>
      </c>
      <c r="BI802" s="13">
        <v>2.5000000000000001E-2</v>
      </c>
      <c r="BJ802" s="18">
        <f>ABS(_xlfn.NORM.S.INV(Table1347456[[#This Row],[p_value]]/2))</f>
        <v>2.2414027276049446</v>
      </c>
      <c r="BK802" s="19">
        <f>(Table1347456[[#This Row],[lnrr]]/Table1347456[[#This Row],[z_from_p]])^2</f>
        <v>2.9344701215283063E-2</v>
      </c>
      <c r="BL802" s="16">
        <f>Table1347456[[#This Row],[v_from_z_from_p]]</f>
        <v>2.9344701215283063E-2</v>
      </c>
      <c r="BM802" s="20">
        <f>SQRT(Table1347456[[#This Row],[v]])</f>
        <v>0.17130295156617431</v>
      </c>
      <c r="BN802" s="20">
        <f>Table1347456[[#This Row],[lnrr]]-(1.96*Table1347456[[#This Row],[se]])</f>
        <v>4.8205117817499143E-2</v>
      </c>
      <c r="BO802" s="20">
        <f>Table1347456[[#This Row],[lnrr]]+(1.96 * Table1347456[[#This Row],[se]])</f>
        <v>0.71971268795690246</v>
      </c>
    </row>
    <row r="803" spans="1:67">
      <c r="A803" s="13" t="s">
        <v>293</v>
      </c>
      <c r="B803" s="13" t="s">
        <v>294</v>
      </c>
      <c r="C803" s="13" t="s">
        <v>43</v>
      </c>
      <c r="D803" s="13" t="s">
        <v>295</v>
      </c>
      <c r="E803" s="13" t="s">
        <v>296</v>
      </c>
      <c r="F803" s="13" t="s">
        <v>586</v>
      </c>
      <c r="G803" s="13" t="s">
        <v>46</v>
      </c>
      <c r="H803" s="13" t="s">
        <v>46</v>
      </c>
      <c r="I803" s="13" t="s">
        <v>46</v>
      </c>
      <c r="K803" s="13" t="s">
        <v>894</v>
      </c>
      <c r="L803" s="13" t="s">
        <v>895</v>
      </c>
      <c r="N803" s="13" t="s">
        <v>47</v>
      </c>
      <c r="O803" s="13" t="s">
        <v>645</v>
      </c>
      <c r="P803" s="13" t="s">
        <v>48</v>
      </c>
      <c r="Q803" s="13" t="s">
        <v>48</v>
      </c>
      <c r="R803" s="4">
        <v>3</v>
      </c>
      <c r="S803" s="13" t="s">
        <v>594</v>
      </c>
      <c r="T803" s="13">
        <v>1800</v>
      </c>
      <c r="U803" s="4" t="s">
        <v>200</v>
      </c>
      <c r="V803" s="4">
        <v>650</v>
      </c>
      <c r="W803" s="4" t="s">
        <v>602</v>
      </c>
      <c r="X803" s="4">
        <v>538.70000000000005</v>
      </c>
      <c r="Y803" s="4">
        <v>10</v>
      </c>
      <c r="AA803" s="4" t="s">
        <v>49</v>
      </c>
      <c r="AB803" s="4">
        <v>0</v>
      </c>
      <c r="AC803" s="4" t="s">
        <v>49</v>
      </c>
      <c r="AD803" s="4">
        <v>0</v>
      </c>
      <c r="AE803" s="4" t="s">
        <v>49</v>
      </c>
      <c r="AF803" s="4">
        <v>0</v>
      </c>
      <c r="AG803" s="4" t="s">
        <v>46</v>
      </c>
      <c r="AH803" s="4" t="s">
        <v>743</v>
      </c>
      <c r="AI803" s="4" t="s">
        <v>297</v>
      </c>
      <c r="AJ803" s="13">
        <v>0</v>
      </c>
      <c r="AK803" s="13">
        <v>25</v>
      </c>
      <c r="AP803" s="13" t="s">
        <v>50</v>
      </c>
      <c r="AQ803" s="13" t="s">
        <v>49</v>
      </c>
      <c r="AR803" s="13" t="s">
        <v>49</v>
      </c>
      <c r="AS803" s="13" t="s">
        <v>49</v>
      </c>
      <c r="AT803" s="13" t="s">
        <v>990</v>
      </c>
      <c r="AU803" s="13" t="s">
        <v>998</v>
      </c>
      <c r="AV803" s="14">
        <v>0.63</v>
      </c>
      <c r="AW803" s="14">
        <v>0.46</v>
      </c>
      <c r="AX803" s="14">
        <f>Table1347456[[#This Row],[treatment_mean]]/Table1347456[[#This Row],[control_mean]]</f>
        <v>1.3695652173913042</v>
      </c>
      <c r="AY803" s="14">
        <f>LN(Table1347456[[#This Row],[rr]])</f>
        <v>0.31449332990243761</v>
      </c>
      <c r="AZ803" s="13">
        <v>3</v>
      </c>
      <c r="BA803" s="13">
        <v>3</v>
      </c>
      <c r="BB803" s="14" t="s">
        <v>46</v>
      </c>
      <c r="BC803" s="14" t="s">
        <v>46</v>
      </c>
      <c r="BD803" s="15" t="s">
        <v>46</v>
      </c>
      <c r="BE803" s="14" t="s">
        <v>46</v>
      </c>
      <c r="BF80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03" s="17" t="s">
        <v>46</v>
      </c>
      <c r="BH803" s="13" t="s">
        <v>50</v>
      </c>
      <c r="BI803" s="13">
        <v>2.5000000000000001E-2</v>
      </c>
      <c r="BJ803" s="18">
        <f>ABS(_xlfn.NORM.S.INV(Table1347456[[#This Row],[p_value]]/2))</f>
        <v>2.2414027276049446</v>
      </c>
      <c r="BK803" s="19">
        <f>(Table1347456[[#This Row],[lnrr]]/Table1347456[[#This Row],[z_from_p]])^2</f>
        <v>1.9687160669136446E-2</v>
      </c>
      <c r="BL803" s="16">
        <f>Table1347456[[#This Row],[v_from_z_from_p]]</f>
        <v>1.9687160669136446E-2</v>
      </c>
      <c r="BM803" s="20">
        <f>SQRT(Table1347456[[#This Row],[v]])</f>
        <v>0.14031094279897219</v>
      </c>
      <c r="BN803" s="20">
        <f>Table1347456[[#This Row],[lnrr]]-(1.96*Table1347456[[#This Row],[se]])</f>
        <v>3.9483882016452143E-2</v>
      </c>
      <c r="BO803" s="20">
        <f>Table1347456[[#This Row],[lnrr]]+(1.96 * Table1347456[[#This Row],[se]])</f>
        <v>0.58950277778842308</v>
      </c>
    </row>
    <row r="804" spans="1:67">
      <c r="A804" s="13" t="s">
        <v>293</v>
      </c>
      <c r="B804" s="13" t="s">
        <v>294</v>
      </c>
      <c r="C804" s="13" t="s">
        <v>43</v>
      </c>
      <c r="D804" s="13" t="s">
        <v>295</v>
      </c>
      <c r="E804" s="13" t="s">
        <v>296</v>
      </c>
      <c r="F804" s="13" t="s">
        <v>586</v>
      </c>
      <c r="G804" s="13" t="s">
        <v>46</v>
      </c>
      <c r="H804" s="13" t="s">
        <v>46</v>
      </c>
      <c r="I804" s="13" t="s">
        <v>46</v>
      </c>
      <c r="K804" s="13" t="s">
        <v>894</v>
      </c>
      <c r="L804" s="13" t="s">
        <v>895</v>
      </c>
      <c r="N804" s="13" t="s">
        <v>47</v>
      </c>
      <c r="O804" s="13" t="s">
        <v>645</v>
      </c>
      <c r="P804" s="13" t="s">
        <v>48</v>
      </c>
      <c r="Q804" s="13" t="s">
        <v>48</v>
      </c>
      <c r="R804" s="4">
        <v>3</v>
      </c>
      <c r="S804" s="13" t="s">
        <v>594</v>
      </c>
      <c r="T804" s="13">
        <v>1800</v>
      </c>
      <c r="U804" s="4" t="s">
        <v>200</v>
      </c>
      <c r="V804" s="4">
        <v>650</v>
      </c>
      <c r="W804" s="4" t="s">
        <v>602</v>
      </c>
      <c r="X804" s="4">
        <v>538.70000000000005</v>
      </c>
      <c r="Y804" s="4">
        <v>20</v>
      </c>
      <c r="AA804" s="4" t="s">
        <v>49</v>
      </c>
      <c r="AB804" s="4">
        <v>0</v>
      </c>
      <c r="AC804" s="4" t="s">
        <v>49</v>
      </c>
      <c r="AD804" s="4">
        <v>0</v>
      </c>
      <c r="AE804" s="4" t="s">
        <v>49</v>
      </c>
      <c r="AF804" s="4">
        <v>0</v>
      </c>
      <c r="AG804" s="4" t="s">
        <v>46</v>
      </c>
      <c r="AH804" s="4" t="s">
        <v>743</v>
      </c>
      <c r="AI804" s="4" t="s">
        <v>297</v>
      </c>
      <c r="AJ804" s="13">
        <v>0</v>
      </c>
      <c r="AK804" s="13">
        <v>25</v>
      </c>
      <c r="AP804" s="13" t="s">
        <v>50</v>
      </c>
      <c r="AQ804" s="13" t="s">
        <v>49</v>
      </c>
      <c r="AR804" s="13" t="s">
        <v>49</v>
      </c>
      <c r="AS804" s="13" t="s">
        <v>49</v>
      </c>
      <c r="AT804" s="13" t="s">
        <v>990</v>
      </c>
      <c r="AU804" s="13" t="s">
        <v>998</v>
      </c>
      <c r="AV804" s="14">
        <v>0.68</v>
      </c>
      <c r="AW804" s="14">
        <v>0.46</v>
      </c>
      <c r="AX804" s="14">
        <f>Table1347456[[#This Row],[treatment_mean]]/Table1347456[[#This Row],[control_mean]]</f>
        <v>1.4782608695652175</v>
      </c>
      <c r="AY804" s="14">
        <f>LN(Table1347456[[#This Row],[rr]])</f>
        <v>0.39086630868701178</v>
      </c>
      <c r="AZ804" s="13">
        <v>3</v>
      </c>
      <c r="BA804" s="13">
        <v>3</v>
      </c>
      <c r="BB804" s="14" t="s">
        <v>46</v>
      </c>
      <c r="BC804" s="14" t="s">
        <v>46</v>
      </c>
      <c r="BD804" s="15" t="s">
        <v>46</v>
      </c>
      <c r="BE804" s="14" t="s">
        <v>46</v>
      </c>
      <c r="BF80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04" s="17" t="s">
        <v>46</v>
      </c>
      <c r="BH804" s="13" t="s">
        <v>50</v>
      </c>
      <c r="BI804" s="13">
        <v>2.5000000000000001E-2</v>
      </c>
      <c r="BJ804" s="18">
        <f>ABS(_xlfn.NORM.S.INV(Table1347456[[#This Row],[p_value]]/2))</f>
        <v>2.2414027276049446</v>
      </c>
      <c r="BK804" s="19">
        <f>(Table1347456[[#This Row],[lnrr]]/Table1347456[[#This Row],[z_from_p]])^2</f>
        <v>3.0410018374294571E-2</v>
      </c>
      <c r="BL804" s="16">
        <f>Table1347456[[#This Row],[v_from_z_from_p]]</f>
        <v>3.0410018374294571E-2</v>
      </c>
      <c r="BM804" s="20">
        <f>SQRT(Table1347456[[#This Row],[v]])</f>
        <v>0.17438468503367655</v>
      </c>
      <c r="BN804" s="20">
        <f>Table1347456[[#This Row],[lnrr]]-(1.96*Table1347456[[#This Row],[se]])</f>
        <v>4.9072326021005752E-2</v>
      </c>
      <c r="BO804" s="20">
        <f>Table1347456[[#This Row],[lnrr]]+(1.96 * Table1347456[[#This Row],[se]])</f>
        <v>0.7326602913530178</v>
      </c>
    </row>
    <row r="805" spans="1:67">
      <c r="A805" s="13" t="s">
        <v>293</v>
      </c>
      <c r="B805" s="13" t="s">
        <v>294</v>
      </c>
      <c r="C805" s="13" t="s">
        <v>43</v>
      </c>
      <c r="D805" s="13" t="s">
        <v>295</v>
      </c>
      <c r="E805" s="13" t="s">
        <v>296</v>
      </c>
      <c r="F805" s="13" t="s">
        <v>586</v>
      </c>
      <c r="G805" s="13" t="s">
        <v>46</v>
      </c>
      <c r="H805" s="13" t="s">
        <v>46</v>
      </c>
      <c r="I805" s="13" t="s">
        <v>46</v>
      </c>
      <c r="K805" s="13" t="s">
        <v>894</v>
      </c>
      <c r="L805" s="13" t="s">
        <v>895</v>
      </c>
      <c r="N805" s="13" t="s">
        <v>47</v>
      </c>
      <c r="O805" s="13" t="s">
        <v>645</v>
      </c>
      <c r="P805" s="13" t="s">
        <v>48</v>
      </c>
      <c r="Q805" s="13" t="s">
        <v>48</v>
      </c>
      <c r="R805" s="4">
        <v>3</v>
      </c>
      <c r="S805" s="13" t="s">
        <v>594</v>
      </c>
      <c r="T805" s="13">
        <v>1800</v>
      </c>
      <c r="U805" s="4" t="s">
        <v>200</v>
      </c>
      <c r="V805" s="4">
        <v>650</v>
      </c>
      <c r="W805" s="4" t="s">
        <v>602</v>
      </c>
      <c r="X805" s="4">
        <v>538.70000000000005</v>
      </c>
      <c r="Y805" s="4">
        <v>30</v>
      </c>
      <c r="AA805" s="4" t="s">
        <v>49</v>
      </c>
      <c r="AB805" s="4">
        <v>0</v>
      </c>
      <c r="AC805" s="4" t="s">
        <v>49</v>
      </c>
      <c r="AD805" s="4">
        <v>0</v>
      </c>
      <c r="AE805" s="4" t="s">
        <v>49</v>
      </c>
      <c r="AF805" s="4">
        <v>0</v>
      </c>
      <c r="AG805" s="4" t="s">
        <v>46</v>
      </c>
      <c r="AH805" s="4" t="s">
        <v>743</v>
      </c>
      <c r="AI805" s="4" t="s">
        <v>297</v>
      </c>
      <c r="AJ805" s="13">
        <v>0</v>
      </c>
      <c r="AK805" s="13">
        <v>25</v>
      </c>
      <c r="AP805" s="13" t="s">
        <v>50</v>
      </c>
      <c r="AQ805" s="13" t="s">
        <v>49</v>
      </c>
      <c r="AR805" s="13" t="s">
        <v>49</v>
      </c>
      <c r="AS805" s="13" t="s">
        <v>49</v>
      </c>
      <c r="AT805" s="13" t="s">
        <v>990</v>
      </c>
      <c r="AU805" s="13" t="s">
        <v>998</v>
      </c>
      <c r="AV805" s="14">
        <v>0.71</v>
      </c>
      <c r="AW805" s="14">
        <v>0.46</v>
      </c>
      <c r="AX805" s="14">
        <f>Table1347456[[#This Row],[treatment_mean]]/Table1347456[[#This Row],[control_mean]]</f>
        <v>1.543478260869565</v>
      </c>
      <c r="AY805" s="14">
        <f>LN(Table1347456[[#This Row],[rr]])</f>
        <v>0.43403848055222027</v>
      </c>
      <c r="AZ805" s="13">
        <v>3</v>
      </c>
      <c r="BA805" s="13">
        <v>3</v>
      </c>
      <c r="BB805" s="14" t="s">
        <v>46</v>
      </c>
      <c r="BC805" s="14" t="s">
        <v>46</v>
      </c>
      <c r="BD805" s="15" t="s">
        <v>46</v>
      </c>
      <c r="BE805" s="14" t="s">
        <v>46</v>
      </c>
      <c r="BF80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05" s="17" t="s">
        <v>46</v>
      </c>
      <c r="BH805" s="13" t="s">
        <v>50</v>
      </c>
      <c r="BI805" s="13">
        <v>2.5000000000000001E-2</v>
      </c>
      <c r="BJ805" s="18">
        <f>ABS(_xlfn.NORM.S.INV(Table1347456[[#This Row],[p_value]]/2))</f>
        <v>2.2414027276049446</v>
      </c>
      <c r="BK805" s="19">
        <f>(Table1347456[[#This Row],[lnrr]]/Table1347456[[#This Row],[z_from_p]])^2</f>
        <v>3.7498740133834224E-2</v>
      </c>
      <c r="BL805" s="16">
        <f>Table1347456[[#This Row],[v_from_z_from_p]]</f>
        <v>3.7498740133834224E-2</v>
      </c>
      <c r="BM805" s="20">
        <f>SQRT(Table1347456[[#This Row],[v]])</f>
        <v>0.19364591432259609</v>
      </c>
      <c r="BN805" s="20">
        <f>Table1347456[[#This Row],[lnrr]]-(1.96*Table1347456[[#This Row],[se]])</f>
        <v>5.4492488479931933E-2</v>
      </c>
      <c r="BO805" s="20">
        <f>Table1347456[[#This Row],[lnrr]]+(1.96 * Table1347456[[#This Row],[se]])</f>
        <v>0.81358447262450861</v>
      </c>
    </row>
    <row r="806" spans="1:67">
      <c r="A806" s="13" t="s">
        <v>293</v>
      </c>
      <c r="B806" s="13" t="s">
        <v>294</v>
      </c>
      <c r="C806" s="13" t="s">
        <v>43</v>
      </c>
      <c r="D806" s="13" t="s">
        <v>295</v>
      </c>
      <c r="E806" s="13" t="s">
        <v>296</v>
      </c>
      <c r="F806" s="13" t="s">
        <v>586</v>
      </c>
      <c r="G806" s="13" t="s">
        <v>46</v>
      </c>
      <c r="H806" s="13" t="s">
        <v>46</v>
      </c>
      <c r="I806" s="13" t="s">
        <v>46</v>
      </c>
      <c r="K806" s="13" t="s">
        <v>894</v>
      </c>
      <c r="L806" s="13" t="s">
        <v>895</v>
      </c>
      <c r="N806" s="13" t="s">
        <v>47</v>
      </c>
      <c r="O806" s="13" t="s">
        <v>645</v>
      </c>
      <c r="P806" s="13" t="s">
        <v>48</v>
      </c>
      <c r="Q806" s="13" t="s">
        <v>48</v>
      </c>
      <c r="R806" s="4">
        <v>3</v>
      </c>
      <c r="S806" s="13" t="s">
        <v>594</v>
      </c>
      <c r="T806" s="13">
        <v>2160</v>
      </c>
      <c r="U806" s="4" t="s">
        <v>200</v>
      </c>
      <c r="V806" s="4">
        <v>650</v>
      </c>
      <c r="W806" s="4" t="s">
        <v>602</v>
      </c>
      <c r="X806" s="4">
        <v>538.70000000000005</v>
      </c>
      <c r="Y806" s="4">
        <v>10</v>
      </c>
      <c r="AA806" s="4" t="s">
        <v>49</v>
      </c>
      <c r="AB806" s="4">
        <v>0</v>
      </c>
      <c r="AC806" s="4" t="s">
        <v>49</v>
      </c>
      <c r="AD806" s="4">
        <v>0</v>
      </c>
      <c r="AE806" s="4" t="s">
        <v>49</v>
      </c>
      <c r="AF806" s="4">
        <v>0</v>
      </c>
      <c r="AG806" s="4" t="s">
        <v>46</v>
      </c>
      <c r="AH806" s="4" t="s">
        <v>743</v>
      </c>
      <c r="AI806" s="4" t="s">
        <v>297</v>
      </c>
      <c r="AJ806" s="13">
        <v>0</v>
      </c>
      <c r="AK806" s="13">
        <v>25</v>
      </c>
      <c r="AP806" s="13" t="s">
        <v>50</v>
      </c>
      <c r="AQ806" s="13" t="s">
        <v>49</v>
      </c>
      <c r="AR806" s="13" t="s">
        <v>49</v>
      </c>
      <c r="AS806" s="13" t="s">
        <v>49</v>
      </c>
      <c r="AT806" s="13" t="s">
        <v>990</v>
      </c>
      <c r="AU806" s="13" t="s">
        <v>998</v>
      </c>
      <c r="AV806" s="14">
        <v>0.65</v>
      </c>
      <c r="AW806" s="14">
        <v>0.47</v>
      </c>
      <c r="AX806" s="14">
        <f>Table1347456[[#This Row],[treatment_mean]]/Table1347456[[#This Row],[control_mean]]</f>
        <v>1.3829787234042554</v>
      </c>
      <c r="AY806" s="14">
        <f>LN(Table1347456[[#This Row],[rr]])</f>
        <v>0.32423966818557859</v>
      </c>
      <c r="AZ806" s="13">
        <v>3</v>
      </c>
      <c r="BA806" s="13">
        <v>3</v>
      </c>
      <c r="BB806" s="14" t="s">
        <v>46</v>
      </c>
      <c r="BC806" s="14" t="s">
        <v>46</v>
      </c>
      <c r="BD806" s="15" t="s">
        <v>46</v>
      </c>
      <c r="BE806" s="14" t="s">
        <v>46</v>
      </c>
      <c r="BF80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06" s="17" t="s">
        <v>46</v>
      </c>
      <c r="BH806" s="13" t="s">
        <v>50</v>
      </c>
      <c r="BI806" s="13">
        <v>2.5000000000000001E-2</v>
      </c>
      <c r="BJ806" s="18">
        <f>ABS(_xlfn.NORM.S.INV(Table1347456[[#This Row],[p_value]]/2))</f>
        <v>2.2414027276049446</v>
      </c>
      <c r="BK806" s="19">
        <f>(Table1347456[[#This Row],[lnrr]]/Table1347456[[#This Row],[z_from_p]])^2</f>
        <v>2.092630256842733E-2</v>
      </c>
      <c r="BL806" s="16">
        <f>Table1347456[[#This Row],[v_from_z_from_p]]</f>
        <v>2.092630256842733E-2</v>
      </c>
      <c r="BM806" s="20">
        <f>SQRT(Table1347456[[#This Row],[v]])</f>
        <v>0.14465926367995702</v>
      </c>
      <c r="BN806" s="20">
        <f>Table1347456[[#This Row],[lnrr]]-(1.96*Table1347456[[#This Row],[se]])</f>
        <v>4.0707511372862826E-2</v>
      </c>
      <c r="BO806" s="20">
        <f>Table1347456[[#This Row],[lnrr]]+(1.96 * Table1347456[[#This Row],[se]])</f>
        <v>0.60777182499829441</v>
      </c>
    </row>
    <row r="807" spans="1:67">
      <c r="A807" s="13" t="s">
        <v>293</v>
      </c>
      <c r="B807" s="13" t="s">
        <v>294</v>
      </c>
      <c r="C807" s="13" t="s">
        <v>43</v>
      </c>
      <c r="D807" s="13" t="s">
        <v>295</v>
      </c>
      <c r="E807" s="13" t="s">
        <v>296</v>
      </c>
      <c r="F807" s="13" t="s">
        <v>586</v>
      </c>
      <c r="G807" s="13" t="s">
        <v>46</v>
      </c>
      <c r="H807" s="13" t="s">
        <v>46</v>
      </c>
      <c r="I807" s="13" t="s">
        <v>46</v>
      </c>
      <c r="K807" s="13" t="s">
        <v>894</v>
      </c>
      <c r="L807" s="13" t="s">
        <v>895</v>
      </c>
      <c r="N807" s="13" t="s">
        <v>47</v>
      </c>
      <c r="O807" s="13" t="s">
        <v>645</v>
      </c>
      <c r="P807" s="13" t="s">
        <v>48</v>
      </c>
      <c r="Q807" s="13" t="s">
        <v>48</v>
      </c>
      <c r="R807" s="4">
        <v>3</v>
      </c>
      <c r="S807" s="13" t="s">
        <v>594</v>
      </c>
      <c r="T807" s="13">
        <v>2160</v>
      </c>
      <c r="U807" s="4" t="s">
        <v>200</v>
      </c>
      <c r="V807" s="4">
        <v>650</v>
      </c>
      <c r="W807" s="4" t="s">
        <v>602</v>
      </c>
      <c r="X807" s="4">
        <v>538.70000000000005</v>
      </c>
      <c r="Y807" s="4">
        <v>20</v>
      </c>
      <c r="AA807" s="4" t="s">
        <v>49</v>
      </c>
      <c r="AB807" s="4">
        <v>0</v>
      </c>
      <c r="AC807" s="4" t="s">
        <v>49</v>
      </c>
      <c r="AD807" s="4">
        <v>0</v>
      </c>
      <c r="AE807" s="4" t="s">
        <v>49</v>
      </c>
      <c r="AF807" s="4">
        <v>0</v>
      </c>
      <c r="AG807" s="4" t="s">
        <v>46</v>
      </c>
      <c r="AH807" s="4" t="s">
        <v>743</v>
      </c>
      <c r="AI807" s="4" t="s">
        <v>297</v>
      </c>
      <c r="AJ807" s="13">
        <v>0</v>
      </c>
      <c r="AK807" s="13">
        <v>25</v>
      </c>
      <c r="AP807" s="13" t="s">
        <v>50</v>
      </c>
      <c r="AQ807" s="13" t="s">
        <v>49</v>
      </c>
      <c r="AR807" s="13" t="s">
        <v>49</v>
      </c>
      <c r="AS807" s="13" t="s">
        <v>49</v>
      </c>
      <c r="AT807" s="13" t="s">
        <v>990</v>
      </c>
      <c r="AU807" s="13" t="s">
        <v>998</v>
      </c>
      <c r="AV807" s="14">
        <v>0.7</v>
      </c>
      <c r="AW807" s="14">
        <v>0.47</v>
      </c>
      <c r="AX807" s="14">
        <f>Table1347456[[#This Row],[treatment_mean]]/Table1347456[[#This Row],[control_mean]]</f>
        <v>1.4893617021276595</v>
      </c>
      <c r="AY807" s="14">
        <f>LN(Table1347456[[#This Row],[rr]])</f>
        <v>0.39834764033930037</v>
      </c>
      <c r="AZ807" s="13">
        <v>3</v>
      </c>
      <c r="BA807" s="13">
        <v>3</v>
      </c>
      <c r="BB807" s="14" t="s">
        <v>46</v>
      </c>
      <c r="BC807" s="14" t="s">
        <v>46</v>
      </c>
      <c r="BD807" s="15" t="s">
        <v>46</v>
      </c>
      <c r="BE807" s="14" t="s">
        <v>46</v>
      </c>
      <c r="BF80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07" s="17" t="s">
        <v>46</v>
      </c>
      <c r="BH807" s="13" t="s">
        <v>50</v>
      </c>
      <c r="BI807" s="13">
        <v>2.5000000000000001E-2</v>
      </c>
      <c r="BJ807" s="18">
        <f>ABS(_xlfn.NORM.S.INV(Table1347456[[#This Row],[p_value]]/2))</f>
        <v>2.2414027276049446</v>
      </c>
      <c r="BK807" s="19">
        <f>(Table1347456[[#This Row],[lnrr]]/Table1347456[[#This Row],[z_from_p]])^2</f>
        <v>3.1585278138774618E-2</v>
      </c>
      <c r="BL807" s="16">
        <f>Table1347456[[#This Row],[v_from_z_from_p]]</f>
        <v>3.1585278138774618E-2</v>
      </c>
      <c r="BM807" s="20">
        <f>SQRT(Table1347456[[#This Row],[v]])</f>
        <v>0.17772247505246661</v>
      </c>
      <c r="BN807" s="20">
        <f>Table1347456[[#This Row],[lnrr]]-(1.96*Table1347456[[#This Row],[se]])</f>
        <v>5.0011589236465814E-2</v>
      </c>
      <c r="BO807" s="20">
        <f>Table1347456[[#This Row],[lnrr]]+(1.96 * Table1347456[[#This Row],[se]])</f>
        <v>0.74668369144213487</v>
      </c>
    </row>
    <row r="808" spans="1:67">
      <c r="A808" s="13" t="s">
        <v>293</v>
      </c>
      <c r="B808" s="13" t="s">
        <v>294</v>
      </c>
      <c r="C808" s="13" t="s">
        <v>43</v>
      </c>
      <c r="D808" s="13" t="s">
        <v>295</v>
      </c>
      <c r="E808" s="13" t="s">
        <v>296</v>
      </c>
      <c r="F808" s="13" t="s">
        <v>586</v>
      </c>
      <c r="G808" s="13" t="s">
        <v>46</v>
      </c>
      <c r="H808" s="13" t="s">
        <v>46</v>
      </c>
      <c r="I808" s="13" t="s">
        <v>46</v>
      </c>
      <c r="K808" s="13" t="s">
        <v>894</v>
      </c>
      <c r="L808" s="13" t="s">
        <v>895</v>
      </c>
      <c r="N808" s="13" t="s">
        <v>47</v>
      </c>
      <c r="O808" s="13" t="s">
        <v>645</v>
      </c>
      <c r="P808" s="13" t="s">
        <v>48</v>
      </c>
      <c r="Q808" s="13" t="s">
        <v>48</v>
      </c>
      <c r="R808" s="4">
        <v>3</v>
      </c>
      <c r="S808" s="13" t="s">
        <v>594</v>
      </c>
      <c r="T808" s="13">
        <v>2160</v>
      </c>
      <c r="U808" s="4" t="s">
        <v>200</v>
      </c>
      <c r="V808" s="4">
        <v>650</v>
      </c>
      <c r="W808" s="4" t="s">
        <v>602</v>
      </c>
      <c r="X808" s="4">
        <v>538.70000000000005</v>
      </c>
      <c r="Y808" s="4">
        <v>30</v>
      </c>
      <c r="AA808" s="4" t="s">
        <v>49</v>
      </c>
      <c r="AB808" s="4">
        <v>0</v>
      </c>
      <c r="AC808" s="4" t="s">
        <v>49</v>
      </c>
      <c r="AD808" s="4">
        <v>0</v>
      </c>
      <c r="AE808" s="4" t="s">
        <v>49</v>
      </c>
      <c r="AF808" s="4">
        <v>0</v>
      </c>
      <c r="AG808" s="4" t="s">
        <v>46</v>
      </c>
      <c r="AH808" s="4" t="s">
        <v>743</v>
      </c>
      <c r="AI808" s="4" t="s">
        <v>297</v>
      </c>
      <c r="AJ808" s="13">
        <v>0</v>
      </c>
      <c r="AK808" s="13">
        <v>25</v>
      </c>
      <c r="AP808" s="13" t="s">
        <v>50</v>
      </c>
      <c r="AQ808" s="13" t="s">
        <v>49</v>
      </c>
      <c r="AR808" s="13" t="s">
        <v>49</v>
      </c>
      <c r="AS808" s="13" t="s">
        <v>49</v>
      </c>
      <c r="AT808" s="13" t="s">
        <v>990</v>
      </c>
      <c r="AU808" s="13" t="s">
        <v>998</v>
      </c>
      <c r="AV808" s="14">
        <v>0.74</v>
      </c>
      <c r="AW808" s="14">
        <v>0.47</v>
      </c>
      <c r="AX808" s="14">
        <f>Table1347456[[#This Row],[treatment_mean]]/Table1347456[[#This Row],[control_mean]]</f>
        <v>1.574468085106383</v>
      </c>
      <c r="AY808" s="14">
        <f>LN(Table1347456[[#This Row],[rr]])</f>
        <v>0.4539174914941112</v>
      </c>
      <c r="AZ808" s="13">
        <v>3</v>
      </c>
      <c r="BA808" s="13">
        <v>3</v>
      </c>
      <c r="BB808" s="14" t="s">
        <v>46</v>
      </c>
      <c r="BC808" s="14" t="s">
        <v>46</v>
      </c>
      <c r="BD808" s="15" t="s">
        <v>46</v>
      </c>
      <c r="BE808" s="14" t="s">
        <v>46</v>
      </c>
      <c r="BF80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08" s="17" t="s">
        <v>46</v>
      </c>
      <c r="BH808" s="13" t="s">
        <v>50</v>
      </c>
      <c r="BI808" s="13">
        <v>2.5000000000000001E-2</v>
      </c>
      <c r="BJ808" s="18">
        <f>ABS(_xlfn.NORM.S.INV(Table1347456[[#This Row],[p_value]]/2))</f>
        <v>2.2414027276049446</v>
      </c>
      <c r="BK808" s="19">
        <f>(Table1347456[[#This Row],[lnrr]]/Table1347456[[#This Row],[z_from_p]])^2</f>
        <v>4.1012292357369112E-2</v>
      </c>
      <c r="BL808" s="16">
        <f>Table1347456[[#This Row],[v_from_z_from_p]]</f>
        <v>4.1012292357369112E-2</v>
      </c>
      <c r="BM808" s="20">
        <f>SQRT(Table1347456[[#This Row],[v]])</f>
        <v>0.20251491885135059</v>
      </c>
      <c r="BN808" s="20">
        <f>Table1347456[[#This Row],[lnrr]]-(1.96*Table1347456[[#This Row],[se]])</f>
        <v>5.6988250545464081E-2</v>
      </c>
      <c r="BO808" s="20">
        <f>Table1347456[[#This Row],[lnrr]]+(1.96 * Table1347456[[#This Row],[se]])</f>
        <v>0.85084673244275832</v>
      </c>
    </row>
    <row r="809" spans="1:67">
      <c r="A809" s="13" t="s">
        <v>293</v>
      </c>
      <c r="B809" s="13" t="s">
        <v>294</v>
      </c>
      <c r="C809" s="13" t="s">
        <v>43</v>
      </c>
      <c r="D809" s="13" t="s">
        <v>295</v>
      </c>
      <c r="E809" s="13" t="s">
        <v>296</v>
      </c>
      <c r="F809" s="13" t="s">
        <v>586</v>
      </c>
      <c r="G809" s="13" t="s">
        <v>46</v>
      </c>
      <c r="H809" s="13" t="s">
        <v>46</v>
      </c>
      <c r="I809" s="13" t="s">
        <v>46</v>
      </c>
      <c r="K809" s="13" t="s">
        <v>894</v>
      </c>
      <c r="L809" s="13" t="s">
        <v>895</v>
      </c>
      <c r="N809" s="13" t="s">
        <v>622</v>
      </c>
      <c r="O809" s="13" t="s">
        <v>54</v>
      </c>
      <c r="P809" s="13" t="s">
        <v>85</v>
      </c>
      <c r="Q809" s="13" t="s">
        <v>48</v>
      </c>
      <c r="R809" s="4">
        <v>3</v>
      </c>
      <c r="S809" s="13" t="s">
        <v>594</v>
      </c>
      <c r="T809" s="13">
        <v>1440</v>
      </c>
      <c r="U809" s="4" t="s">
        <v>200</v>
      </c>
      <c r="V809" s="4">
        <v>650</v>
      </c>
      <c r="W809" s="4" t="s">
        <v>602</v>
      </c>
      <c r="X809" s="4">
        <v>538.70000000000005</v>
      </c>
      <c r="Y809" s="4">
        <v>10</v>
      </c>
      <c r="AA809" s="4" t="s">
        <v>49</v>
      </c>
      <c r="AB809" s="4">
        <v>0</v>
      </c>
      <c r="AC809" s="4" t="s">
        <v>49</v>
      </c>
      <c r="AD809" s="4">
        <v>0</v>
      </c>
      <c r="AE809" s="4" t="s">
        <v>49</v>
      </c>
      <c r="AF809" s="4">
        <v>0</v>
      </c>
      <c r="AG809" s="4" t="s">
        <v>46</v>
      </c>
      <c r="AH809" s="4" t="s">
        <v>743</v>
      </c>
      <c r="AI809" s="4" t="s">
        <v>297</v>
      </c>
      <c r="AJ809" s="13">
        <v>0</v>
      </c>
      <c r="AK809" s="13">
        <v>25</v>
      </c>
      <c r="AP809" s="13" t="s">
        <v>50</v>
      </c>
      <c r="AQ809" s="13" t="s">
        <v>49</v>
      </c>
      <c r="AR809" s="13" t="s">
        <v>49</v>
      </c>
      <c r="AS809" s="13" t="s">
        <v>49</v>
      </c>
      <c r="AT809" s="13" t="s">
        <v>990</v>
      </c>
      <c r="AU809" s="13" t="s">
        <v>998</v>
      </c>
      <c r="AV809" s="14">
        <f>13.67/1000</f>
        <v>1.367E-2</v>
      </c>
      <c r="AW809" s="14">
        <f>16.17/1000</f>
        <v>1.617E-2</v>
      </c>
      <c r="AX809" s="14">
        <f>Table1347456[[#This Row],[treatment_mean]]/Table1347456[[#This Row],[control_mean]]</f>
        <v>0.84539270253555965</v>
      </c>
      <c r="AY809" s="14">
        <f>LN(Table1347456[[#This Row],[rr]])</f>
        <v>-0.16795402285315733</v>
      </c>
      <c r="AZ809" s="13">
        <v>3</v>
      </c>
      <c r="BA809" s="13">
        <v>3</v>
      </c>
      <c r="BB809" s="14" t="s">
        <v>46</v>
      </c>
      <c r="BC809" s="14" t="s">
        <v>46</v>
      </c>
      <c r="BD809" s="15" t="s">
        <v>46</v>
      </c>
      <c r="BE809" s="14" t="s">
        <v>46</v>
      </c>
      <c r="BF80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09" s="17" t="s">
        <v>46</v>
      </c>
      <c r="BH809" s="13" t="s">
        <v>50</v>
      </c>
      <c r="BI809" s="13">
        <v>2.5000000000000001E-2</v>
      </c>
      <c r="BJ809" s="18">
        <f>ABS(_xlfn.NORM.S.INV(Table1347456[[#This Row],[p_value]]/2))</f>
        <v>2.2414027276049446</v>
      </c>
      <c r="BK809" s="19">
        <f>(Table1347456[[#This Row],[lnrr]]/Table1347456[[#This Row],[z_from_p]])^2</f>
        <v>5.6148871094620703E-3</v>
      </c>
      <c r="BL809" s="16">
        <f>Table1347456[[#This Row],[v_from_z_from_p]]</f>
        <v>5.6148871094620703E-3</v>
      </c>
      <c r="BM809" s="20">
        <f>SQRT(Table1347456[[#This Row],[v]])</f>
        <v>7.4932550400090281E-2</v>
      </c>
      <c r="BN809" s="20">
        <f>Table1347456[[#This Row],[lnrr]]-(1.96*Table1347456[[#This Row],[se]])</f>
        <v>-0.3148218216373343</v>
      </c>
      <c r="BO809" s="20">
        <f>Table1347456[[#This Row],[lnrr]]+(1.96 * Table1347456[[#This Row],[se]])</f>
        <v>-2.1086224068980391E-2</v>
      </c>
    </row>
    <row r="810" spans="1:67">
      <c r="A810" s="13" t="s">
        <v>293</v>
      </c>
      <c r="B810" s="13" t="s">
        <v>294</v>
      </c>
      <c r="C810" s="13" t="s">
        <v>43</v>
      </c>
      <c r="D810" s="13" t="s">
        <v>295</v>
      </c>
      <c r="E810" s="13" t="s">
        <v>296</v>
      </c>
      <c r="F810" s="13" t="s">
        <v>586</v>
      </c>
      <c r="G810" s="13" t="s">
        <v>46</v>
      </c>
      <c r="H810" s="13" t="s">
        <v>46</v>
      </c>
      <c r="I810" s="13" t="s">
        <v>46</v>
      </c>
      <c r="K810" s="13" t="s">
        <v>894</v>
      </c>
      <c r="L810" s="13" t="s">
        <v>895</v>
      </c>
      <c r="N810" s="13" t="s">
        <v>622</v>
      </c>
      <c r="O810" s="13" t="s">
        <v>54</v>
      </c>
      <c r="P810" s="13" t="s">
        <v>85</v>
      </c>
      <c r="Q810" s="13" t="s">
        <v>48</v>
      </c>
      <c r="R810" s="4">
        <v>3</v>
      </c>
      <c r="S810" s="13" t="s">
        <v>594</v>
      </c>
      <c r="T810" s="13">
        <v>1440</v>
      </c>
      <c r="U810" s="4" t="s">
        <v>200</v>
      </c>
      <c r="V810" s="4">
        <v>650</v>
      </c>
      <c r="W810" s="4" t="s">
        <v>602</v>
      </c>
      <c r="X810" s="4">
        <v>538.70000000000005</v>
      </c>
      <c r="Y810" s="4">
        <v>20</v>
      </c>
      <c r="AA810" s="4" t="s">
        <v>49</v>
      </c>
      <c r="AB810" s="4">
        <v>0</v>
      </c>
      <c r="AC810" s="4" t="s">
        <v>49</v>
      </c>
      <c r="AD810" s="4">
        <v>0</v>
      </c>
      <c r="AE810" s="4" t="s">
        <v>49</v>
      </c>
      <c r="AF810" s="4">
        <v>0</v>
      </c>
      <c r="AG810" s="4" t="s">
        <v>46</v>
      </c>
      <c r="AH810" s="4" t="s">
        <v>743</v>
      </c>
      <c r="AI810" s="4" t="s">
        <v>297</v>
      </c>
      <c r="AJ810" s="13">
        <v>0</v>
      </c>
      <c r="AK810" s="13">
        <v>25</v>
      </c>
      <c r="AP810" s="13" t="s">
        <v>50</v>
      </c>
      <c r="AQ810" s="13" t="s">
        <v>49</v>
      </c>
      <c r="AR810" s="13" t="s">
        <v>49</v>
      </c>
      <c r="AS810" s="13" t="s">
        <v>49</v>
      </c>
      <c r="AT810" s="13" t="s">
        <v>990</v>
      </c>
      <c r="AU810" s="13" t="s">
        <v>998</v>
      </c>
      <c r="AV810" s="14">
        <f>10.54/1000</f>
        <v>1.0539999999999999E-2</v>
      </c>
      <c r="AW810" s="14">
        <f>16.17/1000</f>
        <v>1.617E-2</v>
      </c>
      <c r="AX810" s="14">
        <f>Table1347456[[#This Row],[treatment_mean]]/Table1347456[[#This Row],[control_mean]]</f>
        <v>0.65182436611008032</v>
      </c>
      <c r="AY810" s="14">
        <f>LN(Table1347456[[#This Row],[rr]])</f>
        <v>-0.4279801304757993</v>
      </c>
      <c r="AZ810" s="13">
        <v>3</v>
      </c>
      <c r="BA810" s="13">
        <v>3</v>
      </c>
      <c r="BB810" s="14" t="s">
        <v>46</v>
      </c>
      <c r="BC810" s="14" t="s">
        <v>46</v>
      </c>
      <c r="BD810" s="15" t="s">
        <v>46</v>
      </c>
      <c r="BE810" s="14" t="s">
        <v>46</v>
      </c>
      <c r="BF81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10" s="17" t="s">
        <v>46</v>
      </c>
      <c r="BH810" s="13" t="s">
        <v>50</v>
      </c>
      <c r="BI810" s="13">
        <v>2.5000000000000001E-2</v>
      </c>
      <c r="BJ810" s="18">
        <f>ABS(_xlfn.NORM.S.INV(Table1347456[[#This Row],[p_value]]/2))</f>
        <v>2.2414027276049446</v>
      </c>
      <c r="BK810" s="19">
        <f>(Table1347456[[#This Row],[lnrr]]/Table1347456[[#This Row],[z_from_p]])^2</f>
        <v>3.6459224045435515E-2</v>
      </c>
      <c r="BL810" s="16">
        <f>Table1347456[[#This Row],[v_from_z_from_p]]</f>
        <v>3.6459224045435515E-2</v>
      </c>
      <c r="BM810" s="20">
        <f>SQRT(Table1347456[[#This Row],[v]])</f>
        <v>0.19094298637403656</v>
      </c>
      <c r="BN810" s="20">
        <f>Table1347456[[#This Row],[lnrr]]-(1.96*Table1347456[[#This Row],[se]])</f>
        <v>-0.80222838376891104</v>
      </c>
      <c r="BO810" s="20">
        <f>Table1347456[[#This Row],[lnrr]]+(1.96 * Table1347456[[#This Row],[se]])</f>
        <v>-5.3731877182687626E-2</v>
      </c>
    </row>
    <row r="811" spans="1:67">
      <c r="A811" s="13" t="s">
        <v>293</v>
      </c>
      <c r="B811" s="13" t="s">
        <v>294</v>
      </c>
      <c r="C811" s="13" t="s">
        <v>43</v>
      </c>
      <c r="D811" s="13" t="s">
        <v>295</v>
      </c>
      <c r="E811" s="13" t="s">
        <v>296</v>
      </c>
      <c r="F811" s="13" t="s">
        <v>586</v>
      </c>
      <c r="G811" s="13" t="s">
        <v>46</v>
      </c>
      <c r="H811" s="13" t="s">
        <v>46</v>
      </c>
      <c r="I811" s="13" t="s">
        <v>46</v>
      </c>
      <c r="K811" s="13" t="s">
        <v>894</v>
      </c>
      <c r="L811" s="13" t="s">
        <v>895</v>
      </c>
      <c r="N811" s="13" t="s">
        <v>622</v>
      </c>
      <c r="O811" s="13" t="s">
        <v>54</v>
      </c>
      <c r="P811" s="13" t="s">
        <v>85</v>
      </c>
      <c r="Q811" s="13" t="s">
        <v>48</v>
      </c>
      <c r="R811" s="4">
        <v>3</v>
      </c>
      <c r="S811" s="13" t="s">
        <v>594</v>
      </c>
      <c r="T811" s="13">
        <v>1440</v>
      </c>
      <c r="U811" s="4" t="s">
        <v>200</v>
      </c>
      <c r="V811" s="4">
        <v>650</v>
      </c>
      <c r="W811" s="4" t="s">
        <v>602</v>
      </c>
      <c r="X811" s="4">
        <v>538.70000000000005</v>
      </c>
      <c r="Y811" s="4">
        <v>30</v>
      </c>
      <c r="AA811" s="4" t="s">
        <v>49</v>
      </c>
      <c r="AB811" s="4">
        <v>0</v>
      </c>
      <c r="AC811" s="4" t="s">
        <v>49</v>
      </c>
      <c r="AD811" s="4">
        <v>0</v>
      </c>
      <c r="AE811" s="4" t="s">
        <v>49</v>
      </c>
      <c r="AF811" s="4">
        <v>0</v>
      </c>
      <c r="AG811" s="4" t="s">
        <v>46</v>
      </c>
      <c r="AH811" s="4" t="s">
        <v>743</v>
      </c>
      <c r="AI811" s="4" t="s">
        <v>297</v>
      </c>
      <c r="AJ811" s="13">
        <v>0</v>
      </c>
      <c r="AK811" s="13">
        <v>25</v>
      </c>
      <c r="AP811" s="13" t="s">
        <v>50</v>
      </c>
      <c r="AQ811" s="13" t="s">
        <v>49</v>
      </c>
      <c r="AR811" s="13" t="s">
        <v>49</v>
      </c>
      <c r="AS811" s="13" t="s">
        <v>49</v>
      </c>
      <c r="AT811" s="13" t="s">
        <v>990</v>
      </c>
      <c r="AU811" s="13" t="s">
        <v>998</v>
      </c>
      <c r="AV811" s="14">
        <f>9.16/1000</f>
        <v>9.1599999999999997E-3</v>
      </c>
      <c r="AW811" s="14">
        <f>16.17/1000</f>
        <v>1.617E-2</v>
      </c>
      <c r="AX811" s="14">
        <f>Table1347456[[#This Row],[treatment_mean]]/Table1347456[[#This Row],[control_mean]]</f>
        <v>0.56648113790970933</v>
      </c>
      <c r="AY811" s="14">
        <f>LN(Table1347456[[#This Row],[rr]])</f>
        <v>-0.56831149490297661</v>
      </c>
      <c r="AZ811" s="13">
        <v>3</v>
      </c>
      <c r="BA811" s="13">
        <v>3</v>
      </c>
      <c r="BB811" s="14" t="s">
        <v>46</v>
      </c>
      <c r="BC811" s="14" t="s">
        <v>46</v>
      </c>
      <c r="BD811" s="15" t="s">
        <v>46</v>
      </c>
      <c r="BE811" s="14" t="s">
        <v>46</v>
      </c>
      <c r="BF81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11" s="17" t="s">
        <v>46</v>
      </c>
      <c r="BH811" s="13" t="s">
        <v>50</v>
      </c>
      <c r="BI811" s="13">
        <v>2.5000000000000001E-2</v>
      </c>
      <c r="BJ811" s="18">
        <f>ABS(_xlfn.NORM.S.INV(Table1347456[[#This Row],[p_value]]/2))</f>
        <v>2.2414027276049446</v>
      </c>
      <c r="BK811" s="19">
        <f>(Table1347456[[#This Row],[lnrr]]/Table1347456[[#This Row],[z_from_p]])^2</f>
        <v>6.4288469761588682E-2</v>
      </c>
      <c r="BL811" s="16">
        <f>Table1347456[[#This Row],[v_from_z_from_p]]</f>
        <v>6.4288469761588682E-2</v>
      </c>
      <c r="BM811" s="20">
        <f>SQRT(Table1347456[[#This Row],[v]])</f>
        <v>0.25355171023203271</v>
      </c>
      <c r="BN811" s="20">
        <f>Table1347456[[#This Row],[lnrr]]-(1.96*Table1347456[[#This Row],[se]])</f>
        <v>-1.0652728469577606</v>
      </c>
      <c r="BO811" s="20">
        <f>Table1347456[[#This Row],[lnrr]]+(1.96 * Table1347456[[#This Row],[se]])</f>
        <v>-7.1350142848192522E-2</v>
      </c>
    </row>
    <row r="812" spans="1:67">
      <c r="A812" s="13" t="s">
        <v>293</v>
      </c>
      <c r="B812" s="13" t="s">
        <v>294</v>
      </c>
      <c r="C812" s="13" t="s">
        <v>43</v>
      </c>
      <c r="D812" s="13" t="s">
        <v>295</v>
      </c>
      <c r="E812" s="13" t="s">
        <v>296</v>
      </c>
      <c r="F812" s="13" t="s">
        <v>586</v>
      </c>
      <c r="G812" s="13" t="s">
        <v>46</v>
      </c>
      <c r="H812" s="13" t="s">
        <v>46</v>
      </c>
      <c r="I812" s="13" t="s">
        <v>46</v>
      </c>
      <c r="K812" s="13" t="s">
        <v>894</v>
      </c>
      <c r="L812" s="13" t="s">
        <v>895</v>
      </c>
      <c r="N812" s="13" t="s">
        <v>622</v>
      </c>
      <c r="O812" s="13" t="s">
        <v>54</v>
      </c>
      <c r="P812" s="13" t="s">
        <v>85</v>
      </c>
      <c r="Q812" s="13" t="s">
        <v>48</v>
      </c>
      <c r="R812" s="4">
        <v>3</v>
      </c>
      <c r="S812" s="13" t="s">
        <v>594</v>
      </c>
      <c r="T812" s="13">
        <v>1800</v>
      </c>
      <c r="U812" s="4" t="s">
        <v>200</v>
      </c>
      <c r="V812" s="4">
        <v>650</v>
      </c>
      <c r="W812" s="4" t="s">
        <v>602</v>
      </c>
      <c r="X812" s="4">
        <v>538.70000000000005</v>
      </c>
      <c r="Y812" s="4">
        <v>10</v>
      </c>
      <c r="AA812" s="4" t="s">
        <v>49</v>
      </c>
      <c r="AB812" s="4">
        <v>0</v>
      </c>
      <c r="AC812" s="4" t="s">
        <v>49</v>
      </c>
      <c r="AD812" s="4">
        <v>0</v>
      </c>
      <c r="AE812" s="4" t="s">
        <v>49</v>
      </c>
      <c r="AF812" s="4">
        <v>0</v>
      </c>
      <c r="AG812" s="4" t="s">
        <v>46</v>
      </c>
      <c r="AH812" s="4" t="s">
        <v>743</v>
      </c>
      <c r="AI812" s="4" t="s">
        <v>297</v>
      </c>
      <c r="AJ812" s="13">
        <v>0</v>
      </c>
      <c r="AK812" s="13">
        <v>25</v>
      </c>
      <c r="AP812" s="13" t="s">
        <v>50</v>
      </c>
      <c r="AQ812" s="13" t="s">
        <v>49</v>
      </c>
      <c r="AR812" s="13" t="s">
        <v>49</v>
      </c>
      <c r="AS812" s="13" t="s">
        <v>49</v>
      </c>
      <c r="AT812" s="13" t="s">
        <v>990</v>
      </c>
      <c r="AU812" s="13" t="s">
        <v>998</v>
      </c>
      <c r="AV812" s="14">
        <f>9.3/1000</f>
        <v>9.300000000000001E-3</v>
      </c>
      <c r="AW812" s="14">
        <f>11.68/1000</f>
        <v>1.1679999999999999E-2</v>
      </c>
      <c r="AX812" s="14">
        <f>Table1347456[[#This Row],[treatment_mean]]/Table1347456[[#This Row],[control_mean]]</f>
        <v>0.7962328767123289</v>
      </c>
      <c r="AY812" s="14">
        <f>LN(Table1347456[[#This Row],[rr]])</f>
        <v>-0.22786357724087059</v>
      </c>
      <c r="AZ812" s="13">
        <v>3</v>
      </c>
      <c r="BA812" s="13">
        <v>3</v>
      </c>
      <c r="BB812" s="14" t="s">
        <v>46</v>
      </c>
      <c r="BC812" s="14" t="s">
        <v>46</v>
      </c>
      <c r="BD812" s="15" t="s">
        <v>46</v>
      </c>
      <c r="BE812" s="14" t="s">
        <v>46</v>
      </c>
      <c r="BF81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12" s="17" t="s">
        <v>46</v>
      </c>
      <c r="BH812" s="13" t="s">
        <v>50</v>
      </c>
      <c r="BI812" s="13">
        <v>2.5000000000000001E-2</v>
      </c>
      <c r="BJ812" s="18">
        <f>ABS(_xlfn.NORM.S.INV(Table1347456[[#This Row],[p_value]]/2))</f>
        <v>2.2414027276049446</v>
      </c>
      <c r="BK812" s="19">
        <f>(Table1347456[[#This Row],[lnrr]]/Table1347456[[#This Row],[z_from_p]])^2</f>
        <v>1.03349892686874E-2</v>
      </c>
      <c r="BL812" s="16">
        <f>Table1347456[[#This Row],[v_from_z_from_p]]</f>
        <v>1.03349892686874E-2</v>
      </c>
      <c r="BM812" s="20">
        <f>SQRT(Table1347456[[#This Row],[v]])</f>
        <v>0.10166114925913143</v>
      </c>
      <c r="BN812" s="20">
        <f>Table1347456[[#This Row],[lnrr]]-(1.96*Table1347456[[#This Row],[se]])</f>
        <v>-0.42711942978876816</v>
      </c>
      <c r="BO812" s="20">
        <f>Table1347456[[#This Row],[lnrr]]+(1.96 * Table1347456[[#This Row],[se]])</f>
        <v>-2.8607724692972986E-2</v>
      </c>
    </row>
    <row r="813" spans="1:67">
      <c r="A813" s="13" t="s">
        <v>293</v>
      </c>
      <c r="B813" s="13" t="s">
        <v>294</v>
      </c>
      <c r="C813" s="13" t="s">
        <v>43</v>
      </c>
      <c r="D813" s="13" t="s">
        <v>295</v>
      </c>
      <c r="E813" s="13" t="s">
        <v>296</v>
      </c>
      <c r="F813" s="13" t="s">
        <v>586</v>
      </c>
      <c r="G813" s="13" t="s">
        <v>46</v>
      </c>
      <c r="H813" s="13" t="s">
        <v>46</v>
      </c>
      <c r="I813" s="13" t="s">
        <v>46</v>
      </c>
      <c r="K813" s="13" t="s">
        <v>894</v>
      </c>
      <c r="L813" s="13" t="s">
        <v>895</v>
      </c>
      <c r="N813" s="13" t="s">
        <v>622</v>
      </c>
      <c r="O813" s="13" t="s">
        <v>54</v>
      </c>
      <c r="P813" s="13" t="s">
        <v>85</v>
      </c>
      <c r="Q813" s="13" t="s">
        <v>48</v>
      </c>
      <c r="R813" s="4">
        <v>3</v>
      </c>
      <c r="S813" s="13" t="s">
        <v>594</v>
      </c>
      <c r="T813" s="13">
        <v>1800</v>
      </c>
      <c r="U813" s="4" t="s">
        <v>200</v>
      </c>
      <c r="V813" s="4">
        <v>650</v>
      </c>
      <c r="W813" s="4" t="s">
        <v>602</v>
      </c>
      <c r="X813" s="4">
        <v>538.70000000000005</v>
      </c>
      <c r="Y813" s="4">
        <v>20</v>
      </c>
      <c r="AA813" s="4" t="s">
        <v>49</v>
      </c>
      <c r="AB813" s="4">
        <v>0</v>
      </c>
      <c r="AC813" s="4" t="s">
        <v>49</v>
      </c>
      <c r="AD813" s="4">
        <v>0</v>
      </c>
      <c r="AE813" s="4" t="s">
        <v>49</v>
      </c>
      <c r="AF813" s="4">
        <v>0</v>
      </c>
      <c r="AG813" s="4" t="s">
        <v>46</v>
      </c>
      <c r="AH813" s="4" t="s">
        <v>743</v>
      </c>
      <c r="AI813" s="4" t="s">
        <v>297</v>
      </c>
      <c r="AJ813" s="13">
        <v>0</v>
      </c>
      <c r="AK813" s="13">
        <v>25</v>
      </c>
      <c r="AP813" s="13" t="s">
        <v>50</v>
      </c>
      <c r="AQ813" s="13" t="s">
        <v>49</v>
      </c>
      <c r="AR813" s="13" t="s">
        <v>49</v>
      </c>
      <c r="AS813" s="13" t="s">
        <v>49</v>
      </c>
      <c r="AT813" s="13" t="s">
        <v>990</v>
      </c>
      <c r="AU813" s="13" t="s">
        <v>998</v>
      </c>
      <c r="AV813" s="14">
        <f>4.59/1000</f>
        <v>4.5899999999999995E-3</v>
      </c>
      <c r="AW813" s="14">
        <f>11.68/1000</f>
        <v>1.1679999999999999E-2</v>
      </c>
      <c r="AX813" s="14">
        <f>Table1347456[[#This Row],[treatment_mean]]/Table1347456[[#This Row],[control_mean]]</f>
        <v>0.39297945205479451</v>
      </c>
      <c r="AY813" s="14">
        <f>LN(Table1347456[[#This Row],[rr]])</f>
        <v>-0.93399795332762725</v>
      </c>
      <c r="AZ813" s="13">
        <v>3</v>
      </c>
      <c r="BA813" s="13">
        <v>3</v>
      </c>
      <c r="BB813" s="14" t="s">
        <v>46</v>
      </c>
      <c r="BC813" s="14" t="s">
        <v>46</v>
      </c>
      <c r="BD813" s="15" t="s">
        <v>46</v>
      </c>
      <c r="BE813" s="14" t="s">
        <v>46</v>
      </c>
      <c r="BF81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13" s="17" t="s">
        <v>46</v>
      </c>
      <c r="BH813" s="13" t="s">
        <v>50</v>
      </c>
      <c r="BI813" s="13">
        <v>2.5000000000000001E-2</v>
      </c>
      <c r="BJ813" s="18">
        <f>ABS(_xlfn.NORM.S.INV(Table1347456[[#This Row],[p_value]]/2))</f>
        <v>2.2414027276049446</v>
      </c>
      <c r="BK813" s="19">
        <f>(Table1347456[[#This Row],[lnrr]]/Table1347456[[#This Row],[z_from_p]])^2</f>
        <v>0.17364091149653257</v>
      </c>
      <c r="BL813" s="16">
        <f>Table1347456[[#This Row],[v_from_z_from_p]]</f>
        <v>0.17364091149653257</v>
      </c>
      <c r="BM813" s="20">
        <f>SQRT(Table1347456[[#This Row],[v]])</f>
        <v>0.41670242559473131</v>
      </c>
      <c r="BN813" s="20">
        <f>Table1347456[[#This Row],[lnrr]]-(1.96*Table1347456[[#This Row],[se]])</f>
        <v>-1.7507347074933006</v>
      </c>
      <c r="BO813" s="20">
        <f>Table1347456[[#This Row],[lnrr]]+(1.96 * Table1347456[[#This Row],[se]])</f>
        <v>-0.11726119916195388</v>
      </c>
    </row>
    <row r="814" spans="1:67">
      <c r="A814" s="13" t="s">
        <v>293</v>
      </c>
      <c r="B814" s="13" t="s">
        <v>294</v>
      </c>
      <c r="C814" s="13" t="s">
        <v>43</v>
      </c>
      <c r="D814" s="13" t="s">
        <v>295</v>
      </c>
      <c r="E814" s="13" t="s">
        <v>296</v>
      </c>
      <c r="F814" s="13" t="s">
        <v>586</v>
      </c>
      <c r="G814" s="13" t="s">
        <v>46</v>
      </c>
      <c r="H814" s="13" t="s">
        <v>46</v>
      </c>
      <c r="I814" s="13" t="s">
        <v>46</v>
      </c>
      <c r="K814" s="13" t="s">
        <v>894</v>
      </c>
      <c r="L814" s="13" t="s">
        <v>895</v>
      </c>
      <c r="N814" s="13" t="s">
        <v>622</v>
      </c>
      <c r="O814" s="13" t="s">
        <v>54</v>
      </c>
      <c r="P814" s="13" t="s">
        <v>85</v>
      </c>
      <c r="Q814" s="13" t="s">
        <v>48</v>
      </c>
      <c r="R814" s="4">
        <v>3</v>
      </c>
      <c r="S814" s="13" t="s">
        <v>594</v>
      </c>
      <c r="T814" s="13">
        <v>1800</v>
      </c>
      <c r="U814" s="4" t="s">
        <v>200</v>
      </c>
      <c r="V814" s="4">
        <v>650</v>
      </c>
      <c r="W814" s="4" t="s">
        <v>602</v>
      </c>
      <c r="X814" s="4">
        <v>538.70000000000005</v>
      </c>
      <c r="Y814" s="4">
        <v>30</v>
      </c>
      <c r="AA814" s="4" t="s">
        <v>49</v>
      </c>
      <c r="AB814" s="4">
        <v>0</v>
      </c>
      <c r="AC814" s="4" t="s">
        <v>49</v>
      </c>
      <c r="AD814" s="4">
        <v>0</v>
      </c>
      <c r="AE814" s="4" t="s">
        <v>49</v>
      </c>
      <c r="AF814" s="4">
        <v>0</v>
      </c>
      <c r="AG814" s="4" t="s">
        <v>46</v>
      </c>
      <c r="AH814" s="4" t="s">
        <v>743</v>
      </c>
      <c r="AI814" s="4" t="s">
        <v>297</v>
      </c>
      <c r="AJ814" s="13">
        <v>0</v>
      </c>
      <c r="AK814" s="13">
        <v>25</v>
      </c>
      <c r="AP814" s="13" t="s">
        <v>50</v>
      </c>
      <c r="AQ814" s="13" t="s">
        <v>49</v>
      </c>
      <c r="AR814" s="13" t="s">
        <v>49</v>
      </c>
      <c r="AS814" s="13" t="s">
        <v>49</v>
      </c>
      <c r="AT814" s="13" t="s">
        <v>990</v>
      </c>
      <c r="AU814" s="13" t="s">
        <v>998</v>
      </c>
      <c r="AV814" s="14">
        <f>3.01/1000</f>
        <v>3.0099999999999997E-3</v>
      </c>
      <c r="AW814" s="14">
        <f>11.68/1000</f>
        <v>1.1679999999999999E-2</v>
      </c>
      <c r="AX814" s="14">
        <f>Table1347456[[#This Row],[treatment_mean]]/Table1347456[[#This Row],[control_mean]]</f>
        <v>0.2577054794520548</v>
      </c>
      <c r="AY814" s="14">
        <f>LN(Table1347456[[#This Row],[rr]])</f>
        <v>-1.3559378986392967</v>
      </c>
      <c r="AZ814" s="13">
        <v>3</v>
      </c>
      <c r="BA814" s="13">
        <v>3</v>
      </c>
      <c r="BB814" s="14" t="s">
        <v>46</v>
      </c>
      <c r="BC814" s="14" t="s">
        <v>46</v>
      </c>
      <c r="BD814" s="15" t="s">
        <v>46</v>
      </c>
      <c r="BE814" s="14" t="s">
        <v>46</v>
      </c>
      <c r="BF81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14" s="17" t="s">
        <v>46</v>
      </c>
      <c r="BH814" s="13" t="s">
        <v>50</v>
      </c>
      <c r="BI814" s="13">
        <v>2.5000000000000001E-2</v>
      </c>
      <c r="BJ814" s="18">
        <f>ABS(_xlfn.NORM.S.INV(Table1347456[[#This Row],[p_value]]/2))</f>
        <v>2.2414027276049446</v>
      </c>
      <c r="BK814" s="19">
        <f>(Table1347456[[#This Row],[lnrr]]/Table1347456[[#This Row],[z_from_p]])^2</f>
        <v>0.36596521426155365</v>
      </c>
      <c r="BL814" s="16">
        <f>Table1347456[[#This Row],[v_from_z_from_p]]</f>
        <v>0.36596521426155365</v>
      </c>
      <c r="BM814" s="20">
        <f>SQRT(Table1347456[[#This Row],[v]])</f>
        <v>0.60495058828102122</v>
      </c>
      <c r="BN814" s="20">
        <f>Table1347456[[#This Row],[lnrr]]-(1.96*Table1347456[[#This Row],[se]])</f>
        <v>-2.5416410516700982</v>
      </c>
      <c r="BO814" s="20">
        <f>Table1347456[[#This Row],[lnrr]]+(1.96 * Table1347456[[#This Row],[se]])</f>
        <v>-0.17023474560849516</v>
      </c>
    </row>
    <row r="815" spans="1:67">
      <c r="A815" s="13" t="s">
        <v>293</v>
      </c>
      <c r="B815" s="13" t="s">
        <v>294</v>
      </c>
      <c r="C815" s="13" t="s">
        <v>43</v>
      </c>
      <c r="D815" s="13" t="s">
        <v>295</v>
      </c>
      <c r="E815" s="13" t="s">
        <v>296</v>
      </c>
      <c r="F815" s="13" t="s">
        <v>586</v>
      </c>
      <c r="G815" s="13" t="s">
        <v>46</v>
      </c>
      <c r="H815" s="13" t="s">
        <v>46</v>
      </c>
      <c r="I815" s="13" t="s">
        <v>46</v>
      </c>
      <c r="K815" s="13" t="s">
        <v>894</v>
      </c>
      <c r="L815" s="13" t="s">
        <v>895</v>
      </c>
      <c r="N815" s="13" t="s">
        <v>622</v>
      </c>
      <c r="O815" s="13" t="s">
        <v>54</v>
      </c>
      <c r="P815" s="13" t="s">
        <v>85</v>
      </c>
      <c r="Q815" s="13" t="s">
        <v>48</v>
      </c>
      <c r="R815" s="4">
        <v>3</v>
      </c>
      <c r="S815" s="13" t="s">
        <v>594</v>
      </c>
      <c r="T815" s="13">
        <v>2160</v>
      </c>
      <c r="U815" s="4" t="s">
        <v>200</v>
      </c>
      <c r="V815" s="4">
        <v>650</v>
      </c>
      <c r="W815" s="4" t="s">
        <v>602</v>
      </c>
      <c r="X815" s="4">
        <v>538.70000000000005</v>
      </c>
      <c r="Y815" s="4">
        <v>10</v>
      </c>
      <c r="AA815" s="4" t="s">
        <v>49</v>
      </c>
      <c r="AB815" s="4">
        <v>0</v>
      </c>
      <c r="AC815" s="4" t="s">
        <v>49</v>
      </c>
      <c r="AD815" s="4">
        <v>0</v>
      </c>
      <c r="AE815" s="4" t="s">
        <v>49</v>
      </c>
      <c r="AF815" s="4">
        <v>0</v>
      </c>
      <c r="AG815" s="4" t="s">
        <v>46</v>
      </c>
      <c r="AH815" s="4" t="s">
        <v>743</v>
      </c>
      <c r="AI815" s="4" t="s">
        <v>297</v>
      </c>
      <c r="AJ815" s="13">
        <v>0</v>
      </c>
      <c r="AK815" s="13">
        <v>25</v>
      </c>
      <c r="AP815" s="13" t="s">
        <v>50</v>
      </c>
      <c r="AQ815" s="13" t="s">
        <v>49</v>
      </c>
      <c r="AR815" s="13" t="s">
        <v>49</v>
      </c>
      <c r="AS815" s="13" t="s">
        <v>49</v>
      </c>
      <c r="AT815" s="13" t="s">
        <v>990</v>
      </c>
      <c r="AU815" s="13" t="s">
        <v>998</v>
      </c>
      <c r="AV815" s="14">
        <f>8.65/1000</f>
        <v>8.6499999999999997E-3</v>
      </c>
      <c r="AW815" s="14">
        <f>10.86/1000</f>
        <v>1.086E-2</v>
      </c>
      <c r="AX815" s="14">
        <f>Table1347456[[#This Row],[treatment_mean]]/Table1347456[[#This Row],[control_mean]]</f>
        <v>0.7965009208103131</v>
      </c>
      <c r="AY815" s="14">
        <f>LN(Table1347456[[#This Row],[rr]])</f>
        <v>-0.2275269935620014</v>
      </c>
      <c r="AZ815" s="13">
        <v>3</v>
      </c>
      <c r="BA815" s="13">
        <v>3</v>
      </c>
      <c r="BB815" s="14" t="s">
        <v>46</v>
      </c>
      <c r="BC815" s="14" t="s">
        <v>46</v>
      </c>
      <c r="BD815" s="15" t="s">
        <v>46</v>
      </c>
      <c r="BE815" s="14" t="s">
        <v>46</v>
      </c>
      <c r="BF81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15" s="17" t="s">
        <v>46</v>
      </c>
      <c r="BH815" s="13" t="s">
        <v>50</v>
      </c>
      <c r="BI815" s="13">
        <v>2.5000000000000001E-2</v>
      </c>
      <c r="BJ815" s="18">
        <f>ABS(_xlfn.NORM.S.INV(Table1347456[[#This Row],[p_value]]/2))</f>
        <v>2.2414027276049446</v>
      </c>
      <c r="BK815" s="19">
        <f>(Table1347456[[#This Row],[lnrr]]/Table1347456[[#This Row],[z_from_p]])^2</f>
        <v>1.0304479613824956E-2</v>
      </c>
      <c r="BL815" s="16">
        <f>Table1347456[[#This Row],[v_from_z_from_p]]</f>
        <v>1.0304479613824956E-2</v>
      </c>
      <c r="BM815" s="20">
        <f>SQRT(Table1347456[[#This Row],[v]])</f>
        <v>0.10151098272514633</v>
      </c>
      <c r="BN815" s="20">
        <f>Table1347456[[#This Row],[lnrr]]-(1.96*Table1347456[[#This Row],[se]])</f>
        <v>-0.42648851970328822</v>
      </c>
      <c r="BO815" s="20">
        <f>Table1347456[[#This Row],[lnrr]]+(1.96 * Table1347456[[#This Row],[se]])</f>
        <v>-2.8565467420714585E-2</v>
      </c>
    </row>
    <row r="816" spans="1:67">
      <c r="A816" s="13" t="s">
        <v>293</v>
      </c>
      <c r="B816" s="13" t="s">
        <v>294</v>
      </c>
      <c r="C816" s="13" t="s">
        <v>43</v>
      </c>
      <c r="D816" s="13" t="s">
        <v>295</v>
      </c>
      <c r="E816" s="13" t="s">
        <v>296</v>
      </c>
      <c r="F816" s="13" t="s">
        <v>586</v>
      </c>
      <c r="G816" s="13" t="s">
        <v>46</v>
      </c>
      <c r="H816" s="13" t="s">
        <v>46</v>
      </c>
      <c r="I816" s="13" t="s">
        <v>46</v>
      </c>
      <c r="K816" s="13" t="s">
        <v>894</v>
      </c>
      <c r="L816" s="13" t="s">
        <v>895</v>
      </c>
      <c r="N816" s="13" t="s">
        <v>622</v>
      </c>
      <c r="O816" s="13" t="s">
        <v>54</v>
      </c>
      <c r="P816" s="13" t="s">
        <v>85</v>
      </c>
      <c r="Q816" s="13" t="s">
        <v>48</v>
      </c>
      <c r="R816" s="4">
        <v>3</v>
      </c>
      <c r="S816" s="13" t="s">
        <v>594</v>
      </c>
      <c r="T816" s="13">
        <v>2160</v>
      </c>
      <c r="U816" s="4" t="s">
        <v>200</v>
      </c>
      <c r="V816" s="4">
        <v>650</v>
      </c>
      <c r="W816" s="4" t="s">
        <v>602</v>
      </c>
      <c r="X816" s="4">
        <v>538.70000000000005</v>
      </c>
      <c r="Y816" s="4">
        <v>20</v>
      </c>
      <c r="AA816" s="4" t="s">
        <v>49</v>
      </c>
      <c r="AB816" s="4">
        <v>0</v>
      </c>
      <c r="AC816" s="4" t="s">
        <v>49</v>
      </c>
      <c r="AD816" s="4">
        <v>0</v>
      </c>
      <c r="AE816" s="4" t="s">
        <v>49</v>
      </c>
      <c r="AF816" s="4">
        <v>0</v>
      </c>
      <c r="AG816" s="4" t="s">
        <v>46</v>
      </c>
      <c r="AH816" s="4" t="s">
        <v>743</v>
      </c>
      <c r="AI816" s="4" t="s">
        <v>297</v>
      </c>
      <c r="AJ816" s="13">
        <v>0</v>
      </c>
      <c r="AK816" s="13">
        <v>25</v>
      </c>
      <c r="AP816" s="13" t="s">
        <v>50</v>
      </c>
      <c r="AQ816" s="13" t="s">
        <v>49</v>
      </c>
      <c r="AR816" s="13" t="s">
        <v>49</v>
      </c>
      <c r="AS816" s="13" t="s">
        <v>49</v>
      </c>
      <c r="AT816" s="13" t="s">
        <v>990</v>
      </c>
      <c r="AU816" s="13" t="s">
        <v>998</v>
      </c>
      <c r="AV816" s="14">
        <f>3.94/1000</f>
        <v>3.9399999999999999E-3</v>
      </c>
      <c r="AW816" s="14">
        <f>10.86/1000</f>
        <v>1.086E-2</v>
      </c>
      <c r="AX816" s="14">
        <f>Table1347456[[#This Row],[treatment_mean]]/Table1347456[[#This Row],[control_mean]]</f>
        <v>0.36279926335174956</v>
      </c>
      <c r="AY816" s="14">
        <f>LN(Table1347456[[#This Row],[rr]])</f>
        <v>-1.0139055911959469</v>
      </c>
      <c r="AZ816" s="13">
        <v>3</v>
      </c>
      <c r="BA816" s="13">
        <v>3</v>
      </c>
      <c r="BB816" s="14" t="s">
        <v>46</v>
      </c>
      <c r="BC816" s="14" t="s">
        <v>46</v>
      </c>
      <c r="BD816" s="15" t="s">
        <v>46</v>
      </c>
      <c r="BE816" s="14" t="s">
        <v>46</v>
      </c>
      <c r="BF81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16" s="17" t="s">
        <v>46</v>
      </c>
      <c r="BH816" s="13" t="s">
        <v>50</v>
      </c>
      <c r="BI816" s="13">
        <v>2.5000000000000001E-2</v>
      </c>
      <c r="BJ816" s="18">
        <f>ABS(_xlfn.NORM.S.INV(Table1347456[[#This Row],[p_value]]/2))</f>
        <v>2.2414027276049446</v>
      </c>
      <c r="BK816" s="19">
        <f>(Table1347456[[#This Row],[lnrr]]/Table1347456[[#This Row],[z_from_p]])^2</f>
        <v>0.2046233751182647</v>
      </c>
      <c r="BL816" s="16">
        <f>Table1347456[[#This Row],[v_from_z_from_p]]</f>
        <v>0.2046233751182647</v>
      </c>
      <c r="BM816" s="20">
        <f>SQRT(Table1347456[[#This Row],[v]])</f>
        <v>0.45235315309862129</v>
      </c>
      <c r="BN816" s="20">
        <f>Table1347456[[#This Row],[lnrr]]-(1.96*Table1347456[[#This Row],[se]])</f>
        <v>-1.9005177712692447</v>
      </c>
      <c r="BO816" s="20">
        <f>Table1347456[[#This Row],[lnrr]]+(1.96 * Table1347456[[#This Row],[se]])</f>
        <v>-0.12729341112264925</v>
      </c>
    </row>
    <row r="817" spans="1:67">
      <c r="A817" s="13" t="s">
        <v>293</v>
      </c>
      <c r="B817" s="13" t="s">
        <v>294</v>
      </c>
      <c r="C817" s="13" t="s">
        <v>43</v>
      </c>
      <c r="D817" s="13" t="s">
        <v>295</v>
      </c>
      <c r="E817" s="13" t="s">
        <v>296</v>
      </c>
      <c r="F817" s="13" t="s">
        <v>586</v>
      </c>
      <c r="G817" s="13" t="s">
        <v>46</v>
      </c>
      <c r="H817" s="13" t="s">
        <v>46</v>
      </c>
      <c r="I817" s="13" t="s">
        <v>46</v>
      </c>
      <c r="K817" s="13" t="s">
        <v>894</v>
      </c>
      <c r="L817" s="13" t="s">
        <v>895</v>
      </c>
      <c r="N817" s="13" t="s">
        <v>622</v>
      </c>
      <c r="O817" s="13" t="s">
        <v>54</v>
      </c>
      <c r="P817" s="13" t="s">
        <v>85</v>
      </c>
      <c r="Q817" s="13" t="s">
        <v>48</v>
      </c>
      <c r="R817" s="4">
        <v>3</v>
      </c>
      <c r="S817" s="13" t="s">
        <v>594</v>
      </c>
      <c r="T817" s="13">
        <v>2160</v>
      </c>
      <c r="U817" s="4" t="s">
        <v>200</v>
      </c>
      <c r="V817" s="4">
        <v>650</v>
      </c>
      <c r="W817" s="4" t="s">
        <v>602</v>
      </c>
      <c r="X817" s="4">
        <v>538.70000000000005</v>
      </c>
      <c r="Y817" s="4">
        <v>30</v>
      </c>
      <c r="AA817" s="4" t="s">
        <v>49</v>
      </c>
      <c r="AB817" s="4">
        <v>0</v>
      </c>
      <c r="AC817" s="4" t="s">
        <v>49</v>
      </c>
      <c r="AD817" s="4">
        <v>0</v>
      </c>
      <c r="AE817" s="4" t="s">
        <v>49</v>
      </c>
      <c r="AF817" s="4">
        <v>0</v>
      </c>
      <c r="AG817" s="4" t="s">
        <v>46</v>
      </c>
      <c r="AH817" s="4" t="s">
        <v>743</v>
      </c>
      <c r="AI817" s="4" t="s">
        <v>297</v>
      </c>
      <c r="AJ817" s="13">
        <v>0</v>
      </c>
      <c r="AK817" s="13">
        <v>25</v>
      </c>
      <c r="AP817" s="13" t="s">
        <v>50</v>
      </c>
      <c r="AQ817" s="13" t="s">
        <v>49</v>
      </c>
      <c r="AR817" s="13" t="s">
        <v>49</v>
      </c>
      <c r="AS817" s="13" t="s">
        <v>49</v>
      </c>
      <c r="AT817" s="13" t="s">
        <v>990</v>
      </c>
      <c r="AU817" s="13" t="s">
        <v>998</v>
      </c>
      <c r="AV817" s="14">
        <f>2.07/1000</f>
        <v>2.0699999999999998E-3</v>
      </c>
      <c r="AW817" s="14">
        <f>10.86/1000</f>
        <v>1.086E-2</v>
      </c>
      <c r="AX817" s="14">
        <f>Table1347456[[#This Row],[treatment_mean]]/Table1347456[[#This Row],[control_mean]]</f>
        <v>0.19060773480662982</v>
      </c>
      <c r="AY817" s="14">
        <f>LN(Table1347456[[#This Row],[rr]])</f>
        <v>-1.6575377072285118</v>
      </c>
      <c r="AZ817" s="13">
        <v>3</v>
      </c>
      <c r="BA817" s="13">
        <v>3</v>
      </c>
      <c r="BB817" s="14" t="s">
        <v>46</v>
      </c>
      <c r="BC817" s="14" t="s">
        <v>46</v>
      </c>
      <c r="BD817" s="15" t="s">
        <v>46</v>
      </c>
      <c r="BE817" s="14" t="s">
        <v>46</v>
      </c>
      <c r="BF81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17" s="17" t="s">
        <v>46</v>
      </c>
      <c r="BH817" s="13" t="s">
        <v>50</v>
      </c>
      <c r="BI817" s="13">
        <v>2.5000000000000001E-2</v>
      </c>
      <c r="BJ817" s="18">
        <f>ABS(_xlfn.NORM.S.INV(Table1347456[[#This Row],[p_value]]/2))</f>
        <v>2.2414027276049446</v>
      </c>
      <c r="BK817" s="19">
        <f>(Table1347456[[#This Row],[lnrr]]/Table1347456[[#This Row],[z_from_p]])^2</f>
        <v>0.54687370462760621</v>
      </c>
      <c r="BL817" s="16">
        <f>Table1347456[[#This Row],[v_from_z_from_p]]</f>
        <v>0.54687370462760621</v>
      </c>
      <c r="BM817" s="20">
        <f>SQRT(Table1347456[[#This Row],[v]])</f>
        <v>0.73950909705534129</v>
      </c>
      <c r="BN817" s="20">
        <f>Table1347456[[#This Row],[lnrr]]-(1.96*Table1347456[[#This Row],[se]])</f>
        <v>-3.1069755374569805</v>
      </c>
      <c r="BO817" s="20">
        <f>Table1347456[[#This Row],[lnrr]]+(1.96 * Table1347456[[#This Row],[se]])</f>
        <v>-0.20809987700004284</v>
      </c>
    </row>
    <row r="818" spans="1:67">
      <c r="A818" s="13" t="s">
        <v>293</v>
      </c>
      <c r="B818" s="13" t="s">
        <v>294</v>
      </c>
      <c r="C818" s="13" t="s">
        <v>43</v>
      </c>
      <c r="D818" s="13" t="s">
        <v>295</v>
      </c>
      <c r="E818" s="13" t="s">
        <v>296</v>
      </c>
      <c r="F818" s="13" t="s">
        <v>586</v>
      </c>
      <c r="G818" s="13" t="s">
        <v>46</v>
      </c>
      <c r="H818" s="13" t="s">
        <v>46</v>
      </c>
      <c r="I818" s="13" t="s">
        <v>46</v>
      </c>
      <c r="K818" s="13" t="s">
        <v>894</v>
      </c>
      <c r="L818" s="13" t="s">
        <v>895</v>
      </c>
      <c r="N818" s="13" t="s">
        <v>53</v>
      </c>
      <c r="O818" s="13" t="s">
        <v>54</v>
      </c>
      <c r="P818" s="13" t="s">
        <v>85</v>
      </c>
      <c r="Q818" s="13" t="s">
        <v>48</v>
      </c>
      <c r="R818" s="4">
        <v>3</v>
      </c>
      <c r="S818" s="13" t="s">
        <v>594</v>
      </c>
      <c r="T818" s="13">
        <v>1440</v>
      </c>
      <c r="U818" s="4" t="s">
        <v>200</v>
      </c>
      <c r="V818" s="4">
        <v>650</v>
      </c>
      <c r="W818" s="4" t="s">
        <v>602</v>
      </c>
      <c r="X818" s="4">
        <v>538.70000000000005</v>
      </c>
      <c r="Y818" s="4">
        <v>10</v>
      </c>
      <c r="AA818" s="4" t="s">
        <v>49</v>
      </c>
      <c r="AB818" s="4">
        <v>0</v>
      </c>
      <c r="AC818" s="4" t="s">
        <v>49</v>
      </c>
      <c r="AD818" s="4">
        <v>0</v>
      </c>
      <c r="AE818" s="4" t="s">
        <v>49</v>
      </c>
      <c r="AF818" s="4">
        <v>0</v>
      </c>
      <c r="AG818" s="4" t="s">
        <v>46</v>
      </c>
      <c r="AH818" s="4" t="s">
        <v>743</v>
      </c>
      <c r="AI818" s="4" t="s">
        <v>297</v>
      </c>
      <c r="AJ818" s="13">
        <v>0</v>
      </c>
      <c r="AK818" s="13">
        <v>25</v>
      </c>
      <c r="AP818" s="13" t="s">
        <v>50</v>
      </c>
      <c r="AQ818" s="13" t="s">
        <v>49</v>
      </c>
      <c r="AR818" s="13" t="s">
        <v>49</v>
      </c>
      <c r="AS818" s="13" t="s">
        <v>49</v>
      </c>
      <c r="AT818" s="13" t="s">
        <v>990</v>
      </c>
      <c r="AU818" s="13" t="s">
        <v>998</v>
      </c>
      <c r="AV818" s="14">
        <f>69.24/1000</f>
        <v>6.9239999999999996E-2</v>
      </c>
      <c r="AW818" s="14">
        <f>57.53/1000</f>
        <v>5.7529999999999998E-2</v>
      </c>
      <c r="AX818" s="14">
        <f>Table1347456[[#This Row],[treatment_mean]]/Table1347456[[#This Row],[control_mean]]</f>
        <v>1.2035459760125151</v>
      </c>
      <c r="AY818" s="14">
        <f>LN(Table1347456[[#This Row],[rr]])</f>
        <v>0.18527217943280636</v>
      </c>
      <c r="AZ818" s="13">
        <v>3</v>
      </c>
      <c r="BA818" s="13">
        <v>3</v>
      </c>
      <c r="BB818" s="14" t="s">
        <v>46</v>
      </c>
      <c r="BC818" s="14" t="s">
        <v>46</v>
      </c>
      <c r="BD818" s="15" t="s">
        <v>46</v>
      </c>
      <c r="BE818" s="14" t="s">
        <v>46</v>
      </c>
      <c r="BF81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18" s="17" t="s">
        <v>46</v>
      </c>
      <c r="BH818" s="13" t="s">
        <v>50</v>
      </c>
      <c r="BI818" s="13">
        <v>2.5000000000000001E-2</v>
      </c>
      <c r="BJ818" s="18">
        <f>ABS(_xlfn.NORM.S.INV(Table1347456[[#This Row],[p_value]]/2))</f>
        <v>2.2414027276049446</v>
      </c>
      <c r="BK818" s="19">
        <f>(Table1347456[[#This Row],[lnrr]]/Table1347456[[#This Row],[z_from_p]])^2</f>
        <v>6.8325155451278395E-3</v>
      </c>
      <c r="BL818" s="16">
        <f>Table1347456[[#This Row],[v_from_z_from_p]]</f>
        <v>6.8325155451278395E-3</v>
      </c>
      <c r="BM818" s="20">
        <f>SQRT(Table1347456[[#This Row],[v]])</f>
        <v>8.2659031842429898E-2</v>
      </c>
      <c r="BN818" s="20">
        <f>Table1347456[[#This Row],[lnrr]]-(1.96*Table1347456[[#This Row],[se]])</f>
        <v>2.3260477021643772E-2</v>
      </c>
      <c r="BO818" s="20">
        <f>Table1347456[[#This Row],[lnrr]]+(1.96 * Table1347456[[#This Row],[se]])</f>
        <v>0.34728388184396897</v>
      </c>
    </row>
    <row r="819" spans="1:67">
      <c r="A819" s="13" t="s">
        <v>293</v>
      </c>
      <c r="B819" s="13" t="s">
        <v>294</v>
      </c>
      <c r="C819" s="13" t="s">
        <v>43</v>
      </c>
      <c r="D819" s="13" t="s">
        <v>295</v>
      </c>
      <c r="E819" s="13" t="s">
        <v>296</v>
      </c>
      <c r="F819" s="13" t="s">
        <v>586</v>
      </c>
      <c r="G819" s="13" t="s">
        <v>46</v>
      </c>
      <c r="H819" s="13" t="s">
        <v>46</v>
      </c>
      <c r="I819" s="13" t="s">
        <v>46</v>
      </c>
      <c r="K819" s="13" t="s">
        <v>894</v>
      </c>
      <c r="L819" s="13" t="s">
        <v>895</v>
      </c>
      <c r="N819" s="13" t="s">
        <v>53</v>
      </c>
      <c r="O819" s="13" t="s">
        <v>54</v>
      </c>
      <c r="P819" s="13" t="s">
        <v>85</v>
      </c>
      <c r="Q819" s="13" t="s">
        <v>48</v>
      </c>
      <c r="R819" s="4">
        <v>3</v>
      </c>
      <c r="S819" s="13" t="s">
        <v>594</v>
      </c>
      <c r="T819" s="13">
        <v>1440</v>
      </c>
      <c r="U819" s="4" t="s">
        <v>200</v>
      </c>
      <c r="V819" s="4">
        <v>650</v>
      </c>
      <c r="W819" s="4" t="s">
        <v>602</v>
      </c>
      <c r="X819" s="4">
        <v>538.70000000000005</v>
      </c>
      <c r="Y819" s="4">
        <v>20</v>
      </c>
      <c r="AA819" s="4" t="s">
        <v>49</v>
      </c>
      <c r="AB819" s="4">
        <v>0</v>
      </c>
      <c r="AC819" s="4" t="s">
        <v>49</v>
      </c>
      <c r="AD819" s="4">
        <v>0</v>
      </c>
      <c r="AE819" s="4" t="s">
        <v>49</v>
      </c>
      <c r="AF819" s="4">
        <v>0</v>
      </c>
      <c r="AG819" s="4" t="s">
        <v>46</v>
      </c>
      <c r="AH819" s="4" t="s">
        <v>743</v>
      </c>
      <c r="AI819" s="4" t="s">
        <v>297</v>
      </c>
      <c r="AJ819" s="13">
        <v>0</v>
      </c>
      <c r="AK819" s="13">
        <v>25</v>
      </c>
      <c r="AP819" s="13" t="s">
        <v>50</v>
      </c>
      <c r="AQ819" s="13" t="s">
        <v>49</v>
      </c>
      <c r="AR819" s="13" t="s">
        <v>49</v>
      </c>
      <c r="AS819" s="13" t="s">
        <v>49</v>
      </c>
      <c r="AT819" s="13" t="s">
        <v>990</v>
      </c>
      <c r="AU819" s="13" t="s">
        <v>998</v>
      </c>
      <c r="AV819" s="14">
        <f>80.81/1000</f>
        <v>8.0810000000000007E-2</v>
      </c>
      <c r="AW819" s="14">
        <f>57.53/1000</f>
        <v>5.7529999999999998E-2</v>
      </c>
      <c r="AX819" s="14">
        <f>Table1347456[[#This Row],[treatment_mean]]/Table1347456[[#This Row],[control_mean]]</f>
        <v>1.4046584390752652</v>
      </c>
      <c r="AY819" s="14">
        <f>LN(Table1347456[[#This Row],[rr]])</f>
        <v>0.33979416937015428</v>
      </c>
      <c r="AZ819" s="13">
        <v>3</v>
      </c>
      <c r="BA819" s="13">
        <v>3</v>
      </c>
      <c r="BB819" s="14" t="s">
        <v>46</v>
      </c>
      <c r="BC819" s="14" t="s">
        <v>46</v>
      </c>
      <c r="BD819" s="15" t="s">
        <v>46</v>
      </c>
      <c r="BE819" s="14" t="s">
        <v>46</v>
      </c>
      <c r="BF81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19" s="17" t="s">
        <v>46</v>
      </c>
      <c r="BH819" s="13" t="s">
        <v>50</v>
      </c>
      <c r="BI819" s="13">
        <v>2.5000000000000001E-2</v>
      </c>
      <c r="BJ819" s="18">
        <f>ABS(_xlfn.NORM.S.INV(Table1347456[[#This Row],[p_value]]/2))</f>
        <v>2.2414027276049446</v>
      </c>
      <c r="BK819" s="19">
        <f>(Table1347456[[#This Row],[lnrr]]/Table1347456[[#This Row],[z_from_p]])^2</f>
        <v>2.2982223966276388E-2</v>
      </c>
      <c r="BL819" s="16">
        <f>Table1347456[[#This Row],[v_from_z_from_p]]</f>
        <v>2.2982223966276388E-2</v>
      </c>
      <c r="BM819" s="20">
        <f>SQRT(Table1347456[[#This Row],[v]])</f>
        <v>0.15159889170530366</v>
      </c>
      <c r="BN819" s="20">
        <f>Table1347456[[#This Row],[lnrr]]-(1.96*Table1347456[[#This Row],[se]])</f>
        <v>4.2660341627759113E-2</v>
      </c>
      <c r="BO819" s="20">
        <f>Table1347456[[#This Row],[lnrr]]+(1.96 * Table1347456[[#This Row],[se]])</f>
        <v>0.63692799711254944</v>
      </c>
    </row>
    <row r="820" spans="1:67">
      <c r="A820" s="13" t="s">
        <v>293</v>
      </c>
      <c r="B820" s="13" t="s">
        <v>294</v>
      </c>
      <c r="C820" s="13" t="s">
        <v>43</v>
      </c>
      <c r="D820" s="13" t="s">
        <v>295</v>
      </c>
      <c r="E820" s="13" t="s">
        <v>296</v>
      </c>
      <c r="F820" s="13" t="s">
        <v>586</v>
      </c>
      <c r="G820" s="13" t="s">
        <v>46</v>
      </c>
      <c r="H820" s="13" t="s">
        <v>46</v>
      </c>
      <c r="I820" s="13" t="s">
        <v>46</v>
      </c>
      <c r="K820" s="13" t="s">
        <v>894</v>
      </c>
      <c r="L820" s="13" t="s">
        <v>895</v>
      </c>
      <c r="N820" s="13" t="s">
        <v>53</v>
      </c>
      <c r="O820" s="13" t="s">
        <v>54</v>
      </c>
      <c r="P820" s="13" t="s">
        <v>85</v>
      </c>
      <c r="Q820" s="13" t="s">
        <v>48</v>
      </c>
      <c r="R820" s="4">
        <v>3</v>
      </c>
      <c r="S820" s="13" t="s">
        <v>594</v>
      </c>
      <c r="T820" s="13">
        <v>1440</v>
      </c>
      <c r="U820" s="4" t="s">
        <v>200</v>
      </c>
      <c r="V820" s="4">
        <v>650</v>
      </c>
      <c r="W820" s="4" t="s">
        <v>602</v>
      </c>
      <c r="X820" s="4">
        <v>538.70000000000005</v>
      </c>
      <c r="Y820" s="4">
        <v>30</v>
      </c>
      <c r="AA820" s="4" t="s">
        <v>49</v>
      </c>
      <c r="AB820" s="4">
        <v>0</v>
      </c>
      <c r="AC820" s="4" t="s">
        <v>49</v>
      </c>
      <c r="AD820" s="4">
        <v>0</v>
      </c>
      <c r="AE820" s="4" t="s">
        <v>49</v>
      </c>
      <c r="AF820" s="4">
        <v>0</v>
      </c>
      <c r="AG820" s="4" t="s">
        <v>46</v>
      </c>
      <c r="AH820" s="4" t="s">
        <v>743</v>
      </c>
      <c r="AI820" s="4" t="s">
        <v>297</v>
      </c>
      <c r="AJ820" s="13">
        <v>0</v>
      </c>
      <c r="AK820" s="13">
        <v>25</v>
      </c>
      <c r="AP820" s="13" t="s">
        <v>50</v>
      </c>
      <c r="AQ820" s="13" t="s">
        <v>49</v>
      </c>
      <c r="AR820" s="13" t="s">
        <v>49</v>
      </c>
      <c r="AS820" s="13" t="s">
        <v>49</v>
      </c>
      <c r="AT820" s="13" t="s">
        <v>990</v>
      </c>
      <c r="AU820" s="13" t="s">
        <v>998</v>
      </c>
      <c r="AV820" s="14">
        <f>77.62/1000</f>
        <v>7.7620000000000008E-2</v>
      </c>
      <c r="AW820" s="14">
        <f>57.53/1000</f>
        <v>5.7529999999999998E-2</v>
      </c>
      <c r="AX820" s="14">
        <f>Table1347456[[#This Row],[treatment_mean]]/Table1347456[[#This Row],[control_mean]]</f>
        <v>1.3492091082913265</v>
      </c>
      <c r="AY820" s="14">
        <f>LN(Table1347456[[#This Row],[rr]])</f>
        <v>0.29951857506555829</v>
      </c>
      <c r="AZ820" s="13">
        <v>3</v>
      </c>
      <c r="BA820" s="13">
        <v>3</v>
      </c>
      <c r="BB820" s="14" t="s">
        <v>46</v>
      </c>
      <c r="BC820" s="14" t="s">
        <v>46</v>
      </c>
      <c r="BD820" s="15" t="s">
        <v>46</v>
      </c>
      <c r="BE820" s="14" t="s">
        <v>46</v>
      </c>
      <c r="BF82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20" s="17" t="s">
        <v>46</v>
      </c>
      <c r="BH820" s="13" t="s">
        <v>50</v>
      </c>
      <c r="BI820" s="13">
        <v>2.5000000000000001E-2</v>
      </c>
      <c r="BJ820" s="18">
        <f>ABS(_xlfn.NORM.S.INV(Table1347456[[#This Row],[p_value]]/2))</f>
        <v>2.2414027276049446</v>
      </c>
      <c r="BK820" s="19">
        <f>(Table1347456[[#This Row],[lnrr]]/Table1347456[[#This Row],[z_from_p]])^2</f>
        <v>1.7856968383523526E-2</v>
      </c>
      <c r="BL820" s="16">
        <f>Table1347456[[#This Row],[v_from_z_from_p]]</f>
        <v>1.7856968383523526E-2</v>
      </c>
      <c r="BM820" s="20">
        <f>SQRT(Table1347456[[#This Row],[v]])</f>
        <v>0.13362996813411102</v>
      </c>
      <c r="BN820" s="20">
        <f>Table1347456[[#This Row],[lnrr]]-(1.96*Table1347456[[#This Row],[se]])</f>
        <v>3.7603837522700689E-2</v>
      </c>
      <c r="BO820" s="20">
        <f>Table1347456[[#This Row],[lnrr]]+(1.96 * Table1347456[[#This Row],[se]])</f>
        <v>0.56143331260841589</v>
      </c>
    </row>
    <row r="821" spans="1:67">
      <c r="A821" s="13" t="s">
        <v>293</v>
      </c>
      <c r="B821" s="13" t="s">
        <v>294</v>
      </c>
      <c r="C821" s="13" t="s">
        <v>43</v>
      </c>
      <c r="D821" s="13" t="s">
        <v>295</v>
      </c>
      <c r="E821" s="13" t="s">
        <v>296</v>
      </c>
      <c r="F821" s="13" t="s">
        <v>586</v>
      </c>
      <c r="G821" s="13" t="s">
        <v>46</v>
      </c>
      <c r="H821" s="13" t="s">
        <v>46</v>
      </c>
      <c r="I821" s="13" t="s">
        <v>46</v>
      </c>
      <c r="K821" s="13" t="s">
        <v>894</v>
      </c>
      <c r="L821" s="13" t="s">
        <v>895</v>
      </c>
      <c r="N821" s="13" t="s">
        <v>53</v>
      </c>
      <c r="O821" s="13" t="s">
        <v>54</v>
      </c>
      <c r="P821" s="13" t="s">
        <v>85</v>
      </c>
      <c r="Q821" s="13" t="s">
        <v>48</v>
      </c>
      <c r="R821" s="4">
        <v>3</v>
      </c>
      <c r="S821" s="13" t="s">
        <v>594</v>
      </c>
      <c r="T821" s="13">
        <v>1800</v>
      </c>
      <c r="U821" s="4" t="s">
        <v>200</v>
      </c>
      <c r="V821" s="4">
        <v>650</v>
      </c>
      <c r="W821" s="4" t="s">
        <v>602</v>
      </c>
      <c r="X821" s="4">
        <v>538.70000000000005</v>
      </c>
      <c r="Y821" s="4">
        <v>10</v>
      </c>
      <c r="AA821" s="4" t="s">
        <v>49</v>
      </c>
      <c r="AB821" s="4">
        <v>0</v>
      </c>
      <c r="AC821" s="4" t="s">
        <v>49</v>
      </c>
      <c r="AD821" s="4">
        <v>0</v>
      </c>
      <c r="AE821" s="4" t="s">
        <v>49</v>
      </c>
      <c r="AF821" s="4">
        <v>0</v>
      </c>
      <c r="AG821" s="4" t="s">
        <v>46</v>
      </c>
      <c r="AH821" s="4" t="s">
        <v>743</v>
      </c>
      <c r="AI821" s="4" t="s">
        <v>297</v>
      </c>
      <c r="AJ821" s="13">
        <v>0</v>
      </c>
      <c r="AK821" s="13">
        <v>25</v>
      </c>
      <c r="AP821" s="13" t="s">
        <v>50</v>
      </c>
      <c r="AQ821" s="13" t="s">
        <v>49</v>
      </c>
      <c r="AR821" s="13" t="s">
        <v>49</v>
      </c>
      <c r="AS821" s="13" t="s">
        <v>49</v>
      </c>
      <c r="AT821" s="13" t="s">
        <v>990</v>
      </c>
      <c r="AU821" s="13" t="s">
        <v>998</v>
      </c>
      <c r="AV821" s="14">
        <f>90.44/1000</f>
        <v>9.0439999999999993E-2</v>
      </c>
      <c r="AW821" s="14">
        <f>74.81/1000</f>
        <v>7.4810000000000001E-2</v>
      </c>
      <c r="AX821" s="14">
        <f>Table1347456[[#This Row],[treatment_mean]]/Table1347456[[#This Row],[control_mean]]</f>
        <v>1.2089292875284052</v>
      </c>
      <c r="AY821" s="14">
        <f>LN(Table1347456[[#This Row],[rr]])</f>
        <v>0.18973508152545548</v>
      </c>
      <c r="AZ821" s="13">
        <v>3</v>
      </c>
      <c r="BA821" s="13">
        <v>3</v>
      </c>
      <c r="BB821" s="14" t="s">
        <v>46</v>
      </c>
      <c r="BC821" s="14" t="s">
        <v>46</v>
      </c>
      <c r="BD821" s="15" t="s">
        <v>46</v>
      </c>
      <c r="BE821" s="14" t="s">
        <v>46</v>
      </c>
      <c r="BF82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21" s="17" t="s">
        <v>46</v>
      </c>
      <c r="BH821" s="13" t="s">
        <v>50</v>
      </c>
      <c r="BI821" s="13">
        <v>2.5000000000000001E-2</v>
      </c>
      <c r="BJ821" s="18">
        <f>ABS(_xlfn.NORM.S.INV(Table1347456[[#This Row],[p_value]]/2))</f>
        <v>2.2414027276049446</v>
      </c>
      <c r="BK821" s="19">
        <f>(Table1347456[[#This Row],[lnrr]]/Table1347456[[#This Row],[z_from_p]])^2</f>
        <v>7.1656482291275435E-3</v>
      </c>
      <c r="BL821" s="16">
        <f>Table1347456[[#This Row],[v_from_z_from_p]]</f>
        <v>7.1656482291275435E-3</v>
      </c>
      <c r="BM821" s="20">
        <f>SQRT(Table1347456[[#This Row],[v]])</f>
        <v>8.4650151973446233E-2</v>
      </c>
      <c r="BN821" s="20">
        <f>Table1347456[[#This Row],[lnrr]]-(1.96*Table1347456[[#This Row],[se]])</f>
        <v>2.3820783657500871E-2</v>
      </c>
      <c r="BO821" s="20">
        <f>Table1347456[[#This Row],[lnrr]]+(1.96 * Table1347456[[#This Row],[se]])</f>
        <v>0.35564937939341013</v>
      </c>
    </row>
    <row r="822" spans="1:67">
      <c r="A822" s="13" t="s">
        <v>293</v>
      </c>
      <c r="B822" s="13" t="s">
        <v>294</v>
      </c>
      <c r="C822" s="13" t="s">
        <v>43</v>
      </c>
      <c r="D822" s="13" t="s">
        <v>295</v>
      </c>
      <c r="E822" s="13" t="s">
        <v>296</v>
      </c>
      <c r="F822" s="13" t="s">
        <v>586</v>
      </c>
      <c r="G822" s="13" t="s">
        <v>46</v>
      </c>
      <c r="H822" s="13" t="s">
        <v>46</v>
      </c>
      <c r="I822" s="13" t="s">
        <v>46</v>
      </c>
      <c r="K822" s="13" t="s">
        <v>894</v>
      </c>
      <c r="L822" s="13" t="s">
        <v>895</v>
      </c>
      <c r="N822" s="13" t="s">
        <v>53</v>
      </c>
      <c r="O822" s="13" t="s">
        <v>54</v>
      </c>
      <c r="P822" s="13" t="s">
        <v>85</v>
      </c>
      <c r="Q822" s="13" t="s">
        <v>48</v>
      </c>
      <c r="R822" s="4">
        <v>3</v>
      </c>
      <c r="S822" s="13" t="s">
        <v>594</v>
      </c>
      <c r="T822" s="13">
        <v>1800</v>
      </c>
      <c r="U822" s="4" t="s">
        <v>200</v>
      </c>
      <c r="V822" s="4">
        <v>650</v>
      </c>
      <c r="W822" s="4" t="s">
        <v>602</v>
      </c>
      <c r="X822" s="4">
        <v>538.70000000000005</v>
      </c>
      <c r="Y822" s="4">
        <v>20</v>
      </c>
      <c r="AA822" s="4" t="s">
        <v>49</v>
      </c>
      <c r="AB822" s="4">
        <v>0</v>
      </c>
      <c r="AC822" s="4" t="s">
        <v>49</v>
      </c>
      <c r="AD822" s="4">
        <v>0</v>
      </c>
      <c r="AE822" s="4" t="s">
        <v>49</v>
      </c>
      <c r="AF822" s="4">
        <v>0</v>
      </c>
      <c r="AG822" s="4" t="s">
        <v>46</v>
      </c>
      <c r="AH822" s="4" t="s">
        <v>743</v>
      </c>
      <c r="AI822" s="4" t="s">
        <v>297</v>
      </c>
      <c r="AJ822" s="13">
        <v>0</v>
      </c>
      <c r="AK822" s="13">
        <v>25</v>
      </c>
      <c r="AP822" s="13" t="s">
        <v>50</v>
      </c>
      <c r="AQ822" s="13" t="s">
        <v>49</v>
      </c>
      <c r="AR822" s="13" t="s">
        <v>49</v>
      </c>
      <c r="AS822" s="13" t="s">
        <v>49</v>
      </c>
      <c r="AT822" s="13" t="s">
        <v>990</v>
      </c>
      <c r="AU822" s="13" t="s">
        <v>998</v>
      </c>
      <c r="AV822" s="14">
        <f>101.32/1000</f>
        <v>0.10131999999999999</v>
      </c>
      <c r="AW822" s="14">
        <f>74.81/1000</f>
        <v>7.4810000000000001E-2</v>
      </c>
      <c r="AX822" s="14">
        <f>Table1347456[[#This Row],[treatment_mean]]/Table1347456[[#This Row],[control_mean]]</f>
        <v>1.3543643897874615</v>
      </c>
      <c r="AY822" s="14">
        <f>LN(Table1347456[[#This Row],[rr]])</f>
        <v>0.30333225924916091</v>
      </c>
      <c r="AZ822" s="13">
        <v>3</v>
      </c>
      <c r="BA822" s="13">
        <v>3</v>
      </c>
      <c r="BB822" s="14" t="s">
        <v>46</v>
      </c>
      <c r="BC822" s="14" t="s">
        <v>46</v>
      </c>
      <c r="BD822" s="15" t="s">
        <v>46</v>
      </c>
      <c r="BE822" s="14" t="s">
        <v>46</v>
      </c>
      <c r="BF82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22" s="17" t="s">
        <v>46</v>
      </c>
      <c r="BH822" s="13" t="s">
        <v>50</v>
      </c>
      <c r="BI822" s="13">
        <v>2.5000000000000001E-2</v>
      </c>
      <c r="BJ822" s="18">
        <f>ABS(_xlfn.NORM.S.INV(Table1347456[[#This Row],[p_value]]/2))</f>
        <v>2.2414027276049446</v>
      </c>
      <c r="BK822" s="19">
        <f>(Table1347456[[#This Row],[lnrr]]/Table1347456[[#This Row],[z_from_p]])^2</f>
        <v>1.8314598713148191E-2</v>
      </c>
      <c r="BL822" s="16">
        <f>Table1347456[[#This Row],[v_from_z_from_p]]</f>
        <v>1.8314598713148191E-2</v>
      </c>
      <c r="BM822" s="20">
        <f>SQRT(Table1347456[[#This Row],[v]])</f>
        <v>0.13533144022417035</v>
      </c>
      <c r="BN822" s="20">
        <f>Table1347456[[#This Row],[lnrr]]-(1.96*Table1347456[[#This Row],[se]])</f>
        <v>3.8082636409787041E-2</v>
      </c>
      <c r="BO822" s="20">
        <f>Table1347456[[#This Row],[lnrr]]+(1.96 * Table1347456[[#This Row],[se]])</f>
        <v>0.56858188208853477</v>
      </c>
    </row>
    <row r="823" spans="1:67">
      <c r="A823" s="13" t="s">
        <v>293</v>
      </c>
      <c r="B823" s="13" t="s">
        <v>294</v>
      </c>
      <c r="C823" s="13" t="s">
        <v>43</v>
      </c>
      <c r="D823" s="13" t="s">
        <v>295</v>
      </c>
      <c r="E823" s="13" t="s">
        <v>296</v>
      </c>
      <c r="F823" s="13" t="s">
        <v>586</v>
      </c>
      <c r="G823" s="13" t="s">
        <v>46</v>
      </c>
      <c r="H823" s="13" t="s">
        <v>46</v>
      </c>
      <c r="I823" s="13" t="s">
        <v>46</v>
      </c>
      <c r="K823" s="13" t="s">
        <v>894</v>
      </c>
      <c r="L823" s="13" t="s">
        <v>895</v>
      </c>
      <c r="N823" s="13" t="s">
        <v>53</v>
      </c>
      <c r="O823" s="13" t="s">
        <v>54</v>
      </c>
      <c r="P823" s="13" t="s">
        <v>85</v>
      </c>
      <c r="Q823" s="13" t="s">
        <v>48</v>
      </c>
      <c r="R823" s="4">
        <v>3</v>
      </c>
      <c r="S823" s="13" t="s">
        <v>594</v>
      </c>
      <c r="T823" s="13">
        <v>1800</v>
      </c>
      <c r="U823" s="4" t="s">
        <v>200</v>
      </c>
      <c r="V823" s="4">
        <v>650</v>
      </c>
      <c r="W823" s="4" t="s">
        <v>602</v>
      </c>
      <c r="X823" s="4">
        <v>538.70000000000005</v>
      </c>
      <c r="Y823" s="4">
        <v>30</v>
      </c>
      <c r="AA823" s="4" t="s">
        <v>49</v>
      </c>
      <c r="AB823" s="4">
        <v>0</v>
      </c>
      <c r="AC823" s="4" t="s">
        <v>49</v>
      </c>
      <c r="AD823" s="4">
        <v>0</v>
      </c>
      <c r="AE823" s="4" t="s">
        <v>49</v>
      </c>
      <c r="AF823" s="4">
        <v>0</v>
      </c>
      <c r="AG823" s="4" t="s">
        <v>46</v>
      </c>
      <c r="AH823" s="4" t="s">
        <v>743</v>
      </c>
      <c r="AI823" s="4" t="s">
        <v>297</v>
      </c>
      <c r="AJ823" s="13">
        <v>0</v>
      </c>
      <c r="AK823" s="13">
        <v>25</v>
      </c>
      <c r="AP823" s="13" t="s">
        <v>50</v>
      </c>
      <c r="AQ823" s="13" t="s">
        <v>49</v>
      </c>
      <c r="AR823" s="13" t="s">
        <v>49</v>
      </c>
      <c r="AS823" s="13" t="s">
        <v>49</v>
      </c>
      <c r="AT823" s="13" t="s">
        <v>990</v>
      </c>
      <c r="AU823" s="13" t="s">
        <v>998</v>
      </c>
      <c r="AV823" s="14">
        <f>92.85/1000</f>
        <v>9.2849999999999988E-2</v>
      </c>
      <c r="AW823" s="14">
        <f>74.81/1000</f>
        <v>7.4810000000000001E-2</v>
      </c>
      <c r="AX823" s="14">
        <f>Table1347456[[#This Row],[treatment_mean]]/Table1347456[[#This Row],[control_mean]]</f>
        <v>1.2411442320545381</v>
      </c>
      <c r="AY823" s="14">
        <f>LN(Table1347456[[#This Row],[rr]])</f>
        <v>0.21603372191440118</v>
      </c>
      <c r="AZ823" s="13">
        <v>3</v>
      </c>
      <c r="BA823" s="13">
        <v>3</v>
      </c>
      <c r="BB823" s="14" t="s">
        <v>46</v>
      </c>
      <c r="BC823" s="14" t="s">
        <v>46</v>
      </c>
      <c r="BD823" s="15" t="s">
        <v>46</v>
      </c>
      <c r="BE823" s="14" t="s">
        <v>46</v>
      </c>
      <c r="BF82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23" s="17" t="s">
        <v>46</v>
      </c>
      <c r="BH823" s="13" t="s">
        <v>50</v>
      </c>
      <c r="BI823" s="13">
        <v>2.5000000000000001E-2</v>
      </c>
      <c r="BJ823" s="18">
        <f>ABS(_xlfn.NORM.S.INV(Table1347456[[#This Row],[p_value]]/2))</f>
        <v>2.2414027276049446</v>
      </c>
      <c r="BK823" s="19">
        <f>(Table1347456[[#This Row],[lnrr]]/Table1347456[[#This Row],[z_from_p]])^2</f>
        <v>9.2897345330055781E-3</v>
      </c>
      <c r="BL823" s="16">
        <f>Table1347456[[#This Row],[v_from_z_from_p]]</f>
        <v>9.2897345330055781E-3</v>
      </c>
      <c r="BM823" s="20">
        <f>SQRT(Table1347456[[#This Row],[v]])</f>
        <v>9.63832689474972E-2</v>
      </c>
      <c r="BN823" s="20">
        <f>Table1347456[[#This Row],[lnrr]]-(1.96*Table1347456[[#This Row],[se]])</f>
        <v>2.7122514777306678E-2</v>
      </c>
      <c r="BO823" s="20">
        <f>Table1347456[[#This Row],[lnrr]]+(1.96 * Table1347456[[#This Row],[se]])</f>
        <v>0.40494492905149571</v>
      </c>
    </row>
    <row r="824" spans="1:67">
      <c r="A824" s="13" t="s">
        <v>293</v>
      </c>
      <c r="B824" s="13" t="s">
        <v>294</v>
      </c>
      <c r="C824" s="13" t="s">
        <v>43</v>
      </c>
      <c r="D824" s="13" t="s">
        <v>295</v>
      </c>
      <c r="E824" s="13" t="s">
        <v>296</v>
      </c>
      <c r="F824" s="13" t="s">
        <v>586</v>
      </c>
      <c r="G824" s="13" t="s">
        <v>46</v>
      </c>
      <c r="H824" s="13" t="s">
        <v>46</v>
      </c>
      <c r="I824" s="13" t="s">
        <v>46</v>
      </c>
      <c r="K824" s="13" t="s">
        <v>894</v>
      </c>
      <c r="L824" s="13" t="s">
        <v>895</v>
      </c>
      <c r="N824" s="13" t="s">
        <v>53</v>
      </c>
      <c r="O824" s="13" t="s">
        <v>54</v>
      </c>
      <c r="P824" s="13" t="s">
        <v>85</v>
      </c>
      <c r="Q824" s="13" t="s">
        <v>48</v>
      </c>
      <c r="R824" s="4">
        <v>3</v>
      </c>
      <c r="S824" s="13" t="s">
        <v>594</v>
      </c>
      <c r="T824" s="13">
        <v>2160</v>
      </c>
      <c r="U824" s="4" t="s">
        <v>200</v>
      </c>
      <c r="V824" s="4">
        <v>650</v>
      </c>
      <c r="W824" s="4" t="s">
        <v>602</v>
      </c>
      <c r="X824" s="4">
        <v>538.70000000000005</v>
      </c>
      <c r="Y824" s="4">
        <v>10</v>
      </c>
      <c r="AA824" s="4" t="s">
        <v>49</v>
      </c>
      <c r="AB824" s="4">
        <v>0</v>
      </c>
      <c r="AC824" s="4" t="s">
        <v>49</v>
      </c>
      <c r="AD824" s="4">
        <v>0</v>
      </c>
      <c r="AE824" s="4" t="s">
        <v>49</v>
      </c>
      <c r="AF824" s="4">
        <v>0</v>
      </c>
      <c r="AG824" s="4" t="s">
        <v>46</v>
      </c>
      <c r="AH824" s="4" t="s">
        <v>743</v>
      </c>
      <c r="AI824" s="4" t="s">
        <v>297</v>
      </c>
      <c r="AJ824" s="13">
        <v>0</v>
      </c>
      <c r="AK824" s="13">
        <v>25</v>
      </c>
      <c r="AP824" s="13" t="s">
        <v>50</v>
      </c>
      <c r="AQ824" s="13" t="s">
        <v>49</v>
      </c>
      <c r="AR824" s="13" t="s">
        <v>49</v>
      </c>
      <c r="AS824" s="13" t="s">
        <v>49</v>
      </c>
      <c r="AT824" s="13" t="s">
        <v>990</v>
      </c>
      <c r="AU824" s="13" t="s">
        <v>998</v>
      </c>
      <c r="AV824" s="14">
        <f>131.31/1000</f>
        <v>0.13131000000000001</v>
      </c>
      <c r="AW824" s="14">
        <f>121.29/1000</f>
        <v>0.12129000000000001</v>
      </c>
      <c r="AX824" s="14">
        <f>Table1347456[[#This Row],[treatment_mean]]/Table1347456[[#This Row],[control_mean]]</f>
        <v>1.0826119218402177</v>
      </c>
      <c r="AY824" s="14">
        <f>LN(Table1347456[[#This Row],[rr]])</f>
        <v>7.937656755012451E-2</v>
      </c>
      <c r="AZ824" s="13">
        <v>3</v>
      </c>
      <c r="BA824" s="13">
        <v>3</v>
      </c>
      <c r="BB824" s="14" t="s">
        <v>46</v>
      </c>
      <c r="BC824" s="14" t="s">
        <v>46</v>
      </c>
      <c r="BD824" s="15" t="s">
        <v>46</v>
      </c>
      <c r="BE824" s="14" t="s">
        <v>46</v>
      </c>
      <c r="BF82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24" s="17" t="s">
        <v>46</v>
      </c>
      <c r="BH824" s="13" t="s">
        <v>50</v>
      </c>
      <c r="BI824" s="13">
        <v>2.5000000000000001E-2</v>
      </c>
      <c r="BJ824" s="18">
        <f>ABS(_xlfn.NORM.S.INV(Table1347456[[#This Row],[p_value]]/2))</f>
        <v>2.2414027276049446</v>
      </c>
      <c r="BK824" s="19">
        <f>(Table1347456[[#This Row],[lnrr]]/Table1347456[[#This Row],[z_from_p]])^2</f>
        <v>1.2541365869211658E-3</v>
      </c>
      <c r="BL824" s="16">
        <f>Table1347456[[#This Row],[v_from_z_from_p]]</f>
        <v>1.2541365869211658E-3</v>
      </c>
      <c r="BM824" s="20">
        <f>SQRT(Table1347456[[#This Row],[v]])</f>
        <v>3.541379091429165E-2</v>
      </c>
      <c r="BN824" s="20">
        <f>Table1347456[[#This Row],[lnrr]]-(1.96*Table1347456[[#This Row],[se]])</f>
        <v>9.9655373581128831E-3</v>
      </c>
      <c r="BO824" s="20">
        <f>Table1347456[[#This Row],[lnrr]]+(1.96 * Table1347456[[#This Row],[se]])</f>
        <v>0.14878759774213612</v>
      </c>
    </row>
    <row r="825" spans="1:67">
      <c r="A825" s="13" t="s">
        <v>293</v>
      </c>
      <c r="B825" s="13" t="s">
        <v>294</v>
      </c>
      <c r="C825" s="13" t="s">
        <v>43</v>
      </c>
      <c r="D825" s="13" t="s">
        <v>295</v>
      </c>
      <c r="E825" s="13" t="s">
        <v>296</v>
      </c>
      <c r="F825" s="13" t="s">
        <v>586</v>
      </c>
      <c r="G825" s="13" t="s">
        <v>46</v>
      </c>
      <c r="H825" s="13" t="s">
        <v>46</v>
      </c>
      <c r="I825" s="13" t="s">
        <v>46</v>
      </c>
      <c r="K825" s="13" t="s">
        <v>894</v>
      </c>
      <c r="L825" s="13" t="s">
        <v>895</v>
      </c>
      <c r="N825" s="13" t="s">
        <v>53</v>
      </c>
      <c r="O825" s="13" t="s">
        <v>54</v>
      </c>
      <c r="P825" s="13" t="s">
        <v>85</v>
      </c>
      <c r="Q825" s="13" t="s">
        <v>48</v>
      </c>
      <c r="R825" s="4">
        <v>3</v>
      </c>
      <c r="S825" s="13" t="s">
        <v>594</v>
      </c>
      <c r="T825" s="13">
        <v>2160</v>
      </c>
      <c r="U825" s="4" t="s">
        <v>200</v>
      </c>
      <c r="V825" s="4">
        <v>650</v>
      </c>
      <c r="W825" s="4" t="s">
        <v>602</v>
      </c>
      <c r="X825" s="4">
        <v>538.70000000000005</v>
      </c>
      <c r="Y825" s="4">
        <v>20</v>
      </c>
      <c r="AA825" s="4" t="s">
        <v>49</v>
      </c>
      <c r="AB825" s="4">
        <v>0</v>
      </c>
      <c r="AC825" s="4" t="s">
        <v>49</v>
      </c>
      <c r="AD825" s="4">
        <v>0</v>
      </c>
      <c r="AE825" s="4" t="s">
        <v>49</v>
      </c>
      <c r="AF825" s="4">
        <v>0</v>
      </c>
      <c r="AG825" s="4" t="s">
        <v>46</v>
      </c>
      <c r="AH825" s="4" t="s">
        <v>743</v>
      </c>
      <c r="AI825" s="4" t="s">
        <v>297</v>
      </c>
      <c r="AJ825" s="13">
        <v>0</v>
      </c>
      <c r="AK825" s="13">
        <v>25</v>
      </c>
      <c r="AP825" s="13" t="s">
        <v>50</v>
      </c>
      <c r="AQ825" s="13" t="s">
        <v>49</v>
      </c>
      <c r="AR825" s="13" t="s">
        <v>49</v>
      </c>
      <c r="AS825" s="13" t="s">
        <v>49</v>
      </c>
      <c r="AT825" s="13" t="s">
        <v>990</v>
      </c>
      <c r="AU825" s="13" t="s">
        <v>998</v>
      </c>
      <c r="AV825" s="14">
        <f>190.89/1000</f>
        <v>0.19088999999999998</v>
      </c>
      <c r="AW825" s="14">
        <f>121.29/1000</f>
        <v>0.12129000000000001</v>
      </c>
      <c r="AX825" s="14">
        <f>Table1347456[[#This Row],[treatment_mean]]/Table1347456[[#This Row],[control_mean]]</f>
        <v>1.5738313133811523</v>
      </c>
      <c r="AY825" s="14">
        <f>LN(Table1347456[[#This Row],[rr]])</f>
        <v>0.45351297359202108</v>
      </c>
      <c r="AZ825" s="13">
        <v>3</v>
      </c>
      <c r="BA825" s="13">
        <v>3</v>
      </c>
      <c r="BB825" s="14" t="s">
        <v>46</v>
      </c>
      <c r="BC825" s="14" t="s">
        <v>46</v>
      </c>
      <c r="BD825" s="15" t="s">
        <v>46</v>
      </c>
      <c r="BE825" s="14" t="s">
        <v>46</v>
      </c>
      <c r="BF82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25" s="17" t="s">
        <v>46</v>
      </c>
      <c r="BH825" s="13" t="s">
        <v>50</v>
      </c>
      <c r="BI825" s="13">
        <v>2.5000000000000001E-2</v>
      </c>
      <c r="BJ825" s="18">
        <f>ABS(_xlfn.NORM.S.INV(Table1347456[[#This Row],[p_value]]/2))</f>
        <v>2.2414027276049446</v>
      </c>
      <c r="BK825" s="19">
        <f>(Table1347456[[#This Row],[lnrr]]/Table1347456[[#This Row],[z_from_p]])^2</f>
        <v>4.0939227034162515E-2</v>
      </c>
      <c r="BL825" s="16">
        <f>Table1347456[[#This Row],[v_from_z_from_p]]</f>
        <v>4.0939227034162515E-2</v>
      </c>
      <c r="BM825" s="20">
        <f>SQRT(Table1347456[[#This Row],[v]])</f>
        <v>0.20233444351904722</v>
      </c>
      <c r="BN825" s="20">
        <f>Table1347456[[#This Row],[lnrr]]-(1.96*Table1347456[[#This Row],[se]])</f>
        <v>5.6937464294688545E-2</v>
      </c>
      <c r="BO825" s="20">
        <f>Table1347456[[#This Row],[lnrr]]+(1.96 * Table1347456[[#This Row],[se]])</f>
        <v>0.85008848288935357</v>
      </c>
    </row>
    <row r="826" spans="1:67">
      <c r="A826" s="13" t="s">
        <v>293</v>
      </c>
      <c r="B826" s="13" t="s">
        <v>294</v>
      </c>
      <c r="C826" s="13" t="s">
        <v>43</v>
      </c>
      <c r="D826" s="13" t="s">
        <v>295</v>
      </c>
      <c r="E826" s="13" t="s">
        <v>296</v>
      </c>
      <c r="F826" s="13" t="s">
        <v>586</v>
      </c>
      <c r="G826" s="13" t="s">
        <v>46</v>
      </c>
      <c r="H826" s="13" t="s">
        <v>46</v>
      </c>
      <c r="I826" s="13" t="s">
        <v>46</v>
      </c>
      <c r="K826" s="13" t="s">
        <v>894</v>
      </c>
      <c r="L826" s="13" t="s">
        <v>895</v>
      </c>
      <c r="N826" s="13" t="s">
        <v>53</v>
      </c>
      <c r="O826" s="13" t="s">
        <v>54</v>
      </c>
      <c r="P826" s="13" t="s">
        <v>85</v>
      </c>
      <c r="Q826" s="13" t="s">
        <v>48</v>
      </c>
      <c r="R826" s="4">
        <v>3</v>
      </c>
      <c r="S826" s="13" t="s">
        <v>594</v>
      </c>
      <c r="T826" s="13">
        <v>2160</v>
      </c>
      <c r="U826" s="4" t="s">
        <v>200</v>
      </c>
      <c r="V826" s="4">
        <v>650</v>
      </c>
      <c r="W826" s="4" t="s">
        <v>602</v>
      </c>
      <c r="X826" s="4">
        <v>538.70000000000005</v>
      </c>
      <c r="Y826" s="4">
        <v>30</v>
      </c>
      <c r="AA826" s="4" t="s">
        <v>49</v>
      </c>
      <c r="AB826" s="4">
        <v>0</v>
      </c>
      <c r="AC826" s="4" t="s">
        <v>49</v>
      </c>
      <c r="AD826" s="4">
        <v>0</v>
      </c>
      <c r="AE826" s="4" t="s">
        <v>49</v>
      </c>
      <c r="AF826" s="4">
        <v>0</v>
      </c>
      <c r="AG826" s="4" t="s">
        <v>46</v>
      </c>
      <c r="AH826" s="4" t="s">
        <v>743</v>
      </c>
      <c r="AI826" s="4" t="s">
        <v>297</v>
      </c>
      <c r="AJ826" s="13">
        <v>0</v>
      </c>
      <c r="AK826" s="13">
        <v>25</v>
      </c>
      <c r="AP826" s="13" t="s">
        <v>50</v>
      </c>
      <c r="AQ826" s="13" t="s">
        <v>49</v>
      </c>
      <c r="AR826" s="13" t="s">
        <v>49</v>
      </c>
      <c r="AS826" s="13" t="s">
        <v>49</v>
      </c>
      <c r="AT826" s="13" t="s">
        <v>990</v>
      </c>
      <c r="AU826" s="13" t="s">
        <v>998</v>
      </c>
      <c r="AV826" s="14">
        <f>142.89/1000</f>
        <v>0.14288999999999999</v>
      </c>
      <c r="AW826" s="14">
        <f>121.29/1000</f>
        <v>0.12129000000000001</v>
      </c>
      <c r="AX826" s="14">
        <f>Table1347456[[#This Row],[treatment_mean]]/Table1347456[[#This Row],[control_mean]]</f>
        <v>1.1780855800148402</v>
      </c>
      <c r="AY826" s="14">
        <f>LN(Table1347456[[#This Row],[rr]])</f>
        <v>0.16389073116008929</v>
      </c>
      <c r="AZ826" s="13">
        <v>3</v>
      </c>
      <c r="BA826" s="13">
        <v>3</v>
      </c>
      <c r="BB826" s="14" t="s">
        <v>46</v>
      </c>
      <c r="BC826" s="14" t="s">
        <v>46</v>
      </c>
      <c r="BD826" s="15" t="s">
        <v>46</v>
      </c>
      <c r="BE826" s="14" t="s">
        <v>46</v>
      </c>
      <c r="BF82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26" s="17" t="s">
        <v>46</v>
      </c>
      <c r="BH826" s="13" t="s">
        <v>50</v>
      </c>
      <c r="BI826" s="13">
        <v>2.5000000000000001E-2</v>
      </c>
      <c r="BJ826" s="18">
        <f>ABS(_xlfn.NORM.S.INV(Table1347456[[#This Row],[p_value]]/2))</f>
        <v>2.2414027276049446</v>
      </c>
      <c r="BK826" s="19">
        <f>(Table1347456[[#This Row],[lnrr]]/Table1347456[[#This Row],[z_from_p]])^2</f>
        <v>5.3464928859275384E-3</v>
      </c>
      <c r="BL826" s="16">
        <f>Table1347456[[#This Row],[v_from_z_from_p]]</f>
        <v>5.3464928859275384E-3</v>
      </c>
      <c r="BM826" s="20">
        <f>SQRT(Table1347456[[#This Row],[v]])</f>
        <v>7.311971612313288E-2</v>
      </c>
      <c r="BN826" s="20">
        <f>Table1347456[[#This Row],[lnrr]]-(1.96*Table1347456[[#This Row],[se]])</f>
        <v>2.0576087558748846E-2</v>
      </c>
      <c r="BO826" s="20">
        <f>Table1347456[[#This Row],[lnrr]]+(1.96 * Table1347456[[#This Row],[se]])</f>
        <v>0.30720537476142973</v>
      </c>
    </row>
    <row r="827" spans="1:67">
      <c r="A827" s="13" t="s">
        <v>40</v>
      </c>
      <c r="B827" s="13" t="s">
        <v>298</v>
      </c>
      <c r="C827" s="13" t="s">
        <v>43</v>
      </c>
      <c r="D827" s="13" t="s">
        <v>299</v>
      </c>
      <c r="E827" s="13" t="s">
        <v>91</v>
      </c>
      <c r="F827" s="13" t="s">
        <v>587</v>
      </c>
      <c r="G827" s="13" t="s">
        <v>138</v>
      </c>
      <c r="H827" s="13">
        <v>7.6</v>
      </c>
      <c r="I827" s="13">
        <v>547</v>
      </c>
      <c r="K827" s="13" t="s">
        <v>896</v>
      </c>
      <c r="L827" s="13" t="s">
        <v>897</v>
      </c>
      <c r="N827" s="13" t="s">
        <v>47</v>
      </c>
      <c r="O827" s="13" t="s">
        <v>645</v>
      </c>
      <c r="P827" s="13" t="s">
        <v>48</v>
      </c>
      <c r="Q827" s="13" t="s">
        <v>48</v>
      </c>
      <c r="R827" s="4">
        <v>5</v>
      </c>
      <c r="S827" s="13" t="s">
        <v>594</v>
      </c>
      <c r="T827" s="13">
        <v>2190</v>
      </c>
      <c r="U827" s="4" t="s">
        <v>300</v>
      </c>
      <c r="V827" s="4">
        <v>500</v>
      </c>
      <c r="W827" s="4" t="s">
        <v>601</v>
      </c>
      <c r="X827" s="4">
        <v>333.2</v>
      </c>
      <c r="Y827" s="4">
        <f>225/1000</f>
        <v>0.22500000000000001</v>
      </c>
      <c r="AA827" s="4" t="s">
        <v>49</v>
      </c>
      <c r="AB827" s="4">
        <v>0</v>
      </c>
      <c r="AC827" s="4" t="s">
        <v>49</v>
      </c>
      <c r="AD827" s="4">
        <v>0</v>
      </c>
      <c r="AE827" s="4" t="s">
        <v>49</v>
      </c>
      <c r="AF827" s="4">
        <v>0</v>
      </c>
      <c r="AG827" s="4" t="s">
        <v>752</v>
      </c>
      <c r="AH827" s="4" t="s">
        <v>751</v>
      </c>
      <c r="AI827" s="4" t="s">
        <v>271</v>
      </c>
      <c r="AJ827" s="13">
        <v>0</v>
      </c>
      <c r="AK827" s="13">
        <v>20</v>
      </c>
      <c r="AP827" s="13" t="s">
        <v>49</v>
      </c>
      <c r="AQ827" s="13" t="s">
        <v>49</v>
      </c>
      <c r="AR827" s="13" t="s">
        <v>49</v>
      </c>
      <c r="AS827" s="13" t="s">
        <v>49</v>
      </c>
      <c r="AT827" s="13" t="s">
        <v>990</v>
      </c>
      <c r="AU827" s="13" t="s">
        <v>998</v>
      </c>
      <c r="AV827" s="14">
        <v>1.05</v>
      </c>
      <c r="AW827" s="14">
        <v>0.91</v>
      </c>
      <c r="AX827" s="14">
        <f>Table1347456[[#This Row],[treatment_mean]]/Table1347456[[#This Row],[control_mean]]</f>
        <v>1.153846153846154</v>
      </c>
      <c r="AY827" s="14">
        <f>LN(Table1347456[[#This Row],[rr]])</f>
        <v>0.14310084364067344</v>
      </c>
      <c r="AZ827" s="13">
        <v>5</v>
      </c>
      <c r="BA827" s="13">
        <v>5</v>
      </c>
      <c r="BB827" s="14">
        <v>0.05</v>
      </c>
      <c r="BC827" s="14">
        <v>0.05</v>
      </c>
      <c r="BD827" s="15">
        <f>Table1347456[[#This Row],[treatment_se]]*SQRT(Table1347456[[#This Row],[treatment_n]])</f>
        <v>0.1118033988749895</v>
      </c>
      <c r="BE827" s="14">
        <f>Table1347456[[#This Row],[control_se]]*SQRT(Table1347456[[#This Row],[control_n]])</f>
        <v>0.1118033988749895</v>
      </c>
      <c r="BF82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5.2865327590602322E-3</v>
      </c>
      <c r="BG827" s="17">
        <f>SQRT(Table1347456[[#This Row],[v_from_sd_and_n]])</f>
        <v>7.2708546671352417E-2</v>
      </c>
      <c r="BH827" s="13" t="s">
        <v>50</v>
      </c>
      <c r="BI827" s="13">
        <v>2.5000000000000001E-2</v>
      </c>
      <c r="BJ827" s="18">
        <f>ABS(_xlfn.NORM.S.INV(Table1347456[[#This Row],[p_value]]/2))</f>
        <v>2.2414027276049446</v>
      </c>
      <c r="BK827" s="19">
        <f>(Table1347456[[#This Row],[lnrr]]/Table1347456[[#This Row],[z_from_p]])^2</f>
        <v>4.0760978030072084E-3</v>
      </c>
      <c r="BL827" s="16">
        <f>Table1347456[[#This Row],[v_from_sd_and_n]]</f>
        <v>5.2865327590602322E-3</v>
      </c>
      <c r="BM827" s="20">
        <f>SQRT(Table1347456[[#This Row],[v]])</f>
        <v>7.2708546671352417E-2</v>
      </c>
      <c r="BN827" s="20">
        <f>Table1347456[[#This Row],[lnrr]]-(1.96*Table1347456[[#This Row],[se]])</f>
        <v>5.9209216482269955E-4</v>
      </c>
      <c r="BO827" s="20">
        <f>Table1347456[[#This Row],[lnrr]]+(1.96 * Table1347456[[#This Row],[se]])</f>
        <v>0.28560959511652417</v>
      </c>
    </row>
    <row r="828" spans="1:67">
      <c r="A828" s="13" t="s">
        <v>40</v>
      </c>
      <c r="B828" s="13" t="s">
        <v>298</v>
      </c>
      <c r="C828" s="13" t="s">
        <v>43</v>
      </c>
      <c r="D828" s="13" t="s">
        <v>299</v>
      </c>
      <c r="E828" s="13" t="s">
        <v>91</v>
      </c>
      <c r="F828" s="13" t="s">
        <v>587</v>
      </c>
      <c r="G828" s="13" t="s">
        <v>138</v>
      </c>
      <c r="H828" s="13">
        <v>7.6</v>
      </c>
      <c r="I828" s="13">
        <v>547</v>
      </c>
      <c r="K828" s="13" t="s">
        <v>896</v>
      </c>
      <c r="L828" s="13" t="s">
        <v>897</v>
      </c>
      <c r="N828" s="13" t="s">
        <v>47</v>
      </c>
      <c r="O828" s="13" t="s">
        <v>645</v>
      </c>
      <c r="P828" s="13" t="s">
        <v>48</v>
      </c>
      <c r="Q828" s="13" t="s">
        <v>48</v>
      </c>
      <c r="R828" s="4">
        <v>5</v>
      </c>
      <c r="S828" s="13" t="s">
        <v>594</v>
      </c>
      <c r="T828" s="13">
        <v>2190</v>
      </c>
      <c r="U828" s="4" t="s">
        <v>300</v>
      </c>
      <c r="V828" s="4">
        <v>500</v>
      </c>
      <c r="W828" s="4" t="s">
        <v>601</v>
      </c>
      <c r="X828" s="4">
        <v>333.2</v>
      </c>
      <c r="Y828" s="4">
        <v>0.75</v>
      </c>
      <c r="AA828" s="4" t="s">
        <v>49</v>
      </c>
      <c r="AB828" s="4">
        <v>0</v>
      </c>
      <c r="AC828" s="4" t="s">
        <v>49</v>
      </c>
      <c r="AD828" s="4">
        <v>0</v>
      </c>
      <c r="AE828" s="4" t="s">
        <v>49</v>
      </c>
      <c r="AF828" s="4">
        <v>0</v>
      </c>
      <c r="AG828" s="4" t="s">
        <v>752</v>
      </c>
      <c r="AH828" s="4" t="s">
        <v>751</v>
      </c>
      <c r="AI828" s="4" t="s">
        <v>271</v>
      </c>
      <c r="AJ828" s="13">
        <v>0</v>
      </c>
      <c r="AK828" s="13">
        <v>20</v>
      </c>
      <c r="AP828" s="13" t="s">
        <v>49</v>
      </c>
      <c r="AQ828" s="13" t="s">
        <v>49</v>
      </c>
      <c r="AR828" s="13" t="s">
        <v>49</v>
      </c>
      <c r="AS828" s="13" t="s">
        <v>49</v>
      </c>
      <c r="AT828" s="13" t="s">
        <v>990</v>
      </c>
      <c r="AU828" s="13" t="s">
        <v>998</v>
      </c>
      <c r="AV828" s="14">
        <v>1.08</v>
      </c>
      <c r="AW828" s="14">
        <v>0.91</v>
      </c>
      <c r="AX828" s="14">
        <f>Table1347456[[#This Row],[treatment_mean]]/Table1347456[[#This Row],[control_mean]]</f>
        <v>1.1868131868131868</v>
      </c>
      <c r="AY828" s="14">
        <f>LN(Table1347456[[#This Row],[rr]])</f>
        <v>0.17127172060736964</v>
      </c>
      <c r="AZ828" s="13">
        <v>5</v>
      </c>
      <c r="BA828" s="13">
        <v>5</v>
      </c>
      <c r="BB828" s="14">
        <v>0.04</v>
      </c>
      <c r="BC828" s="14">
        <v>0.05</v>
      </c>
      <c r="BD828" s="15">
        <f>Table1347456[[#This Row],[treatment_se]]*SQRT(Table1347456[[#This Row],[treatment_n]])</f>
        <v>8.9442719099991588E-2</v>
      </c>
      <c r="BE828" s="14">
        <f>Table1347456[[#This Row],[control_se]]*SQRT(Table1347456[[#This Row],[control_n]])</f>
        <v>0.1118033988749895</v>
      </c>
      <c r="BF82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4.3907011753979604E-3</v>
      </c>
      <c r="BG828" s="17">
        <f>SQRT(Table1347456[[#This Row],[v_from_sd_and_n]])</f>
        <v>6.6262366207357551E-2</v>
      </c>
      <c r="BH828" s="13" t="s">
        <v>50</v>
      </c>
      <c r="BI828" s="13">
        <v>2.5000000000000001E-2</v>
      </c>
      <c r="BJ828" s="18">
        <f>ABS(_xlfn.NORM.S.INV(Table1347456[[#This Row],[p_value]]/2))</f>
        <v>2.2414027276049446</v>
      </c>
      <c r="BK828" s="19">
        <f>(Table1347456[[#This Row],[lnrr]]/Table1347456[[#This Row],[z_from_p]])^2</f>
        <v>5.8389066125494812E-3</v>
      </c>
      <c r="BL828" s="16">
        <f>Table1347456[[#This Row],[v_from_sd_and_n]]</f>
        <v>4.3907011753979604E-3</v>
      </c>
      <c r="BM828" s="20">
        <f>SQRT(Table1347456[[#This Row],[v]])</f>
        <v>6.6262366207357551E-2</v>
      </c>
      <c r="BN828" s="20">
        <f>Table1347456[[#This Row],[lnrr]]-(1.96*Table1347456[[#This Row],[se]])</f>
        <v>4.1397482840948852E-2</v>
      </c>
      <c r="BO828" s="20">
        <f>Table1347456[[#This Row],[lnrr]]+(1.96 * Table1347456[[#This Row],[se]])</f>
        <v>0.30114595837379043</v>
      </c>
    </row>
    <row r="829" spans="1:67">
      <c r="A829" s="13" t="s">
        <v>40</v>
      </c>
      <c r="B829" s="13" t="s">
        <v>298</v>
      </c>
      <c r="C829" s="13" t="s">
        <v>43</v>
      </c>
      <c r="D829" s="13" t="s">
        <v>299</v>
      </c>
      <c r="E829" s="13" t="s">
        <v>91</v>
      </c>
      <c r="F829" s="13" t="s">
        <v>587</v>
      </c>
      <c r="G829" s="13" t="s">
        <v>138</v>
      </c>
      <c r="H829" s="13">
        <v>7.6</v>
      </c>
      <c r="I829" s="13">
        <v>547</v>
      </c>
      <c r="K829" s="13" t="s">
        <v>896</v>
      </c>
      <c r="L829" s="13" t="s">
        <v>897</v>
      </c>
      <c r="N829" s="13" t="s">
        <v>47</v>
      </c>
      <c r="O829" s="13" t="s">
        <v>645</v>
      </c>
      <c r="P829" s="13" t="s">
        <v>48</v>
      </c>
      <c r="Q829" s="13" t="s">
        <v>48</v>
      </c>
      <c r="R829" s="4">
        <v>5</v>
      </c>
      <c r="S829" s="13" t="s">
        <v>594</v>
      </c>
      <c r="T829" s="13">
        <v>2190</v>
      </c>
      <c r="U829" s="4" t="s">
        <v>300</v>
      </c>
      <c r="V829" s="4">
        <v>500</v>
      </c>
      <c r="W829" s="4" t="s">
        <v>601</v>
      </c>
      <c r="X829" s="4">
        <v>333.2</v>
      </c>
      <c r="Y829" s="4">
        <v>0.75</v>
      </c>
      <c r="AA829" s="4" t="s">
        <v>50</v>
      </c>
      <c r="AB829" s="4">
        <v>83</v>
      </c>
      <c r="AC829" s="4" t="s">
        <v>49</v>
      </c>
      <c r="AD829" s="4">
        <v>0</v>
      </c>
      <c r="AE829" s="4" t="s">
        <v>49</v>
      </c>
      <c r="AF829" s="4">
        <v>0</v>
      </c>
      <c r="AG829" s="4" t="s">
        <v>752</v>
      </c>
      <c r="AH829" s="4" t="s">
        <v>751</v>
      </c>
      <c r="AI829" s="4" t="s">
        <v>271</v>
      </c>
      <c r="AJ829" s="13">
        <v>0</v>
      </c>
      <c r="AK829" s="13">
        <v>20</v>
      </c>
      <c r="AP829" s="13" t="s">
        <v>49</v>
      </c>
      <c r="AQ829" s="13" t="s">
        <v>49</v>
      </c>
      <c r="AR829" s="13" t="s">
        <v>49</v>
      </c>
      <c r="AS829" s="13" t="s">
        <v>49</v>
      </c>
      <c r="AT829" s="13" t="s">
        <v>992</v>
      </c>
      <c r="AU829" s="4" t="s">
        <v>1000</v>
      </c>
      <c r="AV829" s="14">
        <v>1.07</v>
      </c>
      <c r="AW829" s="14">
        <v>1.02</v>
      </c>
      <c r="AX829" s="14">
        <f>Table1347456[[#This Row],[treatment_mean]]/Table1347456[[#This Row],[control_mean]]</f>
        <v>1.0490196078431373</v>
      </c>
      <c r="AY829" s="14">
        <f>LN(Table1347456[[#This Row],[rr]])</f>
        <v>4.7856021177635141E-2</v>
      </c>
      <c r="AZ829" s="13">
        <v>5</v>
      </c>
      <c r="BA829" s="13">
        <v>5</v>
      </c>
      <c r="BB829" s="14">
        <v>0.02</v>
      </c>
      <c r="BC829" s="14">
        <v>0.01</v>
      </c>
      <c r="BD829" s="15">
        <f>Table1347456[[#This Row],[treatment_se]]*SQRT(Table1347456[[#This Row],[treatment_n]])</f>
        <v>4.4721359549995794E-2</v>
      </c>
      <c r="BE829" s="14">
        <f>Table1347456[[#This Row],[control_se]]*SQRT(Table1347456[[#This Row],[control_n]])</f>
        <v>2.2360679774997897E-2</v>
      </c>
      <c r="BF82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4.4549236943308322E-4</v>
      </c>
      <c r="BG829" s="17">
        <f>SQRT(Table1347456[[#This Row],[v_from_sd_and_n]])</f>
        <v>2.1106690158172198E-2</v>
      </c>
      <c r="BH829" s="13" t="s">
        <v>50</v>
      </c>
      <c r="BI829" s="13">
        <v>2.5000000000000001E-2</v>
      </c>
      <c r="BJ829" s="18">
        <f>ABS(_xlfn.NORM.S.INV(Table1347456[[#This Row],[p_value]]/2))</f>
        <v>2.2414027276049446</v>
      </c>
      <c r="BK829" s="19">
        <f>(Table1347456[[#This Row],[lnrr]]/Table1347456[[#This Row],[z_from_p]])^2</f>
        <v>4.5586199160660223E-4</v>
      </c>
      <c r="BL829" s="16">
        <f>Table1347456[[#This Row],[v_from_sd_and_n]]</f>
        <v>4.4549236943308322E-4</v>
      </c>
      <c r="BM829" s="20">
        <f>SQRT(Table1347456[[#This Row],[v]])</f>
        <v>2.1106690158172198E-2</v>
      </c>
      <c r="BN829" s="20">
        <f>Table1347456[[#This Row],[lnrr]]-(1.96*Table1347456[[#This Row],[se]])</f>
        <v>6.4869084676176317E-3</v>
      </c>
      <c r="BO829" s="20">
        <f>Table1347456[[#This Row],[lnrr]]+(1.96 * Table1347456[[#This Row],[se]])</f>
        <v>8.9225133887652658E-2</v>
      </c>
    </row>
    <row r="830" spans="1:67">
      <c r="A830" s="13" t="s">
        <v>40</v>
      </c>
      <c r="B830" s="13" t="s">
        <v>298</v>
      </c>
      <c r="C830" s="13" t="s">
        <v>43</v>
      </c>
      <c r="D830" s="13" t="s">
        <v>299</v>
      </c>
      <c r="E830" s="13" t="s">
        <v>91</v>
      </c>
      <c r="F830" s="13" t="s">
        <v>587</v>
      </c>
      <c r="G830" s="13" t="s">
        <v>138</v>
      </c>
      <c r="H830" s="13">
        <v>7.6</v>
      </c>
      <c r="I830" s="13">
        <v>547</v>
      </c>
      <c r="K830" s="13" t="s">
        <v>896</v>
      </c>
      <c r="L830" s="13" t="s">
        <v>897</v>
      </c>
      <c r="N830" s="13" t="s">
        <v>99</v>
      </c>
      <c r="O830" s="13" t="s">
        <v>644</v>
      </c>
      <c r="P830" s="13" t="s">
        <v>85</v>
      </c>
      <c r="Q830" s="13" t="s">
        <v>48</v>
      </c>
      <c r="R830" s="4">
        <v>5</v>
      </c>
      <c r="S830" s="13" t="s">
        <v>594</v>
      </c>
      <c r="T830" s="13">
        <v>2190</v>
      </c>
      <c r="U830" s="4" t="s">
        <v>300</v>
      </c>
      <c r="V830" s="4">
        <v>500</v>
      </c>
      <c r="W830" s="4" t="s">
        <v>601</v>
      </c>
      <c r="X830" s="4">
        <v>333.2</v>
      </c>
      <c r="Y830" s="4">
        <f>225/1000</f>
        <v>0.22500000000000001</v>
      </c>
      <c r="AA830" s="4" t="s">
        <v>49</v>
      </c>
      <c r="AB830" s="4">
        <v>0</v>
      </c>
      <c r="AC830" s="4" t="s">
        <v>49</v>
      </c>
      <c r="AD830" s="4">
        <v>0</v>
      </c>
      <c r="AE830" s="4" t="s">
        <v>49</v>
      </c>
      <c r="AF830" s="4">
        <v>0</v>
      </c>
      <c r="AG830" s="4" t="s">
        <v>752</v>
      </c>
      <c r="AH830" s="4" t="s">
        <v>751</v>
      </c>
      <c r="AI830" s="4" t="s">
        <v>271</v>
      </c>
      <c r="AJ830" s="13">
        <v>0</v>
      </c>
      <c r="AK830" s="13">
        <v>20</v>
      </c>
      <c r="AP830" s="13" t="s">
        <v>49</v>
      </c>
      <c r="AQ830" s="13" t="s">
        <v>49</v>
      </c>
      <c r="AR830" s="13" t="s">
        <v>49</v>
      </c>
      <c r="AS830" s="13" t="s">
        <v>49</v>
      </c>
      <c r="AT830" s="13" t="s">
        <v>990</v>
      </c>
      <c r="AU830" s="13" t="s">
        <v>998</v>
      </c>
      <c r="AV830" s="14">
        <f>70.1/1000</f>
        <v>7.0099999999999996E-2</v>
      </c>
      <c r="AW830" s="14">
        <f>46.5/1000</f>
        <v>4.65E-2</v>
      </c>
      <c r="AX830" s="14">
        <f>Table1347456[[#This Row],[treatment_mean]]/Table1347456[[#This Row],[control_mean]]</f>
        <v>1.5075268817204299</v>
      </c>
      <c r="AY830" s="14">
        <f>LN(Table1347456[[#This Row],[rr]])</f>
        <v>0.41047048144723364</v>
      </c>
      <c r="AZ830" s="13">
        <v>5</v>
      </c>
      <c r="BA830" s="13">
        <v>5</v>
      </c>
      <c r="BB830" s="14">
        <f>1.8/1000</f>
        <v>1.8E-3</v>
      </c>
      <c r="BC830" s="14">
        <f>0.5/1000</f>
        <v>5.0000000000000001E-4</v>
      </c>
      <c r="BD830" s="15">
        <f>Table1347456[[#This Row],[treatment_se]]*SQRT(Table1347456[[#This Row],[treatment_n]])</f>
        <v>4.0249223594996213E-3</v>
      </c>
      <c r="BE830" s="14">
        <f>Table1347456[[#This Row],[control_se]]*SQRT(Table1347456[[#This Row],[control_n]])</f>
        <v>1.1180339887498949E-3</v>
      </c>
      <c r="BF83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7.7495962050899995E-4</v>
      </c>
      <c r="BG830" s="17">
        <f>SQRT(Table1347456[[#This Row],[v_from_sd_and_n]])</f>
        <v>2.7838096567635511E-2</v>
      </c>
      <c r="BH830" s="13" t="s">
        <v>50</v>
      </c>
      <c r="BI830" s="13">
        <v>2.5000000000000001E-2</v>
      </c>
      <c r="BJ830" s="18">
        <f>ABS(_xlfn.NORM.S.INV(Table1347456[[#This Row],[p_value]]/2))</f>
        <v>2.2414027276049446</v>
      </c>
      <c r="BK830" s="19">
        <f>(Table1347456[[#This Row],[lnrr]]/Table1347456[[#This Row],[z_from_p]])^2</f>
        <v>3.353698906733682E-2</v>
      </c>
      <c r="BL830" s="16">
        <f>Table1347456[[#This Row],[v_from_sd_and_n]]</f>
        <v>7.7495962050899995E-4</v>
      </c>
      <c r="BM830" s="20">
        <f>SQRT(Table1347456[[#This Row],[v]])</f>
        <v>2.7838096567635511E-2</v>
      </c>
      <c r="BN830" s="20">
        <f>Table1347456[[#This Row],[lnrr]]-(1.96*Table1347456[[#This Row],[se]])</f>
        <v>0.35590781217466805</v>
      </c>
      <c r="BO830" s="20">
        <f>Table1347456[[#This Row],[lnrr]]+(1.96 * Table1347456[[#This Row],[se]])</f>
        <v>0.46503315071979923</v>
      </c>
    </row>
    <row r="831" spans="1:67">
      <c r="A831" s="13" t="s">
        <v>40</v>
      </c>
      <c r="B831" s="13" t="s">
        <v>298</v>
      </c>
      <c r="C831" s="13" t="s">
        <v>43</v>
      </c>
      <c r="D831" s="13" t="s">
        <v>299</v>
      </c>
      <c r="E831" s="13" t="s">
        <v>91</v>
      </c>
      <c r="F831" s="13" t="s">
        <v>587</v>
      </c>
      <c r="G831" s="13" t="s">
        <v>138</v>
      </c>
      <c r="H831" s="13">
        <v>7.6</v>
      </c>
      <c r="I831" s="13">
        <v>547</v>
      </c>
      <c r="K831" s="13" t="s">
        <v>896</v>
      </c>
      <c r="L831" s="13" t="s">
        <v>897</v>
      </c>
      <c r="N831" s="13" t="s">
        <v>99</v>
      </c>
      <c r="O831" s="13" t="s">
        <v>644</v>
      </c>
      <c r="P831" s="13" t="s">
        <v>85</v>
      </c>
      <c r="Q831" s="13" t="s">
        <v>48</v>
      </c>
      <c r="R831" s="4">
        <v>5</v>
      </c>
      <c r="S831" s="13" t="s">
        <v>594</v>
      </c>
      <c r="T831" s="13">
        <v>2190</v>
      </c>
      <c r="U831" s="4" t="s">
        <v>300</v>
      </c>
      <c r="V831" s="4">
        <v>500</v>
      </c>
      <c r="W831" s="4" t="s">
        <v>601</v>
      </c>
      <c r="X831" s="4">
        <v>333.2</v>
      </c>
      <c r="Y831" s="4">
        <v>0.75</v>
      </c>
      <c r="AA831" s="4" t="s">
        <v>49</v>
      </c>
      <c r="AB831" s="4">
        <v>0</v>
      </c>
      <c r="AC831" s="4" t="s">
        <v>49</v>
      </c>
      <c r="AD831" s="4">
        <v>0</v>
      </c>
      <c r="AE831" s="4" t="s">
        <v>49</v>
      </c>
      <c r="AF831" s="4">
        <v>0</v>
      </c>
      <c r="AG831" s="4" t="s">
        <v>752</v>
      </c>
      <c r="AH831" s="4" t="s">
        <v>751</v>
      </c>
      <c r="AI831" s="4" t="s">
        <v>271</v>
      </c>
      <c r="AJ831" s="13">
        <v>0</v>
      </c>
      <c r="AK831" s="13">
        <v>20</v>
      </c>
      <c r="AP831" s="13" t="s">
        <v>49</v>
      </c>
      <c r="AQ831" s="13" t="s">
        <v>49</v>
      </c>
      <c r="AR831" s="13" t="s">
        <v>49</v>
      </c>
      <c r="AS831" s="13" t="s">
        <v>49</v>
      </c>
      <c r="AT831" s="13" t="s">
        <v>990</v>
      </c>
      <c r="AU831" s="13" t="s">
        <v>998</v>
      </c>
      <c r="AV831" s="14">
        <f>74.6/1000</f>
        <v>7.46E-2</v>
      </c>
      <c r="AW831" s="14">
        <f>46.5/1000</f>
        <v>4.65E-2</v>
      </c>
      <c r="AX831" s="14">
        <f>Table1347456[[#This Row],[treatment_mean]]/Table1347456[[#This Row],[control_mean]]</f>
        <v>1.6043010752688172</v>
      </c>
      <c r="AY831" s="14">
        <f>LN(Table1347456[[#This Row],[rr]])</f>
        <v>0.47268819461640449</v>
      </c>
      <c r="AZ831" s="13">
        <v>5</v>
      </c>
      <c r="BA831" s="13">
        <v>5</v>
      </c>
      <c r="BB831" s="14">
        <f>0.9/1000</f>
        <v>8.9999999999999998E-4</v>
      </c>
      <c r="BC831" s="14">
        <f>0.5/1000</f>
        <v>5.0000000000000001E-4</v>
      </c>
      <c r="BD831" s="15">
        <f>Table1347456[[#This Row],[treatment_se]]*SQRT(Table1347456[[#This Row],[treatment_n]])</f>
        <v>2.0124611797498106E-3</v>
      </c>
      <c r="BE831" s="14">
        <f>Table1347456[[#This Row],[control_se]]*SQRT(Table1347456[[#This Row],[control_n]])</f>
        <v>1.1180339887498949E-3</v>
      </c>
      <c r="BF83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2.611686788928208E-4</v>
      </c>
      <c r="BG831" s="17">
        <f>SQRT(Table1347456[[#This Row],[v_from_sd_and_n]])</f>
        <v>1.6160714058878117E-2</v>
      </c>
      <c r="BH831" s="13" t="s">
        <v>50</v>
      </c>
      <c r="BI831" s="13">
        <v>2.5000000000000001E-2</v>
      </c>
      <c r="BJ831" s="18">
        <f>ABS(_xlfn.NORM.S.INV(Table1347456[[#This Row],[p_value]]/2))</f>
        <v>2.2414027276049446</v>
      </c>
      <c r="BK831" s="19">
        <f>(Table1347456[[#This Row],[lnrr]]/Table1347456[[#This Row],[z_from_p]])^2</f>
        <v>4.4474361281089177E-2</v>
      </c>
      <c r="BL831" s="16">
        <f>Table1347456[[#This Row],[v_from_sd_and_n]]</f>
        <v>2.611686788928208E-4</v>
      </c>
      <c r="BM831" s="20">
        <f>SQRT(Table1347456[[#This Row],[v]])</f>
        <v>1.6160714058878117E-2</v>
      </c>
      <c r="BN831" s="20">
        <f>Table1347456[[#This Row],[lnrr]]-(1.96*Table1347456[[#This Row],[se]])</f>
        <v>0.44101319506100339</v>
      </c>
      <c r="BO831" s="20">
        <f>Table1347456[[#This Row],[lnrr]]+(1.96 * Table1347456[[#This Row],[se]])</f>
        <v>0.50436319417180564</v>
      </c>
    </row>
    <row r="832" spans="1:67">
      <c r="A832" s="13" t="s">
        <v>40</v>
      </c>
      <c r="B832" s="13" t="s">
        <v>298</v>
      </c>
      <c r="C832" s="13" t="s">
        <v>43</v>
      </c>
      <c r="D832" s="13" t="s">
        <v>299</v>
      </c>
      <c r="E832" s="13" t="s">
        <v>91</v>
      </c>
      <c r="F832" s="13" t="s">
        <v>587</v>
      </c>
      <c r="G832" s="13" t="s">
        <v>138</v>
      </c>
      <c r="H832" s="13">
        <v>7.6</v>
      </c>
      <c r="I832" s="13">
        <v>547</v>
      </c>
      <c r="K832" s="13" t="s">
        <v>896</v>
      </c>
      <c r="L832" s="13" t="s">
        <v>897</v>
      </c>
      <c r="N832" s="13" t="s">
        <v>99</v>
      </c>
      <c r="O832" s="13" t="s">
        <v>644</v>
      </c>
      <c r="P832" s="13" t="s">
        <v>85</v>
      </c>
      <c r="Q832" s="13" t="s">
        <v>48</v>
      </c>
      <c r="R832" s="4">
        <v>5</v>
      </c>
      <c r="S832" s="13" t="s">
        <v>594</v>
      </c>
      <c r="T832" s="13">
        <v>2190</v>
      </c>
      <c r="U832" s="4" t="s">
        <v>300</v>
      </c>
      <c r="V832" s="4">
        <v>500</v>
      </c>
      <c r="W832" s="4" t="s">
        <v>601</v>
      </c>
      <c r="X832" s="4">
        <v>333.2</v>
      </c>
      <c r="Y832" s="4">
        <v>0.75</v>
      </c>
      <c r="AA832" s="4" t="s">
        <v>50</v>
      </c>
      <c r="AB832" s="4">
        <v>83</v>
      </c>
      <c r="AC832" s="4" t="s">
        <v>49</v>
      </c>
      <c r="AD832" s="4">
        <v>0</v>
      </c>
      <c r="AE832" s="4" t="s">
        <v>49</v>
      </c>
      <c r="AF832" s="4">
        <v>0</v>
      </c>
      <c r="AG832" s="4" t="s">
        <v>752</v>
      </c>
      <c r="AH832" s="4" t="s">
        <v>751</v>
      </c>
      <c r="AI832" s="4" t="s">
        <v>271</v>
      </c>
      <c r="AJ832" s="13">
        <v>0</v>
      </c>
      <c r="AK832" s="13">
        <v>20</v>
      </c>
      <c r="AP832" s="13" t="s">
        <v>49</v>
      </c>
      <c r="AQ832" s="13" t="s">
        <v>49</v>
      </c>
      <c r="AR832" s="13" t="s">
        <v>49</v>
      </c>
      <c r="AS832" s="13" t="s">
        <v>49</v>
      </c>
      <c r="AT832" s="13" t="s">
        <v>992</v>
      </c>
      <c r="AU832" s="4" t="s">
        <v>1000</v>
      </c>
      <c r="AV832" s="14">
        <f>78.1/1000</f>
        <v>7.8099999999999989E-2</v>
      </c>
      <c r="AW832" s="14">
        <f>80.8/1000</f>
        <v>8.0799999999999997E-2</v>
      </c>
      <c r="AX832" s="14">
        <f>Table1347456[[#This Row],[treatment_mean]]/Table1347456[[#This Row],[control_mean]]</f>
        <v>0.96658415841584144</v>
      </c>
      <c r="AY832" s="14">
        <f>LN(Table1347456[[#This Row],[rr]])</f>
        <v>-3.3986908681409557E-2</v>
      </c>
      <c r="AZ832" s="13">
        <v>5</v>
      </c>
      <c r="BA832" s="13">
        <v>5</v>
      </c>
      <c r="BB832" s="14">
        <f>0.9/1000</f>
        <v>8.9999999999999998E-4</v>
      </c>
      <c r="BC832" s="14">
        <f>1.8/1000</f>
        <v>1.8E-3</v>
      </c>
      <c r="BD832" s="15">
        <f>Table1347456[[#This Row],[treatment_se]]*SQRT(Table1347456[[#This Row],[treatment_n]])</f>
        <v>2.0124611797498106E-3</v>
      </c>
      <c r="BE832" s="14">
        <f>Table1347456[[#This Row],[control_se]]*SQRT(Table1347456[[#This Row],[control_n]])</f>
        <v>4.0249223594996213E-3</v>
      </c>
      <c r="BF83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6.2907025045429014E-4</v>
      </c>
      <c r="BG832" s="17">
        <f>SQRT(Table1347456[[#This Row],[v_from_sd_and_n]])</f>
        <v>2.5081272903389296E-2</v>
      </c>
      <c r="BH832" s="13" t="s">
        <v>50</v>
      </c>
      <c r="BI832" s="13">
        <v>2.5000000000000001E-2</v>
      </c>
      <c r="BJ832" s="18">
        <f>ABS(_xlfn.NORM.S.INV(Table1347456[[#This Row],[p_value]]/2))</f>
        <v>2.2414027276049446</v>
      </c>
      <c r="BK832" s="19">
        <f>(Table1347456[[#This Row],[lnrr]]/Table1347456[[#This Row],[z_from_p]])^2</f>
        <v>2.2992359274282118E-4</v>
      </c>
      <c r="BL832" s="16">
        <f>Table1347456[[#This Row],[v_from_sd_and_n]]</f>
        <v>6.2907025045429014E-4</v>
      </c>
      <c r="BM832" s="20">
        <f>SQRT(Table1347456[[#This Row],[v]])</f>
        <v>2.5081272903389296E-2</v>
      </c>
      <c r="BN832" s="20">
        <f>Table1347456[[#This Row],[lnrr]]-(1.96*Table1347456[[#This Row],[se]])</f>
        <v>-8.3146203572052574E-2</v>
      </c>
      <c r="BO832" s="20">
        <f>Table1347456[[#This Row],[lnrr]]+(1.96 * Table1347456[[#This Row],[se]])</f>
        <v>1.517238620923346E-2</v>
      </c>
    </row>
    <row r="833" spans="1:67">
      <c r="A833" s="13" t="s">
        <v>40</v>
      </c>
      <c r="B833" s="13" t="s">
        <v>298</v>
      </c>
      <c r="C833" s="13" t="s">
        <v>43</v>
      </c>
      <c r="D833" s="13" t="s">
        <v>299</v>
      </c>
      <c r="E833" s="13" t="s">
        <v>91</v>
      </c>
      <c r="F833" s="13" t="s">
        <v>587</v>
      </c>
      <c r="G833" s="13" t="s">
        <v>138</v>
      </c>
      <c r="H833" s="13">
        <v>7.6</v>
      </c>
      <c r="I833" s="13">
        <v>547</v>
      </c>
      <c r="J833" s="13" t="s">
        <v>651</v>
      </c>
      <c r="K833" s="13" t="s">
        <v>896</v>
      </c>
      <c r="L833" s="13" t="s">
        <v>897</v>
      </c>
      <c r="M833" s="13" t="s">
        <v>659</v>
      </c>
      <c r="N833" s="13" t="s">
        <v>84</v>
      </c>
      <c r="O833" s="13" t="s">
        <v>644</v>
      </c>
      <c r="P833" s="13" t="s">
        <v>85</v>
      </c>
      <c r="Q833" s="13" t="s">
        <v>48</v>
      </c>
      <c r="R833" s="4">
        <v>5</v>
      </c>
      <c r="S833" s="13" t="s">
        <v>594</v>
      </c>
      <c r="T833" s="13">
        <v>2190</v>
      </c>
      <c r="U833" s="4" t="s">
        <v>300</v>
      </c>
      <c r="V833" s="4">
        <v>500</v>
      </c>
      <c r="W833" s="4" t="s">
        <v>601</v>
      </c>
      <c r="X833" s="4">
        <v>333.2</v>
      </c>
      <c r="Y833" s="4">
        <f>225/1000</f>
        <v>0.22500000000000001</v>
      </c>
      <c r="AA833" s="4" t="s">
        <v>49</v>
      </c>
      <c r="AB833" s="4">
        <v>0</v>
      </c>
      <c r="AC833" s="4" t="s">
        <v>49</v>
      </c>
      <c r="AD833" s="4">
        <v>0</v>
      </c>
      <c r="AE833" s="4" t="s">
        <v>49</v>
      </c>
      <c r="AF833" s="4">
        <v>0</v>
      </c>
      <c r="AG833" s="4" t="s">
        <v>752</v>
      </c>
      <c r="AH833" s="4" t="s">
        <v>751</v>
      </c>
      <c r="AI833" s="4" t="s">
        <v>271</v>
      </c>
      <c r="AJ833" s="13">
        <v>0</v>
      </c>
      <c r="AK833" s="13">
        <v>20</v>
      </c>
      <c r="AP833" s="13" t="s">
        <v>49</v>
      </c>
      <c r="AQ833" s="13" t="s">
        <v>49</v>
      </c>
      <c r="AR833" s="13" t="s">
        <v>49</v>
      </c>
      <c r="AS833" s="13" t="s">
        <v>49</v>
      </c>
      <c r="AT833" s="13" t="s">
        <v>990</v>
      </c>
      <c r="AU833" s="13" t="s">
        <v>998</v>
      </c>
      <c r="AV833" s="23">
        <f>13.6/1000</f>
        <v>1.3599999999999999E-2</v>
      </c>
      <c r="AW833" s="23">
        <f>9.8/1000</f>
        <v>9.8000000000000014E-3</v>
      </c>
      <c r="AX833" s="14">
        <f>Table1347456[[#This Row],[treatment_mean]]/Table1347456[[#This Row],[control_mean]]</f>
        <v>1.3877551020408161</v>
      </c>
      <c r="AY833" s="14">
        <f>LN(Table1347456[[#This Row],[rr]])</f>
        <v>0.32768740706547994</v>
      </c>
      <c r="AZ833" s="13">
        <v>5</v>
      </c>
      <c r="BA833" s="13">
        <v>5</v>
      </c>
      <c r="BB833" s="14">
        <f>3/1000</f>
        <v>3.0000000000000001E-3</v>
      </c>
      <c r="BC833" s="14">
        <f>1/1000</f>
        <v>1E-3</v>
      </c>
      <c r="BD833" s="15">
        <f>Table1347456[[#This Row],[treatment_se]]*SQRT(Table1347456[[#This Row],[treatment_n]])</f>
        <v>6.7082039324993696E-3</v>
      </c>
      <c r="BE833" s="14">
        <f>Table1347456[[#This Row],[control_se]]*SQRT(Table1347456[[#This Row],[control_n]])</f>
        <v>2.2360679774997899E-3</v>
      </c>
      <c r="BF83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5.9071497746757781E-2</v>
      </c>
      <c r="BG833" s="17">
        <f>SQRT(Table1347456[[#This Row],[v_from_sd_and_n]])</f>
        <v>0.24304628725153934</v>
      </c>
      <c r="BH833" s="13" t="s">
        <v>50</v>
      </c>
      <c r="BI833" s="13">
        <v>2.5000000000000001E-2</v>
      </c>
      <c r="BJ833" s="18">
        <f>ABS(_xlfn.NORM.S.INV(Table1347456[[#This Row],[p_value]]/2))</f>
        <v>2.2414027276049446</v>
      </c>
      <c r="BK833" s="19">
        <f>(Table1347456[[#This Row],[lnrr]]/Table1347456[[#This Row],[z_from_p]])^2</f>
        <v>2.1373700108976469E-2</v>
      </c>
      <c r="BL833" s="16">
        <f>Table1347456[[#This Row],[v_from_sd_and_n]]</f>
        <v>5.9071497746757781E-2</v>
      </c>
      <c r="BM833" s="20">
        <f>SQRT(Table1347456[[#This Row],[v]])</f>
        <v>0.24304628725153934</v>
      </c>
      <c r="BN833" s="20">
        <f>Table1347456[[#This Row],[lnrr]]-(1.96*Table1347456[[#This Row],[se]])</f>
        <v>-0.14868331594753714</v>
      </c>
      <c r="BO833" s="20">
        <f>Table1347456[[#This Row],[lnrr]]+(1.96 * Table1347456[[#This Row],[se]])</f>
        <v>0.80405813007849702</v>
      </c>
    </row>
    <row r="834" spans="1:67">
      <c r="A834" s="13" t="s">
        <v>40</v>
      </c>
      <c r="B834" s="13" t="s">
        <v>298</v>
      </c>
      <c r="C834" s="13" t="s">
        <v>43</v>
      </c>
      <c r="D834" s="13" t="s">
        <v>299</v>
      </c>
      <c r="E834" s="13" t="s">
        <v>91</v>
      </c>
      <c r="F834" s="13" t="s">
        <v>587</v>
      </c>
      <c r="G834" s="13" t="s">
        <v>138</v>
      </c>
      <c r="H834" s="13">
        <v>7.6</v>
      </c>
      <c r="I834" s="13">
        <v>547</v>
      </c>
      <c r="J834" s="13" t="s">
        <v>651</v>
      </c>
      <c r="K834" s="13" t="s">
        <v>896</v>
      </c>
      <c r="L834" s="13" t="s">
        <v>897</v>
      </c>
      <c r="M834" s="13" t="s">
        <v>659</v>
      </c>
      <c r="N834" s="13" t="s">
        <v>84</v>
      </c>
      <c r="O834" s="13" t="s">
        <v>644</v>
      </c>
      <c r="P834" s="13" t="s">
        <v>85</v>
      </c>
      <c r="Q834" s="13" t="s">
        <v>48</v>
      </c>
      <c r="R834" s="4">
        <v>5</v>
      </c>
      <c r="S834" s="13" t="s">
        <v>594</v>
      </c>
      <c r="T834" s="13">
        <v>2190</v>
      </c>
      <c r="U834" s="4" t="s">
        <v>300</v>
      </c>
      <c r="V834" s="4">
        <v>500</v>
      </c>
      <c r="W834" s="4" t="s">
        <v>601</v>
      </c>
      <c r="X834" s="4">
        <v>333.2</v>
      </c>
      <c r="Y834" s="4">
        <v>0.75</v>
      </c>
      <c r="AA834" s="4" t="s">
        <v>49</v>
      </c>
      <c r="AB834" s="4">
        <v>0</v>
      </c>
      <c r="AC834" s="4" t="s">
        <v>49</v>
      </c>
      <c r="AD834" s="4">
        <v>0</v>
      </c>
      <c r="AE834" s="4" t="s">
        <v>49</v>
      </c>
      <c r="AF834" s="4">
        <v>0</v>
      </c>
      <c r="AG834" s="4" t="s">
        <v>752</v>
      </c>
      <c r="AH834" s="4" t="s">
        <v>751</v>
      </c>
      <c r="AI834" s="4" t="s">
        <v>271</v>
      </c>
      <c r="AJ834" s="13">
        <v>0</v>
      </c>
      <c r="AK834" s="13">
        <v>20</v>
      </c>
      <c r="AP834" s="13" t="s">
        <v>49</v>
      </c>
      <c r="AQ834" s="13" t="s">
        <v>49</v>
      </c>
      <c r="AR834" s="13" t="s">
        <v>49</v>
      </c>
      <c r="AS834" s="13" t="s">
        <v>49</v>
      </c>
      <c r="AT834" s="13" t="s">
        <v>990</v>
      </c>
      <c r="AU834" s="13" t="s">
        <v>998</v>
      </c>
      <c r="AV834" s="23">
        <f>16.4/1000</f>
        <v>1.6399999999999998E-2</v>
      </c>
      <c r="AW834" s="23">
        <f>9.8/1000</f>
        <v>9.8000000000000014E-3</v>
      </c>
      <c r="AX834" s="14">
        <f>Table1347456[[#This Row],[treatment_mean]]/Table1347456[[#This Row],[control_mean]]</f>
        <v>1.6734693877551017</v>
      </c>
      <c r="AY834" s="14">
        <f>LN(Table1347456[[#This Row],[rr]])</f>
        <v>0.51489894915362633</v>
      </c>
      <c r="AZ834" s="13">
        <v>5</v>
      </c>
      <c r="BA834" s="13">
        <v>5</v>
      </c>
      <c r="BB834" s="14">
        <f>0.1/1000</f>
        <v>1E-4</v>
      </c>
      <c r="BC834" s="14">
        <f>1/1000</f>
        <v>1E-3</v>
      </c>
      <c r="BD834" s="15">
        <f>Table1347456[[#This Row],[treatment_se]]*SQRT(Table1347456[[#This Row],[treatment_n]])</f>
        <v>2.23606797749979E-4</v>
      </c>
      <c r="BE834" s="14">
        <f>Table1347456[[#This Row],[control_se]]*SQRT(Table1347456[[#This Row],[control_n]])</f>
        <v>2.2360679774997899E-3</v>
      </c>
      <c r="BF83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1.0449508446436034E-2</v>
      </c>
      <c r="BG834" s="17">
        <f>SQRT(Table1347456[[#This Row],[v_from_sd_and_n]])</f>
        <v>0.10222283720595919</v>
      </c>
      <c r="BH834" s="13" t="s">
        <v>50</v>
      </c>
      <c r="BI834" s="13">
        <v>2.5000000000000001E-2</v>
      </c>
      <c r="BJ834" s="18">
        <f>ABS(_xlfn.NORM.S.INV(Table1347456[[#This Row],[p_value]]/2))</f>
        <v>2.2414027276049446</v>
      </c>
      <c r="BK834" s="19">
        <f>(Table1347456[[#This Row],[lnrr]]/Table1347456[[#This Row],[z_from_p]])^2</f>
        <v>5.2772080806473783E-2</v>
      </c>
      <c r="BL834" s="16">
        <f>Table1347456[[#This Row],[v_from_sd_and_n]]</f>
        <v>1.0449508446436034E-2</v>
      </c>
      <c r="BM834" s="20">
        <f>SQRT(Table1347456[[#This Row],[v]])</f>
        <v>0.10222283720595919</v>
      </c>
      <c r="BN834" s="20">
        <f>Table1347456[[#This Row],[lnrr]]-(1.96*Table1347456[[#This Row],[se]])</f>
        <v>0.31454218822994628</v>
      </c>
      <c r="BO834" s="20">
        <f>Table1347456[[#This Row],[lnrr]]+(1.96 * Table1347456[[#This Row],[se]])</f>
        <v>0.71525571007730637</v>
      </c>
    </row>
    <row r="835" spans="1:67">
      <c r="A835" s="13" t="s">
        <v>40</v>
      </c>
      <c r="B835" s="13" t="s">
        <v>298</v>
      </c>
      <c r="C835" s="13" t="s">
        <v>43</v>
      </c>
      <c r="D835" s="13" t="s">
        <v>299</v>
      </c>
      <c r="E835" s="13" t="s">
        <v>91</v>
      </c>
      <c r="F835" s="13" t="s">
        <v>587</v>
      </c>
      <c r="G835" s="13" t="s">
        <v>138</v>
      </c>
      <c r="H835" s="13">
        <v>7.6</v>
      </c>
      <c r="I835" s="13">
        <v>547</v>
      </c>
      <c r="J835" s="13" t="s">
        <v>651</v>
      </c>
      <c r="K835" s="13" t="s">
        <v>896</v>
      </c>
      <c r="L835" s="13" t="s">
        <v>897</v>
      </c>
      <c r="M835" s="13" t="s">
        <v>659</v>
      </c>
      <c r="N835" s="13" t="s">
        <v>84</v>
      </c>
      <c r="O835" s="13" t="s">
        <v>644</v>
      </c>
      <c r="P835" s="13" t="s">
        <v>85</v>
      </c>
      <c r="Q835" s="13" t="s">
        <v>48</v>
      </c>
      <c r="R835" s="4">
        <v>5</v>
      </c>
      <c r="S835" s="13" t="s">
        <v>594</v>
      </c>
      <c r="T835" s="13">
        <v>2190</v>
      </c>
      <c r="U835" s="4" t="s">
        <v>300</v>
      </c>
      <c r="V835" s="4">
        <v>500</v>
      </c>
      <c r="W835" s="4" t="s">
        <v>601</v>
      </c>
      <c r="X835" s="4">
        <v>333.2</v>
      </c>
      <c r="Y835" s="4">
        <v>0.75</v>
      </c>
      <c r="AA835" s="4" t="s">
        <v>50</v>
      </c>
      <c r="AB835" s="4">
        <v>83</v>
      </c>
      <c r="AC835" s="4" t="s">
        <v>49</v>
      </c>
      <c r="AD835" s="4">
        <v>0</v>
      </c>
      <c r="AE835" s="4" t="s">
        <v>49</v>
      </c>
      <c r="AF835" s="4">
        <v>0</v>
      </c>
      <c r="AG835" s="4" t="s">
        <v>752</v>
      </c>
      <c r="AH835" s="4" t="s">
        <v>751</v>
      </c>
      <c r="AI835" s="4" t="s">
        <v>271</v>
      </c>
      <c r="AJ835" s="13">
        <v>0</v>
      </c>
      <c r="AK835" s="13">
        <v>20</v>
      </c>
      <c r="AP835" s="13" t="s">
        <v>49</v>
      </c>
      <c r="AQ835" s="13" t="s">
        <v>49</v>
      </c>
      <c r="AR835" s="13" t="s">
        <v>49</v>
      </c>
      <c r="AS835" s="13" t="s">
        <v>49</v>
      </c>
      <c r="AT835" s="13" t="s">
        <v>992</v>
      </c>
      <c r="AU835" s="4" t="s">
        <v>1000</v>
      </c>
      <c r="AV835" s="23">
        <f>30.3/1000</f>
        <v>3.0300000000000001E-2</v>
      </c>
      <c r="AW835" s="23">
        <f>27.4/1000</f>
        <v>2.7399999999999997E-2</v>
      </c>
      <c r="AX835" s="14">
        <f>Table1347456[[#This Row],[treatment_mean]]/Table1347456[[#This Row],[control_mean]]</f>
        <v>1.1058394160583942</v>
      </c>
      <c r="AY835" s="14">
        <f>LN(Table1347456[[#This Row],[rr]])</f>
        <v>0.10060469912129895</v>
      </c>
      <c r="AZ835" s="13">
        <v>5</v>
      </c>
      <c r="BA835" s="13">
        <v>5</v>
      </c>
      <c r="BB835" s="14">
        <f>1.2/1000</f>
        <v>1.1999999999999999E-3</v>
      </c>
      <c r="BC835" s="14">
        <f>3.2/1000</f>
        <v>3.2000000000000002E-3</v>
      </c>
      <c r="BD835" s="15">
        <f>Table1347456[[#This Row],[treatment_se]]*SQRT(Table1347456[[#This Row],[treatment_n]])</f>
        <v>2.6832815729997475E-3</v>
      </c>
      <c r="BE835" s="14">
        <f>Table1347456[[#This Row],[control_se]]*SQRT(Table1347456[[#This Row],[control_n]])</f>
        <v>7.1554175279993281E-3</v>
      </c>
      <c r="BF83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1.5207985640263719E-2</v>
      </c>
      <c r="BG835" s="17">
        <f>SQRT(Table1347456[[#This Row],[v_from_sd_and_n]])</f>
        <v>0.12332066185462888</v>
      </c>
      <c r="BH835" s="13" t="s">
        <v>50</v>
      </c>
      <c r="BI835" s="13">
        <v>2.5000000000000001E-2</v>
      </c>
      <c r="BJ835" s="18">
        <f>ABS(_xlfn.NORM.S.INV(Table1347456[[#This Row],[p_value]]/2))</f>
        <v>2.2414027276049446</v>
      </c>
      <c r="BK835" s="19">
        <f>(Table1347456[[#This Row],[lnrr]]/Table1347456[[#This Row],[z_from_p]])^2</f>
        <v>2.0146366991439786E-3</v>
      </c>
      <c r="BL835" s="16">
        <f>Table1347456[[#This Row],[v_from_sd_and_n]]</f>
        <v>1.5207985640263719E-2</v>
      </c>
      <c r="BM835" s="20">
        <f>SQRT(Table1347456[[#This Row],[v]])</f>
        <v>0.12332066185462888</v>
      </c>
      <c r="BN835" s="20">
        <f>Table1347456[[#This Row],[lnrr]]-(1.96*Table1347456[[#This Row],[se]])</f>
        <v>-0.14110379811377366</v>
      </c>
      <c r="BO835" s="20">
        <f>Table1347456[[#This Row],[lnrr]]+(1.96 * Table1347456[[#This Row],[se]])</f>
        <v>0.34231319635637153</v>
      </c>
    </row>
    <row r="836" spans="1:67">
      <c r="A836" s="13" t="s">
        <v>40</v>
      </c>
      <c r="B836" s="13" t="s">
        <v>298</v>
      </c>
      <c r="C836" s="13" t="s">
        <v>43</v>
      </c>
      <c r="D836" s="13" t="s">
        <v>299</v>
      </c>
      <c r="E836" s="13" t="s">
        <v>91</v>
      </c>
      <c r="F836" s="13" t="s">
        <v>587</v>
      </c>
      <c r="G836" s="13" t="s">
        <v>138</v>
      </c>
      <c r="H836" s="13">
        <v>7.6</v>
      </c>
      <c r="I836" s="13">
        <v>547</v>
      </c>
      <c r="K836" s="13" t="s">
        <v>896</v>
      </c>
      <c r="L836" s="13" t="s">
        <v>897</v>
      </c>
      <c r="N836" s="13" t="s">
        <v>86</v>
      </c>
      <c r="O836" s="13" t="s">
        <v>644</v>
      </c>
      <c r="P836" s="13" t="s">
        <v>85</v>
      </c>
      <c r="Q836" s="13" t="s">
        <v>48</v>
      </c>
      <c r="R836" s="4">
        <v>5</v>
      </c>
      <c r="S836" s="13" t="s">
        <v>594</v>
      </c>
      <c r="T836" s="13">
        <v>2190</v>
      </c>
      <c r="U836" s="4" t="s">
        <v>300</v>
      </c>
      <c r="V836" s="4">
        <v>500</v>
      </c>
      <c r="W836" s="4" t="s">
        <v>601</v>
      </c>
      <c r="X836" s="4">
        <v>333.2</v>
      </c>
      <c r="Y836" s="4">
        <f>225/1000</f>
        <v>0.22500000000000001</v>
      </c>
      <c r="AA836" s="4" t="s">
        <v>49</v>
      </c>
      <c r="AB836" s="4">
        <v>0</v>
      </c>
      <c r="AC836" s="4" t="s">
        <v>49</v>
      </c>
      <c r="AD836" s="4">
        <v>0</v>
      </c>
      <c r="AE836" s="4" t="s">
        <v>49</v>
      </c>
      <c r="AF836" s="4">
        <v>0</v>
      </c>
      <c r="AG836" s="4" t="s">
        <v>752</v>
      </c>
      <c r="AH836" s="4" t="s">
        <v>751</v>
      </c>
      <c r="AI836" s="4" t="s">
        <v>271</v>
      </c>
      <c r="AJ836" s="13">
        <v>0</v>
      </c>
      <c r="AK836" s="13">
        <v>20</v>
      </c>
      <c r="AP836" s="13" t="s">
        <v>49</v>
      </c>
      <c r="AQ836" s="13" t="s">
        <v>49</v>
      </c>
      <c r="AR836" s="13" t="s">
        <v>49</v>
      </c>
      <c r="AS836" s="13" t="s">
        <v>49</v>
      </c>
      <c r="AT836" s="13" t="s">
        <v>990</v>
      </c>
      <c r="AU836" s="13" t="s">
        <v>998</v>
      </c>
      <c r="AV836" s="14">
        <f>73.7/1000</f>
        <v>7.3700000000000002E-2</v>
      </c>
      <c r="AW836" s="14">
        <f>61.7/1000</f>
        <v>6.1700000000000005E-2</v>
      </c>
      <c r="AX836" s="14">
        <f>Table1347456[[#This Row],[treatment_mean]]/Table1347456[[#This Row],[control_mean]]</f>
        <v>1.1944894651539708</v>
      </c>
      <c r="AY836" s="14">
        <f>LN(Table1347456[[#This Row],[rr]])</f>
        <v>0.17771886828394878</v>
      </c>
      <c r="AZ836" s="13">
        <v>5</v>
      </c>
      <c r="BA836" s="13">
        <v>5</v>
      </c>
      <c r="BB836" s="14">
        <f>4.1/1000</f>
        <v>4.0999999999999995E-3</v>
      </c>
      <c r="BC836" s="14">
        <f>0.2/1000</f>
        <v>2.0000000000000001E-4</v>
      </c>
      <c r="BD836" s="15">
        <f>Table1347456[[#This Row],[treatment_se]]*SQRT(Table1347456[[#This Row],[treatment_n]])</f>
        <v>9.1678787077491362E-3</v>
      </c>
      <c r="BE836" s="14">
        <f>Table1347456[[#This Row],[control_se]]*SQRT(Table1347456[[#This Row],[control_n]])</f>
        <v>4.4721359549995801E-4</v>
      </c>
      <c r="BF83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3.1053083300583329E-3</v>
      </c>
      <c r="BG836" s="17">
        <f>SQRT(Table1347456[[#This Row],[v_from_sd_and_n]])</f>
        <v>5.5725293449728312E-2</v>
      </c>
      <c r="BH836" s="13" t="s">
        <v>50</v>
      </c>
      <c r="BI836" s="13">
        <v>2.5000000000000001E-2</v>
      </c>
      <c r="BJ836" s="18">
        <f>ABS(_xlfn.NORM.S.INV(Table1347456[[#This Row],[p_value]]/2))</f>
        <v>2.2414027276049446</v>
      </c>
      <c r="BK836" s="19">
        <f>(Table1347456[[#This Row],[lnrr]]/Table1347456[[#This Row],[z_from_p]])^2</f>
        <v>6.2867658554598381E-3</v>
      </c>
      <c r="BL836" s="16">
        <f>Table1347456[[#This Row],[v_from_sd_and_n]]</f>
        <v>3.1053083300583329E-3</v>
      </c>
      <c r="BM836" s="20">
        <f>SQRT(Table1347456[[#This Row],[v]])</f>
        <v>5.5725293449728312E-2</v>
      </c>
      <c r="BN836" s="20">
        <f>Table1347456[[#This Row],[lnrr]]-(1.96*Table1347456[[#This Row],[se]])</f>
        <v>6.849729312248129E-2</v>
      </c>
      <c r="BO836" s="20">
        <f>Table1347456[[#This Row],[lnrr]]+(1.96 * Table1347456[[#This Row],[se]])</f>
        <v>0.28694044344541625</v>
      </c>
    </row>
    <row r="837" spans="1:67">
      <c r="A837" s="13" t="s">
        <v>40</v>
      </c>
      <c r="B837" s="13" t="s">
        <v>298</v>
      </c>
      <c r="C837" s="13" t="s">
        <v>43</v>
      </c>
      <c r="D837" s="13" t="s">
        <v>299</v>
      </c>
      <c r="E837" s="13" t="s">
        <v>91</v>
      </c>
      <c r="F837" s="13" t="s">
        <v>587</v>
      </c>
      <c r="G837" s="13" t="s">
        <v>138</v>
      </c>
      <c r="H837" s="13">
        <v>7.6</v>
      </c>
      <c r="I837" s="13">
        <v>547</v>
      </c>
      <c r="K837" s="13" t="s">
        <v>896</v>
      </c>
      <c r="L837" s="13" t="s">
        <v>897</v>
      </c>
      <c r="N837" s="13" t="s">
        <v>86</v>
      </c>
      <c r="O837" s="13" t="s">
        <v>644</v>
      </c>
      <c r="P837" s="13" t="s">
        <v>85</v>
      </c>
      <c r="Q837" s="13" t="s">
        <v>48</v>
      </c>
      <c r="R837" s="4">
        <v>5</v>
      </c>
      <c r="S837" s="13" t="s">
        <v>594</v>
      </c>
      <c r="T837" s="13">
        <v>2190</v>
      </c>
      <c r="U837" s="4" t="s">
        <v>300</v>
      </c>
      <c r="V837" s="4">
        <v>500</v>
      </c>
      <c r="W837" s="4" t="s">
        <v>601</v>
      </c>
      <c r="X837" s="4">
        <v>333.2</v>
      </c>
      <c r="Y837" s="4">
        <v>0.75</v>
      </c>
      <c r="AA837" s="4" t="s">
        <v>49</v>
      </c>
      <c r="AB837" s="4">
        <v>0</v>
      </c>
      <c r="AC837" s="4" t="s">
        <v>49</v>
      </c>
      <c r="AD837" s="4">
        <v>0</v>
      </c>
      <c r="AE837" s="4" t="s">
        <v>49</v>
      </c>
      <c r="AF837" s="4">
        <v>0</v>
      </c>
      <c r="AG837" s="4" t="s">
        <v>752</v>
      </c>
      <c r="AH837" s="4" t="s">
        <v>751</v>
      </c>
      <c r="AI837" s="4" t="s">
        <v>271</v>
      </c>
      <c r="AJ837" s="13">
        <v>0</v>
      </c>
      <c r="AK837" s="13">
        <v>20</v>
      </c>
      <c r="AP837" s="13" t="s">
        <v>49</v>
      </c>
      <c r="AQ837" s="13" t="s">
        <v>49</v>
      </c>
      <c r="AR837" s="13" t="s">
        <v>49</v>
      </c>
      <c r="AS837" s="13" t="s">
        <v>49</v>
      </c>
      <c r="AT837" s="13" t="s">
        <v>990</v>
      </c>
      <c r="AU837" s="13" t="s">
        <v>998</v>
      </c>
      <c r="AV837" s="14">
        <f>77.5/1000</f>
        <v>7.7499999999999999E-2</v>
      </c>
      <c r="AW837" s="14">
        <f>61.7/1000</f>
        <v>6.1700000000000005E-2</v>
      </c>
      <c r="AX837" s="14">
        <f>Table1347456[[#This Row],[treatment_mean]]/Table1347456[[#This Row],[control_mean]]</f>
        <v>1.2560777957860614</v>
      </c>
      <c r="AY837" s="14">
        <f>LN(Table1347456[[#This Row],[rr]])</f>
        <v>0.227994005447959</v>
      </c>
      <c r="AZ837" s="13">
        <v>5</v>
      </c>
      <c r="BA837" s="13">
        <v>5</v>
      </c>
      <c r="BB837" s="14">
        <f>3.4/1000</f>
        <v>3.3999999999999998E-3</v>
      </c>
      <c r="BC837" s="14">
        <f>0.2/1000</f>
        <v>2.0000000000000001E-4</v>
      </c>
      <c r="BD837" s="15">
        <f>Table1347456[[#This Row],[treatment_se]]*SQRT(Table1347456[[#This Row],[treatment_n]])</f>
        <v>7.6026311234992849E-3</v>
      </c>
      <c r="BE837" s="14">
        <f>Table1347456[[#This Row],[control_se]]*SQRT(Table1347456[[#This Row],[control_n]])</f>
        <v>4.4721359549995801E-4</v>
      </c>
      <c r="BF83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1.9351690750739096E-3</v>
      </c>
      <c r="BG837" s="17">
        <f>SQRT(Table1347456[[#This Row],[v_from_sd_and_n]])</f>
        <v>4.399055665792273E-2</v>
      </c>
      <c r="BH837" s="13" t="s">
        <v>50</v>
      </c>
      <c r="BI837" s="13">
        <v>2.5000000000000001E-2</v>
      </c>
      <c r="BJ837" s="18">
        <f>ABS(_xlfn.NORM.S.INV(Table1347456[[#This Row],[p_value]]/2))</f>
        <v>2.2414027276049446</v>
      </c>
      <c r="BK837" s="19">
        <f>(Table1347456[[#This Row],[lnrr]]/Table1347456[[#This Row],[z_from_p]])^2</f>
        <v>1.0346824068478026E-2</v>
      </c>
      <c r="BL837" s="16">
        <f>Table1347456[[#This Row],[v_from_sd_and_n]]</f>
        <v>1.9351690750739096E-3</v>
      </c>
      <c r="BM837" s="20">
        <f>SQRT(Table1347456[[#This Row],[v]])</f>
        <v>4.399055665792273E-2</v>
      </c>
      <c r="BN837" s="20">
        <f>Table1347456[[#This Row],[lnrr]]-(1.96*Table1347456[[#This Row],[se]])</f>
        <v>0.14177251439843047</v>
      </c>
      <c r="BO837" s="20">
        <f>Table1347456[[#This Row],[lnrr]]+(1.96 * Table1347456[[#This Row],[se]])</f>
        <v>0.31421549649748753</v>
      </c>
    </row>
    <row r="838" spans="1:67">
      <c r="A838" s="13" t="s">
        <v>40</v>
      </c>
      <c r="B838" s="13" t="s">
        <v>298</v>
      </c>
      <c r="C838" s="13" t="s">
        <v>43</v>
      </c>
      <c r="D838" s="13" t="s">
        <v>299</v>
      </c>
      <c r="E838" s="13" t="s">
        <v>91</v>
      </c>
      <c r="F838" s="13" t="s">
        <v>587</v>
      </c>
      <c r="G838" s="13" t="s">
        <v>138</v>
      </c>
      <c r="H838" s="13">
        <v>7.6</v>
      </c>
      <c r="I838" s="13">
        <v>547</v>
      </c>
      <c r="K838" s="13" t="s">
        <v>896</v>
      </c>
      <c r="L838" s="13" t="s">
        <v>897</v>
      </c>
      <c r="N838" s="13" t="s">
        <v>86</v>
      </c>
      <c r="O838" s="13" t="s">
        <v>644</v>
      </c>
      <c r="P838" s="13" t="s">
        <v>85</v>
      </c>
      <c r="Q838" s="13" t="s">
        <v>48</v>
      </c>
      <c r="R838" s="4">
        <v>5</v>
      </c>
      <c r="S838" s="13" t="s">
        <v>594</v>
      </c>
      <c r="T838" s="13">
        <v>2190</v>
      </c>
      <c r="U838" s="4" t="s">
        <v>300</v>
      </c>
      <c r="V838" s="4">
        <v>500</v>
      </c>
      <c r="W838" s="4" t="s">
        <v>601</v>
      </c>
      <c r="X838" s="4">
        <v>333.2</v>
      </c>
      <c r="Y838" s="4">
        <v>0.75</v>
      </c>
      <c r="AA838" s="4" t="s">
        <v>50</v>
      </c>
      <c r="AB838" s="4">
        <v>83</v>
      </c>
      <c r="AC838" s="4" t="s">
        <v>49</v>
      </c>
      <c r="AD838" s="4">
        <v>0</v>
      </c>
      <c r="AE838" s="4" t="s">
        <v>49</v>
      </c>
      <c r="AF838" s="4">
        <v>0</v>
      </c>
      <c r="AG838" s="4" t="s">
        <v>752</v>
      </c>
      <c r="AH838" s="4" t="s">
        <v>751</v>
      </c>
      <c r="AI838" s="4" t="s">
        <v>271</v>
      </c>
      <c r="AJ838" s="13">
        <v>0</v>
      </c>
      <c r="AK838" s="13">
        <v>20</v>
      </c>
      <c r="AP838" s="13" t="s">
        <v>49</v>
      </c>
      <c r="AQ838" s="13" t="s">
        <v>49</v>
      </c>
      <c r="AR838" s="13" t="s">
        <v>49</v>
      </c>
      <c r="AS838" s="13" t="s">
        <v>49</v>
      </c>
      <c r="AT838" s="13" t="s">
        <v>992</v>
      </c>
      <c r="AU838" s="4" t="s">
        <v>1000</v>
      </c>
      <c r="AV838" s="14">
        <f>101.5/1000</f>
        <v>0.10150000000000001</v>
      </c>
      <c r="AW838" s="14">
        <f>92.2/1000</f>
        <v>9.2200000000000004E-2</v>
      </c>
      <c r="AX838" s="14">
        <f>Table1347456[[#This Row],[treatment_mean]]/Table1347456[[#This Row],[control_mean]]</f>
        <v>1.1008676789587852</v>
      </c>
      <c r="AY838" s="14">
        <f>LN(Table1347456[[#This Row],[rr]])</f>
        <v>9.6098667919293862E-2</v>
      </c>
      <c r="AZ838" s="13">
        <v>5</v>
      </c>
      <c r="BA838" s="13">
        <v>5</v>
      </c>
      <c r="BB838" s="14">
        <f>5.5/1000</f>
        <v>5.4999999999999997E-3</v>
      </c>
      <c r="BC838" s="14">
        <f>2/1000</f>
        <v>2E-3</v>
      </c>
      <c r="BD838" s="15">
        <f>Table1347456[[#This Row],[treatment_se]]*SQRT(Table1347456[[#This Row],[treatment_n]])</f>
        <v>1.2298373876248844E-2</v>
      </c>
      <c r="BE838" s="14">
        <f>Table1347456[[#This Row],[control_se]]*SQRT(Table1347456[[#This Row],[control_n]])</f>
        <v>4.4721359549995798E-3</v>
      </c>
      <c r="BF83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3.4067935243567585E-3</v>
      </c>
      <c r="BG838" s="17">
        <f>SQRT(Table1347456[[#This Row],[v_from_sd_and_n]])</f>
        <v>5.8367743868996326E-2</v>
      </c>
      <c r="BH838" s="13" t="s">
        <v>50</v>
      </c>
      <c r="BI838" s="13">
        <v>2.5000000000000001E-2</v>
      </c>
      <c r="BJ838" s="18">
        <f>ABS(_xlfn.NORM.S.INV(Table1347456[[#This Row],[p_value]]/2))</f>
        <v>2.2414027276049446</v>
      </c>
      <c r="BK838" s="19">
        <f>(Table1347456[[#This Row],[lnrr]]/Table1347456[[#This Row],[z_from_p]])^2</f>
        <v>1.8382092331591059E-3</v>
      </c>
      <c r="BL838" s="16">
        <f>Table1347456[[#This Row],[v_from_sd_and_n]]</f>
        <v>3.4067935243567585E-3</v>
      </c>
      <c r="BM838" s="20">
        <f>SQRT(Table1347456[[#This Row],[v]])</f>
        <v>5.8367743868996326E-2</v>
      </c>
      <c r="BN838" s="20">
        <f>Table1347456[[#This Row],[lnrr]]-(1.96*Table1347456[[#This Row],[se]])</f>
        <v>-1.8302110063938934E-2</v>
      </c>
      <c r="BO838" s="20">
        <f>Table1347456[[#This Row],[lnrr]]+(1.96 * Table1347456[[#This Row],[se]])</f>
        <v>0.21049944590252667</v>
      </c>
    </row>
    <row r="839" spans="1:67">
      <c r="A839" s="13" t="s">
        <v>40</v>
      </c>
      <c r="B839" s="13" t="s">
        <v>298</v>
      </c>
      <c r="C839" s="13" t="s">
        <v>43</v>
      </c>
      <c r="D839" s="13" t="s">
        <v>299</v>
      </c>
      <c r="E839" s="13" t="s">
        <v>91</v>
      </c>
      <c r="F839" s="13" t="s">
        <v>587</v>
      </c>
      <c r="G839" s="13" t="s">
        <v>138</v>
      </c>
      <c r="H839" s="13">
        <v>7.6</v>
      </c>
      <c r="I839" s="13">
        <v>547</v>
      </c>
      <c r="K839" s="13" t="s">
        <v>896</v>
      </c>
      <c r="L839" s="13" t="s">
        <v>897</v>
      </c>
      <c r="N839" s="13" t="s">
        <v>301</v>
      </c>
      <c r="O839" s="13" t="s">
        <v>645</v>
      </c>
      <c r="P839" s="13" t="s">
        <v>48</v>
      </c>
      <c r="Q839" s="13" t="s">
        <v>48</v>
      </c>
      <c r="R839" s="4">
        <v>5</v>
      </c>
      <c r="S839" s="13" t="s">
        <v>594</v>
      </c>
      <c r="T839" s="13">
        <v>2190</v>
      </c>
      <c r="U839" s="4" t="s">
        <v>300</v>
      </c>
      <c r="V839" s="4">
        <v>500</v>
      </c>
      <c r="W839" s="4" t="s">
        <v>601</v>
      </c>
      <c r="X839" s="4">
        <v>333.2</v>
      </c>
      <c r="Y839" s="4">
        <f>225/1000</f>
        <v>0.22500000000000001</v>
      </c>
      <c r="AA839" s="4" t="s">
        <v>49</v>
      </c>
      <c r="AB839" s="4">
        <v>0</v>
      </c>
      <c r="AC839" s="4" t="s">
        <v>49</v>
      </c>
      <c r="AD839" s="4">
        <v>0</v>
      </c>
      <c r="AE839" s="4" t="s">
        <v>49</v>
      </c>
      <c r="AF839" s="4">
        <v>0</v>
      </c>
      <c r="AG839" s="4" t="s">
        <v>752</v>
      </c>
      <c r="AH839" s="4" t="s">
        <v>751</v>
      </c>
      <c r="AI839" s="4" t="s">
        <v>271</v>
      </c>
      <c r="AJ839" s="13">
        <v>0</v>
      </c>
      <c r="AK839" s="13">
        <v>20</v>
      </c>
      <c r="AP839" s="13" t="s">
        <v>49</v>
      </c>
      <c r="AQ839" s="13" t="s">
        <v>49</v>
      </c>
      <c r="AR839" s="13" t="s">
        <v>49</v>
      </c>
      <c r="AS839" s="13" t="s">
        <v>49</v>
      </c>
      <c r="AT839" s="13" t="s">
        <v>990</v>
      </c>
      <c r="AU839" s="13" t="s">
        <v>998</v>
      </c>
      <c r="AV839" s="14">
        <v>18.3</v>
      </c>
      <c r="AW839" s="14">
        <v>17</v>
      </c>
      <c r="AX839" s="14">
        <f>Table1347456[[#This Row],[treatment_mean]]/Table1347456[[#This Row],[control_mean]]</f>
        <v>1.0764705882352941</v>
      </c>
      <c r="AY839" s="14">
        <f>LN(Table1347456[[#This Row],[rr]])</f>
        <v>7.3687715791159125E-2</v>
      </c>
      <c r="AZ839" s="13">
        <v>5</v>
      </c>
      <c r="BA839" s="13">
        <v>5</v>
      </c>
      <c r="BB839" s="14">
        <v>0.5</v>
      </c>
      <c r="BC839" s="14">
        <v>0.3</v>
      </c>
      <c r="BD839" s="15">
        <f>Table1347456[[#This Row],[treatment_se]]*SQRT(Table1347456[[#This Row],[treatment_n]])</f>
        <v>1.1180339887498949</v>
      </c>
      <c r="BE839" s="14">
        <f>Table1347456[[#This Row],[control_se]]*SQRT(Table1347456[[#This Row],[control_n]])</f>
        <v>0.67082039324993692</v>
      </c>
      <c r="BF83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1.0579324657654979E-3</v>
      </c>
      <c r="BG839" s="17">
        <f>SQRT(Table1347456[[#This Row],[v_from_sd_and_n]])</f>
        <v>3.2525873789423364E-2</v>
      </c>
      <c r="BH839" s="13" t="s">
        <v>50</v>
      </c>
      <c r="BI839" s="13">
        <v>2.5000000000000001E-2</v>
      </c>
      <c r="BJ839" s="18">
        <f>ABS(_xlfn.NORM.S.INV(Table1347456[[#This Row],[p_value]]/2))</f>
        <v>2.2414027276049446</v>
      </c>
      <c r="BK839" s="19">
        <f>(Table1347456[[#This Row],[lnrr]]/Table1347456[[#This Row],[z_from_p]])^2</f>
        <v>1.0808125932925937E-3</v>
      </c>
      <c r="BL839" s="16">
        <f>Table1347456[[#This Row],[v_from_sd_and_n]]</f>
        <v>1.0579324657654979E-3</v>
      </c>
      <c r="BM839" s="20">
        <f>SQRT(Table1347456[[#This Row],[v]])</f>
        <v>3.2525873789423364E-2</v>
      </c>
      <c r="BN839" s="20">
        <f>Table1347456[[#This Row],[lnrr]]-(1.96*Table1347456[[#This Row],[se]])</f>
        <v>9.9370031638893325E-3</v>
      </c>
      <c r="BO839" s="20">
        <f>Table1347456[[#This Row],[lnrr]]+(1.96 * Table1347456[[#This Row],[se]])</f>
        <v>0.1374384284184289</v>
      </c>
    </row>
    <row r="840" spans="1:67">
      <c r="A840" s="13" t="s">
        <v>40</v>
      </c>
      <c r="B840" s="13" t="s">
        <v>298</v>
      </c>
      <c r="C840" s="13" t="s">
        <v>43</v>
      </c>
      <c r="D840" s="13" t="s">
        <v>299</v>
      </c>
      <c r="E840" s="13" t="s">
        <v>91</v>
      </c>
      <c r="F840" s="13" t="s">
        <v>587</v>
      </c>
      <c r="G840" s="13" t="s">
        <v>138</v>
      </c>
      <c r="H840" s="13">
        <v>7.6</v>
      </c>
      <c r="I840" s="13">
        <v>547</v>
      </c>
      <c r="K840" s="13" t="s">
        <v>896</v>
      </c>
      <c r="L840" s="13" t="s">
        <v>897</v>
      </c>
      <c r="N840" s="13" t="s">
        <v>301</v>
      </c>
      <c r="O840" s="13" t="s">
        <v>645</v>
      </c>
      <c r="P840" s="13" t="s">
        <v>48</v>
      </c>
      <c r="Q840" s="13" t="s">
        <v>48</v>
      </c>
      <c r="R840" s="4">
        <v>5</v>
      </c>
      <c r="S840" s="13" t="s">
        <v>594</v>
      </c>
      <c r="T840" s="13">
        <v>2190</v>
      </c>
      <c r="U840" s="4" t="s">
        <v>300</v>
      </c>
      <c r="V840" s="4">
        <v>500</v>
      </c>
      <c r="W840" s="4" t="s">
        <v>601</v>
      </c>
      <c r="X840" s="4">
        <v>333.2</v>
      </c>
      <c r="Y840" s="4">
        <v>0.75</v>
      </c>
      <c r="AA840" s="4" t="s">
        <v>49</v>
      </c>
      <c r="AB840" s="4">
        <v>0</v>
      </c>
      <c r="AC840" s="4" t="s">
        <v>49</v>
      </c>
      <c r="AD840" s="4">
        <v>0</v>
      </c>
      <c r="AE840" s="4" t="s">
        <v>49</v>
      </c>
      <c r="AF840" s="4">
        <v>0</v>
      </c>
      <c r="AG840" s="4" t="s">
        <v>752</v>
      </c>
      <c r="AH840" s="4" t="s">
        <v>751</v>
      </c>
      <c r="AI840" s="4" t="s">
        <v>271</v>
      </c>
      <c r="AJ840" s="13">
        <v>0</v>
      </c>
      <c r="AK840" s="13">
        <v>20</v>
      </c>
      <c r="AP840" s="13" t="s">
        <v>49</v>
      </c>
      <c r="AQ840" s="13" t="s">
        <v>49</v>
      </c>
      <c r="AR840" s="13" t="s">
        <v>49</v>
      </c>
      <c r="AS840" s="13" t="s">
        <v>49</v>
      </c>
      <c r="AT840" s="13" t="s">
        <v>990</v>
      </c>
      <c r="AU840" s="13" t="s">
        <v>998</v>
      </c>
      <c r="AV840" s="14">
        <v>18.399999999999999</v>
      </c>
      <c r="AW840" s="14">
        <v>17</v>
      </c>
      <c r="AX840" s="14">
        <f>Table1347456[[#This Row],[treatment_mean]]/Table1347456[[#This Row],[control_mean]]</f>
        <v>1.0823529411764705</v>
      </c>
      <c r="AY840" s="14">
        <f>LN(Table1347456[[#This Row],[rr]])</f>
        <v>7.9137320558723787E-2</v>
      </c>
      <c r="AZ840" s="13">
        <v>5</v>
      </c>
      <c r="BA840" s="13">
        <v>5</v>
      </c>
      <c r="BB840" s="14">
        <v>0.5</v>
      </c>
      <c r="BC840" s="14">
        <v>0.3</v>
      </c>
      <c r="BD840" s="15">
        <f>Table1347456[[#This Row],[treatment_se]]*SQRT(Table1347456[[#This Row],[treatment_n]])</f>
        <v>1.1180339887498949</v>
      </c>
      <c r="BE840" s="14">
        <f>Table1347456[[#This Row],[control_se]]*SQRT(Table1347456[[#This Row],[control_n]])</f>
        <v>0.67082039324993692</v>
      </c>
      <c r="BF84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1.0498402352156254E-3</v>
      </c>
      <c r="BG840" s="17">
        <f>SQRT(Table1347456[[#This Row],[v_from_sd_and_n]])</f>
        <v>3.2401238174113431E-2</v>
      </c>
      <c r="BH840" s="13" t="s">
        <v>50</v>
      </c>
      <c r="BI840" s="13">
        <v>2.5000000000000001E-2</v>
      </c>
      <c r="BJ840" s="18">
        <f>ABS(_xlfn.NORM.S.INV(Table1347456[[#This Row],[p_value]]/2))</f>
        <v>2.2414027276049446</v>
      </c>
      <c r="BK840" s="19">
        <f>(Table1347456[[#This Row],[lnrr]]/Table1347456[[#This Row],[z_from_p]])^2</f>
        <v>1.2465878548417989E-3</v>
      </c>
      <c r="BL840" s="16">
        <f>Table1347456[[#This Row],[v_from_sd_and_n]]</f>
        <v>1.0498402352156254E-3</v>
      </c>
      <c r="BM840" s="20">
        <f>SQRT(Table1347456[[#This Row],[v]])</f>
        <v>3.2401238174113431E-2</v>
      </c>
      <c r="BN840" s="20">
        <f>Table1347456[[#This Row],[lnrr]]-(1.96*Table1347456[[#This Row],[se]])</f>
        <v>1.563089373746146E-2</v>
      </c>
      <c r="BO840" s="20">
        <f>Table1347456[[#This Row],[lnrr]]+(1.96 * Table1347456[[#This Row],[se]])</f>
        <v>0.14264374737998611</v>
      </c>
    </row>
    <row r="841" spans="1:67">
      <c r="A841" s="13" t="s">
        <v>40</v>
      </c>
      <c r="B841" s="13" t="s">
        <v>298</v>
      </c>
      <c r="C841" s="13" t="s">
        <v>43</v>
      </c>
      <c r="D841" s="13" t="s">
        <v>299</v>
      </c>
      <c r="E841" s="13" t="s">
        <v>91</v>
      </c>
      <c r="F841" s="13" t="s">
        <v>587</v>
      </c>
      <c r="G841" s="13" t="s">
        <v>138</v>
      </c>
      <c r="H841" s="13">
        <v>7.6</v>
      </c>
      <c r="I841" s="13">
        <v>547</v>
      </c>
      <c r="K841" s="13" t="s">
        <v>896</v>
      </c>
      <c r="L841" s="13" t="s">
        <v>897</v>
      </c>
      <c r="N841" s="13" t="s">
        <v>301</v>
      </c>
      <c r="O841" s="13" t="s">
        <v>645</v>
      </c>
      <c r="P841" s="13" t="s">
        <v>48</v>
      </c>
      <c r="Q841" s="13" t="s">
        <v>48</v>
      </c>
      <c r="R841" s="4">
        <v>5</v>
      </c>
      <c r="S841" s="13" t="s">
        <v>594</v>
      </c>
      <c r="T841" s="13">
        <v>2190</v>
      </c>
      <c r="U841" s="4" t="s">
        <v>300</v>
      </c>
      <c r="V841" s="4">
        <v>500</v>
      </c>
      <c r="W841" s="4" t="s">
        <v>601</v>
      </c>
      <c r="X841" s="4">
        <v>333.2</v>
      </c>
      <c r="Y841" s="4">
        <v>0.75</v>
      </c>
      <c r="AA841" s="4" t="s">
        <v>50</v>
      </c>
      <c r="AB841" s="4">
        <v>83</v>
      </c>
      <c r="AC841" s="4" t="s">
        <v>49</v>
      </c>
      <c r="AD841" s="4">
        <v>0</v>
      </c>
      <c r="AE841" s="4" t="s">
        <v>49</v>
      </c>
      <c r="AF841" s="4">
        <v>0</v>
      </c>
      <c r="AG841" s="4" t="s">
        <v>752</v>
      </c>
      <c r="AH841" s="4" t="s">
        <v>751</v>
      </c>
      <c r="AI841" s="4" t="s">
        <v>271</v>
      </c>
      <c r="AJ841" s="13">
        <v>0</v>
      </c>
      <c r="AK841" s="13">
        <v>20</v>
      </c>
      <c r="AP841" s="13" t="s">
        <v>49</v>
      </c>
      <c r="AQ841" s="13" t="s">
        <v>49</v>
      </c>
      <c r="AR841" s="13" t="s">
        <v>49</v>
      </c>
      <c r="AS841" s="13" t="s">
        <v>49</v>
      </c>
      <c r="AT841" s="13" t="s">
        <v>992</v>
      </c>
      <c r="AU841" s="4" t="s">
        <v>1000</v>
      </c>
      <c r="AV841" s="14">
        <v>19.8</v>
      </c>
      <c r="AW841" s="14">
        <v>19.3</v>
      </c>
      <c r="AX841" s="14">
        <f>Table1347456[[#This Row],[treatment_mean]]/Table1347456[[#This Row],[control_mean]]</f>
        <v>1.0259067357512954</v>
      </c>
      <c r="AY841" s="14">
        <f>LN(Table1347456[[#This Row],[rr]])</f>
        <v>2.5576841789649776E-2</v>
      </c>
      <c r="AZ841" s="13">
        <v>5</v>
      </c>
      <c r="BA841" s="13">
        <v>5</v>
      </c>
      <c r="BB841" s="14">
        <v>0.1</v>
      </c>
      <c r="BC841" s="14">
        <v>0.6</v>
      </c>
      <c r="BD841" s="15">
        <f>Table1347456[[#This Row],[treatment_se]]*SQRT(Table1347456[[#This Row],[treatment_n]])</f>
        <v>0.22360679774997899</v>
      </c>
      <c r="BE841" s="14">
        <f>Table1347456[[#This Row],[control_se]]*SQRT(Table1347456[[#This Row],[control_n]])</f>
        <v>1.3416407864998738</v>
      </c>
      <c r="BF84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9.919764997590964E-4</v>
      </c>
      <c r="BG841" s="17">
        <f>SQRT(Table1347456[[#This Row],[v_from_sd_and_n]])</f>
        <v>3.149565842714034E-2</v>
      </c>
      <c r="BH841" s="13" t="s">
        <v>50</v>
      </c>
      <c r="BI841" s="13">
        <v>2.5000000000000001E-2</v>
      </c>
      <c r="BJ841" s="18">
        <f>ABS(_xlfn.NORM.S.INV(Table1347456[[#This Row],[p_value]]/2))</f>
        <v>2.2414027276049446</v>
      </c>
      <c r="BK841" s="19">
        <f>(Table1347456[[#This Row],[lnrr]]/Table1347456[[#This Row],[z_from_p]])^2</f>
        <v>1.3021290919856837E-4</v>
      </c>
      <c r="BL841" s="16">
        <f>Table1347456[[#This Row],[v_from_sd_and_n]]</f>
        <v>9.919764997590964E-4</v>
      </c>
      <c r="BM841" s="20">
        <f>SQRT(Table1347456[[#This Row],[v]])</f>
        <v>3.149565842714034E-2</v>
      </c>
      <c r="BN841" s="20">
        <f>Table1347456[[#This Row],[lnrr]]-(1.96*Table1347456[[#This Row],[se]])</f>
        <v>-3.6154648727545285E-2</v>
      </c>
      <c r="BO841" s="20">
        <f>Table1347456[[#This Row],[lnrr]]+(1.96 * Table1347456[[#This Row],[se]])</f>
        <v>8.7308332306844844E-2</v>
      </c>
    </row>
    <row r="842" spans="1:67">
      <c r="A842" s="13" t="s">
        <v>40</v>
      </c>
      <c r="B842" s="13" t="s">
        <v>298</v>
      </c>
      <c r="C842" s="13" t="s">
        <v>43</v>
      </c>
      <c r="D842" s="13" t="s">
        <v>299</v>
      </c>
      <c r="E842" s="13" t="s">
        <v>91</v>
      </c>
      <c r="F842" s="13" t="s">
        <v>587</v>
      </c>
      <c r="G842" s="13" t="s">
        <v>138</v>
      </c>
      <c r="H842" s="13">
        <v>7.6</v>
      </c>
      <c r="I842" s="13">
        <v>547</v>
      </c>
      <c r="J842" s="13" t="s">
        <v>651</v>
      </c>
      <c r="K842" s="13" t="s">
        <v>896</v>
      </c>
      <c r="L842" s="13" t="s">
        <v>897</v>
      </c>
      <c r="M842" s="13" t="s">
        <v>659</v>
      </c>
      <c r="N842" s="13" t="s">
        <v>106</v>
      </c>
      <c r="O842" s="13" t="s">
        <v>645</v>
      </c>
      <c r="P842" s="13" t="s">
        <v>48</v>
      </c>
      <c r="Q842" s="13" t="s">
        <v>48</v>
      </c>
      <c r="R842" s="4">
        <v>5</v>
      </c>
      <c r="S842" s="13" t="s">
        <v>594</v>
      </c>
      <c r="T842" s="13">
        <v>2190</v>
      </c>
      <c r="U842" s="4" t="s">
        <v>300</v>
      </c>
      <c r="V842" s="4">
        <v>500</v>
      </c>
      <c r="W842" s="4" t="s">
        <v>601</v>
      </c>
      <c r="X842" s="4">
        <v>333.2</v>
      </c>
      <c r="Y842" s="4">
        <f>225/1000</f>
        <v>0.22500000000000001</v>
      </c>
      <c r="AA842" s="4" t="s">
        <v>49</v>
      </c>
      <c r="AB842" s="4">
        <v>0</v>
      </c>
      <c r="AC842" s="4" t="s">
        <v>49</v>
      </c>
      <c r="AD842" s="4">
        <v>0</v>
      </c>
      <c r="AE842" s="4" t="s">
        <v>49</v>
      </c>
      <c r="AF842" s="4">
        <v>0</v>
      </c>
      <c r="AG842" s="4" t="s">
        <v>752</v>
      </c>
      <c r="AH842" s="4" t="s">
        <v>751</v>
      </c>
      <c r="AI842" s="4" t="s">
        <v>271</v>
      </c>
      <c r="AJ842" s="13">
        <v>0</v>
      </c>
      <c r="AK842" s="13">
        <v>20</v>
      </c>
      <c r="AP842" s="13" t="s">
        <v>49</v>
      </c>
      <c r="AQ842" s="13" t="s">
        <v>49</v>
      </c>
      <c r="AR842" s="13" t="s">
        <v>49</v>
      </c>
      <c r="AS842" s="13" t="s">
        <v>49</v>
      </c>
      <c r="AT842" s="13" t="s">
        <v>990</v>
      </c>
      <c r="AU842" s="13" t="s">
        <v>998</v>
      </c>
      <c r="AV842" s="23">
        <v>0.56999999999999995</v>
      </c>
      <c r="AW842" s="23">
        <v>0.47</v>
      </c>
      <c r="AX842" s="14">
        <f>Table1347456[[#This Row],[treatment_mean]]/Table1347456[[#This Row],[control_mean]]</f>
        <v>1.2127659574468084</v>
      </c>
      <c r="AY842" s="14">
        <f>LN(Table1347456[[#This Row],[rr]])</f>
        <v>0.19290366612449145</v>
      </c>
      <c r="AZ842" s="13">
        <v>5</v>
      </c>
      <c r="BA842" s="13">
        <v>5</v>
      </c>
      <c r="BB842" s="14">
        <v>0.02</v>
      </c>
      <c r="BC842" s="14">
        <v>0</v>
      </c>
      <c r="BD842" s="15">
        <f>Table1347456[[#This Row],[treatment_se]]*SQRT(Table1347456[[#This Row],[treatment_n]])</f>
        <v>4.4721359549995794E-2</v>
      </c>
      <c r="BE842" s="14">
        <f>Table1347456[[#This Row],[control_se]]*SQRT(Table1347456[[#This Row],[control_n]])</f>
        <v>0</v>
      </c>
      <c r="BF84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1.2311480455524779E-3</v>
      </c>
      <c r="BG842" s="17">
        <f>SQRT(Table1347456[[#This Row],[v_from_sd_and_n]])</f>
        <v>3.5087719298245619E-2</v>
      </c>
      <c r="BH842" s="13" t="s">
        <v>50</v>
      </c>
      <c r="BI842" s="13">
        <v>2.5000000000000001E-2</v>
      </c>
      <c r="BJ842" s="18">
        <f>ABS(_xlfn.NORM.S.INV(Table1347456[[#This Row],[p_value]]/2))</f>
        <v>2.2414027276049446</v>
      </c>
      <c r="BK842" s="19">
        <f>(Table1347456[[#This Row],[lnrr]]/Table1347456[[#This Row],[z_from_p]])^2</f>
        <v>7.4069799786125054E-3</v>
      </c>
      <c r="BL842" s="16">
        <f>Table1347456[[#This Row],[v_from_sd_and_n]]</f>
        <v>1.2311480455524779E-3</v>
      </c>
      <c r="BM842" s="20">
        <f>SQRT(Table1347456[[#This Row],[v]])</f>
        <v>3.5087719298245619E-2</v>
      </c>
      <c r="BN842" s="20">
        <f>Table1347456[[#This Row],[lnrr]]-(1.96*Table1347456[[#This Row],[se]])</f>
        <v>0.12413173629993003</v>
      </c>
      <c r="BO842" s="20">
        <f>Table1347456[[#This Row],[lnrr]]+(1.96 * Table1347456[[#This Row],[se]])</f>
        <v>0.26167559594905287</v>
      </c>
    </row>
    <row r="843" spans="1:67">
      <c r="A843" s="13" t="s">
        <v>40</v>
      </c>
      <c r="B843" s="13" t="s">
        <v>298</v>
      </c>
      <c r="C843" s="13" t="s">
        <v>43</v>
      </c>
      <c r="D843" s="13" t="s">
        <v>299</v>
      </c>
      <c r="E843" s="13" t="s">
        <v>91</v>
      </c>
      <c r="F843" s="13" t="s">
        <v>587</v>
      </c>
      <c r="G843" s="13" t="s">
        <v>138</v>
      </c>
      <c r="H843" s="13">
        <v>7.6</v>
      </c>
      <c r="I843" s="13">
        <v>547</v>
      </c>
      <c r="J843" s="13" t="s">
        <v>651</v>
      </c>
      <c r="K843" s="13" t="s">
        <v>896</v>
      </c>
      <c r="L843" s="13" t="s">
        <v>897</v>
      </c>
      <c r="M843" s="13" t="s">
        <v>659</v>
      </c>
      <c r="N843" s="13" t="s">
        <v>106</v>
      </c>
      <c r="O843" s="13" t="s">
        <v>645</v>
      </c>
      <c r="P843" s="13" t="s">
        <v>48</v>
      </c>
      <c r="Q843" s="13" t="s">
        <v>48</v>
      </c>
      <c r="R843" s="4">
        <v>5</v>
      </c>
      <c r="S843" s="13" t="s">
        <v>594</v>
      </c>
      <c r="T843" s="13">
        <v>2190</v>
      </c>
      <c r="U843" s="4" t="s">
        <v>300</v>
      </c>
      <c r="V843" s="4">
        <v>500</v>
      </c>
      <c r="W843" s="4" t="s">
        <v>601</v>
      </c>
      <c r="X843" s="4">
        <v>333.2</v>
      </c>
      <c r="Y843" s="4">
        <v>0.75</v>
      </c>
      <c r="AA843" s="4" t="s">
        <v>49</v>
      </c>
      <c r="AB843" s="4">
        <v>0</v>
      </c>
      <c r="AC843" s="4" t="s">
        <v>49</v>
      </c>
      <c r="AD843" s="4">
        <v>0</v>
      </c>
      <c r="AE843" s="4" t="s">
        <v>49</v>
      </c>
      <c r="AF843" s="4">
        <v>0</v>
      </c>
      <c r="AG843" s="4" t="s">
        <v>752</v>
      </c>
      <c r="AH843" s="4" t="s">
        <v>751</v>
      </c>
      <c r="AI843" s="4" t="s">
        <v>271</v>
      </c>
      <c r="AJ843" s="13">
        <v>0</v>
      </c>
      <c r="AK843" s="13">
        <v>20</v>
      </c>
      <c r="AP843" s="13" t="s">
        <v>49</v>
      </c>
      <c r="AQ843" s="13" t="s">
        <v>49</v>
      </c>
      <c r="AR843" s="13" t="s">
        <v>49</v>
      </c>
      <c r="AS843" s="13" t="s">
        <v>49</v>
      </c>
      <c r="AT843" s="13" t="s">
        <v>990</v>
      </c>
      <c r="AU843" s="13" t="s">
        <v>998</v>
      </c>
      <c r="AV843" s="23">
        <v>0.61</v>
      </c>
      <c r="AW843" s="23">
        <v>0.47</v>
      </c>
      <c r="AX843" s="14">
        <f>Table1347456[[#This Row],[treatment_mean]]/Table1347456[[#This Row],[control_mean]]</f>
        <v>1.2978723404255319</v>
      </c>
      <c r="AY843" s="14">
        <f>LN(Table1347456[[#This Row],[rr]])</f>
        <v>0.26072626246325264</v>
      </c>
      <c r="AZ843" s="13">
        <v>5</v>
      </c>
      <c r="BA843" s="13">
        <v>5</v>
      </c>
      <c r="BB843" s="14">
        <v>0.01</v>
      </c>
      <c r="BC843" s="14">
        <v>0</v>
      </c>
      <c r="BD843" s="15">
        <f>Table1347456[[#This Row],[treatment_se]]*SQRT(Table1347456[[#This Row],[treatment_n]])</f>
        <v>2.2360679774997897E-2</v>
      </c>
      <c r="BE843" s="14">
        <f>Table1347456[[#This Row],[control_se]]*SQRT(Table1347456[[#This Row],[control_n]])</f>
        <v>0</v>
      </c>
      <c r="BF84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2.6874496103198063E-4</v>
      </c>
      <c r="BG843" s="17">
        <f>SQRT(Table1347456[[#This Row],[v_from_sd_and_n]])</f>
        <v>1.6393442622950821E-2</v>
      </c>
      <c r="BH843" s="13" t="s">
        <v>50</v>
      </c>
      <c r="BI843" s="13">
        <v>2.5000000000000001E-2</v>
      </c>
      <c r="BJ843" s="18">
        <f>ABS(_xlfn.NORM.S.INV(Table1347456[[#This Row],[p_value]]/2))</f>
        <v>2.2414027276049446</v>
      </c>
      <c r="BK843" s="19">
        <f>(Table1347456[[#This Row],[lnrr]]/Table1347456[[#This Row],[z_from_p]])^2</f>
        <v>1.3530996006577364E-2</v>
      </c>
      <c r="BL843" s="16">
        <f>Table1347456[[#This Row],[v_from_sd_and_n]]</f>
        <v>2.6874496103198063E-4</v>
      </c>
      <c r="BM843" s="20">
        <f>SQRT(Table1347456[[#This Row],[v]])</f>
        <v>1.6393442622950821E-2</v>
      </c>
      <c r="BN843" s="20">
        <f>Table1347456[[#This Row],[lnrr]]-(1.96*Table1347456[[#This Row],[se]])</f>
        <v>0.22859511492226903</v>
      </c>
      <c r="BO843" s="20">
        <f>Table1347456[[#This Row],[lnrr]]+(1.96 * Table1347456[[#This Row],[se]])</f>
        <v>0.29285741000423626</v>
      </c>
    </row>
    <row r="844" spans="1:67">
      <c r="A844" s="13" t="s">
        <v>40</v>
      </c>
      <c r="B844" s="13" t="s">
        <v>298</v>
      </c>
      <c r="C844" s="13" t="s">
        <v>43</v>
      </c>
      <c r="D844" s="13" t="s">
        <v>299</v>
      </c>
      <c r="E844" s="13" t="s">
        <v>91</v>
      </c>
      <c r="F844" s="13" t="s">
        <v>587</v>
      </c>
      <c r="G844" s="13" t="s">
        <v>138</v>
      </c>
      <c r="H844" s="13">
        <v>7.6</v>
      </c>
      <c r="I844" s="13">
        <v>547</v>
      </c>
      <c r="J844" s="13" t="s">
        <v>651</v>
      </c>
      <c r="K844" s="13" t="s">
        <v>896</v>
      </c>
      <c r="L844" s="13" t="s">
        <v>897</v>
      </c>
      <c r="M844" s="13" t="s">
        <v>659</v>
      </c>
      <c r="N844" s="13" t="s">
        <v>106</v>
      </c>
      <c r="O844" s="13" t="s">
        <v>645</v>
      </c>
      <c r="P844" s="13" t="s">
        <v>48</v>
      </c>
      <c r="Q844" s="13" t="s">
        <v>48</v>
      </c>
      <c r="R844" s="4">
        <v>5</v>
      </c>
      <c r="S844" s="13" t="s">
        <v>594</v>
      </c>
      <c r="T844" s="13">
        <v>2190</v>
      </c>
      <c r="U844" s="4" t="s">
        <v>300</v>
      </c>
      <c r="V844" s="4">
        <v>500</v>
      </c>
      <c r="W844" s="4" t="s">
        <v>601</v>
      </c>
      <c r="X844" s="4">
        <v>333.2</v>
      </c>
      <c r="Y844" s="4">
        <v>0.75</v>
      </c>
      <c r="AA844" s="4" t="s">
        <v>50</v>
      </c>
      <c r="AB844" s="4">
        <v>83</v>
      </c>
      <c r="AC844" s="4" t="s">
        <v>49</v>
      </c>
      <c r="AD844" s="4">
        <v>0</v>
      </c>
      <c r="AE844" s="4" t="s">
        <v>49</v>
      </c>
      <c r="AF844" s="4">
        <v>0</v>
      </c>
      <c r="AG844" s="4" t="s">
        <v>752</v>
      </c>
      <c r="AH844" s="4" t="s">
        <v>751</v>
      </c>
      <c r="AI844" s="4" t="s">
        <v>271</v>
      </c>
      <c r="AJ844" s="13">
        <v>0</v>
      </c>
      <c r="AK844" s="13">
        <v>20</v>
      </c>
      <c r="AP844" s="13" t="s">
        <v>49</v>
      </c>
      <c r="AQ844" s="13" t="s">
        <v>49</v>
      </c>
      <c r="AR844" s="13" t="s">
        <v>49</v>
      </c>
      <c r="AS844" s="13" t="s">
        <v>49</v>
      </c>
      <c r="AT844" s="13" t="s">
        <v>992</v>
      </c>
      <c r="AU844" s="4" t="s">
        <v>1000</v>
      </c>
      <c r="AV844" s="23">
        <v>0.88</v>
      </c>
      <c r="AW844" s="23">
        <v>0.86</v>
      </c>
      <c r="AX844" s="14">
        <f>Table1347456[[#This Row],[treatment_mean]]/Table1347456[[#This Row],[control_mean]]</f>
        <v>1.0232558139534884</v>
      </c>
      <c r="AY844" s="14">
        <f>LN(Table1347456[[#This Row],[rr]])</f>
        <v>2.2989518224698781E-2</v>
      </c>
      <c r="AZ844" s="13">
        <v>5</v>
      </c>
      <c r="BA844" s="13">
        <v>5</v>
      </c>
      <c r="BB844" s="14">
        <v>0.04</v>
      </c>
      <c r="BC844" s="14">
        <v>0.03</v>
      </c>
      <c r="BD844" s="15">
        <f>Table1347456[[#This Row],[treatment_se]]*SQRT(Table1347456[[#This Row],[treatment_n]])</f>
        <v>8.9442719099991588E-2</v>
      </c>
      <c r="BE844" s="14">
        <f>Table1347456[[#This Row],[control_se]]*SQRT(Table1347456[[#This Row],[control_n]])</f>
        <v>6.7082039324993695E-2</v>
      </c>
      <c r="BF84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3.282989688417684E-3</v>
      </c>
      <c r="BG844" s="17">
        <f>SQRT(Table1347456[[#This Row],[v_from_sd_and_n]])</f>
        <v>5.7297379420159208E-2</v>
      </c>
      <c r="BH844" s="13" t="s">
        <v>50</v>
      </c>
      <c r="BI844" s="13">
        <v>2.5000000000000001E-2</v>
      </c>
      <c r="BJ844" s="18">
        <f>ABS(_xlfn.NORM.S.INV(Table1347456[[#This Row],[p_value]]/2))</f>
        <v>2.2414027276049446</v>
      </c>
      <c r="BK844" s="19">
        <f>(Table1347456[[#This Row],[lnrr]]/Table1347456[[#This Row],[z_from_p]])^2</f>
        <v>1.0520101938977924E-4</v>
      </c>
      <c r="BL844" s="16">
        <f>Table1347456[[#This Row],[v_from_sd_and_n]]</f>
        <v>3.282989688417684E-3</v>
      </c>
      <c r="BM844" s="20">
        <f>SQRT(Table1347456[[#This Row],[v]])</f>
        <v>5.7297379420159208E-2</v>
      </c>
      <c r="BN844" s="20">
        <f>Table1347456[[#This Row],[lnrr]]-(1.96*Table1347456[[#This Row],[se]])</f>
        <v>-8.9313345438813252E-2</v>
      </c>
      <c r="BO844" s="20">
        <f>Table1347456[[#This Row],[lnrr]]+(1.96 * Table1347456[[#This Row],[se]])</f>
        <v>0.13529238188821083</v>
      </c>
    </row>
    <row r="845" spans="1:67">
      <c r="A845" s="13" t="s">
        <v>302</v>
      </c>
      <c r="B845" s="13" t="s">
        <v>303</v>
      </c>
      <c r="C845" s="13" t="s">
        <v>43</v>
      </c>
      <c r="D845" s="13" t="s">
        <v>304</v>
      </c>
      <c r="E845" s="13" t="s">
        <v>305</v>
      </c>
      <c r="F845" s="13" t="s">
        <v>586</v>
      </c>
      <c r="G845" s="13" t="s">
        <v>46</v>
      </c>
      <c r="H845" s="13">
        <v>21.5</v>
      </c>
      <c r="I845" s="13" t="s">
        <v>46</v>
      </c>
      <c r="K845" s="13" t="s">
        <v>898</v>
      </c>
      <c r="L845" s="13" t="s">
        <v>899</v>
      </c>
      <c r="N845" s="13" t="s">
        <v>668</v>
      </c>
      <c r="O845" s="13" t="s">
        <v>668</v>
      </c>
      <c r="P845" s="13" t="s">
        <v>87</v>
      </c>
      <c r="Q845" s="13" t="s">
        <v>87</v>
      </c>
      <c r="R845" s="4">
        <v>5</v>
      </c>
      <c r="S845" s="13" t="s">
        <v>596</v>
      </c>
      <c r="T845" s="13">
        <v>84</v>
      </c>
      <c r="U845" s="4" t="s">
        <v>306</v>
      </c>
      <c r="V845" s="4">
        <v>600</v>
      </c>
      <c r="W845" s="4" t="s">
        <v>602</v>
      </c>
      <c r="X845" s="4">
        <v>535</v>
      </c>
      <c r="Y845" s="4">
        <v>19.600000000000001</v>
      </c>
      <c r="Z845" s="4" t="s">
        <v>489</v>
      </c>
      <c r="AA845" s="4" t="s">
        <v>49</v>
      </c>
      <c r="AB845" s="4">
        <v>0</v>
      </c>
      <c r="AC845" s="4" t="s">
        <v>49</v>
      </c>
      <c r="AD845" s="4">
        <v>0</v>
      </c>
      <c r="AE845" s="4" t="s">
        <v>49</v>
      </c>
      <c r="AF845" s="4">
        <v>0</v>
      </c>
      <c r="AG845" s="4" t="s">
        <v>697</v>
      </c>
      <c r="AH845" s="4" t="s">
        <v>696</v>
      </c>
      <c r="AI845" s="4" t="s">
        <v>64</v>
      </c>
      <c r="AJ845" s="13">
        <v>0</v>
      </c>
      <c r="AK845" s="13">
        <v>14</v>
      </c>
      <c r="AL845" s="13" t="s">
        <v>529</v>
      </c>
      <c r="AO845" s="13" t="s">
        <v>530</v>
      </c>
      <c r="AP845" s="13" t="s">
        <v>50</v>
      </c>
      <c r="AQ845" s="13" t="s">
        <v>49</v>
      </c>
      <c r="AR845" s="13" t="s">
        <v>49</v>
      </c>
      <c r="AS845" s="13" t="s">
        <v>49</v>
      </c>
      <c r="AT845" s="13" t="s">
        <v>990</v>
      </c>
      <c r="AU845" s="13" t="s">
        <v>998</v>
      </c>
      <c r="AV845" s="14">
        <v>5.65</v>
      </c>
      <c r="AW845" s="14">
        <v>5.54</v>
      </c>
      <c r="AX845" s="14">
        <f>Table1347456[[#This Row],[treatment_mean]]/Table1347456[[#This Row],[control_mean]]</f>
        <v>1.0198555956678701</v>
      </c>
      <c r="AY845" s="14">
        <f>LN(Table1347456[[#This Row],[rr]])</f>
        <v>1.9661044399157192E-2</v>
      </c>
      <c r="AZ845" s="13">
        <v>5</v>
      </c>
      <c r="BA845" s="13">
        <v>5</v>
      </c>
      <c r="BB845" s="14" t="s">
        <v>46</v>
      </c>
      <c r="BC845" s="14" t="s">
        <v>46</v>
      </c>
      <c r="BD845" s="15" t="s">
        <v>46</v>
      </c>
      <c r="BE845" s="14" t="s">
        <v>46</v>
      </c>
      <c r="BF84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45" s="17" t="s">
        <v>46</v>
      </c>
      <c r="BH845" s="13" t="s">
        <v>50</v>
      </c>
      <c r="BI845" s="13">
        <v>2.5000000000000001E-2</v>
      </c>
      <c r="BJ845" s="18">
        <f>ABS(_xlfn.NORM.S.INV(Table1347456[[#This Row],[p_value]]/2))</f>
        <v>2.2414027276049446</v>
      </c>
      <c r="BK845" s="19">
        <f>(Table1347456[[#This Row],[lnrr]]/Table1347456[[#This Row],[z_from_p]])^2</f>
        <v>7.6943754785223999E-5</v>
      </c>
      <c r="BL845" s="16">
        <f>Table1347456[[#This Row],[v_from_z_from_p]]</f>
        <v>7.6943754785223999E-5</v>
      </c>
      <c r="BM845" s="20">
        <f>SQRT(Table1347456[[#This Row],[v]])</f>
        <v>8.7717589333738532E-3</v>
      </c>
      <c r="BN845" s="20">
        <f>Table1347456[[#This Row],[lnrr]]-(1.96*Table1347456[[#This Row],[se]])</f>
        <v>2.468396889744439E-3</v>
      </c>
      <c r="BO845" s="20">
        <f>Table1347456[[#This Row],[lnrr]]+(1.96 * Table1347456[[#This Row],[se]])</f>
        <v>3.6853691908569949E-2</v>
      </c>
    </row>
    <row r="846" spans="1:67">
      <c r="A846" s="13" t="s">
        <v>302</v>
      </c>
      <c r="B846" s="13" t="s">
        <v>303</v>
      </c>
      <c r="C846" s="13" t="s">
        <v>43</v>
      </c>
      <c r="D846" s="13" t="s">
        <v>304</v>
      </c>
      <c r="E846" s="13" t="s">
        <v>305</v>
      </c>
      <c r="F846" s="13" t="s">
        <v>586</v>
      </c>
      <c r="G846" s="13" t="s">
        <v>46</v>
      </c>
      <c r="H846" s="13">
        <v>21.5</v>
      </c>
      <c r="I846" s="13" t="s">
        <v>46</v>
      </c>
      <c r="K846" s="13" t="s">
        <v>898</v>
      </c>
      <c r="L846" s="13" t="s">
        <v>899</v>
      </c>
      <c r="N846" s="13" t="s">
        <v>668</v>
      </c>
      <c r="O846" s="13" t="s">
        <v>668</v>
      </c>
      <c r="P846" s="13" t="s">
        <v>87</v>
      </c>
      <c r="Q846" s="13" t="s">
        <v>87</v>
      </c>
      <c r="R846" s="4">
        <v>5</v>
      </c>
      <c r="S846" s="13" t="s">
        <v>596</v>
      </c>
      <c r="T846" s="13">
        <v>84</v>
      </c>
      <c r="U846" s="4" t="s">
        <v>306</v>
      </c>
      <c r="V846" s="4">
        <v>600</v>
      </c>
      <c r="W846" s="4" t="s">
        <v>602</v>
      </c>
      <c r="X846" s="4">
        <v>535</v>
      </c>
      <c r="Y846" s="4">
        <v>98</v>
      </c>
      <c r="Z846" s="4" t="s">
        <v>505</v>
      </c>
      <c r="AA846" s="4" t="s">
        <v>49</v>
      </c>
      <c r="AB846" s="4">
        <v>0</v>
      </c>
      <c r="AC846" s="4" t="s">
        <v>49</v>
      </c>
      <c r="AD846" s="4">
        <v>0</v>
      </c>
      <c r="AE846" s="4" t="s">
        <v>49</v>
      </c>
      <c r="AF846" s="4">
        <v>0</v>
      </c>
      <c r="AG846" s="4" t="s">
        <v>697</v>
      </c>
      <c r="AH846" s="4" t="s">
        <v>696</v>
      </c>
      <c r="AI846" s="4" t="s">
        <v>64</v>
      </c>
      <c r="AJ846" s="13">
        <v>0</v>
      </c>
      <c r="AK846" s="13">
        <v>14</v>
      </c>
      <c r="AL846" s="13" t="s">
        <v>529</v>
      </c>
      <c r="AO846" s="13" t="s">
        <v>530</v>
      </c>
      <c r="AP846" s="13" t="s">
        <v>50</v>
      </c>
      <c r="AQ846" s="13" t="s">
        <v>49</v>
      </c>
      <c r="AR846" s="13" t="s">
        <v>49</v>
      </c>
      <c r="AS846" s="13" t="s">
        <v>49</v>
      </c>
      <c r="AT846" s="13" t="s">
        <v>990</v>
      </c>
      <c r="AU846" s="13" t="s">
        <v>998</v>
      </c>
      <c r="AV846" s="14">
        <v>6.21</v>
      </c>
      <c r="AW846" s="14">
        <v>5.54</v>
      </c>
      <c r="AX846" s="14">
        <f>Table1347456[[#This Row],[treatment_mean]]/Table1347456[[#This Row],[control_mean]]</f>
        <v>1.1209386281588447</v>
      </c>
      <c r="AY846" s="14">
        <f>LN(Table1347456[[#This Row],[rr]])</f>
        <v>0.11416639518619491</v>
      </c>
      <c r="AZ846" s="13">
        <v>5</v>
      </c>
      <c r="BA846" s="13">
        <v>5</v>
      </c>
      <c r="BB846" s="14" t="s">
        <v>46</v>
      </c>
      <c r="BC846" s="14" t="s">
        <v>46</v>
      </c>
      <c r="BD846" s="15" t="s">
        <v>46</v>
      </c>
      <c r="BE846" s="14" t="s">
        <v>46</v>
      </c>
      <c r="BF84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46" s="17" t="s">
        <v>46</v>
      </c>
      <c r="BH846" s="13" t="s">
        <v>50</v>
      </c>
      <c r="BI846" s="13">
        <v>2.5000000000000001E-2</v>
      </c>
      <c r="BJ846" s="18">
        <f>ABS(_xlfn.NORM.S.INV(Table1347456[[#This Row],[p_value]]/2))</f>
        <v>2.2414027276049446</v>
      </c>
      <c r="BK846" s="19">
        <f>(Table1347456[[#This Row],[lnrr]]/Table1347456[[#This Row],[z_from_p]])^2</f>
        <v>2.5943990974000718E-3</v>
      </c>
      <c r="BL846" s="16">
        <f>Table1347456[[#This Row],[v_from_z_from_p]]</f>
        <v>2.5943990974000718E-3</v>
      </c>
      <c r="BM846" s="20">
        <f>SQRT(Table1347456[[#This Row],[v]])</f>
        <v>5.0935244157656413E-2</v>
      </c>
      <c r="BN846" s="20">
        <f>Table1347456[[#This Row],[lnrr]]-(1.96*Table1347456[[#This Row],[se]])</f>
        <v>1.4333316637188342E-2</v>
      </c>
      <c r="BO846" s="20">
        <f>Table1347456[[#This Row],[lnrr]]+(1.96 * Table1347456[[#This Row],[se]])</f>
        <v>0.21399947373520148</v>
      </c>
    </row>
    <row r="847" spans="1:67">
      <c r="A847" s="13" t="s">
        <v>302</v>
      </c>
      <c r="B847" s="13" t="s">
        <v>303</v>
      </c>
      <c r="C847" s="13" t="s">
        <v>43</v>
      </c>
      <c r="D847" s="13" t="s">
        <v>304</v>
      </c>
      <c r="E847" s="13" t="s">
        <v>305</v>
      </c>
      <c r="F847" s="13" t="s">
        <v>586</v>
      </c>
      <c r="G847" s="13" t="s">
        <v>46</v>
      </c>
      <c r="H847" s="13">
        <v>21.5</v>
      </c>
      <c r="I847" s="13" t="s">
        <v>46</v>
      </c>
      <c r="K847" s="13" t="s">
        <v>898</v>
      </c>
      <c r="L847" s="13" t="s">
        <v>899</v>
      </c>
      <c r="N847" s="13" t="s">
        <v>668</v>
      </c>
      <c r="O847" s="13" t="s">
        <v>668</v>
      </c>
      <c r="P847" s="13" t="s">
        <v>87</v>
      </c>
      <c r="Q847" s="13" t="s">
        <v>87</v>
      </c>
      <c r="R847" s="4">
        <v>5</v>
      </c>
      <c r="S847" s="13" t="s">
        <v>596</v>
      </c>
      <c r="T847" s="13">
        <v>84</v>
      </c>
      <c r="U847" s="4" t="s">
        <v>306</v>
      </c>
      <c r="V847" s="4">
        <v>600</v>
      </c>
      <c r="W847" s="4" t="s">
        <v>602</v>
      </c>
      <c r="X847" s="4">
        <v>535</v>
      </c>
      <c r="Y847" s="4">
        <v>196</v>
      </c>
      <c r="Z847" s="4" t="s">
        <v>506</v>
      </c>
      <c r="AA847" s="4" t="s">
        <v>49</v>
      </c>
      <c r="AB847" s="4">
        <v>0</v>
      </c>
      <c r="AC847" s="4" t="s">
        <v>49</v>
      </c>
      <c r="AD847" s="4">
        <v>0</v>
      </c>
      <c r="AE847" s="4" t="s">
        <v>49</v>
      </c>
      <c r="AF847" s="4">
        <v>0</v>
      </c>
      <c r="AG847" s="4" t="s">
        <v>697</v>
      </c>
      <c r="AH847" s="4" t="s">
        <v>696</v>
      </c>
      <c r="AI847" s="4" t="s">
        <v>64</v>
      </c>
      <c r="AJ847" s="13">
        <v>0</v>
      </c>
      <c r="AK847" s="13">
        <v>14</v>
      </c>
      <c r="AL847" s="13" t="s">
        <v>529</v>
      </c>
      <c r="AO847" s="13" t="s">
        <v>530</v>
      </c>
      <c r="AP847" s="13" t="s">
        <v>50</v>
      </c>
      <c r="AQ847" s="13" t="s">
        <v>49</v>
      </c>
      <c r="AR847" s="13" t="s">
        <v>49</v>
      </c>
      <c r="AS847" s="13" t="s">
        <v>49</v>
      </c>
      <c r="AT847" s="13" t="s">
        <v>990</v>
      </c>
      <c r="AU847" s="13" t="s">
        <v>998</v>
      </c>
      <c r="AV847" s="14">
        <v>6.7</v>
      </c>
      <c r="AW847" s="14">
        <v>5.54</v>
      </c>
      <c r="AX847" s="14">
        <f>Table1347456[[#This Row],[treatment_mean]]/Table1347456[[#This Row],[control_mean]]</f>
        <v>1.2093862815884477</v>
      </c>
      <c r="AY847" s="14">
        <f>LN(Table1347456[[#This Row],[rr]])</f>
        <v>0.190113025637728</v>
      </c>
      <c r="AZ847" s="13">
        <v>5</v>
      </c>
      <c r="BA847" s="13">
        <v>5</v>
      </c>
      <c r="BB847" s="14" t="s">
        <v>46</v>
      </c>
      <c r="BC847" s="14" t="s">
        <v>46</v>
      </c>
      <c r="BD847" s="15" t="s">
        <v>46</v>
      </c>
      <c r="BE847" s="14" t="s">
        <v>46</v>
      </c>
      <c r="BF84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47" s="17" t="s">
        <v>46</v>
      </c>
      <c r="BH847" s="13" t="s">
        <v>50</v>
      </c>
      <c r="BI847" s="13">
        <v>2.5000000000000001E-2</v>
      </c>
      <c r="BJ847" s="18">
        <f>ABS(_xlfn.NORM.S.INV(Table1347456[[#This Row],[p_value]]/2))</f>
        <v>2.2414027276049446</v>
      </c>
      <c r="BK847" s="19">
        <f>(Table1347456[[#This Row],[lnrr]]/Table1347456[[#This Row],[z_from_p]])^2</f>
        <v>7.1942239870781662E-3</v>
      </c>
      <c r="BL847" s="16">
        <f>Table1347456[[#This Row],[v_from_z_from_p]]</f>
        <v>7.1942239870781662E-3</v>
      </c>
      <c r="BM847" s="20">
        <f>SQRT(Table1347456[[#This Row],[v]])</f>
        <v>8.4818771431082199E-2</v>
      </c>
      <c r="BN847" s="20">
        <f>Table1347456[[#This Row],[lnrr]]-(1.96*Table1347456[[#This Row],[se]])</f>
        <v>2.3868233632806907E-2</v>
      </c>
      <c r="BO847" s="20">
        <f>Table1347456[[#This Row],[lnrr]]+(1.96 * Table1347456[[#This Row],[se]])</f>
        <v>0.35635781764264907</v>
      </c>
    </row>
    <row r="848" spans="1:67">
      <c r="A848" s="13" t="s">
        <v>302</v>
      </c>
      <c r="B848" s="13" t="s">
        <v>303</v>
      </c>
      <c r="C848" s="13" t="s">
        <v>43</v>
      </c>
      <c r="D848" s="13" t="s">
        <v>304</v>
      </c>
      <c r="E848" s="13" t="s">
        <v>305</v>
      </c>
      <c r="F848" s="13" t="s">
        <v>586</v>
      </c>
      <c r="G848" s="13" t="s">
        <v>46</v>
      </c>
      <c r="H848" s="13">
        <v>21.5</v>
      </c>
      <c r="I848" s="13" t="s">
        <v>46</v>
      </c>
      <c r="K848" s="13" t="s">
        <v>898</v>
      </c>
      <c r="L848" s="13" t="s">
        <v>899</v>
      </c>
      <c r="N848" s="13" t="s">
        <v>86</v>
      </c>
      <c r="O848" s="13" t="s">
        <v>644</v>
      </c>
      <c r="P848" s="13" t="s">
        <v>85</v>
      </c>
      <c r="Q848" s="13" t="s">
        <v>48</v>
      </c>
      <c r="R848" s="4">
        <v>5</v>
      </c>
      <c r="S848" s="13" t="s">
        <v>596</v>
      </c>
      <c r="T848" s="13">
        <v>84</v>
      </c>
      <c r="U848" s="4" t="s">
        <v>306</v>
      </c>
      <c r="V848" s="4">
        <v>600</v>
      </c>
      <c r="W848" s="4" t="s">
        <v>602</v>
      </c>
      <c r="X848" s="4">
        <v>535</v>
      </c>
      <c r="Y848" s="4">
        <v>19.600000000000001</v>
      </c>
      <c r="Z848" s="4" t="s">
        <v>489</v>
      </c>
      <c r="AA848" s="4" t="s">
        <v>49</v>
      </c>
      <c r="AB848" s="4">
        <v>0</v>
      </c>
      <c r="AC848" s="4" t="s">
        <v>49</v>
      </c>
      <c r="AD848" s="4">
        <v>0</v>
      </c>
      <c r="AE848" s="4" t="s">
        <v>49</v>
      </c>
      <c r="AF848" s="4">
        <v>0</v>
      </c>
      <c r="AG848" s="4" t="s">
        <v>697</v>
      </c>
      <c r="AH848" s="4" t="s">
        <v>696</v>
      </c>
      <c r="AI848" s="4" t="s">
        <v>64</v>
      </c>
      <c r="AJ848" s="13">
        <v>0</v>
      </c>
      <c r="AK848" s="13">
        <v>14</v>
      </c>
      <c r="AL848" s="13" t="s">
        <v>529</v>
      </c>
      <c r="AO848" s="13" t="s">
        <v>530</v>
      </c>
      <c r="AP848" s="13" t="s">
        <v>50</v>
      </c>
      <c r="AQ848" s="13" t="s">
        <v>49</v>
      </c>
      <c r="AR848" s="13" t="s">
        <v>49</v>
      </c>
      <c r="AS848" s="13" t="s">
        <v>49</v>
      </c>
      <c r="AT848" s="13" t="s">
        <v>990</v>
      </c>
      <c r="AU848" s="13" t="s">
        <v>998</v>
      </c>
      <c r="AV848" s="14">
        <f>116/1000</f>
        <v>0.11600000000000001</v>
      </c>
      <c r="AW848" s="14">
        <f>42/1000</f>
        <v>4.2000000000000003E-2</v>
      </c>
      <c r="AX848" s="14">
        <f>Table1347456[[#This Row],[treatment_mean]]/Table1347456[[#This Row],[control_mean]]</f>
        <v>2.7619047619047619</v>
      </c>
      <c r="AY848" s="14">
        <f>LN(Table1347456[[#This Row],[rr]])</f>
        <v>1.0159205728229963</v>
      </c>
      <c r="AZ848" s="13">
        <v>5</v>
      </c>
      <c r="BA848" s="13">
        <v>5</v>
      </c>
      <c r="BB848" s="14" t="s">
        <v>46</v>
      </c>
      <c r="BC848" s="14" t="s">
        <v>46</v>
      </c>
      <c r="BD848" s="15" t="s">
        <v>46</v>
      </c>
      <c r="BE848" s="14" t="s">
        <v>46</v>
      </c>
      <c r="BF84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48" s="17" t="s">
        <v>46</v>
      </c>
      <c r="BH848" s="13" t="s">
        <v>50</v>
      </c>
      <c r="BI848" s="13">
        <v>2.5000000000000001E-2</v>
      </c>
      <c r="BJ848" s="18">
        <f>ABS(_xlfn.NORM.S.INV(Table1347456[[#This Row],[p_value]]/2))</f>
        <v>2.2414027276049446</v>
      </c>
      <c r="BK848" s="19">
        <f>(Table1347456[[#This Row],[lnrr]]/Table1347456[[#This Row],[z_from_p]])^2</f>
        <v>0.20543749834361358</v>
      </c>
      <c r="BL848" s="16">
        <f>Table1347456[[#This Row],[v_from_z_from_p]]</f>
        <v>0.20543749834361358</v>
      </c>
      <c r="BM848" s="20">
        <f>SQRT(Table1347456[[#This Row],[v]])</f>
        <v>0.4532521355091596</v>
      </c>
      <c r="BN848" s="20">
        <f>Table1347456[[#This Row],[lnrr]]-(1.96*Table1347456[[#This Row],[se]])</f>
        <v>0.12754638722504352</v>
      </c>
      <c r="BO848" s="20">
        <f>Table1347456[[#This Row],[lnrr]]+(1.96 * Table1347456[[#This Row],[se]])</f>
        <v>1.9042947584209491</v>
      </c>
    </row>
    <row r="849" spans="1:67">
      <c r="A849" s="13" t="s">
        <v>302</v>
      </c>
      <c r="B849" s="13" t="s">
        <v>303</v>
      </c>
      <c r="C849" s="13" t="s">
        <v>43</v>
      </c>
      <c r="D849" s="13" t="s">
        <v>304</v>
      </c>
      <c r="E849" s="13" t="s">
        <v>305</v>
      </c>
      <c r="F849" s="13" t="s">
        <v>586</v>
      </c>
      <c r="G849" s="13" t="s">
        <v>46</v>
      </c>
      <c r="H849" s="13">
        <v>21.5</v>
      </c>
      <c r="I849" s="13" t="s">
        <v>46</v>
      </c>
      <c r="K849" s="13" t="s">
        <v>898</v>
      </c>
      <c r="L849" s="13" t="s">
        <v>899</v>
      </c>
      <c r="N849" s="13" t="s">
        <v>86</v>
      </c>
      <c r="O849" s="13" t="s">
        <v>644</v>
      </c>
      <c r="P849" s="13" t="s">
        <v>85</v>
      </c>
      <c r="Q849" s="13" t="s">
        <v>48</v>
      </c>
      <c r="R849" s="4">
        <v>5</v>
      </c>
      <c r="S849" s="13" t="s">
        <v>596</v>
      </c>
      <c r="T849" s="13">
        <v>84</v>
      </c>
      <c r="U849" s="4" t="s">
        <v>306</v>
      </c>
      <c r="V849" s="4">
        <v>600</v>
      </c>
      <c r="W849" s="4" t="s">
        <v>602</v>
      </c>
      <c r="X849" s="4">
        <v>535</v>
      </c>
      <c r="Y849" s="4">
        <v>98</v>
      </c>
      <c r="Z849" s="4" t="s">
        <v>505</v>
      </c>
      <c r="AA849" s="4" t="s">
        <v>49</v>
      </c>
      <c r="AB849" s="4">
        <v>0</v>
      </c>
      <c r="AC849" s="4" t="s">
        <v>49</v>
      </c>
      <c r="AD849" s="4">
        <v>0</v>
      </c>
      <c r="AE849" s="4" t="s">
        <v>49</v>
      </c>
      <c r="AF849" s="4">
        <v>0</v>
      </c>
      <c r="AG849" s="4" t="s">
        <v>697</v>
      </c>
      <c r="AH849" s="4" t="s">
        <v>696</v>
      </c>
      <c r="AI849" s="4" t="s">
        <v>64</v>
      </c>
      <c r="AJ849" s="13">
        <v>0</v>
      </c>
      <c r="AK849" s="13">
        <v>14</v>
      </c>
      <c r="AL849" s="13" t="s">
        <v>529</v>
      </c>
      <c r="AO849" s="13" t="s">
        <v>530</v>
      </c>
      <c r="AP849" s="13" t="s">
        <v>50</v>
      </c>
      <c r="AQ849" s="13" t="s">
        <v>49</v>
      </c>
      <c r="AR849" s="13" t="s">
        <v>49</v>
      </c>
      <c r="AS849" s="13" t="s">
        <v>49</v>
      </c>
      <c r="AT849" s="13" t="s">
        <v>990</v>
      </c>
      <c r="AU849" s="13" t="s">
        <v>998</v>
      </c>
      <c r="AV849" s="14">
        <f>317/1000</f>
        <v>0.317</v>
      </c>
      <c r="AW849" s="14">
        <f>42/1000</f>
        <v>4.2000000000000003E-2</v>
      </c>
      <c r="AX849" s="14">
        <f>Table1347456[[#This Row],[treatment_mean]]/Table1347456[[#This Row],[control_mean]]</f>
        <v>7.5476190476190474</v>
      </c>
      <c r="AY849" s="14">
        <f>LN(Table1347456[[#This Row],[rr]])</f>
        <v>2.0212321555939123</v>
      </c>
      <c r="AZ849" s="13">
        <v>5</v>
      </c>
      <c r="BA849" s="13">
        <v>5</v>
      </c>
      <c r="BB849" s="14" t="s">
        <v>46</v>
      </c>
      <c r="BC849" s="14" t="s">
        <v>46</v>
      </c>
      <c r="BD849" s="15" t="s">
        <v>46</v>
      </c>
      <c r="BE849" s="14" t="s">
        <v>46</v>
      </c>
      <c r="BF84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49" s="17" t="s">
        <v>46</v>
      </c>
      <c r="BH849" s="13" t="s">
        <v>50</v>
      </c>
      <c r="BI849" s="13">
        <v>2.5000000000000001E-2</v>
      </c>
      <c r="BJ849" s="18">
        <f>ABS(_xlfn.NORM.S.INV(Table1347456[[#This Row],[p_value]]/2))</f>
        <v>2.2414027276049446</v>
      </c>
      <c r="BK849" s="19">
        <f>(Table1347456[[#This Row],[lnrr]]/Table1347456[[#This Row],[z_from_p]])^2</f>
        <v>0.81319107847670491</v>
      </c>
      <c r="BL849" s="16">
        <f>Table1347456[[#This Row],[v_from_z_from_p]]</f>
        <v>0.81319107847670491</v>
      </c>
      <c r="BM849" s="20">
        <f>SQRT(Table1347456[[#This Row],[v]])</f>
        <v>0.90177107875375162</v>
      </c>
      <c r="BN849" s="20">
        <f>Table1347456[[#This Row],[lnrr]]-(1.96*Table1347456[[#This Row],[se]])</f>
        <v>0.25376084123655929</v>
      </c>
      <c r="BO849" s="20">
        <f>Table1347456[[#This Row],[lnrr]]+(1.96 * Table1347456[[#This Row],[se]])</f>
        <v>3.7887034699512654</v>
      </c>
    </row>
    <row r="850" spans="1:67">
      <c r="A850" s="13" t="s">
        <v>302</v>
      </c>
      <c r="B850" s="13" t="s">
        <v>303</v>
      </c>
      <c r="C850" s="13" t="s">
        <v>43</v>
      </c>
      <c r="D850" s="13" t="s">
        <v>304</v>
      </c>
      <c r="E850" s="13" t="s">
        <v>305</v>
      </c>
      <c r="F850" s="13" t="s">
        <v>586</v>
      </c>
      <c r="G850" s="13" t="s">
        <v>46</v>
      </c>
      <c r="H850" s="13">
        <v>21.5</v>
      </c>
      <c r="I850" s="13" t="s">
        <v>46</v>
      </c>
      <c r="K850" s="13" t="s">
        <v>898</v>
      </c>
      <c r="L850" s="13" t="s">
        <v>899</v>
      </c>
      <c r="N850" s="13" t="s">
        <v>86</v>
      </c>
      <c r="O850" s="13" t="s">
        <v>644</v>
      </c>
      <c r="P850" s="13" t="s">
        <v>85</v>
      </c>
      <c r="Q850" s="13" t="s">
        <v>48</v>
      </c>
      <c r="R850" s="4">
        <v>5</v>
      </c>
      <c r="S850" s="13" t="s">
        <v>596</v>
      </c>
      <c r="T850" s="13">
        <v>84</v>
      </c>
      <c r="U850" s="4" t="s">
        <v>306</v>
      </c>
      <c r="V850" s="4">
        <v>600</v>
      </c>
      <c r="W850" s="4" t="s">
        <v>602</v>
      </c>
      <c r="X850" s="4">
        <v>535</v>
      </c>
      <c r="Y850" s="4">
        <v>196</v>
      </c>
      <c r="Z850" s="4" t="s">
        <v>506</v>
      </c>
      <c r="AA850" s="4" t="s">
        <v>49</v>
      </c>
      <c r="AB850" s="4">
        <v>0</v>
      </c>
      <c r="AC850" s="4" t="s">
        <v>49</v>
      </c>
      <c r="AD850" s="4">
        <v>0</v>
      </c>
      <c r="AE850" s="4" t="s">
        <v>49</v>
      </c>
      <c r="AF850" s="4">
        <v>0</v>
      </c>
      <c r="AG850" s="4" t="s">
        <v>697</v>
      </c>
      <c r="AH850" s="4" t="s">
        <v>696</v>
      </c>
      <c r="AI850" s="4" t="s">
        <v>64</v>
      </c>
      <c r="AJ850" s="13">
        <v>0</v>
      </c>
      <c r="AK850" s="13">
        <v>14</v>
      </c>
      <c r="AL850" s="13" t="s">
        <v>529</v>
      </c>
      <c r="AO850" s="13" t="s">
        <v>530</v>
      </c>
      <c r="AP850" s="13" t="s">
        <v>50</v>
      </c>
      <c r="AQ850" s="13" t="s">
        <v>49</v>
      </c>
      <c r="AR850" s="13" t="s">
        <v>49</v>
      </c>
      <c r="AS850" s="13" t="s">
        <v>49</v>
      </c>
      <c r="AT850" s="13" t="s">
        <v>990</v>
      </c>
      <c r="AU850" s="13" t="s">
        <v>998</v>
      </c>
      <c r="AV850" s="14">
        <f>646/1000</f>
        <v>0.64600000000000002</v>
      </c>
      <c r="AW850" s="14">
        <f>42/1000</f>
        <v>4.2000000000000003E-2</v>
      </c>
      <c r="AX850" s="14">
        <f>Table1347456[[#This Row],[treatment_mean]]/Table1347456[[#This Row],[control_mean]]</f>
        <v>15.38095238095238</v>
      </c>
      <c r="AY850" s="14">
        <f>LN(Table1347456[[#This Row],[rr]])</f>
        <v>2.7331298854992334</v>
      </c>
      <c r="AZ850" s="13">
        <v>5</v>
      </c>
      <c r="BA850" s="13">
        <v>5</v>
      </c>
      <c r="BB850" s="14" t="s">
        <v>46</v>
      </c>
      <c r="BC850" s="14" t="s">
        <v>46</v>
      </c>
      <c r="BD850" s="15" t="s">
        <v>46</v>
      </c>
      <c r="BE850" s="14" t="s">
        <v>46</v>
      </c>
      <c r="BF85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50" s="17" t="s">
        <v>46</v>
      </c>
      <c r="BH850" s="13" t="s">
        <v>50</v>
      </c>
      <c r="BI850" s="13">
        <v>2.5000000000000001E-2</v>
      </c>
      <c r="BJ850" s="18">
        <f>ABS(_xlfn.NORM.S.INV(Table1347456[[#This Row],[p_value]]/2))</f>
        <v>2.2414027276049446</v>
      </c>
      <c r="BK850" s="19">
        <f>(Table1347456[[#This Row],[lnrr]]/Table1347456[[#This Row],[z_from_p]])^2</f>
        <v>1.4868965363647182</v>
      </c>
      <c r="BL850" s="16">
        <f>Table1347456[[#This Row],[v_from_z_from_p]]</f>
        <v>1.4868965363647182</v>
      </c>
      <c r="BM850" s="20">
        <f>SQRT(Table1347456[[#This Row],[v]])</f>
        <v>1.2193836706979138</v>
      </c>
      <c r="BN850" s="20">
        <f>Table1347456[[#This Row],[lnrr]]-(1.96*Table1347456[[#This Row],[se]])</f>
        <v>0.34313789093132252</v>
      </c>
      <c r="BO850" s="20">
        <f>Table1347456[[#This Row],[lnrr]]+(1.96 * Table1347456[[#This Row],[se]])</f>
        <v>5.1231218800671439</v>
      </c>
    </row>
    <row r="851" spans="1:67">
      <c r="A851" s="13" t="s">
        <v>302</v>
      </c>
      <c r="B851" s="13" t="s">
        <v>303</v>
      </c>
      <c r="C851" s="13" t="s">
        <v>43</v>
      </c>
      <c r="D851" s="13" t="s">
        <v>304</v>
      </c>
      <c r="E851" s="13" t="s">
        <v>305</v>
      </c>
      <c r="F851" s="13" t="s">
        <v>586</v>
      </c>
      <c r="G851" s="13" t="s">
        <v>46</v>
      </c>
      <c r="H851" s="13">
        <v>21.5</v>
      </c>
      <c r="I851" s="13" t="s">
        <v>46</v>
      </c>
      <c r="J851" s="13" t="s">
        <v>660</v>
      </c>
      <c r="K851" s="13" t="s">
        <v>898</v>
      </c>
      <c r="L851" s="13" t="s">
        <v>899</v>
      </c>
      <c r="M851" s="13" t="s">
        <v>801</v>
      </c>
      <c r="N851" s="13" t="s">
        <v>84</v>
      </c>
      <c r="O851" s="13" t="s">
        <v>644</v>
      </c>
      <c r="P851" s="13" t="s">
        <v>85</v>
      </c>
      <c r="Q851" s="13" t="s">
        <v>48</v>
      </c>
      <c r="R851" s="4">
        <v>5</v>
      </c>
      <c r="S851" s="13" t="s">
        <v>596</v>
      </c>
      <c r="T851" s="13">
        <v>84</v>
      </c>
      <c r="U851" s="4" t="s">
        <v>306</v>
      </c>
      <c r="V851" s="4">
        <v>600</v>
      </c>
      <c r="W851" s="4" t="s">
        <v>602</v>
      </c>
      <c r="X851" s="4">
        <v>535</v>
      </c>
      <c r="Y851" s="4">
        <v>19.600000000000001</v>
      </c>
      <c r="Z851" s="4" t="s">
        <v>489</v>
      </c>
      <c r="AA851" s="4" t="s">
        <v>49</v>
      </c>
      <c r="AB851" s="4">
        <v>0</v>
      </c>
      <c r="AC851" s="4" t="s">
        <v>49</v>
      </c>
      <c r="AD851" s="4">
        <v>0</v>
      </c>
      <c r="AE851" s="4" t="s">
        <v>49</v>
      </c>
      <c r="AF851" s="4">
        <v>0</v>
      </c>
      <c r="AG851" s="4" t="s">
        <v>697</v>
      </c>
      <c r="AH851" s="4" t="s">
        <v>696</v>
      </c>
      <c r="AI851" s="4" t="s">
        <v>64</v>
      </c>
      <c r="AJ851" s="13">
        <v>0</v>
      </c>
      <c r="AK851" s="13">
        <v>14</v>
      </c>
      <c r="AL851" s="13" t="s">
        <v>529</v>
      </c>
      <c r="AO851" s="13" t="s">
        <v>530</v>
      </c>
      <c r="AP851" s="13" t="s">
        <v>50</v>
      </c>
      <c r="AQ851" s="13" t="s">
        <v>49</v>
      </c>
      <c r="AR851" s="13" t="s">
        <v>49</v>
      </c>
      <c r="AS851" s="13" t="s">
        <v>49</v>
      </c>
      <c r="AT851" s="13" t="s">
        <v>990</v>
      </c>
      <c r="AU851" s="13" t="s">
        <v>998</v>
      </c>
      <c r="AV851" s="23">
        <f>17/1000</f>
        <v>1.7000000000000001E-2</v>
      </c>
      <c r="AW851" s="23">
        <f>16/1000</f>
        <v>1.6E-2</v>
      </c>
      <c r="AX851" s="14">
        <f>Table1347456[[#This Row],[treatment_mean]]/Table1347456[[#This Row],[control_mean]]</f>
        <v>1.0625</v>
      </c>
      <c r="AY851" s="14">
        <f>LN(Table1347456[[#This Row],[rr]])</f>
        <v>6.062462181643484E-2</v>
      </c>
      <c r="AZ851" s="13">
        <v>5</v>
      </c>
      <c r="BA851" s="13">
        <v>5</v>
      </c>
      <c r="BB851" s="14" t="s">
        <v>46</v>
      </c>
      <c r="BC851" s="14" t="s">
        <v>46</v>
      </c>
      <c r="BD851" s="15" t="s">
        <v>46</v>
      </c>
      <c r="BE851" s="14" t="s">
        <v>46</v>
      </c>
      <c r="BF85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51" s="17" t="s">
        <v>46</v>
      </c>
      <c r="BH851" s="13" t="s">
        <v>50</v>
      </c>
      <c r="BI851" s="13">
        <v>2.5000000000000001E-2</v>
      </c>
      <c r="BJ851" s="18">
        <f>ABS(_xlfn.NORM.S.INV(Table1347456[[#This Row],[p_value]]/2))</f>
        <v>2.2414027276049446</v>
      </c>
      <c r="BK851" s="19">
        <f>(Table1347456[[#This Row],[lnrr]]/Table1347456[[#This Row],[z_from_p]])^2</f>
        <v>7.3157405111322945E-4</v>
      </c>
      <c r="BL851" s="16">
        <f>Table1347456[[#This Row],[v_from_z_from_p]]</f>
        <v>7.3157405111322945E-4</v>
      </c>
      <c r="BM851" s="20">
        <f>SQRT(Table1347456[[#This Row],[v]])</f>
        <v>2.7047625609528638E-2</v>
      </c>
      <c r="BN851" s="20">
        <f>Table1347456[[#This Row],[lnrr]]-(1.96*Table1347456[[#This Row],[se]])</f>
        <v>7.6112756217587077E-3</v>
      </c>
      <c r="BO851" s="20">
        <f>Table1347456[[#This Row],[lnrr]]+(1.96 * Table1347456[[#This Row],[se]])</f>
        <v>0.11363796801111098</v>
      </c>
    </row>
    <row r="852" spans="1:67">
      <c r="A852" s="13" t="s">
        <v>302</v>
      </c>
      <c r="B852" s="13" t="s">
        <v>303</v>
      </c>
      <c r="C852" s="13" t="s">
        <v>43</v>
      </c>
      <c r="D852" s="13" t="s">
        <v>304</v>
      </c>
      <c r="E852" s="13" t="s">
        <v>305</v>
      </c>
      <c r="F852" s="13" t="s">
        <v>586</v>
      </c>
      <c r="G852" s="13" t="s">
        <v>46</v>
      </c>
      <c r="H852" s="13">
        <v>21.5</v>
      </c>
      <c r="I852" s="13" t="s">
        <v>46</v>
      </c>
      <c r="J852" s="13" t="s">
        <v>660</v>
      </c>
      <c r="K852" s="13" t="s">
        <v>898</v>
      </c>
      <c r="L852" s="13" t="s">
        <v>899</v>
      </c>
      <c r="M852" s="13" t="s">
        <v>801</v>
      </c>
      <c r="N852" s="13" t="s">
        <v>84</v>
      </c>
      <c r="O852" s="13" t="s">
        <v>644</v>
      </c>
      <c r="P852" s="13" t="s">
        <v>85</v>
      </c>
      <c r="Q852" s="13" t="s">
        <v>48</v>
      </c>
      <c r="R852" s="4">
        <v>5</v>
      </c>
      <c r="S852" s="13" t="s">
        <v>596</v>
      </c>
      <c r="T852" s="13">
        <v>84</v>
      </c>
      <c r="U852" s="4" t="s">
        <v>306</v>
      </c>
      <c r="V852" s="4">
        <v>600</v>
      </c>
      <c r="W852" s="4" t="s">
        <v>602</v>
      </c>
      <c r="X852" s="4">
        <v>535</v>
      </c>
      <c r="Y852" s="4">
        <v>98</v>
      </c>
      <c r="Z852" s="4" t="s">
        <v>505</v>
      </c>
      <c r="AA852" s="4" t="s">
        <v>49</v>
      </c>
      <c r="AB852" s="4">
        <v>0</v>
      </c>
      <c r="AC852" s="4" t="s">
        <v>49</v>
      </c>
      <c r="AD852" s="4">
        <v>0</v>
      </c>
      <c r="AE852" s="4" t="s">
        <v>49</v>
      </c>
      <c r="AF852" s="4">
        <v>0</v>
      </c>
      <c r="AG852" s="4" t="s">
        <v>697</v>
      </c>
      <c r="AH852" s="4" t="s">
        <v>696</v>
      </c>
      <c r="AI852" s="4" t="s">
        <v>64</v>
      </c>
      <c r="AJ852" s="13">
        <v>0</v>
      </c>
      <c r="AK852" s="13">
        <v>14</v>
      </c>
      <c r="AL852" s="13" t="s">
        <v>529</v>
      </c>
      <c r="AO852" s="13" t="s">
        <v>530</v>
      </c>
      <c r="AP852" s="13" t="s">
        <v>50</v>
      </c>
      <c r="AQ852" s="13" t="s">
        <v>49</v>
      </c>
      <c r="AR852" s="13" t="s">
        <v>49</v>
      </c>
      <c r="AS852" s="13" t="s">
        <v>49</v>
      </c>
      <c r="AT852" s="13" t="s">
        <v>990</v>
      </c>
      <c r="AU852" s="13" t="s">
        <v>998</v>
      </c>
      <c r="AV852" s="23">
        <f>21/1000</f>
        <v>2.1000000000000001E-2</v>
      </c>
      <c r="AW852" s="23">
        <f>16/1000</f>
        <v>1.6E-2</v>
      </c>
      <c r="AX852" s="14">
        <f>Table1347456[[#This Row],[treatment_mean]]/Table1347456[[#This Row],[control_mean]]</f>
        <v>1.3125</v>
      </c>
      <c r="AY852" s="14">
        <f>LN(Table1347456[[#This Row],[rr]])</f>
        <v>0.27193371548364176</v>
      </c>
      <c r="AZ852" s="13">
        <v>5</v>
      </c>
      <c r="BA852" s="13">
        <v>5</v>
      </c>
      <c r="BB852" s="14" t="s">
        <v>46</v>
      </c>
      <c r="BC852" s="14" t="s">
        <v>46</v>
      </c>
      <c r="BD852" s="15" t="s">
        <v>46</v>
      </c>
      <c r="BE852" s="14" t="s">
        <v>46</v>
      </c>
      <c r="BF85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52" s="17" t="s">
        <v>46</v>
      </c>
      <c r="BH852" s="13" t="s">
        <v>50</v>
      </c>
      <c r="BI852" s="13">
        <v>2.5000000000000001E-2</v>
      </c>
      <c r="BJ852" s="18">
        <f>ABS(_xlfn.NORM.S.INV(Table1347456[[#This Row],[p_value]]/2))</f>
        <v>2.2414027276049446</v>
      </c>
      <c r="BK852" s="19">
        <f>(Table1347456[[#This Row],[lnrr]]/Table1347456[[#This Row],[z_from_p]])^2</f>
        <v>1.4719271667310831E-2</v>
      </c>
      <c r="BL852" s="16">
        <f>Table1347456[[#This Row],[v_from_z_from_p]]</f>
        <v>1.4719271667310831E-2</v>
      </c>
      <c r="BM852" s="20">
        <f>SQRT(Table1347456[[#This Row],[v]])</f>
        <v>0.12132300551548676</v>
      </c>
      <c r="BN852" s="20">
        <f>Table1347456[[#This Row],[lnrr]]-(1.96*Table1347456[[#This Row],[se]])</f>
        <v>3.4140624673287712E-2</v>
      </c>
      <c r="BO852" s="20">
        <f>Table1347456[[#This Row],[lnrr]]+(1.96 * Table1347456[[#This Row],[se]])</f>
        <v>0.5097268062939958</v>
      </c>
    </row>
    <row r="853" spans="1:67">
      <c r="A853" s="13" t="s">
        <v>302</v>
      </c>
      <c r="B853" s="13" t="s">
        <v>303</v>
      </c>
      <c r="C853" s="13" t="s">
        <v>43</v>
      </c>
      <c r="D853" s="13" t="s">
        <v>304</v>
      </c>
      <c r="E853" s="13" t="s">
        <v>305</v>
      </c>
      <c r="F853" s="13" t="s">
        <v>586</v>
      </c>
      <c r="G853" s="13" t="s">
        <v>46</v>
      </c>
      <c r="H853" s="13">
        <v>21.5</v>
      </c>
      <c r="I853" s="13" t="s">
        <v>46</v>
      </c>
      <c r="J853" s="13" t="s">
        <v>660</v>
      </c>
      <c r="K853" s="13" t="s">
        <v>898</v>
      </c>
      <c r="L853" s="13" t="s">
        <v>899</v>
      </c>
      <c r="M853" s="13" t="s">
        <v>801</v>
      </c>
      <c r="N853" s="13" t="s">
        <v>84</v>
      </c>
      <c r="O853" s="13" t="s">
        <v>644</v>
      </c>
      <c r="P853" s="13" t="s">
        <v>85</v>
      </c>
      <c r="Q853" s="13" t="s">
        <v>48</v>
      </c>
      <c r="R853" s="4">
        <v>5</v>
      </c>
      <c r="S853" s="13" t="s">
        <v>596</v>
      </c>
      <c r="T853" s="13">
        <v>84</v>
      </c>
      <c r="U853" s="4" t="s">
        <v>306</v>
      </c>
      <c r="V853" s="4">
        <v>600</v>
      </c>
      <c r="W853" s="4" t="s">
        <v>602</v>
      </c>
      <c r="X853" s="4">
        <v>535</v>
      </c>
      <c r="Y853" s="4">
        <v>196</v>
      </c>
      <c r="Z853" s="4" t="s">
        <v>506</v>
      </c>
      <c r="AA853" s="4" t="s">
        <v>49</v>
      </c>
      <c r="AB853" s="4">
        <v>0</v>
      </c>
      <c r="AC853" s="4" t="s">
        <v>49</v>
      </c>
      <c r="AD853" s="4">
        <v>0</v>
      </c>
      <c r="AE853" s="4" t="s">
        <v>49</v>
      </c>
      <c r="AF853" s="4">
        <v>0</v>
      </c>
      <c r="AG853" s="4" t="s">
        <v>697</v>
      </c>
      <c r="AH853" s="4" t="s">
        <v>696</v>
      </c>
      <c r="AI853" s="4" t="s">
        <v>64</v>
      </c>
      <c r="AJ853" s="13">
        <v>0</v>
      </c>
      <c r="AK853" s="13">
        <v>14</v>
      </c>
      <c r="AL853" s="13" t="s">
        <v>529</v>
      </c>
      <c r="AO853" s="13" t="s">
        <v>530</v>
      </c>
      <c r="AP853" s="13" t="s">
        <v>50</v>
      </c>
      <c r="AQ853" s="13" t="s">
        <v>49</v>
      </c>
      <c r="AR853" s="13" t="s">
        <v>49</v>
      </c>
      <c r="AS853" s="13" t="s">
        <v>49</v>
      </c>
      <c r="AT853" s="13" t="s">
        <v>990</v>
      </c>
      <c r="AU853" s="13" t="s">
        <v>998</v>
      </c>
      <c r="AV853" s="23">
        <f>34/1000</f>
        <v>3.4000000000000002E-2</v>
      </c>
      <c r="AW853" s="23">
        <f>16/1000</f>
        <v>1.6E-2</v>
      </c>
      <c r="AX853" s="14">
        <f>Table1347456[[#This Row],[treatment_mean]]/Table1347456[[#This Row],[control_mean]]</f>
        <v>2.125</v>
      </c>
      <c r="AY853" s="14">
        <f>LN(Table1347456[[#This Row],[rr]])</f>
        <v>0.7537718023763802</v>
      </c>
      <c r="AZ853" s="13">
        <v>5</v>
      </c>
      <c r="BA853" s="13">
        <v>5</v>
      </c>
      <c r="BB853" s="14" t="s">
        <v>46</v>
      </c>
      <c r="BC853" s="14" t="s">
        <v>46</v>
      </c>
      <c r="BD853" s="15" t="s">
        <v>46</v>
      </c>
      <c r="BE853" s="14" t="s">
        <v>46</v>
      </c>
      <c r="BF85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53" s="17" t="s">
        <v>46</v>
      </c>
      <c r="BH853" s="13" t="s">
        <v>50</v>
      </c>
      <c r="BI853" s="13">
        <v>2.5000000000000001E-2</v>
      </c>
      <c r="BJ853" s="18">
        <f>ABS(_xlfn.NORM.S.INV(Table1347456[[#This Row],[p_value]]/2))</f>
        <v>2.2414027276049446</v>
      </c>
      <c r="BK853" s="19">
        <f>(Table1347456[[#This Row],[lnrr]]/Table1347456[[#This Row],[z_from_p]])^2</f>
        <v>0.11309410859910568</v>
      </c>
      <c r="BL853" s="16">
        <f>Table1347456[[#This Row],[v_from_z_from_p]]</f>
        <v>0.11309410859910568</v>
      </c>
      <c r="BM853" s="20">
        <f>SQRT(Table1347456[[#This Row],[v]])</f>
        <v>0.33629467524643575</v>
      </c>
      <c r="BN853" s="20">
        <f>Table1347456[[#This Row],[lnrr]]-(1.96*Table1347456[[#This Row],[se]])</f>
        <v>9.4634238893366196E-2</v>
      </c>
      <c r="BO853" s="20">
        <f>Table1347456[[#This Row],[lnrr]]+(1.96 * Table1347456[[#This Row],[se]])</f>
        <v>1.4129093658593943</v>
      </c>
    </row>
    <row r="854" spans="1:67">
      <c r="A854" s="13" t="s">
        <v>302</v>
      </c>
      <c r="B854" s="13" t="s">
        <v>303</v>
      </c>
      <c r="C854" s="13" t="s">
        <v>43</v>
      </c>
      <c r="D854" s="13" t="s">
        <v>304</v>
      </c>
      <c r="E854" s="13" t="s">
        <v>305</v>
      </c>
      <c r="F854" s="13" t="s">
        <v>586</v>
      </c>
      <c r="G854" s="13" t="s">
        <v>46</v>
      </c>
      <c r="H854" s="13">
        <v>21.5</v>
      </c>
      <c r="I854" s="13" t="s">
        <v>46</v>
      </c>
      <c r="K854" s="13" t="s">
        <v>898</v>
      </c>
      <c r="L854" s="13" t="s">
        <v>899</v>
      </c>
      <c r="N854" s="13" t="s">
        <v>214</v>
      </c>
      <c r="O854" s="13" t="s">
        <v>642</v>
      </c>
      <c r="P854" s="13" t="s">
        <v>48</v>
      </c>
      <c r="Q854" s="13" t="s">
        <v>48</v>
      </c>
      <c r="R854" s="4">
        <v>5</v>
      </c>
      <c r="S854" s="13" t="s">
        <v>596</v>
      </c>
      <c r="T854" s="13">
        <v>84</v>
      </c>
      <c r="U854" s="4" t="s">
        <v>306</v>
      </c>
      <c r="V854" s="4">
        <v>600</v>
      </c>
      <c r="W854" s="4" t="s">
        <v>602</v>
      </c>
      <c r="X854" s="4">
        <v>535</v>
      </c>
      <c r="Y854" s="4">
        <v>19.600000000000001</v>
      </c>
      <c r="Z854" s="4" t="s">
        <v>489</v>
      </c>
      <c r="AA854" s="4" t="s">
        <v>49</v>
      </c>
      <c r="AB854" s="4">
        <v>0</v>
      </c>
      <c r="AC854" s="4" t="s">
        <v>49</v>
      </c>
      <c r="AD854" s="4">
        <v>0</v>
      </c>
      <c r="AE854" s="4" t="s">
        <v>49</v>
      </c>
      <c r="AF854" s="4">
        <v>0</v>
      </c>
      <c r="AG854" s="4" t="s">
        <v>697</v>
      </c>
      <c r="AH854" s="4" t="s">
        <v>696</v>
      </c>
      <c r="AI854" s="4" t="s">
        <v>64</v>
      </c>
      <c r="AJ854" s="13">
        <v>0</v>
      </c>
      <c r="AK854" s="13">
        <v>14</v>
      </c>
      <c r="AL854" s="13" t="s">
        <v>529</v>
      </c>
      <c r="AO854" s="13" t="s">
        <v>530</v>
      </c>
      <c r="AP854" s="13" t="s">
        <v>50</v>
      </c>
      <c r="AQ854" s="13" t="s">
        <v>49</v>
      </c>
      <c r="AR854" s="13" t="s">
        <v>49</v>
      </c>
      <c r="AS854" s="13" t="s">
        <v>49</v>
      </c>
      <c r="AT854" s="13" t="s">
        <v>990</v>
      </c>
      <c r="AU854" s="13" t="s">
        <v>998</v>
      </c>
      <c r="AV854" s="14">
        <v>49.6</v>
      </c>
      <c r="AW854" s="14">
        <v>33.6</v>
      </c>
      <c r="AX854" s="14">
        <f>Table1347456[[#This Row],[treatment_mean]]/Table1347456[[#This Row],[control_mean]]</f>
        <v>1.4761904761904763</v>
      </c>
      <c r="AY854" s="14">
        <f>LN(Table1347456[[#This Row],[rr]])</f>
        <v>0.38946476676172331</v>
      </c>
      <c r="AZ854" s="13">
        <v>5</v>
      </c>
      <c r="BA854" s="13">
        <v>5</v>
      </c>
      <c r="BB854" s="14" t="s">
        <v>46</v>
      </c>
      <c r="BC854" s="14" t="s">
        <v>46</v>
      </c>
      <c r="BD854" s="15" t="s">
        <v>46</v>
      </c>
      <c r="BE854" s="14" t="s">
        <v>46</v>
      </c>
      <c r="BF85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54" s="17" t="s">
        <v>46</v>
      </c>
      <c r="BH854" s="13" t="s">
        <v>50</v>
      </c>
      <c r="BI854" s="13">
        <v>2.5000000000000001E-2</v>
      </c>
      <c r="BJ854" s="18">
        <f>ABS(_xlfn.NORM.S.INV(Table1347456[[#This Row],[p_value]]/2))</f>
        <v>2.2414027276049446</v>
      </c>
      <c r="BK854" s="19">
        <f>(Table1347456[[#This Row],[lnrr]]/Table1347456[[#This Row],[z_from_p]])^2</f>
        <v>3.0192325003650884E-2</v>
      </c>
      <c r="BL854" s="16">
        <f>Table1347456[[#This Row],[v_from_z_from_p]]</f>
        <v>3.0192325003650884E-2</v>
      </c>
      <c r="BM854" s="20">
        <f>SQRT(Table1347456[[#This Row],[v]])</f>
        <v>0.1737593882460769</v>
      </c>
      <c r="BN854" s="20">
        <f>Table1347456[[#This Row],[lnrr]]-(1.96*Table1347456[[#This Row],[se]])</f>
        <v>4.8896365799412589E-2</v>
      </c>
      <c r="BO854" s="20">
        <f>Table1347456[[#This Row],[lnrr]]+(1.96 * Table1347456[[#This Row],[se]])</f>
        <v>0.73003316772403404</v>
      </c>
    </row>
    <row r="855" spans="1:67">
      <c r="A855" s="13" t="s">
        <v>302</v>
      </c>
      <c r="B855" s="13" t="s">
        <v>303</v>
      </c>
      <c r="C855" s="13" t="s">
        <v>43</v>
      </c>
      <c r="D855" s="13" t="s">
        <v>304</v>
      </c>
      <c r="E855" s="13" t="s">
        <v>305</v>
      </c>
      <c r="F855" s="13" t="s">
        <v>586</v>
      </c>
      <c r="G855" s="13" t="s">
        <v>46</v>
      </c>
      <c r="H855" s="13">
        <v>21.5</v>
      </c>
      <c r="I855" s="13" t="s">
        <v>46</v>
      </c>
      <c r="K855" s="13" t="s">
        <v>898</v>
      </c>
      <c r="L855" s="13" t="s">
        <v>899</v>
      </c>
      <c r="N855" s="13" t="s">
        <v>214</v>
      </c>
      <c r="O855" s="13" t="s">
        <v>642</v>
      </c>
      <c r="P855" s="13" t="s">
        <v>48</v>
      </c>
      <c r="Q855" s="13" t="s">
        <v>48</v>
      </c>
      <c r="R855" s="4">
        <v>5</v>
      </c>
      <c r="S855" s="13" t="s">
        <v>596</v>
      </c>
      <c r="T855" s="13">
        <v>84</v>
      </c>
      <c r="U855" s="4" t="s">
        <v>306</v>
      </c>
      <c r="V855" s="4">
        <v>600</v>
      </c>
      <c r="W855" s="4" t="s">
        <v>602</v>
      </c>
      <c r="X855" s="4">
        <v>535</v>
      </c>
      <c r="Y855" s="4">
        <v>98</v>
      </c>
      <c r="Z855" s="4" t="s">
        <v>505</v>
      </c>
      <c r="AA855" s="4" t="s">
        <v>49</v>
      </c>
      <c r="AB855" s="4">
        <v>0</v>
      </c>
      <c r="AC855" s="4" t="s">
        <v>49</v>
      </c>
      <c r="AD855" s="4">
        <v>0</v>
      </c>
      <c r="AE855" s="4" t="s">
        <v>49</v>
      </c>
      <c r="AF855" s="4">
        <v>0</v>
      </c>
      <c r="AG855" s="4" t="s">
        <v>697</v>
      </c>
      <c r="AH855" s="4" t="s">
        <v>696</v>
      </c>
      <c r="AI855" s="4" t="s">
        <v>64</v>
      </c>
      <c r="AJ855" s="13">
        <v>0</v>
      </c>
      <c r="AK855" s="13">
        <v>14</v>
      </c>
      <c r="AL855" s="13" t="s">
        <v>529</v>
      </c>
      <c r="AO855" s="13" t="s">
        <v>530</v>
      </c>
      <c r="AP855" s="13" t="s">
        <v>50</v>
      </c>
      <c r="AQ855" s="13" t="s">
        <v>49</v>
      </c>
      <c r="AR855" s="13" t="s">
        <v>49</v>
      </c>
      <c r="AS855" s="13" t="s">
        <v>49</v>
      </c>
      <c r="AT855" s="13" t="s">
        <v>990</v>
      </c>
      <c r="AU855" s="13" t="s">
        <v>998</v>
      </c>
      <c r="AV855" s="14">
        <v>81.8</v>
      </c>
      <c r="AW855" s="14">
        <v>33.6</v>
      </c>
      <c r="AX855" s="14">
        <f>Table1347456[[#This Row],[treatment_mean]]/Table1347456[[#This Row],[control_mean]]</f>
        <v>2.4345238095238093</v>
      </c>
      <c r="AY855" s="14">
        <f>LN(Table1347456[[#This Row],[rr]])</f>
        <v>0.88975117663954273</v>
      </c>
      <c r="AZ855" s="13">
        <v>5</v>
      </c>
      <c r="BA855" s="13">
        <v>5</v>
      </c>
      <c r="BB855" s="14" t="s">
        <v>46</v>
      </c>
      <c r="BC855" s="14" t="s">
        <v>46</v>
      </c>
      <c r="BD855" s="15" t="s">
        <v>46</v>
      </c>
      <c r="BE855" s="14" t="s">
        <v>46</v>
      </c>
      <c r="BF85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55" s="17" t="s">
        <v>46</v>
      </c>
      <c r="BH855" s="13" t="s">
        <v>50</v>
      </c>
      <c r="BI855" s="13">
        <v>2.5000000000000001E-2</v>
      </c>
      <c r="BJ855" s="18">
        <f>ABS(_xlfn.NORM.S.INV(Table1347456[[#This Row],[p_value]]/2))</f>
        <v>2.2414027276049446</v>
      </c>
      <c r="BK855" s="19">
        <f>(Table1347456[[#This Row],[lnrr]]/Table1347456[[#This Row],[z_from_p]])^2</f>
        <v>0.15757864068066546</v>
      </c>
      <c r="BL855" s="16">
        <f>Table1347456[[#This Row],[v_from_z_from_p]]</f>
        <v>0.15757864068066546</v>
      </c>
      <c r="BM855" s="20">
        <f>SQRT(Table1347456[[#This Row],[v]])</f>
        <v>0.39696176223997376</v>
      </c>
      <c r="BN855" s="20">
        <f>Table1347456[[#This Row],[lnrr]]-(1.96*Table1347456[[#This Row],[se]])</f>
        <v>0.11170612264919422</v>
      </c>
      <c r="BO855" s="20">
        <f>Table1347456[[#This Row],[lnrr]]+(1.96 * Table1347456[[#This Row],[se]])</f>
        <v>1.6677962306298912</v>
      </c>
    </row>
    <row r="856" spans="1:67">
      <c r="A856" s="13" t="s">
        <v>302</v>
      </c>
      <c r="B856" s="13" t="s">
        <v>303</v>
      </c>
      <c r="C856" s="13" t="s">
        <v>43</v>
      </c>
      <c r="D856" s="13" t="s">
        <v>304</v>
      </c>
      <c r="E856" s="13" t="s">
        <v>305</v>
      </c>
      <c r="F856" s="13" t="s">
        <v>586</v>
      </c>
      <c r="G856" s="13" t="s">
        <v>46</v>
      </c>
      <c r="H856" s="13">
        <v>21.5</v>
      </c>
      <c r="I856" s="13" t="s">
        <v>46</v>
      </c>
      <c r="K856" s="13" t="s">
        <v>898</v>
      </c>
      <c r="L856" s="13" t="s">
        <v>899</v>
      </c>
      <c r="N856" s="13" t="s">
        <v>214</v>
      </c>
      <c r="O856" s="13" t="s">
        <v>642</v>
      </c>
      <c r="P856" s="13" t="s">
        <v>48</v>
      </c>
      <c r="Q856" s="13" t="s">
        <v>48</v>
      </c>
      <c r="R856" s="4">
        <v>5</v>
      </c>
      <c r="S856" s="13" t="s">
        <v>596</v>
      </c>
      <c r="T856" s="13">
        <v>84</v>
      </c>
      <c r="U856" s="4" t="s">
        <v>306</v>
      </c>
      <c r="V856" s="4">
        <v>600</v>
      </c>
      <c r="W856" s="4" t="s">
        <v>602</v>
      </c>
      <c r="X856" s="4">
        <v>535</v>
      </c>
      <c r="Y856" s="4">
        <v>196</v>
      </c>
      <c r="Z856" s="4" t="s">
        <v>506</v>
      </c>
      <c r="AA856" s="4" t="s">
        <v>49</v>
      </c>
      <c r="AB856" s="4">
        <v>0</v>
      </c>
      <c r="AC856" s="4" t="s">
        <v>49</v>
      </c>
      <c r="AD856" s="4">
        <v>0</v>
      </c>
      <c r="AE856" s="4" t="s">
        <v>49</v>
      </c>
      <c r="AF856" s="4">
        <v>0</v>
      </c>
      <c r="AG856" s="4" t="s">
        <v>697</v>
      </c>
      <c r="AH856" s="4" t="s">
        <v>696</v>
      </c>
      <c r="AI856" s="4" t="s">
        <v>64</v>
      </c>
      <c r="AJ856" s="13">
        <v>0</v>
      </c>
      <c r="AK856" s="13">
        <v>14</v>
      </c>
      <c r="AL856" s="13" t="s">
        <v>529</v>
      </c>
      <c r="AO856" s="13" t="s">
        <v>530</v>
      </c>
      <c r="AP856" s="13" t="s">
        <v>50</v>
      </c>
      <c r="AQ856" s="13" t="s">
        <v>49</v>
      </c>
      <c r="AR856" s="13" t="s">
        <v>49</v>
      </c>
      <c r="AS856" s="13" t="s">
        <v>49</v>
      </c>
      <c r="AT856" s="13" t="s">
        <v>990</v>
      </c>
      <c r="AU856" s="13" t="s">
        <v>998</v>
      </c>
      <c r="AV856" s="14">
        <v>89.3</v>
      </c>
      <c r="AW856" s="14">
        <v>33.6</v>
      </c>
      <c r="AX856" s="14">
        <f>Table1347456[[#This Row],[treatment_mean]]/Table1347456[[#This Row],[control_mean]]</f>
        <v>2.6577380952380949</v>
      </c>
      <c r="AY856" s="14">
        <f>LN(Table1347456[[#This Row],[rr]])</f>
        <v>0.97747542091329465</v>
      </c>
      <c r="AZ856" s="13">
        <v>5</v>
      </c>
      <c r="BA856" s="13">
        <v>5</v>
      </c>
      <c r="BB856" s="14" t="s">
        <v>46</v>
      </c>
      <c r="BC856" s="14" t="s">
        <v>46</v>
      </c>
      <c r="BD856" s="15" t="s">
        <v>46</v>
      </c>
      <c r="BE856" s="14" t="s">
        <v>46</v>
      </c>
      <c r="BF85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56" s="17" t="s">
        <v>46</v>
      </c>
      <c r="BH856" s="13" t="s">
        <v>50</v>
      </c>
      <c r="BI856" s="13">
        <v>2.5000000000000001E-2</v>
      </c>
      <c r="BJ856" s="18">
        <f>ABS(_xlfn.NORM.S.INV(Table1347456[[#This Row],[p_value]]/2))</f>
        <v>2.2414027276049446</v>
      </c>
      <c r="BK856" s="19">
        <f>(Table1347456[[#This Row],[lnrr]]/Table1347456[[#This Row],[z_from_p]])^2</f>
        <v>0.19018308991595326</v>
      </c>
      <c r="BL856" s="16">
        <f>Table1347456[[#This Row],[v_from_z_from_p]]</f>
        <v>0.19018308991595326</v>
      </c>
      <c r="BM856" s="20">
        <f>SQRT(Table1347456[[#This Row],[v]])</f>
        <v>0.43609986232049336</v>
      </c>
      <c r="BN856" s="20">
        <f>Table1347456[[#This Row],[lnrr]]-(1.96*Table1347456[[#This Row],[se]])</f>
        <v>0.12271969076512768</v>
      </c>
      <c r="BO856" s="20">
        <f>Table1347456[[#This Row],[lnrr]]+(1.96 * Table1347456[[#This Row],[se]])</f>
        <v>1.8322311510614617</v>
      </c>
    </row>
    <row r="857" spans="1:67">
      <c r="A857" s="13" t="s">
        <v>302</v>
      </c>
      <c r="B857" s="13" t="s">
        <v>303</v>
      </c>
      <c r="C857" s="13" t="s">
        <v>43</v>
      </c>
      <c r="D857" s="13" t="s">
        <v>304</v>
      </c>
      <c r="E857" s="13" t="s">
        <v>305</v>
      </c>
      <c r="F857" s="13" t="s">
        <v>586</v>
      </c>
      <c r="G857" s="13" t="s">
        <v>46</v>
      </c>
      <c r="H857" s="13">
        <v>21.5</v>
      </c>
      <c r="I857" s="13" t="s">
        <v>46</v>
      </c>
      <c r="K857" s="13" t="s">
        <v>898</v>
      </c>
      <c r="L857" s="13" t="s">
        <v>899</v>
      </c>
      <c r="N857" s="13" t="s">
        <v>307</v>
      </c>
      <c r="O857" s="13" t="s">
        <v>642</v>
      </c>
      <c r="P857" s="13" t="s">
        <v>48</v>
      </c>
      <c r="Q857" s="13" t="s">
        <v>48</v>
      </c>
      <c r="R857" s="4">
        <v>5</v>
      </c>
      <c r="S857" s="13" t="s">
        <v>596</v>
      </c>
      <c r="T857" s="13">
        <v>84</v>
      </c>
      <c r="U857" s="4" t="s">
        <v>306</v>
      </c>
      <c r="V857" s="4">
        <v>600</v>
      </c>
      <c r="W857" s="4" t="s">
        <v>602</v>
      </c>
      <c r="X857" s="4">
        <v>535</v>
      </c>
      <c r="Y857" s="4">
        <v>19.600000000000001</v>
      </c>
      <c r="Z857" s="4" t="s">
        <v>489</v>
      </c>
      <c r="AA857" s="4" t="s">
        <v>49</v>
      </c>
      <c r="AB857" s="4">
        <v>0</v>
      </c>
      <c r="AC857" s="4" t="s">
        <v>49</v>
      </c>
      <c r="AD857" s="4">
        <v>0</v>
      </c>
      <c r="AE857" s="4" t="s">
        <v>49</v>
      </c>
      <c r="AF857" s="4">
        <v>0</v>
      </c>
      <c r="AG857" s="4" t="s">
        <v>697</v>
      </c>
      <c r="AH857" s="4" t="s">
        <v>696</v>
      </c>
      <c r="AI857" s="4" t="s">
        <v>64</v>
      </c>
      <c r="AJ857" s="13">
        <v>0</v>
      </c>
      <c r="AK857" s="13">
        <v>14</v>
      </c>
      <c r="AL857" s="13" t="s">
        <v>529</v>
      </c>
      <c r="AO857" s="13" t="s">
        <v>530</v>
      </c>
      <c r="AP857" s="13" t="s">
        <v>50</v>
      </c>
      <c r="AQ857" s="13" t="s">
        <v>49</v>
      </c>
      <c r="AR857" s="13" t="s">
        <v>49</v>
      </c>
      <c r="AS857" s="13" t="s">
        <v>49</v>
      </c>
      <c r="AT857" s="13" t="s">
        <v>990</v>
      </c>
      <c r="AU857" s="13" t="s">
        <v>998</v>
      </c>
      <c r="AV857" s="14">
        <v>2.9</v>
      </c>
      <c r="AW857" s="14">
        <v>2.5</v>
      </c>
      <c r="AX857" s="14">
        <f>Table1347456[[#This Row],[treatment_mean]]/Table1347456[[#This Row],[control_mean]]</f>
        <v>1.1599999999999999</v>
      </c>
      <c r="AY857" s="14">
        <f>LN(Table1347456[[#This Row],[rr]])</f>
        <v>0.14842000511827322</v>
      </c>
      <c r="AZ857" s="13">
        <v>5</v>
      </c>
      <c r="BA857" s="13">
        <v>5</v>
      </c>
      <c r="BB857" s="14" t="s">
        <v>46</v>
      </c>
      <c r="BC857" s="14" t="s">
        <v>46</v>
      </c>
      <c r="BD857" s="15" t="s">
        <v>46</v>
      </c>
      <c r="BE857" s="14" t="s">
        <v>46</v>
      </c>
      <c r="BF85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57" s="17" t="s">
        <v>46</v>
      </c>
      <c r="BH857" s="13" t="s">
        <v>50</v>
      </c>
      <c r="BI857" s="13">
        <v>2.5000000000000001E-2</v>
      </c>
      <c r="BJ857" s="18">
        <f>ABS(_xlfn.NORM.S.INV(Table1347456[[#This Row],[p_value]]/2))</f>
        <v>2.2414027276049446</v>
      </c>
      <c r="BK857" s="19">
        <f>(Table1347456[[#This Row],[lnrr]]/Table1347456[[#This Row],[z_from_p]])^2</f>
        <v>4.3847525795726299E-3</v>
      </c>
      <c r="BL857" s="16">
        <f>Table1347456[[#This Row],[v_from_z_from_p]]</f>
        <v>4.3847525795726299E-3</v>
      </c>
      <c r="BM857" s="20">
        <f>SQRT(Table1347456[[#This Row],[v]])</f>
        <v>6.6217464309445057E-2</v>
      </c>
      <c r="BN857" s="20">
        <f>Table1347456[[#This Row],[lnrr]]-(1.96*Table1347456[[#This Row],[se]])</f>
        <v>1.8633775071760922E-2</v>
      </c>
      <c r="BO857" s="20">
        <f>Table1347456[[#This Row],[lnrr]]+(1.96 * Table1347456[[#This Row],[se]])</f>
        <v>0.27820623516478549</v>
      </c>
    </row>
    <row r="858" spans="1:67">
      <c r="A858" s="13" t="s">
        <v>302</v>
      </c>
      <c r="B858" s="13" t="s">
        <v>303</v>
      </c>
      <c r="C858" s="13" t="s">
        <v>43</v>
      </c>
      <c r="D858" s="13" t="s">
        <v>304</v>
      </c>
      <c r="E858" s="13" t="s">
        <v>305</v>
      </c>
      <c r="F858" s="13" t="s">
        <v>586</v>
      </c>
      <c r="G858" s="13" t="s">
        <v>46</v>
      </c>
      <c r="H858" s="13">
        <v>21.5</v>
      </c>
      <c r="I858" s="13" t="s">
        <v>46</v>
      </c>
      <c r="K858" s="13" t="s">
        <v>898</v>
      </c>
      <c r="L858" s="13" t="s">
        <v>899</v>
      </c>
      <c r="N858" s="13" t="s">
        <v>307</v>
      </c>
      <c r="O858" s="13" t="s">
        <v>642</v>
      </c>
      <c r="P858" s="13" t="s">
        <v>48</v>
      </c>
      <c r="Q858" s="13" t="s">
        <v>48</v>
      </c>
      <c r="R858" s="4">
        <v>5</v>
      </c>
      <c r="S858" s="13" t="s">
        <v>596</v>
      </c>
      <c r="T858" s="13">
        <v>84</v>
      </c>
      <c r="U858" s="4" t="s">
        <v>306</v>
      </c>
      <c r="V858" s="4">
        <v>600</v>
      </c>
      <c r="W858" s="4" t="s">
        <v>602</v>
      </c>
      <c r="X858" s="4">
        <v>535</v>
      </c>
      <c r="Y858" s="4">
        <v>98</v>
      </c>
      <c r="Z858" s="4" t="s">
        <v>505</v>
      </c>
      <c r="AA858" s="4" t="s">
        <v>49</v>
      </c>
      <c r="AB858" s="4">
        <v>0</v>
      </c>
      <c r="AC858" s="4" t="s">
        <v>49</v>
      </c>
      <c r="AD858" s="4">
        <v>0</v>
      </c>
      <c r="AE858" s="4" t="s">
        <v>49</v>
      </c>
      <c r="AF858" s="4">
        <v>0</v>
      </c>
      <c r="AG858" s="4" t="s">
        <v>697</v>
      </c>
      <c r="AH858" s="4" t="s">
        <v>696</v>
      </c>
      <c r="AI858" s="4" t="s">
        <v>64</v>
      </c>
      <c r="AJ858" s="13">
        <v>0</v>
      </c>
      <c r="AK858" s="13">
        <v>14</v>
      </c>
      <c r="AL858" s="13" t="s">
        <v>529</v>
      </c>
      <c r="AO858" s="13" t="s">
        <v>530</v>
      </c>
      <c r="AP858" s="13" t="s">
        <v>50</v>
      </c>
      <c r="AQ858" s="13" t="s">
        <v>49</v>
      </c>
      <c r="AR858" s="13" t="s">
        <v>49</v>
      </c>
      <c r="AS858" s="13" t="s">
        <v>49</v>
      </c>
      <c r="AT858" s="13" t="s">
        <v>990</v>
      </c>
      <c r="AU858" s="13" t="s">
        <v>998</v>
      </c>
      <c r="AV858" s="14">
        <v>3.5</v>
      </c>
      <c r="AW858" s="14">
        <v>2.5</v>
      </c>
      <c r="AX858" s="14">
        <f>Table1347456[[#This Row],[treatment_mean]]/Table1347456[[#This Row],[control_mean]]</f>
        <v>1.4</v>
      </c>
      <c r="AY858" s="14">
        <f>LN(Table1347456[[#This Row],[rr]])</f>
        <v>0.33647223662121289</v>
      </c>
      <c r="AZ858" s="13">
        <v>5</v>
      </c>
      <c r="BA858" s="13">
        <v>5</v>
      </c>
      <c r="BB858" s="14" t="s">
        <v>46</v>
      </c>
      <c r="BC858" s="14" t="s">
        <v>46</v>
      </c>
      <c r="BD858" s="15" t="s">
        <v>46</v>
      </c>
      <c r="BE858" s="14" t="s">
        <v>46</v>
      </c>
      <c r="BF85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58" s="17" t="s">
        <v>46</v>
      </c>
      <c r="BH858" s="13" t="s">
        <v>50</v>
      </c>
      <c r="BI858" s="13">
        <v>2.5000000000000001E-2</v>
      </c>
      <c r="BJ858" s="18">
        <f>ABS(_xlfn.NORM.S.INV(Table1347456[[#This Row],[p_value]]/2))</f>
        <v>2.2414027276049446</v>
      </c>
      <c r="BK858" s="19">
        <f>(Table1347456[[#This Row],[lnrr]]/Table1347456[[#This Row],[z_from_p]])^2</f>
        <v>2.2535057880638549E-2</v>
      </c>
      <c r="BL858" s="16">
        <f>Table1347456[[#This Row],[v_from_z_from_p]]</f>
        <v>2.2535057880638549E-2</v>
      </c>
      <c r="BM858" s="20">
        <f>SQRT(Table1347456[[#This Row],[v]])</f>
        <v>0.15011681411700206</v>
      </c>
      <c r="BN858" s="20">
        <f>Table1347456[[#This Row],[lnrr]]-(1.96*Table1347456[[#This Row],[se]])</f>
        <v>4.224328095188884E-2</v>
      </c>
      <c r="BO858" s="20">
        <f>Table1347456[[#This Row],[lnrr]]+(1.96 * Table1347456[[#This Row],[se]])</f>
        <v>0.630701192290537</v>
      </c>
    </row>
    <row r="859" spans="1:67">
      <c r="A859" s="13" t="s">
        <v>302</v>
      </c>
      <c r="B859" s="13" t="s">
        <v>303</v>
      </c>
      <c r="C859" s="13" t="s">
        <v>43</v>
      </c>
      <c r="D859" s="13" t="s">
        <v>304</v>
      </c>
      <c r="E859" s="13" t="s">
        <v>305</v>
      </c>
      <c r="F859" s="13" t="s">
        <v>586</v>
      </c>
      <c r="G859" s="13" t="s">
        <v>46</v>
      </c>
      <c r="H859" s="13">
        <v>21.5</v>
      </c>
      <c r="I859" s="13" t="s">
        <v>46</v>
      </c>
      <c r="K859" s="13" t="s">
        <v>898</v>
      </c>
      <c r="L859" s="13" t="s">
        <v>899</v>
      </c>
      <c r="N859" s="13" t="s">
        <v>307</v>
      </c>
      <c r="O859" s="13" t="s">
        <v>642</v>
      </c>
      <c r="P859" s="13" t="s">
        <v>48</v>
      </c>
      <c r="Q859" s="13" t="s">
        <v>48</v>
      </c>
      <c r="R859" s="4">
        <v>5</v>
      </c>
      <c r="S859" s="13" t="s">
        <v>596</v>
      </c>
      <c r="T859" s="13">
        <v>84</v>
      </c>
      <c r="U859" s="4" t="s">
        <v>306</v>
      </c>
      <c r="V859" s="4">
        <v>600</v>
      </c>
      <c r="W859" s="4" t="s">
        <v>602</v>
      </c>
      <c r="X859" s="4">
        <v>535</v>
      </c>
      <c r="Y859" s="4">
        <v>196</v>
      </c>
      <c r="Z859" s="4" t="s">
        <v>506</v>
      </c>
      <c r="AA859" s="4" t="s">
        <v>49</v>
      </c>
      <c r="AB859" s="4">
        <v>0</v>
      </c>
      <c r="AC859" s="4" t="s">
        <v>49</v>
      </c>
      <c r="AD859" s="4">
        <v>0</v>
      </c>
      <c r="AE859" s="4" t="s">
        <v>49</v>
      </c>
      <c r="AF859" s="4">
        <v>0</v>
      </c>
      <c r="AG859" s="4" t="s">
        <v>697</v>
      </c>
      <c r="AH859" s="4" t="s">
        <v>696</v>
      </c>
      <c r="AI859" s="4" t="s">
        <v>64</v>
      </c>
      <c r="AJ859" s="13">
        <v>0</v>
      </c>
      <c r="AK859" s="13">
        <v>14</v>
      </c>
      <c r="AL859" s="13" t="s">
        <v>529</v>
      </c>
      <c r="AO859" s="13" t="s">
        <v>530</v>
      </c>
      <c r="AP859" s="13" t="s">
        <v>50</v>
      </c>
      <c r="AQ859" s="13" t="s">
        <v>49</v>
      </c>
      <c r="AR859" s="13" t="s">
        <v>49</v>
      </c>
      <c r="AS859" s="13" t="s">
        <v>49</v>
      </c>
      <c r="AT859" s="13" t="s">
        <v>990</v>
      </c>
      <c r="AU859" s="13" t="s">
        <v>998</v>
      </c>
      <c r="AV859" s="14">
        <v>3.8</v>
      </c>
      <c r="AW859" s="14">
        <v>2.5</v>
      </c>
      <c r="AX859" s="14">
        <f>Table1347456[[#This Row],[treatment_mean]]/Table1347456[[#This Row],[control_mean]]</f>
        <v>1.52</v>
      </c>
      <c r="AY859" s="14">
        <f>LN(Table1347456[[#This Row],[rr]])</f>
        <v>0.41871033485818504</v>
      </c>
      <c r="AZ859" s="13">
        <v>5</v>
      </c>
      <c r="BA859" s="13">
        <v>5</v>
      </c>
      <c r="BB859" s="14" t="s">
        <v>46</v>
      </c>
      <c r="BC859" s="14" t="s">
        <v>46</v>
      </c>
      <c r="BD859" s="15" t="s">
        <v>46</v>
      </c>
      <c r="BE859" s="14" t="s">
        <v>46</v>
      </c>
      <c r="BF85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59" s="17" t="s">
        <v>46</v>
      </c>
      <c r="BH859" s="13" t="s">
        <v>50</v>
      </c>
      <c r="BI859" s="13">
        <v>2.5000000000000001E-2</v>
      </c>
      <c r="BJ859" s="18">
        <f>ABS(_xlfn.NORM.S.INV(Table1347456[[#This Row],[p_value]]/2))</f>
        <v>2.2414027276049446</v>
      </c>
      <c r="BK859" s="19">
        <f>(Table1347456[[#This Row],[lnrr]]/Table1347456[[#This Row],[z_from_p]])^2</f>
        <v>3.4896957849030366E-2</v>
      </c>
      <c r="BL859" s="16">
        <f>Table1347456[[#This Row],[v_from_z_from_p]]</f>
        <v>3.4896957849030366E-2</v>
      </c>
      <c r="BM859" s="20">
        <f>SQRT(Table1347456[[#This Row],[v]])</f>
        <v>0.18680727461485638</v>
      </c>
      <c r="BN859" s="20">
        <f>Table1347456[[#This Row],[lnrr]]-(1.96*Table1347456[[#This Row],[se]])</f>
        <v>5.2568076613066561E-2</v>
      </c>
      <c r="BO859" s="20">
        <f>Table1347456[[#This Row],[lnrr]]+(1.96 * Table1347456[[#This Row],[se]])</f>
        <v>0.78485259310330346</v>
      </c>
    </row>
    <row r="860" spans="1:67">
      <c r="A860" s="13" t="s">
        <v>308</v>
      </c>
      <c r="B860" s="13" t="s">
        <v>309</v>
      </c>
      <c r="C860" s="13" t="s">
        <v>43</v>
      </c>
      <c r="D860" s="13" t="s">
        <v>310</v>
      </c>
      <c r="E860" s="13" t="s">
        <v>91</v>
      </c>
      <c r="F860" s="13" t="s">
        <v>587</v>
      </c>
      <c r="G860" s="13" t="s">
        <v>311</v>
      </c>
      <c r="H860" s="13">
        <v>14.8</v>
      </c>
      <c r="I860" s="13">
        <v>830</v>
      </c>
      <c r="K860" s="13" t="s">
        <v>900</v>
      </c>
      <c r="L860" s="13" t="s">
        <v>901</v>
      </c>
      <c r="N860" s="13" t="s">
        <v>47</v>
      </c>
      <c r="O860" s="13" t="s">
        <v>645</v>
      </c>
      <c r="P860" s="13" t="s">
        <v>48</v>
      </c>
      <c r="Q860" s="13" t="s">
        <v>48</v>
      </c>
      <c r="R860" s="4">
        <v>4</v>
      </c>
      <c r="S860" s="13" t="s">
        <v>594</v>
      </c>
      <c r="T860" s="13">
        <v>365</v>
      </c>
      <c r="U860" s="4" t="s">
        <v>275</v>
      </c>
      <c r="V860" s="4">
        <v>600</v>
      </c>
      <c r="W860" s="4" t="s">
        <v>602</v>
      </c>
      <c r="X860" s="4">
        <v>470.7</v>
      </c>
      <c r="Y860" s="4">
        <v>4</v>
      </c>
      <c r="AA860" s="4" t="s">
        <v>50</v>
      </c>
      <c r="AB860" s="4">
        <v>600</v>
      </c>
      <c r="AC860" s="4" t="s">
        <v>49</v>
      </c>
      <c r="AD860" s="4">
        <v>0</v>
      </c>
      <c r="AE860" s="4" t="s">
        <v>49</v>
      </c>
      <c r="AF860" s="4">
        <v>0</v>
      </c>
      <c r="AG860" s="4" t="s">
        <v>765</v>
      </c>
      <c r="AH860" s="4" t="s">
        <v>720</v>
      </c>
      <c r="AI860" s="4" t="s">
        <v>64</v>
      </c>
      <c r="AJ860" s="13">
        <v>0</v>
      </c>
      <c r="AK860" s="13">
        <v>15</v>
      </c>
      <c r="AP860" s="13" t="s">
        <v>49</v>
      </c>
      <c r="AQ860" s="13" t="s">
        <v>49</v>
      </c>
      <c r="AR860" s="13" t="s">
        <v>49</v>
      </c>
      <c r="AS860" s="13" t="s">
        <v>50</v>
      </c>
      <c r="AT860" s="13" t="s">
        <v>992</v>
      </c>
      <c r="AU860" s="4" t="s">
        <v>1000</v>
      </c>
      <c r="AV860" s="14">
        <v>1.02</v>
      </c>
      <c r="AW860" s="14">
        <v>1.01</v>
      </c>
      <c r="AX860" s="14">
        <f>Table1347456[[#This Row],[treatment_mean]]/Table1347456[[#This Row],[control_mean]]</f>
        <v>1.0099009900990099</v>
      </c>
      <c r="AY860" s="14">
        <f>LN(Table1347456[[#This Row],[rr]])</f>
        <v>9.8522964430116395E-3</v>
      </c>
      <c r="AZ860" s="13">
        <v>4</v>
      </c>
      <c r="BA860" s="13">
        <v>4</v>
      </c>
      <c r="BB860" s="14">
        <v>0.01</v>
      </c>
      <c r="BC860" s="14">
        <v>0.01</v>
      </c>
      <c r="BD860" s="15">
        <f>Table1347456[[#This Row],[treatment_se]]*SQRT(Table1347456[[#This Row],[treatment_n]])</f>
        <v>0.02</v>
      </c>
      <c r="BE860" s="14">
        <f>Table1347456[[#This Row],[control_se]]*SQRT(Table1347456[[#This Row],[control_n]])</f>
        <v>0.02</v>
      </c>
      <c r="BF86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1.9414648306449064E-4</v>
      </c>
      <c r="BG860" s="17">
        <f>SQRT(Table1347456[[#This Row],[v_from_sd_and_n]])</f>
        <v>1.3933645720502966E-2</v>
      </c>
      <c r="BH860" s="13" t="s">
        <v>50</v>
      </c>
      <c r="BI860" s="13">
        <v>2.5000000000000001E-2</v>
      </c>
      <c r="BJ860" s="18">
        <f>ABS(_xlfn.NORM.S.INV(Table1347456[[#This Row],[p_value]]/2))</f>
        <v>2.2414027276049446</v>
      </c>
      <c r="BK860" s="19">
        <f>(Table1347456[[#This Row],[lnrr]]/Table1347456[[#This Row],[z_from_p]])^2</f>
        <v>1.9321246855884597E-5</v>
      </c>
      <c r="BL860" s="16">
        <f>Table1347456[[#This Row],[v_from_sd_and_n]]</f>
        <v>1.9414648306449064E-4</v>
      </c>
      <c r="BM860" s="20">
        <f>SQRT(Table1347456[[#This Row],[v]])</f>
        <v>1.3933645720502966E-2</v>
      </c>
      <c r="BN860" s="20">
        <f>Table1347456[[#This Row],[lnrr]]-(1.96*Table1347456[[#This Row],[se]])</f>
        <v>-1.7457649169174173E-2</v>
      </c>
      <c r="BO860" s="20">
        <f>Table1347456[[#This Row],[lnrr]]+(1.96 * Table1347456[[#This Row],[se]])</f>
        <v>3.7162242055197456E-2</v>
      </c>
    </row>
    <row r="861" spans="1:67" ht="14" customHeight="1">
      <c r="A861" s="13" t="s">
        <v>308</v>
      </c>
      <c r="B861" s="13" t="s">
        <v>309</v>
      </c>
      <c r="C861" s="13" t="s">
        <v>43</v>
      </c>
      <c r="D861" s="13" t="s">
        <v>310</v>
      </c>
      <c r="E861" s="13" t="s">
        <v>91</v>
      </c>
      <c r="F861" s="13" t="s">
        <v>587</v>
      </c>
      <c r="G861" s="13" t="s">
        <v>311</v>
      </c>
      <c r="H861" s="13">
        <v>14.8</v>
      </c>
      <c r="I861" s="13">
        <v>830</v>
      </c>
      <c r="K861" s="13" t="s">
        <v>900</v>
      </c>
      <c r="L861" s="13" t="s">
        <v>901</v>
      </c>
      <c r="N861" s="13" t="s">
        <v>47</v>
      </c>
      <c r="O861" s="13" t="s">
        <v>645</v>
      </c>
      <c r="P861" s="13" t="s">
        <v>48</v>
      </c>
      <c r="Q861" s="13" t="s">
        <v>48</v>
      </c>
      <c r="R861" s="4">
        <v>4</v>
      </c>
      <c r="S861" s="13" t="s">
        <v>594</v>
      </c>
      <c r="T861" s="13">
        <v>365</v>
      </c>
      <c r="U861" s="4" t="s">
        <v>275</v>
      </c>
      <c r="V861" s="4">
        <v>600</v>
      </c>
      <c r="W861" s="4" t="s">
        <v>602</v>
      </c>
      <c r="X861" s="4">
        <v>470.7</v>
      </c>
      <c r="Y861" s="4">
        <v>20</v>
      </c>
      <c r="AA861" s="4" t="s">
        <v>50</v>
      </c>
      <c r="AB861" s="4">
        <v>600</v>
      </c>
      <c r="AC861" s="4" t="s">
        <v>49</v>
      </c>
      <c r="AD861" s="4">
        <v>0</v>
      </c>
      <c r="AE861" s="4" t="s">
        <v>49</v>
      </c>
      <c r="AF861" s="4">
        <v>0</v>
      </c>
      <c r="AG861" s="4" t="s">
        <v>765</v>
      </c>
      <c r="AH861" s="4" t="s">
        <v>720</v>
      </c>
      <c r="AI861" s="4" t="s">
        <v>64</v>
      </c>
      <c r="AJ861" s="13">
        <v>0</v>
      </c>
      <c r="AK861" s="13">
        <v>15</v>
      </c>
      <c r="AP861" s="13" t="s">
        <v>49</v>
      </c>
      <c r="AQ861" s="13" t="s">
        <v>49</v>
      </c>
      <c r="AR861" s="13" t="s">
        <v>49</v>
      </c>
      <c r="AS861" s="13" t="s">
        <v>50</v>
      </c>
      <c r="AT861" s="13" t="s">
        <v>992</v>
      </c>
      <c r="AU861" s="4" t="s">
        <v>1000</v>
      </c>
      <c r="AV861" s="14">
        <v>1.1000000000000001</v>
      </c>
      <c r="AW861" s="14">
        <v>1.01</v>
      </c>
      <c r="AX861" s="14">
        <f>Table1347456[[#This Row],[treatment_mean]]/Table1347456[[#This Row],[control_mean]]</f>
        <v>1.0891089108910892</v>
      </c>
      <c r="AY861" s="14">
        <f>LN(Table1347456[[#This Row],[rr]])</f>
        <v>8.535984895115685E-2</v>
      </c>
      <c r="AZ861" s="13">
        <v>4</v>
      </c>
      <c r="BA861" s="13">
        <v>4</v>
      </c>
      <c r="BB861" s="14">
        <v>0.02</v>
      </c>
      <c r="BC861" s="14">
        <v>0.01</v>
      </c>
      <c r="BD861" s="15">
        <f>Table1347456[[#This Row],[treatment_se]]*SQRT(Table1347456[[#This Row],[treatment_n]])</f>
        <v>0.04</v>
      </c>
      <c r="BE861" s="14">
        <f>Table1347456[[#This Row],[control_se]]*SQRT(Table1347456[[#This Row],[control_n]])</f>
        <v>0.02</v>
      </c>
      <c r="BF86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4.2860811733738625E-4</v>
      </c>
      <c r="BG861" s="17">
        <f>SQRT(Table1347456[[#This Row],[v_from_sd_and_n]])</f>
        <v>2.0702852879190013E-2</v>
      </c>
      <c r="BH861" s="13" t="s">
        <v>50</v>
      </c>
      <c r="BI861" s="13">
        <v>2.5000000000000001E-2</v>
      </c>
      <c r="BJ861" s="18">
        <f>ABS(_xlfn.NORM.S.INV(Table1347456[[#This Row],[p_value]]/2))</f>
        <v>2.2414027276049446</v>
      </c>
      <c r="BK861" s="19">
        <f>(Table1347456[[#This Row],[lnrr]]/Table1347456[[#This Row],[z_from_p]])^2</f>
        <v>1.4503321813622973E-3</v>
      </c>
      <c r="BL861" s="16">
        <f>Table1347456[[#This Row],[v_from_sd_and_n]]</f>
        <v>4.2860811733738625E-4</v>
      </c>
      <c r="BM861" s="20">
        <f>SQRT(Table1347456[[#This Row],[v]])</f>
        <v>2.0702852879190013E-2</v>
      </c>
      <c r="BN861" s="20">
        <f>Table1347456[[#This Row],[lnrr]]-(1.96*Table1347456[[#This Row],[se]])</f>
        <v>4.4782257307944426E-2</v>
      </c>
      <c r="BO861" s="20">
        <f>Table1347456[[#This Row],[lnrr]]+(1.96 * Table1347456[[#This Row],[se]])</f>
        <v>0.12593744059436929</v>
      </c>
    </row>
    <row r="862" spans="1:67">
      <c r="A862" s="13" t="s">
        <v>308</v>
      </c>
      <c r="B862" s="13" t="s">
        <v>309</v>
      </c>
      <c r="C862" s="13" t="s">
        <v>43</v>
      </c>
      <c r="D862" s="13" t="s">
        <v>310</v>
      </c>
      <c r="E862" s="13" t="s">
        <v>91</v>
      </c>
      <c r="F862" s="13" t="s">
        <v>587</v>
      </c>
      <c r="G862" s="13" t="s">
        <v>311</v>
      </c>
      <c r="H862" s="13">
        <v>14.8</v>
      </c>
      <c r="I862" s="13">
        <v>830</v>
      </c>
      <c r="K862" s="13" t="s">
        <v>900</v>
      </c>
      <c r="L862" s="13" t="s">
        <v>901</v>
      </c>
      <c r="N862" s="13" t="s">
        <v>617</v>
      </c>
      <c r="O862" s="13" t="s">
        <v>54</v>
      </c>
      <c r="P862" s="13" t="s">
        <v>85</v>
      </c>
      <c r="Q862" s="13" t="s">
        <v>48</v>
      </c>
      <c r="R862" s="4">
        <v>4</v>
      </c>
      <c r="S862" s="13" t="s">
        <v>594</v>
      </c>
      <c r="T862" s="13">
        <v>365</v>
      </c>
      <c r="U862" s="4" t="s">
        <v>275</v>
      </c>
      <c r="V862" s="4">
        <v>600</v>
      </c>
      <c r="W862" s="4" t="s">
        <v>602</v>
      </c>
      <c r="X862" s="4">
        <v>470.7</v>
      </c>
      <c r="Y862" s="4">
        <v>4</v>
      </c>
      <c r="AA862" s="4" t="s">
        <v>50</v>
      </c>
      <c r="AB862" s="4">
        <v>600</v>
      </c>
      <c r="AC862" s="4" t="s">
        <v>49</v>
      </c>
      <c r="AD862" s="4">
        <v>0</v>
      </c>
      <c r="AE862" s="4" t="s">
        <v>49</v>
      </c>
      <c r="AF862" s="4">
        <v>0</v>
      </c>
      <c r="AG862" s="4" t="s">
        <v>765</v>
      </c>
      <c r="AH862" s="4" t="s">
        <v>720</v>
      </c>
      <c r="AI862" s="4" t="s">
        <v>64</v>
      </c>
      <c r="AJ862" s="13">
        <v>0</v>
      </c>
      <c r="AK862" s="13">
        <v>15</v>
      </c>
      <c r="AP862" s="13" t="s">
        <v>49</v>
      </c>
      <c r="AQ862" s="13" t="s">
        <v>49</v>
      </c>
      <c r="AR862" s="13" t="s">
        <v>49</v>
      </c>
      <c r="AS862" s="13" t="s">
        <v>50</v>
      </c>
      <c r="AT862" s="13" t="s">
        <v>992</v>
      </c>
      <c r="AU862" s="4" t="s">
        <v>1000</v>
      </c>
      <c r="AV862" s="14">
        <f>3.77/1000</f>
        <v>3.7699999999999999E-3</v>
      </c>
      <c r="AW862" s="14">
        <f>3.85/1000</f>
        <v>3.8500000000000001E-3</v>
      </c>
      <c r="AX862" s="14">
        <f>Table1347456[[#This Row],[treatment_mean]]/Table1347456[[#This Row],[control_mean]]</f>
        <v>0.97922077922077921</v>
      </c>
      <c r="AY862" s="14">
        <f>LN(Table1347456[[#This Row],[rr]])</f>
        <v>-2.0998146839773468E-2</v>
      </c>
      <c r="AZ862" s="13">
        <v>4</v>
      </c>
      <c r="BA862" s="13">
        <v>4</v>
      </c>
      <c r="BB862" s="14">
        <f>0.79/1000</f>
        <v>7.9000000000000001E-4</v>
      </c>
      <c r="BC862" s="14">
        <f>0.57/1000</f>
        <v>5.6999999999999998E-4</v>
      </c>
      <c r="BD862" s="15">
        <f>Table1347456[[#This Row],[treatment_se]]*SQRT(Table1347456[[#This Row],[treatment_n]])</f>
        <v>1.58E-3</v>
      </c>
      <c r="BE862" s="14">
        <f>Table1347456[[#This Row],[control_se]]*SQRT(Table1347456[[#This Row],[control_n]])</f>
        <v>1.14E-3</v>
      </c>
      <c r="BF86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6.5830192737957982E-2</v>
      </c>
      <c r="BG862" s="17">
        <f>SQRT(Table1347456[[#This Row],[v_from_sd_and_n]])</f>
        <v>0.25657395179159942</v>
      </c>
      <c r="BH862" s="13" t="s">
        <v>50</v>
      </c>
      <c r="BI862" s="13">
        <v>2.5000000000000001E-2</v>
      </c>
      <c r="BJ862" s="18">
        <f>ABS(_xlfn.NORM.S.INV(Table1347456[[#This Row],[p_value]]/2))</f>
        <v>2.2414027276049446</v>
      </c>
      <c r="BK862" s="19">
        <f>(Table1347456[[#This Row],[lnrr]]/Table1347456[[#This Row],[z_from_p]])^2</f>
        <v>8.7765159134774908E-5</v>
      </c>
      <c r="BL862" s="16">
        <f>Table1347456[[#This Row],[v_from_sd_and_n]]</f>
        <v>6.5830192737957982E-2</v>
      </c>
      <c r="BM862" s="20">
        <f>SQRT(Table1347456[[#This Row],[v]])</f>
        <v>0.25657395179159942</v>
      </c>
      <c r="BN862" s="20">
        <f>Table1347456[[#This Row],[lnrr]]-(1.96*Table1347456[[#This Row],[se]])</f>
        <v>-0.52388309235130825</v>
      </c>
      <c r="BO862" s="20">
        <f>Table1347456[[#This Row],[lnrr]]+(1.96 * Table1347456[[#This Row],[se]])</f>
        <v>0.48188679867176137</v>
      </c>
    </row>
    <row r="863" spans="1:67">
      <c r="A863" s="13" t="s">
        <v>308</v>
      </c>
      <c r="B863" s="13" t="s">
        <v>309</v>
      </c>
      <c r="C863" s="13" t="s">
        <v>43</v>
      </c>
      <c r="D863" s="13" t="s">
        <v>310</v>
      </c>
      <c r="E863" s="13" t="s">
        <v>91</v>
      </c>
      <c r="F863" s="13" t="s">
        <v>587</v>
      </c>
      <c r="G863" s="13" t="s">
        <v>311</v>
      </c>
      <c r="H863" s="13">
        <v>14.8</v>
      </c>
      <c r="I863" s="13">
        <v>830</v>
      </c>
      <c r="K863" s="13" t="s">
        <v>900</v>
      </c>
      <c r="L863" s="13" t="s">
        <v>901</v>
      </c>
      <c r="N863" s="13" t="s">
        <v>617</v>
      </c>
      <c r="O863" s="13" t="s">
        <v>54</v>
      </c>
      <c r="P863" s="13" t="s">
        <v>85</v>
      </c>
      <c r="Q863" s="13" t="s">
        <v>48</v>
      </c>
      <c r="R863" s="4">
        <v>4</v>
      </c>
      <c r="S863" s="13" t="s">
        <v>594</v>
      </c>
      <c r="T863" s="13">
        <v>365</v>
      </c>
      <c r="U863" s="4" t="s">
        <v>275</v>
      </c>
      <c r="V863" s="4">
        <v>600</v>
      </c>
      <c r="W863" s="4" t="s">
        <v>602</v>
      </c>
      <c r="X863" s="4">
        <v>470.7</v>
      </c>
      <c r="Y863" s="4">
        <v>20</v>
      </c>
      <c r="AA863" s="4" t="s">
        <v>50</v>
      </c>
      <c r="AB863" s="4">
        <v>600</v>
      </c>
      <c r="AC863" s="4" t="s">
        <v>49</v>
      </c>
      <c r="AD863" s="4">
        <v>0</v>
      </c>
      <c r="AE863" s="4" t="s">
        <v>49</v>
      </c>
      <c r="AF863" s="4">
        <v>0</v>
      </c>
      <c r="AG863" s="4" t="s">
        <v>765</v>
      </c>
      <c r="AH863" s="4" t="s">
        <v>720</v>
      </c>
      <c r="AI863" s="4" t="s">
        <v>64</v>
      </c>
      <c r="AJ863" s="13">
        <v>0</v>
      </c>
      <c r="AK863" s="13">
        <v>15</v>
      </c>
      <c r="AP863" s="13" t="s">
        <v>49</v>
      </c>
      <c r="AQ863" s="13" t="s">
        <v>49</v>
      </c>
      <c r="AR863" s="13" t="s">
        <v>49</v>
      </c>
      <c r="AS863" s="13" t="s">
        <v>50</v>
      </c>
      <c r="AT863" s="13" t="s">
        <v>992</v>
      </c>
      <c r="AU863" s="4" t="s">
        <v>1000</v>
      </c>
      <c r="AV863" s="14">
        <f>3.2/1000</f>
        <v>3.2000000000000002E-3</v>
      </c>
      <c r="AW863" s="14">
        <f>3.85/1000</f>
        <v>3.8500000000000001E-3</v>
      </c>
      <c r="AX863" s="14">
        <f>Table1347456[[#This Row],[treatment_mean]]/Table1347456[[#This Row],[control_mean]]</f>
        <v>0.83116883116883122</v>
      </c>
      <c r="AY863" s="14">
        <f>LN(Table1347456[[#This Row],[rr]])</f>
        <v>-0.18492233849401193</v>
      </c>
      <c r="AZ863" s="13">
        <v>4</v>
      </c>
      <c r="BA863" s="13">
        <v>4</v>
      </c>
      <c r="BB863" s="14">
        <f>0.21/1000</f>
        <v>2.0999999999999998E-4</v>
      </c>
      <c r="BC863" s="14">
        <f>0.57/1000</f>
        <v>5.6999999999999998E-4</v>
      </c>
      <c r="BD863" s="15">
        <f>Table1347456[[#This Row],[treatment_se]]*SQRT(Table1347456[[#This Row],[treatment_n]])</f>
        <v>4.1999999999999996E-4</v>
      </c>
      <c r="BE863" s="14">
        <f>Table1347456[[#This Row],[control_se]]*SQRT(Table1347456[[#This Row],[control_n]])</f>
        <v>1.14E-3</v>
      </c>
      <c r="BF86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2.6226019946976719E-2</v>
      </c>
      <c r="BG863" s="17">
        <f>SQRT(Table1347456[[#This Row],[v_from_sd_and_n]])</f>
        <v>0.1619444965010442</v>
      </c>
      <c r="BH863" s="13" t="s">
        <v>50</v>
      </c>
      <c r="BI863" s="13">
        <v>2.5000000000000001E-2</v>
      </c>
      <c r="BJ863" s="18">
        <f>ABS(_xlfn.NORM.S.INV(Table1347456[[#This Row],[p_value]]/2))</f>
        <v>2.2414027276049446</v>
      </c>
      <c r="BK863" s="19">
        <f>(Table1347456[[#This Row],[lnrr]]/Table1347456[[#This Row],[z_from_p]])^2</f>
        <v>6.806736856507253E-3</v>
      </c>
      <c r="BL863" s="16">
        <f>Table1347456[[#This Row],[v_from_sd_and_n]]</f>
        <v>2.6226019946976719E-2</v>
      </c>
      <c r="BM863" s="20">
        <f>SQRT(Table1347456[[#This Row],[v]])</f>
        <v>0.1619444965010442</v>
      </c>
      <c r="BN863" s="20">
        <f>Table1347456[[#This Row],[lnrr]]-(1.96*Table1347456[[#This Row],[se]])</f>
        <v>-0.50233355163605853</v>
      </c>
      <c r="BO863" s="20">
        <f>Table1347456[[#This Row],[lnrr]]+(1.96 * Table1347456[[#This Row],[se]])</f>
        <v>0.13248887464803469</v>
      </c>
    </row>
    <row r="864" spans="1:67">
      <c r="A864" s="13" t="s">
        <v>308</v>
      </c>
      <c r="B864" s="13" t="s">
        <v>309</v>
      </c>
      <c r="C864" s="13" t="s">
        <v>43</v>
      </c>
      <c r="D864" s="13" t="s">
        <v>310</v>
      </c>
      <c r="E864" s="13" t="s">
        <v>91</v>
      </c>
      <c r="F864" s="13" t="s">
        <v>587</v>
      </c>
      <c r="G864" s="13" t="s">
        <v>311</v>
      </c>
      <c r="H864" s="13">
        <v>14.8</v>
      </c>
      <c r="I864" s="13">
        <v>830</v>
      </c>
      <c r="K864" s="13" t="s">
        <v>900</v>
      </c>
      <c r="L864" s="13" t="s">
        <v>901</v>
      </c>
      <c r="N864" s="13" t="s">
        <v>53</v>
      </c>
      <c r="O864" s="13" t="s">
        <v>54</v>
      </c>
      <c r="P864" s="13" t="s">
        <v>85</v>
      </c>
      <c r="Q864" s="13" t="s">
        <v>48</v>
      </c>
      <c r="R864" s="4">
        <v>4</v>
      </c>
      <c r="S864" s="13" t="s">
        <v>594</v>
      </c>
      <c r="T864" s="13">
        <v>365</v>
      </c>
      <c r="U864" s="4" t="s">
        <v>275</v>
      </c>
      <c r="V864" s="4">
        <v>600</v>
      </c>
      <c r="W864" s="4" t="s">
        <v>602</v>
      </c>
      <c r="X864" s="4">
        <v>470.7</v>
      </c>
      <c r="Y864" s="4">
        <v>4</v>
      </c>
      <c r="AA864" s="4" t="s">
        <v>50</v>
      </c>
      <c r="AB864" s="4">
        <v>600</v>
      </c>
      <c r="AC864" s="4" t="s">
        <v>49</v>
      </c>
      <c r="AD864" s="4">
        <v>0</v>
      </c>
      <c r="AE864" s="4" t="s">
        <v>49</v>
      </c>
      <c r="AF864" s="4">
        <v>0</v>
      </c>
      <c r="AG864" s="4" t="s">
        <v>765</v>
      </c>
      <c r="AH864" s="4" t="s">
        <v>720</v>
      </c>
      <c r="AI864" s="4" t="s">
        <v>64</v>
      </c>
      <c r="AJ864" s="13">
        <v>0</v>
      </c>
      <c r="AK864" s="13">
        <v>15</v>
      </c>
      <c r="AP864" s="13" t="s">
        <v>49</v>
      </c>
      <c r="AQ864" s="13" t="s">
        <v>49</v>
      </c>
      <c r="AR864" s="13" t="s">
        <v>49</v>
      </c>
      <c r="AS864" s="13" t="s">
        <v>50</v>
      </c>
      <c r="AT864" s="13" t="s">
        <v>992</v>
      </c>
      <c r="AU864" s="4" t="s">
        <v>1000</v>
      </c>
      <c r="AV864" s="14">
        <f>1.87/1000</f>
        <v>1.8700000000000001E-3</v>
      </c>
      <c r="AW864" s="14">
        <f>1.93/1000</f>
        <v>1.9299999999999999E-3</v>
      </c>
      <c r="AX864" s="14">
        <f>Table1347456[[#This Row],[treatment_mean]]/Table1347456[[#This Row],[control_mean]]</f>
        <v>0.96891191709844571</v>
      </c>
      <c r="AY864" s="14">
        <f>LN(Table1347456[[#This Row],[rr]])</f>
        <v>-3.1581572050298809E-2</v>
      </c>
      <c r="AZ864" s="13">
        <v>4</v>
      </c>
      <c r="BA864" s="13">
        <v>4</v>
      </c>
      <c r="BB864" s="14">
        <f>0.85/1000</f>
        <v>8.4999999999999995E-4</v>
      </c>
      <c r="BC864" s="14">
        <f>0.65/1000</f>
        <v>6.4999999999999997E-4</v>
      </c>
      <c r="BD864" s="15">
        <f>Table1347456[[#This Row],[treatment_se]]*SQRT(Table1347456[[#This Row],[treatment_n]])</f>
        <v>1.6999999999999999E-3</v>
      </c>
      <c r="BE864" s="14">
        <f>Table1347456[[#This Row],[control_se]]*SQRT(Table1347456[[#This Row],[control_n]])</f>
        <v>1.2999999999999999E-3</v>
      </c>
      <c r="BF86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0.3200374340295119</v>
      </c>
      <c r="BG864" s="17">
        <f>SQRT(Table1347456[[#This Row],[v_from_sd_and_n]])</f>
        <v>0.56571851130178863</v>
      </c>
      <c r="BH864" s="13" t="s">
        <v>50</v>
      </c>
      <c r="BI864" s="13">
        <v>2.5000000000000001E-2</v>
      </c>
      <c r="BJ864" s="18">
        <f>ABS(_xlfn.NORM.S.INV(Table1347456[[#This Row],[p_value]]/2))</f>
        <v>2.2414027276049446</v>
      </c>
      <c r="BK864" s="19">
        <f>(Table1347456[[#This Row],[lnrr]]/Table1347456[[#This Row],[z_from_p]])^2</f>
        <v>1.9853071028690889E-4</v>
      </c>
      <c r="BL864" s="16">
        <f>Table1347456[[#This Row],[v_from_sd_and_n]]</f>
        <v>0.3200374340295119</v>
      </c>
      <c r="BM864" s="20">
        <f>SQRT(Table1347456[[#This Row],[v]])</f>
        <v>0.56571851130178863</v>
      </c>
      <c r="BN864" s="20">
        <f>Table1347456[[#This Row],[lnrr]]-(1.96*Table1347456[[#This Row],[se]])</f>
        <v>-1.1403898542018045</v>
      </c>
      <c r="BO864" s="20">
        <f>Table1347456[[#This Row],[lnrr]]+(1.96 * Table1347456[[#This Row],[se]])</f>
        <v>1.077226710101207</v>
      </c>
    </row>
    <row r="865" spans="1:67">
      <c r="A865" s="13" t="s">
        <v>308</v>
      </c>
      <c r="B865" s="13" t="s">
        <v>309</v>
      </c>
      <c r="C865" s="13" t="s">
        <v>43</v>
      </c>
      <c r="D865" s="13" t="s">
        <v>310</v>
      </c>
      <c r="E865" s="13" t="s">
        <v>91</v>
      </c>
      <c r="F865" s="13" t="s">
        <v>587</v>
      </c>
      <c r="G865" s="13" t="s">
        <v>311</v>
      </c>
      <c r="H865" s="13">
        <v>14.8</v>
      </c>
      <c r="I865" s="13">
        <v>830</v>
      </c>
      <c r="K865" s="13" t="s">
        <v>900</v>
      </c>
      <c r="L865" s="13" t="s">
        <v>901</v>
      </c>
      <c r="N865" s="13" t="s">
        <v>53</v>
      </c>
      <c r="O865" s="13" t="s">
        <v>54</v>
      </c>
      <c r="P865" s="13" t="s">
        <v>85</v>
      </c>
      <c r="Q865" s="13" t="s">
        <v>48</v>
      </c>
      <c r="R865" s="4">
        <v>4</v>
      </c>
      <c r="S865" s="13" t="s">
        <v>594</v>
      </c>
      <c r="T865" s="13">
        <v>365</v>
      </c>
      <c r="U865" s="4" t="s">
        <v>275</v>
      </c>
      <c r="V865" s="4">
        <v>600</v>
      </c>
      <c r="W865" s="4" t="s">
        <v>602</v>
      </c>
      <c r="X865" s="4">
        <v>470.7</v>
      </c>
      <c r="Y865" s="4">
        <v>20</v>
      </c>
      <c r="AA865" s="4" t="s">
        <v>50</v>
      </c>
      <c r="AB865" s="4">
        <v>600</v>
      </c>
      <c r="AC865" s="4" t="s">
        <v>49</v>
      </c>
      <c r="AD865" s="4">
        <v>0</v>
      </c>
      <c r="AE865" s="4" t="s">
        <v>49</v>
      </c>
      <c r="AF865" s="4">
        <v>0</v>
      </c>
      <c r="AG865" s="4" t="s">
        <v>765</v>
      </c>
      <c r="AH865" s="4" t="s">
        <v>720</v>
      </c>
      <c r="AI865" s="4" t="s">
        <v>64</v>
      </c>
      <c r="AJ865" s="13">
        <v>0</v>
      </c>
      <c r="AK865" s="13">
        <v>15</v>
      </c>
      <c r="AP865" s="13" t="s">
        <v>49</v>
      </c>
      <c r="AQ865" s="13" t="s">
        <v>49</v>
      </c>
      <c r="AR865" s="13" t="s">
        <v>49</v>
      </c>
      <c r="AS865" s="13" t="s">
        <v>50</v>
      </c>
      <c r="AT865" s="13" t="s">
        <v>992</v>
      </c>
      <c r="AU865" s="4" t="s">
        <v>1000</v>
      </c>
      <c r="AV865" s="14">
        <f>1.87/1000</f>
        <v>1.8700000000000001E-3</v>
      </c>
      <c r="AW865" s="14">
        <f>1.93/1000</f>
        <v>1.9299999999999999E-3</v>
      </c>
      <c r="AX865" s="14">
        <f>Table1347456[[#This Row],[treatment_mean]]/Table1347456[[#This Row],[control_mean]]</f>
        <v>0.96891191709844571</v>
      </c>
      <c r="AY865" s="14">
        <f>LN(Table1347456[[#This Row],[rr]])</f>
        <v>-3.1581572050298809E-2</v>
      </c>
      <c r="AZ865" s="13">
        <v>4</v>
      </c>
      <c r="BA865" s="13">
        <v>4</v>
      </c>
      <c r="BB865" s="14">
        <f>0.45/1000</f>
        <v>4.4999999999999999E-4</v>
      </c>
      <c r="BC865" s="14">
        <f>0.65/1000</f>
        <v>6.4999999999999997E-4</v>
      </c>
      <c r="BD865" s="15">
        <f>Table1347456[[#This Row],[treatment_se]]*SQRT(Table1347456[[#This Row],[treatment_n]])</f>
        <v>8.9999999999999998E-4</v>
      </c>
      <c r="BE865" s="14">
        <f>Table1347456[[#This Row],[control_se]]*SQRT(Table1347456[[#This Row],[control_n]])</f>
        <v>1.2999999999999999E-3</v>
      </c>
      <c r="BF86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0.17133429696525501</v>
      </c>
      <c r="BG865" s="17">
        <f>SQRT(Table1347456[[#This Row],[v_from_sd_and_n]])</f>
        <v>0.41392547271852576</v>
      </c>
      <c r="BH865" s="13" t="s">
        <v>50</v>
      </c>
      <c r="BI865" s="13">
        <v>2.5000000000000001E-2</v>
      </c>
      <c r="BJ865" s="18">
        <f>ABS(_xlfn.NORM.S.INV(Table1347456[[#This Row],[p_value]]/2))</f>
        <v>2.2414027276049446</v>
      </c>
      <c r="BK865" s="19">
        <f>(Table1347456[[#This Row],[lnrr]]/Table1347456[[#This Row],[z_from_p]])^2</f>
        <v>1.9853071028690889E-4</v>
      </c>
      <c r="BL865" s="16">
        <f>Table1347456[[#This Row],[v_from_sd_and_n]]</f>
        <v>0.17133429696525501</v>
      </c>
      <c r="BM865" s="20">
        <f>SQRT(Table1347456[[#This Row],[v]])</f>
        <v>0.41392547271852576</v>
      </c>
      <c r="BN865" s="20">
        <f>Table1347456[[#This Row],[lnrr]]-(1.96*Table1347456[[#This Row],[se]])</f>
        <v>-0.84287549857860922</v>
      </c>
      <c r="BO865" s="20">
        <f>Table1347456[[#This Row],[lnrr]]+(1.96 * Table1347456[[#This Row],[se]])</f>
        <v>0.77971235447801168</v>
      </c>
    </row>
    <row r="866" spans="1:67">
      <c r="A866" s="13" t="s">
        <v>308</v>
      </c>
      <c r="B866" s="13" t="s">
        <v>309</v>
      </c>
      <c r="C866" s="13" t="s">
        <v>43</v>
      </c>
      <c r="D866" s="13" t="s">
        <v>310</v>
      </c>
      <c r="E866" s="13" t="s">
        <v>91</v>
      </c>
      <c r="F866" s="13" t="s">
        <v>587</v>
      </c>
      <c r="G866" s="13" t="s">
        <v>311</v>
      </c>
      <c r="H866" s="13">
        <v>14.8</v>
      </c>
      <c r="I866" s="13">
        <v>830</v>
      </c>
      <c r="J866" s="13" t="s">
        <v>651</v>
      </c>
      <c r="K866" s="13" t="s">
        <v>900</v>
      </c>
      <c r="L866" s="13" t="s">
        <v>901</v>
      </c>
      <c r="M866" s="13" t="s">
        <v>659</v>
      </c>
      <c r="N866" s="13" t="s">
        <v>84</v>
      </c>
      <c r="O866" s="13" t="s">
        <v>644</v>
      </c>
      <c r="P866" s="13" t="s">
        <v>85</v>
      </c>
      <c r="Q866" s="13" t="s">
        <v>48</v>
      </c>
      <c r="R866" s="4">
        <v>4</v>
      </c>
      <c r="S866" s="13" t="s">
        <v>594</v>
      </c>
      <c r="T866" s="13">
        <v>365</v>
      </c>
      <c r="U866" s="4" t="s">
        <v>275</v>
      </c>
      <c r="V866" s="4">
        <v>600</v>
      </c>
      <c r="W866" s="4" t="s">
        <v>602</v>
      </c>
      <c r="X866" s="4">
        <v>470.7</v>
      </c>
      <c r="Y866" s="4">
        <v>4</v>
      </c>
      <c r="AA866" s="4" t="s">
        <v>50</v>
      </c>
      <c r="AB866" s="4">
        <v>600</v>
      </c>
      <c r="AC866" s="4" t="s">
        <v>49</v>
      </c>
      <c r="AD866" s="4">
        <v>0</v>
      </c>
      <c r="AE866" s="4" t="s">
        <v>49</v>
      </c>
      <c r="AF866" s="4">
        <v>0</v>
      </c>
      <c r="AG866" s="4" t="s">
        <v>765</v>
      </c>
      <c r="AH866" s="4" t="s">
        <v>720</v>
      </c>
      <c r="AI866" s="4" t="s">
        <v>64</v>
      </c>
      <c r="AJ866" s="13">
        <v>0</v>
      </c>
      <c r="AK866" s="13">
        <v>15</v>
      </c>
      <c r="AP866" s="13" t="s">
        <v>49</v>
      </c>
      <c r="AQ866" s="13" t="s">
        <v>49</v>
      </c>
      <c r="AR866" s="13" t="s">
        <v>49</v>
      </c>
      <c r="AS866" s="13" t="s">
        <v>50</v>
      </c>
      <c r="AT866" s="13" t="s">
        <v>992</v>
      </c>
      <c r="AU866" s="4" t="s">
        <v>1000</v>
      </c>
      <c r="AV866" s="23">
        <f>16.61/1000</f>
        <v>1.661E-2</v>
      </c>
      <c r="AW866" s="23">
        <f>14.21/1000</f>
        <v>1.421E-2</v>
      </c>
      <c r="AX866" s="14">
        <f>Table1347456[[#This Row],[treatment_mean]]/Table1347456[[#This Row],[control_mean]]</f>
        <v>1.1688951442646023</v>
      </c>
      <c r="AY866" s="14">
        <f>LN(Table1347456[[#This Row],[rr]])</f>
        <v>0.15605898151619413</v>
      </c>
      <c r="AZ866" s="13">
        <v>4</v>
      </c>
      <c r="BA866" s="13">
        <v>4</v>
      </c>
      <c r="BB866" s="14">
        <f>0.84/1000</f>
        <v>8.3999999999999993E-4</v>
      </c>
      <c r="BC866" s="14">
        <f>0.99/1000</f>
        <v>9.8999999999999999E-4</v>
      </c>
      <c r="BD866" s="15">
        <f>Table1347456[[#This Row],[treatment_se]]*SQRT(Table1347456[[#This Row],[treatment_n]])</f>
        <v>1.6799999999999999E-3</v>
      </c>
      <c r="BE866" s="14">
        <f>Table1347456[[#This Row],[control_se]]*SQRT(Table1347456[[#This Row],[control_n]])</f>
        <v>1.98E-3</v>
      </c>
      <c r="BF86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7.4113255606285452E-3</v>
      </c>
      <c r="BG866" s="17">
        <f>SQRT(Table1347456[[#This Row],[v_from_sd_and_n]])</f>
        <v>8.6089055986394381E-2</v>
      </c>
      <c r="BH866" s="13" t="s">
        <v>50</v>
      </c>
      <c r="BI866" s="13">
        <v>2.5000000000000001E-2</v>
      </c>
      <c r="BJ866" s="18">
        <f>ABS(_xlfn.NORM.S.INV(Table1347456[[#This Row],[p_value]]/2))</f>
        <v>2.2414027276049446</v>
      </c>
      <c r="BK866" s="19">
        <f>(Table1347456[[#This Row],[lnrr]]/Table1347456[[#This Row],[z_from_p]])^2</f>
        <v>4.8477224212136287E-3</v>
      </c>
      <c r="BL866" s="16">
        <f>Table1347456[[#This Row],[v_from_sd_and_n]]</f>
        <v>7.4113255606285452E-3</v>
      </c>
      <c r="BM866" s="20">
        <f>SQRT(Table1347456[[#This Row],[v]])</f>
        <v>8.6089055986394381E-2</v>
      </c>
      <c r="BN866" s="20">
        <f>Table1347456[[#This Row],[lnrr]]-(1.96*Table1347456[[#This Row],[se]])</f>
        <v>-1.2675568217138861E-2</v>
      </c>
      <c r="BO866" s="20">
        <f>Table1347456[[#This Row],[lnrr]]+(1.96 * Table1347456[[#This Row],[se]])</f>
        <v>0.32479353124952715</v>
      </c>
    </row>
    <row r="867" spans="1:67">
      <c r="A867" s="13" t="s">
        <v>308</v>
      </c>
      <c r="B867" s="13" t="s">
        <v>309</v>
      </c>
      <c r="C867" s="13" t="s">
        <v>43</v>
      </c>
      <c r="D867" s="13" t="s">
        <v>310</v>
      </c>
      <c r="E867" s="13" t="s">
        <v>91</v>
      </c>
      <c r="F867" s="13" t="s">
        <v>587</v>
      </c>
      <c r="G867" s="13" t="s">
        <v>311</v>
      </c>
      <c r="H867" s="13">
        <v>14.8</v>
      </c>
      <c r="I867" s="13">
        <v>830</v>
      </c>
      <c r="J867" s="13" t="s">
        <v>651</v>
      </c>
      <c r="K867" s="13" t="s">
        <v>900</v>
      </c>
      <c r="L867" s="13" t="s">
        <v>901</v>
      </c>
      <c r="M867" s="13" t="s">
        <v>659</v>
      </c>
      <c r="N867" s="13" t="s">
        <v>84</v>
      </c>
      <c r="O867" s="13" t="s">
        <v>644</v>
      </c>
      <c r="P867" s="13" t="s">
        <v>85</v>
      </c>
      <c r="Q867" s="13" t="s">
        <v>48</v>
      </c>
      <c r="R867" s="4">
        <v>4</v>
      </c>
      <c r="S867" s="13" t="s">
        <v>594</v>
      </c>
      <c r="T867" s="13">
        <v>365</v>
      </c>
      <c r="U867" s="4" t="s">
        <v>275</v>
      </c>
      <c r="V867" s="4">
        <v>600</v>
      </c>
      <c r="W867" s="4" t="s">
        <v>602</v>
      </c>
      <c r="X867" s="4">
        <v>470.7</v>
      </c>
      <c r="Y867" s="4">
        <v>20</v>
      </c>
      <c r="AA867" s="4" t="s">
        <v>50</v>
      </c>
      <c r="AB867" s="4">
        <v>600</v>
      </c>
      <c r="AC867" s="4" t="s">
        <v>49</v>
      </c>
      <c r="AD867" s="4">
        <v>0</v>
      </c>
      <c r="AE867" s="4" t="s">
        <v>49</v>
      </c>
      <c r="AF867" s="4">
        <v>0</v>
      </c>
      <c r="AG867" s="4" t="s">
        <v>765</v>
      </c>
      <c r="AH867" s="4" t="s">
        <v>720</v>
      </c>
      <c r="AI867" s="4" t="s">
        <v>64</v>
      </c>
      <c r="AJ867" s="13">
        <v>0</v>
      </c>
      <c r="AK867" s="13">
        <v>15</v>
      </c>
      <c r="AP867" s="13" t="s">
        <v>49</v>
      </c>
      <c r="AQ867" s="13" t="s">
        <v>49</v>
      </c>
      <c r="AR867" s="13" t="s">
        <v>49</v>
      </c>
      <c r="AS867" s="13" t="s">
        <v>50</v>
      </c>
      <c r="AT867" s="13" t="s">
        <v>992</v>
      </c>
      <c r="AU867" s="4" t="s">
        <v>1000</v>
      </c>
      <c r="AV867" s="23">
        <f>16.58/1000</f>
        <v>1.6579999999999998E-2</v>
      </c>
      <c r="AW867" s="23">
        <f>14.21/1000</f>
        <v>1.421E-2</v>
      </c>
      <c r="AX867" s="14">
        <f>Table1347456[[#This Row],[treatment_mean]]/Table1347456[[#This Row],[control_mean]]</f>
        <v>1.1667839549612946</v>
      </c>
      <c r="AY867" s="14">
        <f>LN(Table1347456[[#This Row],[rr]])</f>
        <v>0.15425120759813943</v>
      </c>
      <c r="AZ867" s="13">
        <v>4</v>
      </c>
      <c r="BA867" s="13">
        <v>4</v>
      </c>
      <c r="BB867" s="14">
        <f>0.88/1000</f>
        <v>8.8000000000000003E-4</v>
      </c>
      <c r="BC867" s="14">
        <f>0.99/1000</f>
        <v>9.8999999999999999E-4</v>
      </c>
      <c r="BD867" s="15">
        <f>Table1347456[[#This Row],[treatment_se]]*SQRT(Table1347456[[#This Row],[treatment_n]])</f>
        <v>1.7600000000000001E-3</v>
      </c>
      <c r="BE867" s="14">
        <f>Table1347456[[#This Row],[control_se]]*SQRT(Table1347456[[#This Row],[control_n]])</f>
        <v>1.98E-3</v>
      </c>
      <c r="BF86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7.6708652426287658E-3</v>
      </c>
      <c r="BG867" s="17">
        <f>SQRT(Table1347456[[#This Row],[v_from_sd_and_n]])</f>
        <v>8.7583475853774864E-2</v>
      </c>
      <c r="BH867" s="13" t="s">
        <v>50</v>
      </c>
      <c r="BI867" s="13">
        <v>2.5000000000000001E-2</v>
      </c>
      <c r="BJ867" s="18">
        <f>ABS(_xlfn.NORM.S.INV(Table1347456[[#This Row],[p_value]]/2))</f>
        <v>2.2414027276049446</v>
      </c>
      <c r="BK867" s="19">
        <f>(Table1347456[[#This Row],[lnrr]]/Table1347456[[#This Row],[z_from_p]])^2</f>
        <v>4.7360617176324168E-3</v>
      </c>
      <c r="BL867" s="16">
        <f>Table1347456[[#This Row],[v_from_sd_and_n]]</f>
        <v>7.6708652426287658E-3</v>
      </c>
      <c r="BM867" s="20">
        <f>SQRT(Table1347456[[#This Row],[v]])</f>
        <v>8.7583475853774864E-2</v>
      </c>
      <c r="BN867" s="20">
        <f>Table1347456[[#This Row],[lnrr]]-(1.96*Table1347456[[#This Row],[se]])</f>
        <v>-1.7412405075259291E-2</v>
      </c>
      <c r="BO867" s="20">
        <f>Table1347456[[#This Row],[lnrr]]+(1.96 * Table1347456[[#This Row],[se]])</f>
        <v>0.32591482027153817</v>
      </c>
    </row>
    <row r="868" spans="1:67">
      <c r="A868" s="13" t="s">
        <v>308</v>
      </c>
      <c r="B868" s="13" t="s">
        <v>309</v>
      </c>
      <c r="C868" s="13" t="s">
        <v>43</v>
      </c>
      <c r="D868" s="13" t="s">
        <v>310</v>
      </c>
      <c r="E868" s="13" t="s">
        <v>91</v>
      </c>
      <c r="F868" s="13" t="s">
        <v>587</v>
      </c>
      <c r="G868" s="13" t="s">
        <v>311</v>
      </c>
      <c r="H868" s="13">
        <v>14.8</v>
      </c>
      <c r="I868" s="13">
        <v>830</v>
      </c>
      <c r="K868" s="13" t="s">
        <v>900</v>
      </c>
      <c r="L868" s="13" t="s">
        <v>901</v>
      </c>
      <c r="N868" s="13" t="s">
        <v>86</v>
      </c>
      <c r="O868" s="13" t="s">
        <v>644</v>
      </c>
      <c r="P868" s="13" t="s">
        <v>85</v>
      </c>
      <c r="Q868" s="13" t="s">
        <v>48</v>
      </c>
      <c r="R868" s="4">
        <v>4</v>
      </c>
      <c r="S868" s="13" t="s">
        <v>594</v>
      </c>
      <c r="T868" s="13">
        <v>365</v>
      </c>
      <c r="U868" s="4" t="s">
        <v>275</v>
      </c>
      <c r="V868" s="4">
        <v>600</v>
      </c>
      <c r="W868" s="4" t="s">
        <v>602</v>
      </c>
      <c r="X868" s="4">
        <v>470.7</v>
      </c>
      <c r="Y868" s="4">
        <v>4</v>
      </c>
      <c r="AA868" s="4" t="s">
        <v>50</v>
      </c>
      <c r="AB868" s="4">
        <v>600</v>
      </c>
      <c r="AC868" s="4" t="s">
        <v>49</v>
      </c>
      <c r="AD868" s="4">
        <v>0</v>
      </c>
      <c r="AE868" s="4" t="s">
        <v>49</v>
      </c>
      <c r="AF868" s="4">
        <v>0</v>
      </c>
      <c r="AG868" s="4" t="s">
        <v>765</v>
      </c>
      <c r="AH868" s="4" t="s">
        <v>720</v>
      </c>
      <c r="AI868" s="4" t="s">
        <v>64</v>
      </c>
      <c r="AJ868" s="13">
        <v>0</v>
      </c>
      <c r="AK868" s="13">
        <v>15</v>
      </c>
      <c r="AP868" s="13" t="s">
        <v>49</v>
      </c>
      <c r="AQ868" s="13" t="s">
        <v>49</v>
      </c>
      <c r="AR868" s="13" t="s">
        <v>49</v>
      </c>
      <c r="AS868" s="13" t="s">
        <v>50</v>
      </c>
      <c r="AT868" s="13" t="s">
        <v>992</v>
      </c>
      <c r="AU868" s="4" t="s">
        <v>1000</v>
      </c>
      <c r="AV868" s="14">
        <f>163.33/1000</f>
        <v>0.16333</v>
      </c>
      <c r="AW868" s="14">
        <f>159.67/1000</f>
        <v>0.15966999999999998</v>
      </c>
      <c r="AX868" s="14">
        <f>Table1347456[[#This Row],[treatment_mean]]/Table1347456[[#This Row],[control_mean]]</f>
        <v>1.0229222771967184</v>
      </c>
      <c r="AY868" s="14">
        <f>LN(Table1347456[[#This Row],[rr]])</f>
        <v>2.2663508713438051E-2</v>
      </c>
      <c r="AZ868" s="13">
        <v>4</v>
      </c>
      <c r="BA868" s="13">
        <v>4</v>
      </c>
      <c r="BB868" s="14">
        <f>8.62/1000</f>
        <v>8.6199999999999992E-3</v>
      </c>
      <c r="BC868" s="14">
        <f>17.1/1000</f>
        <v>1.7100000000000001E-2</v>
      </c>
      <c r="BD868" s="15">
        <f>Table1347456[[#This Row],[treatment_se]]*SQRT(Table1347456[[#This Row],[treatment_n]])</f>
        <v>1.7239999999999998E-2</v>
      </c>
      <c r="BE868" s="14">
        <f>Table1347456[[#This Row],[control_se]]*SQRT(Table1347456[[#This Row],[control_n]])</f>
        <v>3.4200000000000001E-2</v>
      </c>
      <c r="BF86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1.4254896804979399E-2</v>
      </c>
      <c r="BG868" s="17">
        <f>SQRT(Table1347456[[#This Row],[v_from_sd_and_n]])</f>
        <v>0.1193938725604434</v>
      </c>
      <c r="BH868" s="13" t="s">
        <v>50</v>
      </c>
      <c r="BI868" s="13">
        <v>2.5000000000000001E-2</v>
      </c>
      <c r="BJ868" s="18">
        <f>ABS(_xlfn.NORM.S.INV(Table1347456[[#This Row],[p_value]]/2))</f>
        <v>2.2414027276049446</v>
      </c>
      <c r="BK868" s="19">
        <f>(Table1347456[[#This Row],[lnrr]]/Table1347456[[#This Row],[z_from_p]])^2</f>
        <v>1.0223850781114222E-4</v>
      </c>
      <c r="BL868" s="16">
        <f>Table1347456[[#This Row],[v_from_sd_and_n]]</f>
        <v>1.4254896804979399E-2</v>
      </c>
      <c r="BM868" s="20">
        <f>SQRT(Table1347456[[#This Row],[v]])</f>
        <v>0.1193938725604434</v>
      </c>
      <c r="BN868" s="20">
        <f>Table1347456[[#This Row],[lnrr]]-(1.96*Table1347456[[#This Row],[se]])</f>
        <v>-0.21134848150503099</v>
      </c>
      <c r="BO868" s="20">
        <f>Table1347456[[#This Row],[lnrr]]+(1.96 * Table1347456[[#This Row],[se]])</f>
        <v>0.25667549893190711</v>
      </c>
    </row>
    <row r="869" spans="1:67">
      <c r="A869" s="13" t="s">
        <v>308</v>
      </c>
      <c r="B869" s="13" t="s">
        <v>309</v>
      </c>
      <c r="C869" s="13" t="s">
        <v>43</v>
      </c>
      <c r="D869" s="13" t="s">
        <v>310</v>
      </c>
      <c r="E869" s="13" t="s">
        <v>91</v>
      </c>
      <c r="F869" s="13" t="s">
        <v>587</v>
      </c>
      <c r="G869" s="13" t="s">
        <v>311</v>
      </c>
      <c r="H869" s="13">
        <v>14.8</v>
      </c>
      <c r="I869" s="13">
        <v>830</v>
      </c>
      <c r="K869" s="13" t="s">
        <v>900</v>
      </c>
      <c r="L869" s="13" t="s">
        <v>901</v>
      </c>
      <c r="N869" s="13" t="s">
        <v>86</v>
      </c>
      <c r="O869" s="13" t="s">
        <v>644</v>
      </c>
      <c r="P869" s="13" t="s">
        <v>85</v>
      </c>
      <c r="Q869" s="13" t="s">
        <v>48</v>
      </c>
      <c r="R869" s="4">
        <v>4</v>
      </c>
      <c r="S869" s="13" t="s">
        <v>594</v>
      </c>
      <c r="T869" s="13">
        <v>365</v>
      </c>
      <c r="U869" s="4" t="s">
        <v>275</v>
      </c>
      <c r="V869" s="4">
        <v>600</v>
      </c>
      <c r="W869" s="4" t="s">
        <v>602</v>
      </c>
      <c r="X869" s="4">
        <v>470.7</v>
      </c>
      <c r="Y869" s="4">
        <v>20</v>
      </c>
      <c r="AA869" s="4" t="s">
        <v>50</v>
      </c>
      <c r="AB869" s="4">
        <v>600</v>
      </c>
      <c r="AC869" s="4" t="s">
        <v>49</v>
      </c>
      <c r="AD869" s="4">
        <v>0</v>
      </c>
      <c r="AE869" s="4" t="s">
        <v>49</v>
      </c>
      <c r="AF869" s="4">
        <v>0</v>
      </c>
      <c r="AG869" s="4" t="s">
        <v>765</v>
      </c>
      <c r="AH869" s="4" t="s">
        <v>720</v>
      </c>
      <c r="AI869" s="4" t="s">
        <v>64</v>
      </c>
      <c r="AJ869" s="13">
        <v>0</v>
      </c>
      <c r="AK869" s="13">
        <v>15</v>
      </c>
      <c r="AP869" s="13" t="s">
        <v>49</v>
      </c>
      <c r="AQ869" s="13" t="s">
        <v>49</v>
      </c>
      <c r="AR869" s="13" t="s">
        <v>49</v>
      </c>
      <c r="AS869" s="13" t="s">
        <v>50</v>
      </c>
      <c r="AT869" s="13" t="s">
        <v>992</v>
      </c>
      <c r="AU869" s="4" t="s">
        <v>1000</v>
      </c>
      <c r="AV869" s="14">
        <f>276.33/1000</f>
        <v>0.27632999999999996</v>
      </c>
      <c r="AW869" s="14">
        <f>159.67/1000</f>
        <v>0.15966999999999998</v>
      </c>
      <c r="AX869" s="14">
        <f>Table1347456[[#This Row],[treatment_mean]]/Table1347456[[#This Row],[control_mean]]</f>
        <v>1.7306319283522265</v>
      </c>
      <c r="AY869" s="14">
        <f>LN(Table1347456[[#This Row],[rr]])</f>
        <v>0.54848661831664391</v>
      </c>
      <c r="AZ869" s="13">
        <v>4</v>
      </c>
      <c r="BA869" s="13">
        <v>4</v>
      </c>
      <c r="BB869" s="14">
        <f>26.63/1000</f>
        <v>2.6629999999999997E-2</v>
      </c>
      <c r="BC869" s="14">
        <f>17.1/1000</f>
        <v>1.7100000000000001E-2</v>
      </c>
      <c r="BD869" s="15">
        <f>Table1347456[[#This Row],[treatment_se]]*SQRT(Table1347456[[#This Row],[treatment_n]])</f>
        <v>5.3259999999999995E-2</v>
      </c>
      <c r="BE869" s="14">
        <f>Table1347456[[#This Row],[control_se]]*SQRT(Table1347456[[#This Row],[control_n]])</f>
        <v>3.4200000000000001E-2</v>
      </c>
      <c r="BF86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2.0756759875621984E-2</v>
      </c>
      <c r="BG869" s="17">
        <f>SQRT(Table1347456[[#This Row],[v_from_sd_and_n]])</f>
        <v>0.14407206486901611</v>
      </c>
      <c r="BH869" s="13" t="s">
        <v>50</v>
      </c>
      <c r="BI869" s="13">
        <v>2.5000000000000001E-2</v>
      </c>
      <c r="BJ869" s="18">
        <f>ABS(_xlfn.NORM.S.INV(Table1347456[[#This Row],[p_value]]/2))</f>
        <v>2.2414027276049446</v>
      </c>
      <c r="BK869" s="19">
        <f>(Table1347456[[#This Row],[lnrr]]/Table1347456[[#This Row],[z_from_p]])^2</f>
        <v>5.9881446206331436E-2</v>
      </c>
      <c r="BL869" s="16">
        <f>Table1347456[[#This Row],[v_from_sd_and_n]]</f>
        <v>2.0756759875621984E-2</v>
      </c>
      <c r="BM869" s="20">
        <f>SQRT(Table1347456[[#This Row],[v]])</f>
        <v>0.14407206486901611</v>
      </c>
      <c r="BN869" s="20">
        <f>Table1347456[[#This Row],[lnrr]]-(1.96*Table1347456[[#This Row],[se]])</f>
        <v>0.26610537117337235</v>
      </c>
      <c r="BO869" s="20">
        <f>Table1347456[[#This Row],[lnrr]]+(1.96 * Table1347456[[#This Row],[se]])</f>
        <v>0.83086786545991553</v>
      </c>
    </row>
    <row r="870" spans="1:67">
      <c r="A870" s="13" t="s">
        <v>312</v>
      </c>
      <c r="B870" s="13" t="s">
        <v>313</v>
      </c>
      <c r="C870" s="13" t="s">
        <v>43</v>
      </c>
      <c r="D870" s="13" t="s">
        <v>314</v>
      </c>
      <c r="E870" s="13" t="s">
        <v>151</v>
      </c>
      <c r="F870" s="13" t="s">
        <v>587</v>
      </c>
      <c r="G870" s="13" t="s">
        <v>315</v>
      </c>
      <c r="H870" s="13">
        <v>31.3</v>
      </c>
      <c r="I870" s="13">
        <v>800</v>
      </c>
      <c r="K870" s="13" t="s">
        <v>902</v>
      </c>
      <c r="L870" s="13" t="s">
        <v>903</v>
      </c>
      <c r="N870" s="13" t="s">
        <v>316</v>
      </c>
      <c r="O870" s="13" t="s">
        <v>644</v>
      </c>
      <c r="P870" s="13" t="s">
        <v>71</v>
      </c>
      <c r="Q870" s="13" t="s">
        <v>48</v>
      </c>
      <c r="R870" s="4">
        <v>3</v>
      </c>
      <c r="S870" s="13" t="s">
        <v>595</v>
      </c>
      <c r="T870" s="13">
        <v>365</v>
      </c>
      <c r="U870" s="4" t="s">
        <v>275</v>
      </c>
      <c r="V870" s="4">
        <v>380</v>
      </c>
      <c r="W870" s="4" t="s">
        <v>42</v>
      </c>
      <c r="X870" s="4">
        <v>430</v>
      </c>
      <c r="Y870" s="4">
        <v>10</v>
      </c>
      <c r="AA870" s="4" t="s">
        <v>49</v>
      </c>
      <c r="AB870" s="4">
        <v>0</v>
      </c>
      <c r="AC870" s="4" t="s">
        <v>49</v>
      </c>
      <c r="AD870" s="4">
        <v>0</v>
      </c>
      <c r="AE870" s="4" t="s">
        <v>49</v>
      </c>
      <c r="AF870" s="4">
        <v>0</v>
      </c>
      <c r="AG870" s="4" t="s">
        <v>708</v>
      </c>
      <c r="AH870" s="4" t="s">
        <v>682</v>
      </c>
      <c r="AI870" s="4" t="s">
        <v>297</v>
      </c>
      <c r="AJ870" s="13">
        <v>0</v>
      </c>
      <c r="AK870" s="13">
        <v>15</v>
      </c>
      <c r="AM870" s="13">
        <v>1.52</v>
      </c>
      <c r="AN870" s="13" t="s">
        <v>531</v>
      </c>
      <c r="AO870" s="13" t="s">
        <v>532</v>
      </c>
      <c r="AP870" s="13" t="s">
        <v>49</v>
      </c>
      <c r="AQ870" s="13" t="s">
        <v>49</v>
      </c>
      <c r="AR870" s="13" t="s">
        <v>49</v>
      </c>
      <c r="AS870" s="13" t="s">
        <v>49</v>
      </c>
      <c r="AT870" s="13" t="s">
        <v>990</v>
      </c>
      <c r="AU870" s="13" t="s">
        <v>998</v>
      </c>
      <c r="AV870" s="14">
        <f>(132*1.5)/1.52/1000</f>
        <v>0.13026315789473686</v>
      </c>
      <c r="AW870" s="14">
        <f>(109*1.5)/1.52/1000</f>
        <v>0.10756578947368421</v>
      </c>
      <c r="AX870" s="14">
        <f>Table1347456[[#This Row],[treatment_mean]]/Table1347456[[#This Row],[control_mean]]</f>
        <v>1.2110091743119267</v>
      </c>
      <c r="AY870" s="14">
        <f>LN(Table1347456[[#This Row],[rr]])</f>
        <v>0.19145404035722721</v>
      </c>
      <c r="AZ870" s="13">
        <v>3</v>
      </c>
      <c r="BA870" s="13">
        <v>3</v>
      </c>
      <c r="BB870" s="14" t="s">
        <v>46</v>
      </c>
      <c r="BC870" s="14" t="s">
        <v>46</v>
      </c>
      <c r="BD870" s="15" t="s">
        <v>46</v>
      </c>
      <c r="BE870" s="14" t="s">
        <v>46</v>
      </c>
      <c r="BF87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70" s="17" t="s">
        <v>46</v>
      </c>
      <c r="BH870" s="13" t="s">
        <v>50</v>
      </c>
      <c r="BI870" s="13">
        <v>2.5000000000000001E-2</v>
      </c>
      <c r="BJ870" s="18">
        <f>ABS(_xlfn.NORM.S.INV(Table1347456[[#This Row],[p_value]]/2))</f>
        <v>2.2414027276049446</v>
      </c>
      <c r="BK870" s="19">
        <f>(Table1347456[[#This Row],[lnrr]]/Table1347456[[#This Row],[z_from_p]])^2</f>
        <v>7.2960748318021875E-3</v>
      </c>
      <c r="BL870" s="16">
        <f>Table1347456[[#This Row],[v_from_z_from_p]]</f>
        <v>7.2960748318021875E-3</v>
      </c>
      <c r="BM870" s="20">
        <f>SQRT(Table1347456[[#This Row],[v]])</f>
        <v>8.5417064055153452E-2</v>
      </c>
      <c r="BN870" s="20">
        <f>Table1347456[[#This Row],[lnrr]]-(1.96*Table1347456[[#This Row],[se]])</f>
        <v>2.4036594809126455E-2</v>
      </c>
      <c r="BO870" s="20">
        <f>Table1347456[[#This Row],[lnrr]]+(1.96 * Table1347456[[#This Row],[se]])</f>
        <v>0.35887148590532797</v>
      </c>
    </row>
    <row r="871" spans="1:67">
      <c r="A871" s="13" t="s">
        <v>312</v>
      </c>
      <c r="B871" s="13" t="s">
        <v>313</v>
      </c>
      <c r="C871" s="13" t="s">
        <v>43</v>
      </c>
      <c r="D871" s="13" t="s">
        <v>314</v>
      </c>
      <c r="E871" s="13" t="s">
        <v>151</v>
      </c>
      <c r="F871" s="13" t="s">
        <v>587</v>
      </c>
      <c r="G871" s="13" t="s">
        <v>315</v>
      </c>
      <c r="H871" s="13">
        <v>31.3</v>
      </c>
      <c r="I871" s="13">
        <v>800</v>
      </c>
      <c r="K871" s="13" t="s">
        <v>902</v>
      </c>
      <c r="L871" s="13" t="s">
        <v>903</v>
      </c>
      <c r="N871" s="13" t="s">
        <v>316</v>
      </c>
      <c r="O871" s="13" t="s">
        <v>644</v>
      </c>
      <c r="P871" s="13" t="s">
        <v>71</v>
      </c>
      <c r="Q871" s="13" t="s">
        <v>48</v>
      </c>
      <c r="R871" s="4">
        <v>3</v>
      </c>
      <c r="S871" s="13" t="s">
        <v>595</v>
      </c>
      <c r="T871" s="13">
        <v>365</v>
      </c>
      <c r="U871" s="4" t="s">
        <v>275</v>
      </c>
      <c r="V871" s="4">
        <v>380</v>
      </c>
      <c r="W871" s="4" t="s">
        <v>42</v>
      </c>
      <c r="X871" s="4">
        <v>430</v>
      </c>
      <c r="Y871" s="4">
        <v>20</v>
      </c>
      <c r="AA871" s="4" t="s">
        <v>49</v>
      </c>
      <c r="AB871" s="4">
        <v>0</v>
      </c>
      <c r="AC871" s="4" t="s">
        <v>49</v>
      </c>
      <c r="AD871" s="4">
        <v>0</v>
      </c>
      <c r="AE871" s="4" t="s">
        <v>49</v>
      </c>
      <c r="AF871" s="4">
        <v>0</v>
      </c>
      <c r="AG871" s="4" t="s">
        <v>708</v>
      </c>
      <c r="AH871" s="4" t="s">
        <v>682</v>
      </c>
      <c r="AI871" s="4" t="s">
        <v>297</v>
      </c>
      <c r="AJ871" s="13">
        <v>0</v>
      </c>
      <c r="AK871" s="13">
        <v>15</v>
      </c>
      <c r="AM871" s="13">
        <v>1.52</v>
      </c>
      <c r="AN871" s="13" t="s">
        <v>531</v>
      </c>
      <c r="AO871" s="13" t="s">
        <v>532</v>
      </c>
      <c r="AP871" s="13" t="s">
        <v>49</v>
      </c>
      <c r="AQ871" s="13" t="s">
        <v>49</v>
      </c>
      <c r="AR871" s="13" t="s">
        <v>49</v>
      </c>
      <c r="AS871" s="13" t="s">
        <v>49</v>
      </c>
      <c r="AT871" s="13" t="s">
        <v>990</v>
      </c>
      <c r="AU871" s="13" t="s">
        <v>998</v>
      </c>
      <c r="AV871" s="14">
        <f>(142*1.5)/1.52/1000</f>
        <v>0.14013157894736841</v>
      </c>
      <c r="AW871" s="14">
        <f>(109*1.5)/1.52/1000</f>
        <v>0.10756578947368421</v>
      </c>
      <c r="AX871" s="14">
        <f>Table1347456[[#This Row],[treatment_mean]]/Table1347456[[#This Row],[control_mean]]</f>
        <v>1.3027522935779816</v>
      </c>
      <c r="AY871" s="14">
        <f>LN(Table1347456[[#This Row],[rr]])</f>
        <v>0.26447917537211701</v>
      </c>
      <c r="AZ871" s="13">
        <v>3</v>
      </c>
      <c r="BA871" s="13">
        <v>3</v>
      </c>
      <c r="BB871" s="14" t="s">
        <v>46</v>
      </c>
      <c r="BC871" s="14" t="s">
        <v>46</v>
      </c>
      <c r="BD871" s="15" t="s">
        <v>46</v>
      </c>
      <c r="BE871" s="14" t="s">
        <v>46</v>
      </c>
      <c r="BF87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71" s="17" t="s">
        <v>46</v>
      </c>
      <c r="BH871" s="13" t="s">
        <v>50</v>
      </c>
      <c r="BI871" s="13">
        <v>2.5000000000000001E-2</v>
      </c>
      <c r="BJ871" s="18">
        <f>ABS(_xlfn.NORM.S.INV(Table1347456[[#This Row],[p_value]]/2))</f>
        <v>2.2414027276049446</v>
      </c>
      <c r="BK871" s="19">
        <f>(Table1347456[[#This Row],[lnrr]]/Table1347456[[#This Row],[z_from_p]])^2</f>
        <v>1.3923331778919293E-2</v>
      </c>
      <c r="BL871" s="16">
        <f>Table1347456[[#This Row],[v_from_z_from_p]]</f>
        <v>1.3923331778919293E-2</v>
      </c>
      <c r="BM871" s="20">
        <f>SQRT(Table1347456[[#This Row],[v]])</f>
        <v>0.11799716852077126</v>
      </c>
      <c r="BN871" s="20">
        <f>Table1347456[[#This Row],[lnrr]]-(1.96*Table1347456[[#This Row],[se]])</f>
        <v>3.3204725071405344E-2</v>
      </c>
      <c r="BO871" s="20">
        <f>Table1347456[[#This Row],[lnrr]]+(1.96 * Table1347456[[#This Row],[se]])</f>
        <v>0.49575362567282866</v>
      </c>
    </row>
    <row r="872" spans="1:67">
      <c r="A872" s="13" t="s">
        <v>312</v>
      </c>
      <c r="B872" s="13" t="s">
        <v>313</v>
      </c>
      <c r="C872" s="13" t="s">
        <v>43</v>
      </c>
      <c r="D872" s="13" t="s">
        <v>314</v>
      </c>
      <c r="E872" s="13" t="s">
        <v>151</v>
      </c>
      <c r="F872" s="13" t="s">
        <v>587</v>
      </c>
      <c r="G872" s="13" t="s">
        <v>315</v>
      </c>
      <c r="H872" s="13">
        <v>31.3</v>
      </c>
      <c r="I872" s="13">
        <v>800</v>
      </c>
      <c r="K872" s="13" t="s">
        <v>902</v>
      </c>
      <c r="L872" s="13" t="s">
        <v>903</v>
      </c>
      <c r="N872" s="13" t="s">
        <v>316</v>
      </c>
      <c r="O872" s="13" t="s">
        <v>644</v>
      </c>
      <c r="P872" s="13" t="s">
        <v>71</v>
      </c>
      <c r="Q872" s="13" t="s">
        <v>48</v>
      </c>
      <c r="R872" s="4">
        <v>3</v>
      </c>
      <c r="S872" s="13" t="s">
        <v>595</v>
      </c>
      <c r="T872" s="13">
        <v>365</v>
      </c>
      <c r="U872" s="4" t="s">
        <v>275</v>
      </c>
      <c r="V872" s="4">
        <v>380</v>
      </c>
      <c r="W872" s="4" t="s">
        <v>42</v>
      </c>
      <c r="X872" s="4">
        <v>430</v>
      </c>
      <c r="Y872" s="4">
        <v>40</v>
      </c>
      <c r="AA872" s="4" t="s">
        <v>49</v>
      </c>
      <c r="AB872" s="4">
        <v>0</v>
      </c>
      <c r="AC872" s="4" t="s">
        <v>49</v>
      </c>
      <c r="AD872" s="4">
        <v>0</v>
      </c>
      <c r="AE872" s="4" t="s">
        <v>49</v>
      </c>
      <c r="AF872" s="4">
        <v>0</v>
      </c>
      <c r="AG872" s="4" t="s">
        <v>708</v>
      </c>
      <c r="AH872" s="4" t="s">
        <v>682</v>
      </c>
      <c r="AI872" s="4" t="s">
        <v>297</v>
      </c>
      <c r="AJ872" s="13">
        <v>0</v>
      </c>
      <c r="AK872" s="13">
        <v>15</v>
      </c>
      <c r="AM872" s="13">
        <v>1.52</v>
      </c>
      <c r="AN872" s="13" t="s">
        <v>531</v>
      </c>
      <c r="AO872" s="13" t="s">
        <v>532</v>
      </c>
      <c r="AP872" s="13" t="s">
        <v>49</v>
      </c>
      <c r="AQ872" s="13" t="s">
        <v>49</v>
      </c>
      <c r="AR872" s="13" t="s">
        <v>49</v>
      </c>
      <c r="AS872" s="13" t="s">
        <v>49</v>
      </c>
      <c r="AT872" s="13" t="s">
        <v>990</v>
      </c>
      <c r="AU872" s="13" t="s">
        <v>998</v>
      </c>
      <c r="AV872" s="14">
        <f>(149*1.5)/1.52/1000</f>
        <v>0.14703947368421053</v>
      </c>
      <c r="AW872" s="14">
        <f>(109*1.5)/1.52/1000</f>
        <v>0.10756578947368421</v>
      </c>
      <c r="AX872" s="14">
        <f>Table1347456[[#This Row],[treatment_mean]]/Table1347456[[#This Row],[control_mean]]</f>
        <v>1.3669724770642202</v>
      </c>
      <c r="AY872" s="14">
        <f>LN(Table1347456[[#This Row],[rr]])</f>
        <v>0.31259842371631547</v>
      </c>
      <c r="AZ872" s="13">
        <v>3</v>
      </c>
      <c r="BA872" s="13">
        <v>3</v>
      </c>
      <c r="BB872" s="14" t="s">
        <v>46</v>
      </c>
      <c r="BC872" s="14" t="s">
        <v>46</v>
      </c>
      <c r="BD872" s="15" t="s">
        <v>46</v>
      </c>
      <c r="BE872" s="14" t="s">
        <v>46</v>
      </c>
      <c r="BF87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72" s="17" t="s">
        <v>46</v>
      </c>
      <c r="BH872" s="13" t="s">
        <v>50</v>
      </c>
      <c r="BI872" s="13">
        <v>2.5000000000000001E-2</v>
      </c>
      <c r="BJ872" s="18">
        <f>ABS(_xlfn.NORM.S.INV(Table1347456[[#This Row],[p_value]]/2))</f>
        <v>2.2414027276049446</v>
      </c>
      <c r="BK872" s="19">
        <f>(Table1347456[[#This Row],[lnrr]]/Table1347456[[#This Row],[z_from_p]])^2</f>
        <v>1.9450634601687163E-2</v>
      </c>
      <c r="BL872" s="16">
        <f>Table1347456[[#This Row],[v_from_z_from_p]]</f>
        <v>1.9450634601687163E-2</v>
      </c>
      <c r="BM872" s="20">
        <f>SQRT(Table1347456[[#This Row],[v]])</f>
        <v>0.13946553194853259</v>
      </c>
      <c r="BN872" s="20">
        <f>Table1347456[[#This Row],[lnrr]]-(1.96*Table1347456[[#This Row],[se]])</f>
        <v>3.9245981097191573E-2</v>
      </c>
      <c r="BO872" s="20">
        <f>Table1347456[[#This Row],[lnrr]]+(1.96 * Table1347456[[#This Row],[se]])</f>
        <v>0.58595086633543936</v>
      </c>
    </row>
    <row r="873" spans="1:67">
      <c r="A873" s="13" t="s">
        <v>312</v>
      </c>
      <c r="B873" s="13" t="s">
        <v>313</v>
      </c>
      <c r="C873" s="13" t="s">
        <v>43</v>
      </c>
      <c r="D873" s="13" t="s">
        <v>314</v>
      </c>
      <c r="E873" s="13" t="s">
        <v>151</v>
      </c>
      <c r="F873" s="13" t="s">
        <v>587</v>
      </c>
      <c r="G873" s="13" t="s">
        <v>315</v>
      </c>
      <c r="H873" s="13">
        <v>31.3</v>
      </c>
      <c r="I873" s="13">
        <v>800</v>
      </c>
      <c r="K873" s="13" t="s">
        <v>902</v>
      </c>
      <c r="L873" s="13" t="s">
        <v>903</v>
      </c>
      <c r="N873" s="13" t="s">
        <v>316</v>
      </c>
      <c r="O873" s="13" t="s">
        <v>644</v>
      </c>
      <c r="P873" s="13" t="s">
        <v>71</v>
      </c>
      <c r="Q873" s="13" t="s">
        <v>48</v>
      </c>
      <c r="R873" s="4">
        <v>3</v>
      </c>
      <c r="S873" s="13" t="s">
        <v>595</v>
      </c>
      <c r="T873" s="13">
        <v>365</v>
      </c>
      <c r="U873" s="4" t="s">
        <v>275</v>
      </c>
      <c r="V873" s="4">
        <v>380</v>
      </c>
      <c r="W873" s="4" t="s">
        <v>42</v>
      </c>
      <c r="X873" s="4">
        <v>430</v>
      </c>
      <c r="Y873" s="4">
        <v>10</v>
      </c>
      <c r="AA873" s="4" t="s">
        <v>49</v>
      </c>
      <c r="AB873" s="4">
        <v>0</v>
      </c>
      <c r="AC873" s="4" t="s">
        <v>49</v>
      </c>
      <c r="AD873" s="4">
        <v>0</v>
      </c>
      <c r="AE873" s="4" t="s">
        <v>49</v>
      </c>
      <c r="AF873" s="4">
        <v>0</v>
      </c>
      <c r="AG873" s="4" t="s">
        <v>708</v>
      </c>
      <c r="AH873" s="4" t="s">
        <v>775</v>
      </c>
      <c r="AI873" s="4" t="s">
        <v>52</v>
      </c>
      <c r="AJ873" s="13">
        <v>0</v>
      </c>
      <c r="AK873" s="13">
        <v>15</v>
      </c>
      <c r="AM873" s="13" t="s">
        <v>533</v>
      </c>
      <c r="AN873" s="13" t="s">
        <v>531</v>
      </c>
      <c r="AO873" s="13" t="s">
        <v>532</v>
      </c>
      <c r="AP873" s="13" t="s">
        <v>49</v>
      </c>
      <c r="AQ873" s="13" t="s">
        <v>49</v>
      </c>
      <c r="AR873" s="13" t="s">
        <v>49</v>
      </c>
      <c r="AS873" s="13" t="s">
        <v>49</v>
      </c>
      <c r="AT873" s="13" t="s">
        <v>990</v>
      </c>
      <c r="AU873" s="13" t="s">
        <v>998</v>
      </c>
      <c r="AV873" s="14">
        <f>(194*1.5)/1.37/1000</f>
        <v>0.21240875912408758</v>
      </c>
      <c r="AW873" s="14">
        <f>(150*1.5)/1.37/1000</f>
        <v>0.16423357664233576</v>
      </c>
      <c r="AX873" s="14">
        <f>Table1347456[[#This Row],[treatment_mean]]/Table1347456[[#This Row],[control_mean]]</f>
        <v>1.2933333333333332</v>
      </c>
      <c r="AY873" s="14">
        <f>LN(Table1347456[[#This Row],[rr]])</f>
        <v>0.25722286496707231</v>
      </c>
      <c r="AZ873" s="13">
        <v>3</v>
      </c>
      <c r="BA873" s="13">
        <v>3</v>
      </c>
      <c r="BB873" s="14" t="s">
        <v>46</v>
      </c>
      <c r="BC873" s="14" t="s">
        <v>46</v>
      </c>
      <c r="BD873" s="15" t="s">
        <v>46</v>
      </c>
      <c r="BE873" s="14" t="s">
        <v>46</v>
      </c>
      <c r="BF87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73" s="17" t="s">
        <v>46</v>
      </c>
      <c r="BH873" s="13" t="s">
        <v>50</v>
      </c>
      <c r="BI873" s="13">
        <v>2.5000000000000001E-2</v>
      </c>
      <c r="BJ873" s="18">
        <f>ABS(_xlfn.NORM.S.INV(Table1347456[[#This Row],[p_value]]/2))</f>
        <v>2.2414027276049446</v>
      </c>
      <c r="BK873" s="19">
        <f>(Table1347456[[#This Row],[lnrr]]/Table1347456[[#This Row],[z_from_p]])^2</f>
        <v>1.3169805165755786E-2</v>
      </c>
      <c r="BL873" s="16">
        <f>Table1347456[[#This Row],[v_from_z_from_p]]</f>
        <v>1.3169805165755786E-2</v>
      </c>
      <c r="BM873" s="20">
        <f>SQRT(Table1347456[[#This Row],[v]])</f>
        <v>0.11475977154802891</v>
      </c>
      <c r="BN873" s="20">
        <f>Table1347456[[#This Row],[lnrr]]-(1.96*Table1347456[[#This Row],[se]])</f>
        <v>3.2293712732935659E-2</v>
      </c>
      <c r="BO873" s="20">
        <f>Table1347456[[#This Row],[lnrr]]+(1.96 * Table1347456[[#This Row],[se]])</f>
        <v>0.48215201720120893</v>
      </c>
    </row>
    <row r="874" spans="1:67">
      <c r="A874" s="13" t="s">
        <v>312</v>
      </c>
      <c r="B874" s="13" t="s">
        <v>313</v>
      </c>
      <c r="C874" s="13" t="s">
        <v>43</v>
      </c>
      <c r="D874" s="13" t="s">
        <v>314</v>
      </c>
      <c r="E874" s="13" t="s">
        <v>151</v>
      </c>
      <c r="F874" s="13" t="s">
        <v>587</v>
      </c>
      <c r="G874" s="13" t="s">
        <v>315</v>
      </c>
      <c r="H874" s="13">
        <v>31.3</v>
      </c>
      <c r="I874" s="13">
        <v>800</v>
      </c>
      <c r="K874" s="13" t="s">
        <v>902</v>
      </c>
      <c r="L874" s="13" t="s">
        <v>903</v>
      </c>
      <c r="N874" s="13" t="s">
        <v>316</v>
      </c>
      <c r="O874" s="13" t="s">
        <v>644</v>
      </c>
      <c r="P874" s="13" t="s">
        <v>71</v>
      </c>
      <c r="Q874" s="13" t="s">
        <v>48</v>
      </c>
      <c r="R874" s="4">
        <v>3</v>
      </c>
      <c r="S874" s="13" t="s">
        <v>595</v>
      </c>
      <c r="T874" s="13">
        <v>365</v>
      </c>
      <c r="U874" s="4" t="s">
        <v>275</v>
      </c>
      <c r="V874" s="4">
        <v>380</v>
      </c>
      <c r="W874" s="4" t="s">
        <v>42</v>
      </c>
      <c r="X874" s="4">
        <v>430</v>
      </c>
      <c r="Y874" s="4">
        <v>20</v>
      </c>
      <c r="AA874" s="4" t="s">
        <v>49</v>
      </c>
      <c r="AB874" s="4">
        <v>0</v>
      </c>
      <c r="AC874" s="4" t="s">
        <v>49</v>
      </c>
      <c r="AD874" s="4">
        <v>0</v>
      </c>
      <c r="AE874" s="4" t="s">
        <v>49</v>
      </c>
      <c r="AF874" s="4">
        <v>0</v>
      </c>
      <c r="AG874" s="4" t="s">
        <v>708</v>
      </c>
      <c r="AH874" s="4" t="s">
        <v>775</v>
      </c>
      <c r="AI874" s="4" t="s">
        <v>52</v>
      </c>
      <c r="AJ874" s="13">
        <v>0</v>
      </c>
      <c r="AK874" s="13">
        <v>15</v>
      </c>
      <c r="AM874" s="13" t="s">
        <v>533</v>
      </c>
      <c r="AN874" s="13" t="s">
        <v>531</v>
      </c>
      <c r="AO874" s="13" t="s">
        <v>532</v>
      </c>
      <c r="AP874" s="13" t="s">
        <v>49</v>
      </c>
      <c r="AQ874" s="13" t="s">
        <v>49</v>
      </c>
      <c r="AR874" s="13" t="s">
        <v>49</v>
      </c>
      <c r="AS874" s="13" t="s">
        <v>49</v>
      </c>
      <c r="AT874" s="13" t="s">
        <v>990</v>
      </c>
      <c r="AU874" s="13" t="s">
        <v>998</v>
      </c>
      <c r="AV874" s="14">
        <f>(219*1.5)/1.37/1000</f>
        <v>0.2397810218978102</v>
      </c>
      <c r="AW874" s="14">
        <f>(150*1.5)/1.37/1000</f>
        <v>0.16423357664233576</v>
      </c>
      <c r="AX874" s="14">
        <f>Table1347456[[#This Row],[treatment_mean]]/Table1347456[[#This Row],[control_mean]]</f>
        <v>1.46</v>
      </c>
      <c r="AY874" s="14">
        <f>LN(Table1347456[[#This Row],[rr]])</f>
        <v>0.37843643572024505</v>
      </c>
      <c r="AZ874" s="13">
        <v>3</v>
      </c>
      <c r="BA874" s="13">
        <v>3</v>
      </c>
      <c r="BB874" s="14" t="s">
        <v>46</v>
      </c>
      <c r="BC874" s="14" t="s">
        <v>46</v>
      </c>
      <c r="BD874" s="15" t="s">
        <v>46</v>
      </c>
      <c r="BE874" s="14" t="s">
        <v>46</v>
      </c>
      <c r="BF87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74" s="17" t="s">
        <v>46</v>
      </c>
      <c r="BH874" s="13" t="s">
        <v>50</v>
      </c>
      <c r="BI874" s="13">
        <v>2.5000000000000001E-2</v>
      </c>
      <c r="BJ874" s="18">
        <f>ABS(_xlfn.NORM.S.INV(Table1347456[[#This Row],[p_value]]/2))</f>
        <v>2.2414027276049446</v>
      </c>
      <c r="BK874" s="19">
        <f>(Table1347456[[#This Row],[lnrr]]/Table1347456[[#This Row],[z_from_p]])^2</f>
        <v>2.8506644167667093E-2</v>
      </c>
      <c r="BL874" s="16">
        <f>Table1347456[[#This Row],[v_from_z_from_p]]</f>
        <v>2.8506644167667093E-2</v>
      </c>
      <c r="BM874" s="20">
        <f>SQRT(Table1347456[[#This Row],[v]])</f>
        <v>0.16883910734088561</v>
      </c>
      <c r="BN874" s="20">
        <f>Table1347456[[#This Row],[lnrr]]-(1.96*Table1347456[[#This Row],[se]])</f>
        <v>4.7511785332109258E-2</v>
      </c>
      <c r="BO874" s="20">
        <f>Table1347456[[#This Row],[lnrr]]+(1.96 * Table1347456[[#This Row],[se]])</f>
        <v>0.70936108610838078</v>
      </c>
    </row>
    <row r="875" spans="1:67">
      <c r="A875" s="13" t="s">
        <v>312</v>
      </c>
      <c r="B875" s="13" t="s">
        <v>313</v>
      </c>
      <c r="C875" s="13" t="s">
        <v>43</v>
      </c>
      <c r="D875" s="13" t="s">
        <v>314</v>
      </c>
      <c r="E875" s="13" t="s">
        <v>151</v>
      </c>
      <c r="F875" s="13" t="s">
        <v>587</v>
      </c>
      <c r="G875" s="13" t="s">
        <v>315</v>
      </c>
      <c r="H875" s="13">
        <v>31.3</v>
      </c>
      <c r="I875" s="13">
        <v>800</v>
      </c>
      <c r="K875" s="13" t="s">
        <v>902</v>
      </c>
      <c r="L875" s="13" t="s">
        <v>903</v>
      </c>
      <c r="N875" s="13" t="s">
        <v>316</v>
      </c>
      <c r="O875" s="13" t="s">
        <v>644</v>
      </c>
      <c r="P875" s="13" t="s">
        <v>71</v>
      </c>
      <c r="Q875" s="13" t="s">
        <v>48</v>
      </c>
      <c r="R875" s="4">
        <v>3</v>
      </c>
      <c r="S875" s="13" t="s">
        <v>595</v>
      </c>
      <c r="T875" s="13">
        <v>365</v>
      </c>
      <c r="U875" s="4" t="s">
        <v>275</v>
      </c>
      <c r="V875" s="4">
        <v>380</v>
      </c>
      <c r="W875" s="4" t="s">
        <v>42</v>
      </c>
      <c r="X875" s="4">
        <v>430</v>
      </c>
      <c r="Y875" s="4">
        <v>40</v>
      </c>
      <c r="AA875" s="4" t="s">
        <v>49</v>
      </c>
      <c r="AB875" s="4">
        <v>0</v>
      </c>
      <c r="AC875" s="4" t="s">
        <v>49</v>
      </c>
      <c r="AD875" s="4">
        <v>0</v>
      </c>
      <c r="AE875" s="4" t="s">
        <v>49</v>
      </c>
      <c r="AF875" s="4">
        <v>0</v>
      </c>
      <c r="AG875" s="4" t="s">
        <v>708</v>
      </c>
      <c r="AH875" s="4" t="s">
        <v>775</v>
      </c>
      <c r="AI875" s="4" t="s">
        <v>52</v>
      </c>
      <c r="AJ875" s="13">
        <v>0</v>
      </c>
      <c r="AK875" s="13">
        <v>15</v>
      </c>
      <c r="AM875" s="13" t="s">
        <v>533</v>
      </c>
      <c r="AN875" s="13" t="s">
        <v>531</v>
      </c>
      <c r="AO875" s="13" t="s">
        <v>532</v>
      </c>
      <c r="AP875" s="13" t="s">
        <v>49</v>
      </c>
      <c r="AQ875" s="13" t="s">
        <v>49</v>
      </c>
      <c r="AR875" s="13" t="s">
        <v>49</v>
      </c>
      <c r="AS875" s="13" t="s">
        <v>49</v>
      </c>
      <c r="AT875" s="13" t="s">
        <v>990</v>
      </c>
      <c r="AU875" s="13" t="s">
        <v>998</v>
      </c>
      <c r="AV875" s="14">
        <f>(230*1.5)/1.37/1000</f>
        <v>0.25182481751824815</v>
      </c>
      <c r="AW875" s="14">
        <f>(150*1.5)/1.37/1000</f>
        <v>0.16423357664233576</v>
      </c>
      <c r="AX875" s="14">
        <f>Table1347456[[#This Row],[treatment_mean]]/Table1347456[[#This Row],[control_mean]]</f>
        <v>1.5333333333333332</v>
      </c>
      <c r="AY875" s="14">
        <f>LN(Table1347456[[#This Row],[rr]])</f>
        <v>0.42744401482693956</v>
      </c>
      <c r="AZ875" s="13">
        <v>3</v>
      </c>
      <c r="BA875" s="13">
        <v>3</v>
      </c>
      <c r="BB875" s="14" t="s">
        <v>46</v>
      </c>
      <c r="BC875" s="14" t="s">
        <v>46</v>
      </c>
      <c r="BD875" s="15" t="s">
        <v>46</v>
      </c>
      <c r="BE875" s="14" t="s">
        <v>46</v>
      </c>
      <c r="BF87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75" s="17" t="s">
        <v>46</v>
      </c>
      <c r="BH875" s="13" t="s">
        <v>50</v>
      </c>
      <c r="BI875" s="13">
        <v>2.5000000000000001E-2</v>
      </c>
      <c r="BJ875" s="18">
        <f>ABS(_xlfn.NORM.S.INV(Table1347456[[#This Row],[p_value]]/2))</f>
        <v>2.2414027276049446</v>
      </c>
      <c r="BK875" s="19">
        <f>(Table1347456[[#This Row],[lnrr]]/Table1347456[[#This Row],[z_from_p]])^2</f>
        <v>3.6367938882195298E-2</v>
      </c>
      <c r="BL875" s="16">
        <f>Table1347456[[#This Row],[v_from_z_from_p]]</f>
        <v>3.6367938882195298E-2</v>
      </c>
      <c r="BM875" s="20">
        <f>SQRT(Table1347456[[#This Row],[v]])</f>
        <v>0.19070379881427454</v>
      </c>
      <c r="BN875" s="20">
        <f>Table1347456[[#This Row],[lnrr]]-(1.96*Table1347456[[#This Row],[se]])</f>
        <v>5.3664569150961461E-2</v>
      </c>
      <c r="BO875" s="20">
        <f>Table1347456[[#This Row],[lnrr]]+(1.96 * Table1347456[[#This Row],[se]])</f>
        <v>0.80122346050291759</v>
      </c>
    </row>
    <row r="876" spans="1:67">
      <c r="A876" s="13" t="s">
        <v>312</v>
      </c>
      <c r="B876" s="13" t="s">
        <v>313</v>
      </c>
      <c r="C876" s="13" t="s">
        <v>43</v>
      </c>
      <c r="D876" s="13" t="s">
        <v>314</v>
      </c>
      <c r="E876" s="13" t="s">
        <v>151</v>
      </c>
      <c r="F876" s="13" t="s">
        <v>587</v>
      </c>
      <c r="G876" s="13" t="s">
        <v>315</v>
      </c>
      <c r="H876" s="13">
        <v>31.3</v>
      </c>
      <c r="I876" s="13">
        <v>800</v>
      </c>
      <c r="K876" s="13" t="s">
        <v>902</v>
      </c>
      <c r="L876" s="13" t="s">
        <v>903</v>
      </c>
      <c r="N876" s="13" t="s">
        <v>316</v>
      </c>
      <c r="O876" s="13" t="s">
        <v>644</v>
      </c>
      <c r="P876" s="13" t="s">
        <v>71</v>
      </c>
      <c r="Q876" s="13" t="s">
        <v>48</v>
      </c>
      <c r="R876" s="4">
        <v>3</v>
      </c>
      <c r="S876" s="13" t="s">
        <v>595</v>
      </c>
      <c r="T876" s="13">
        <v>365</v>
      </c>
      <c r="U876" s="4" t="s">
        <v>275</v>
      </c>
      <c r="V876" s="4">
        <v>380</v>
      </c>
      <c r="W876" s="4" t="s">
        <v>42</v>
      </c>
      <c r="X876" s="4">
        <v>430</v>
      </c>
      <c r="Y876" s="4">
        <v>10</v>
      </c>
      <c r="AA876" s="4" t="s">
        <v>50</v>
      </c>
      <c r="AB876" s="4">
        <v>60</v>
      </c>
      <c r="AC876" s="4" t="s">
        <v>49</v>
      </c>
      <c r="AD876" s="4">
        <v>0</v>
      </c>
      <c r="AE876" s="4" t="s">
        <v>49</v>
      </c>
      <c r="AF876" s="4">
        <v>0</v>
      </c>
      <c r="AG876" s="4" t="s">
        <v>708</v>
      </c>
      <c r="AH876" s="4" t="s">
        <v>682</v>
      </c>
      <c r="AI876" s="4" t="s">
        <v>297</v>
      </c>
      <c r="AJ876" s="13">
        <v>0</v>
      </c>
      <c r="AK876" s="13">
        <v>15</v>
      </c>
      <c r="AM876" s="13">
        <v>1.52</v>
      </c>
      <c r="AN876" s="13" t="s">
        <v>531</v>
      </c>
      <c r="AO876" s="13" t="s">
        <v>532</v>
      </c>
      <c r="AP876" s="13" t="s">
        <v>49</v>
      </c>
      <c r="AQ876" s="13" t="s">
        <v>49</v>
      </c>
      <c r="AR876" s="13" t="s">
        <v>49</v>
      </c>
      <c r="AS876" s="13" t="s">
        <v>49</v>
      </c>
      <c r="AT876" s="13" t="s">
        <v>992</v>
      </c>
      <c r="AU876" s="4" t="s">
        <v>1000</v>
      </c>
      <c r="AV876" s="14">
        <f>(133*1.5)/1.52/1000</f>
        <v>0.13125000000000001</v>
      </c>
      <c r="AW876" s="14">
        <f>(123*1.5)/1.52/1000</f>
        <v>0.12138157894736842</v>
      </c>
      <c r="AX876" s="14">
        <f>Table1347456[[#This Row],[treatment_mean]]/Table1347456[[#This Row],[control_mean]]</f>
        <v>1.0813008130081301</v>
      </c>
      <c r="AY876" s="14">
        <f>LN(Table1347456[[#This Row],[rr]])</f>
        <v>7.8164772849336261E-2</v>
      </c>
      <c r="AZ876" s="13">
        <v>3</v>
      </c>
      <c r="BA876" s="13">
        <v>3</v>
      </c>
      <c r="BB876" s="14" t="s">
        <v>46</v>
      </c>
      <c r="BC876" s="14" t="s">
        <v>46</v>
      </c>
      <c r="BD876" s="15" t="s">
        <v>46</v>
      </c>
      <c r="BE876" s="14" t="s">
        <v>46</v>
      </c>
      <c r="BF87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76" s="17" t="s">
        <v>46</v>
      </c>
      <c r="BH876" s="13" t="s">
        <v>50</v>
      </c>
      <c r="BI876" s="13">
        <v>2.5000000000000001E-2</v>
      </c>
      <c r="BJ876" s="18">
        <f>ABS(_xlfn.NORM.S.INV(Table1347456[[#This Row],[p_value]]/2))</f>
        <v>2.2414027276049446</v>
      </c>
      <c r="BK876" s="19">
        <f>(Table1347456[[#This Row],[lnrr]]/Table1347456[[#This Row],[z_from_p]])^2</f>
        <v>1.2161365697366245E-3</v>
      </c>
      <c r="BL876" s="16">
        <f>Table1347456[[#This Row],[v_from_z_from_p]]</f>
        <v>1.2161365697366245E-3</v>
      </c>
      <c r="BM876" s="20">
        <f>SQRT(Table1347456[[#This Row],[v]])</f>
        <v>3.4873149696243735E-2</v>
      </c>
      <c r="BN876" s="20">
        <f>Table1347456[[#This Row],[lnrr]]-(1.96*Table1347456[[#This Row],[se]])</f>
        <v>9.8133994446985423E-3</v>
      </c>
      <c r="BO876" s="20">
        <f>Table1347456[[#This Row],[lnrr]]+(1.96 * Table1347456[[#This Row],[se]])</f>
        <v>0.14651614625397397</v>
      </c>
    </row>
    <row r="877" spans="1:67">
      <c r="A877" s="13" t="s">
        <v>312</v>
      </c>
      <c r="B877" s="13" t="s">
        <v>313</v>
      </c>
      <c r="C877" s="13" t="s">
        <v>43</v>
      </c>
      <c r="D877" s="13" t="s">
        <v>314</v>
      </c>
      <c r="E877" s="13" t="s">
        <v>151</v>
      </c>
      <c r="F877" s="13" t="s">
        <v>587</v>
      </c>
      <c r="G877" s="13" t="s">
        <v>315</v>
      </c>
      <c r="H877" s="13">
        <v>31.3</v>
      </c>
      <c r="I877" s="13">
        <v>800</v>
      </c>
      <c r="K877" s="13" t="s">
        <v>902</v>
      </c>
      <c r="L877" s="13" t="s">
        <v>903</v>
      </c>
      <c r="N877" s="13" t="s">
        <v>316</v>
      </c>
      <c r="O877" s="13" t="s">
        <v>644</v>
      </c>
      <c r="P877" s="13" t="s">
        <v>71</v>
      </c>
      <c r="Q877" s="13" t="s">
        <v>48</v>
      </c>
      <c r="R877" s="4">
        <v>3</v>
      </c>
      <c r="S877" s="13" t="s">
        <v>595</v>
      </c>
      <c r="T877" s="13">
        <v>365</v>
      </c>
      <c r="U877" s="4" t="s">
        <v>275</v>
      </c>
      <c r="V877" s="4">
        <v>380</v>
      </c>
      <c r="W877" s="4" t="s">
        <v>42</v>
      </c>
      <c r="X877" s="4">
        <v>430</v>
      </c>
      <c r="Y877" s="4">
        <v>20</v>
      </c>
      <c r="AA877" s="4" t="s">
        <v>50</v>
      </c>
      <c r="AB877" s="4">
        <v>60</v>
      </c>
      <c r="AC877" s="4" t="s">
        <v>49</v>
      </c>
      <c r="AD877" s="4">
        <v>0</v>
      </c>
      <c r="AE877" s="4" t="s">
        <v>49</v>
      </c>
      <c r="AF877" s="4">
        <v>0</v>
      </c>
      <c r="AG877" s="4" t="s">
        <v>708</v>
      </c>
      <c r="AH877" s="4" t="s">
        <v>682</v>
      </c>
      <c r="AI877" s="4" t="s">
        <v>297</v>
      </c>
      <c r="AJ877" s="13">
        <v>0</v>
      </c>
      <c r="AK877" s="13">
        <v>15</v>
      </c>
      <c r="AM877" s="13">
        <v>1.52</v>
      </c>
      <c r="AN877" s="13" t="s">
        <v>531</v>
      </c>
      <c r="AO877" s="13" t="s">
        <v>532</v>
      </c>
      <c r="AP877" s="13" t="s">
        <v>49</v>
      </c>
      <c r="AQ877" s="13" t="s">
        <v>49</v>
      </c>
      <c r="AR877" s="13" t="s">
        <v>49</v>
      </c>
      <c r="AS877" s="13" t="s">
        <v>49</v>
      </c>
      <c r="AT877" s="13" t="s">
        <v>992</v>
      </c>
      <c r="AU877" s="4" t="s">
        <v>1000</v>
      </c>
      <c r="AV877" s="14">
        <f>(145*1.5)/1.52/1000</f>
        <v>0.14309210526315788</v>
      </c>
      <c r="AW877" s="14">
        <f>(123*1.5)/1.52/1000</f>
        <v>0.12138157894736842</v>
      </c>
      <c r="AX877" s="14">
        <f>Table1347456[[#This Row],[treatment_mean]]/Table1347456[[#This Row],[control_mean]]</f>
        <v>1.178861788617886</v>
      </c>
      <c r="AY877" s="14">
        <f>LN(Table1347456[[#This Row],[rr]])</f>
        <v>0.1645493870481568</v>
      </c>
      <c r="AZ877" s="13">
        <v>3</v>
      </c>
      <c r="BA877" s="13">
        <v>3</v>
      </c>
      <c r="BB877" s="14" t="s">
        <v>46</v>
      </c>
      <c r="BC877" s="14" t="s">
        <v>46</v>
      </c>
      <c r="BD877" s="15" t="s">
        <v>46</v>
      </c>
      <c r="BE877" s="14" t="s">
        <v>46</v>
      </c>
      <c r="BF87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77" s="17" t="s">
        <v>46</v>
      </c>
      <c r="BH877" s="13" t="s">
        <v>50</v>
      </c>
      <c r="BI877" s="13">
        <v>2.5000000000000001E-2</v>
      </c>
      <c r="BJ877" s="18">
        <f>ABS(_xlfn.NORM.S.INV(Table1347456[[#This Row],[p_value]]/2))</f>
        <v>2.2414027276049446</v>
      </c>
      <c r="BK877" s="19">
        <f>(Table1347456[[#This Row],[lnrr]]/Table1347456[[#This Row],[z_from_p]])^2</f>
        <v>5.3895529811744556E-3</v>
      </c>
      <c r="BL877" s="16">
        <f>Table1347456[[#This Row],[v_from_z_from_p]]</f>
        <v>5.3895529811744556E-3</v>
      </c>
      <c r="BM877" s="20">
        <f>SQRT(Table1347456[[#This Row],[v]])</f>
        <v>7.3413574910737425E-2</v>
      </c>
      <c r="BN877" s="20">
        <f>Table1347456[[#This Row],[lnrr]]-(1.96*Table1347456[[#This Row],[se]])</f>
        <v>2.0658780223111461E-2</v>
      </c>
      <c r="BO877" s="20">
        <f>Table1347456[[#This Row],[lnrr]]+(1.96 * Table1347456[[#This Row],[se]])</f>
        <v>0.30843999387320215</v>
      </c>
    </row>
    <row r="878" spans="1:67">
      <c r="A878" s="13" t="s">
        <v>312</v>
      </c>
      <c r="B878" s="13" t="s">
        <v>313</v>
      </c>
      <c r="C878" s="13" t="s">
        <v>43</v>
      </c>
      <c r="D878" s="13" t="s">
        <v>314</v>
      </c>
      <c r="E878" s="13" t="s">
        <v>151</v>
      </c>
      <c r="F878" s="13" t="s">
        <v>587</v>
      </c>
      <c r="G878" s="13" t="s">
        <v>315</v>
      </c>
      <c r="H878" s="13">
        <v>31.3</v>
      </c>
      <c r="I878" s="13">
        <v>800</v>
      </c>
      <c r="K878" s="13" t="s">
        <v>902</v>
      </c>
      <c r="L878" s="13" t="s">
        <v>903</v>
      </c>
      <c r="N878" s="13" t="s">
        <v>316</v>
      </c>
      <c r="O878" s="13" t="s">
        <v>644</v>
      </c>
      <c r="P878" s="13" t="s">
        <v>71</v>
      </c>
      <c r="Q878" s="13" t="s">
        <v>48</v>
      </c>
      <c r="R878" s="4">
        <v>3</v>
      </c>
      <c r="S878" s="13" t="s">
        <v>595</v>
      </c>
      <c r="T878" s="13">
        <v>365</v>
      </c>
      <c r="U878" s="4" t="s">
        <v>275</v>
      </c>
      <c r="V878" s="4">
        <v>380</v>
      </c>
      <c r="W878" s="4" t="s">
        <v>42</v>
      </c>
      <c r="X878" s="4">
        <v>430</v>
      </c>
      <c r="Y878" s="4">
        <v>40</v>
      </c>
      <c r="AA878" s="4" t="s">
        <v>50</v>
      </c>
      <c r="AB878" s="4">
        <v>60</v>
      </c>
      <c r="AC878" s="4" t="s">
        <v>49</v>
      </c>
      <c r="AD878" s="4">
        <v>0</v>
      </c>
      <c r="AE878" s="4" t="s">
        <v>49</v>
      </c>
      <c r="AF878" s="4">
        <v>0</v>
      </c>
      <c r="AG878" s="4" t="s">
        <v>708</v>
      </c>
      <c r="AH878" s="4" t="s">
        <v>682</v>
      </c>
      <c r="AI878" s="4" t="s">
        <v>297</v>
      </c>
      <c r="AJ878" s="13">
        <v>0</v>
      </c>
      <c r="AK878" s="13">
        <v>15</v>
      </c>
      <c r="AM878" s="13">
        <v>1.52</v>
      </c>
      <c r="AN878" s="13" t="s">
        <v>531</v>
      </c>
      <c r="AO878" s="13" t="s">
        <v>532</v>
      </c>
      <c r="AP878" s="13" t="s">
        <v>49</v>
      </c>
      <c r="AQ878" s="13" t="s">
        <v>49</v>
      </c>
      <c r="AR878" s="13" t="s">
        <v>49</v>
      </c>
      <c r="AS878" s="13" t="s">
        <v>49</v>
      </c>
      <c r="AT878" s="13" t="s">
        <v>992</v>
      </c>
      <c r="AU878" s="4" t="s">
        <v>1000</v>
      </c>
      <c r="AV878" s="14">
        <f>(171*1.5)/1.52/1000</f>
        <v>0.16875000000000001</v>
      </c>
      <c r="AW878" s="14">
        <f>(123*1.5)/1.52/1000</f>
        <v>0.12138157894736842</v>
      </c>
      <c r="AX878" s="14">
        <f>Table1347456[[#This Row],[treatment_mean]]/Table1347456[[#This Row],[control_mean]]</f>
        <v>1.3902439024390245</v>
      </c>
      <c r="AY878" s="14">
        <f>LN(Table1347456[[#This Row],[rr]])</f>
        <v>0.32947920113024243</v>
      </c>
      <c r="AZ878" s="13">
        <v>3</v>
      </c>
      <c r="BA878" s="13">
        <v>3</v>
      </c>
      <c r="BB878" s="14" t="s">
        <v>46</v>
      </c>
      <c r="BC878" s="14" t="s">
        <v>46</v>
      </c>
      <c r="BD878" s="15" t="s">
        <v>46</v>
      </c>
      <c r="BE878" s="14" t="s">
        <v>46</v>
      </c>
      <c r="BF87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78" s="17" t="s">
        <v>46</v>
      </c>
      <c r="BH878" s="13" t="s">
        <v>50</v>
      </c>
      <c r="BI878" s="13">
        <v>2.5000000000000001E-2</v>
      </c>
      <c r="BJ878" s="18">
        <f>ABS(_xlfn.NORM.S.INV(Table1347456[[#This Row],[p_value]]/2))</f>
        <v>2.2414027276049446</v>
      </c>
      <c r="BK878" s="19">
        <f>(Table1347456[[#This Row],[lnrr]]/Table1347456[[#This Row],[z_from_p]])^2</f>
        <v>2.1608081857332626E-2</v>
      </c>
      <c r="BL878" s="16">
        <f>Table1347456[[#This Row],[v_from_z_from_p]]</f>
        <v>2.1608081857332626E-2</v>
      </c>
      <c r="BM878" s="20">
        <f>SQRT(Table1347456[[#This Row],[v]])</f>
        <v>0.14699687703258402</v>
      </c>
      <c r="BN878" s="20">
        <f>Table1347456[[#This Row],[lnrr]]-(1.96*Table1347456[[#This Row],[se]])</f>
        <v>4.1365322146377781E-2</v>
      </c>
      <c r="BO878" s="20">
        <f>Table1347456[[#This Row],[lnrr]]+(1.96 * Table1347456[[#This Row],[se]])</f>
        <v>0.61759308011410707</v>
      </c>
    </row>
    <row r="879" spans="1:67">
      <c r="A879" s="13" t="s">
        <v>312</v>
      </c>
      <c r="B879" s="13" t="s">
        <v>313</v>
      </c>
      <c r="C879" s="13" t="s">
        <v>43</v>
      </c>
      <c r="D879" s="13" t="s">
        <v>314</v>
      </c>
      <c r="E879" s="13" t="s">
        <v>151</v>
      </c>
      <c r="F879" s="13" t="s">
        <v>587</v>
      </c>
      <c r="G879" s="13" t="s">
        <v>315</v>
      </c>
      <c r="H879" s="13">
        <v>31.3</v>
      </c>
      <c r="I879" s="13">
        <v>800</v>
      </c>
      <c r="K879" s="13" t="s">
        <v>902</v>
      </c>
      <c r="L879" s="13" t="s">
        <v>903</v>
      </c>
      <c r="N879" s="13" t="s">
        <v>316</v>
      </c>
      <c r="O879" s="13" t="s">
        <v>644</v>
      </c>
      <c r="P879" s="13" t="s">
        <v>71</v>
      </c>
      <c r="Q879" s="13" t="s">
        <v>48</v>
      </c>
      <c r="R879" s="4">
        <v>3</v>
      </c>
      <c r="S879" s="13" t="s">
        <v>595</v>
      </c>
      <c r="T879" s="13">
        <v>365</v>
      </c>
      <c r="U879" s="4" t="s">
        <v>275</v>
      </c>
      <c r="V879" s="4">
        <v>380</v>
      </c>
      <c r="W879" s="4" t="s">
        <v>42</v>
      </c>
      <c r="X879" s="4">
        <v>430</v>
      </c>
      <c r="Y879" s="4">
        <v>10</v>
      </c>
      <c r="AA879" s="4" t="s">
        <v>50</v>
      </c>
      <c r="AB879" s="4">
        <v>60</v>
      </c>
      <c r="AC879" s="4" t="s">
        <v>49</v>
      </c>
      <c r="AD879" s="4">
        <v>0</v>
      </c>
      <c r="AE879" s="4" t="s">
        <v>49</v>
      </c>
      <c r="AF879" s="4">
        <v>0</v>
      </c>
      <c r="AG879" s="4" t="s">
        <v>708</v>
      </c>
      <c r="AH879" s="4" t="s">
        <v>775</v>
      </c>
      <c r="AI879" s="4" t="s">
        <v>52</v>
      </c>
      <c r="AJ879" s="13">
        <v>0</v>
      </c>
      <c r="AK879" s="13">
        <v>15</v>
      </c>
      <c r="AM879" s="13" t="s">
        <v>533</v>
      </c>
      <c r="AN879" s="13" t="s">
        <v>531</v>
      </c>
      <c r="AO879" s="13" t="s">
        <v>532</v>
      </c>
      <c r="AP879" s="13" t="s">
        <v>49</v>
      </c>
      <c r="AQ879" s="13" t="s">
        <v>49</v>
      </c>
      <c r="AR879" s="13" t="s">
        <v>49</v>
      </c>
      <c r="AS879" s="13" t="s">
        <v>49</v>
      </c>
      <c r="AT879" s="13" t="s">
        <v>992</v>
      </c>
      <c r="AU879" s="4" t="s">
        <v>1000</v>
      </c>
      <c r="AV879" s="14">
        <f>(220*1.5)/1.37/1000</f>
        <v>0.24087591240875908</v>
      </c>
      <c r="AW879" s="14">
        <f>(198*1.5)/1.37/1000</f>
        <v>0.21678832116788319</v>
      </c>
      <c r="AX879" s="14">
        <f>Table1347456[[#This Row],[treatment_mean]]/Table1347456[[#This Row],[control_mean]]</f>
        <v>1.1111111111111109</v>
      </c>
      <c r="AY879" s="14">
        <f>LN(Table1347456[[#This Row],[rr]])</f>
        <v>0.10536051565782614</v>
      </c>
      <c r="AZ879" s="13">
        <v>3</v>
      </c>
      <c r="BA879" s="13">
        <v>3</v>
      </c>
      <c r="BB879" s="14" t="s">
        <v>46</v>
      </c>
      <c r="BC879" s="14" t="s">
        <v>46</v>
      </c>
      <c r="BD879" s="15" t="s">
        <v>46</v>
      </c>
      <c r="BE879" s="14" t="s">
        <v>46</v>
      </c>
      <c r="BF87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79" s="17" t="s">
        <v>46</v>
      </c>
      <c r="BH879" s="13" t="s">
        <v>50</v>
      </c>
      <c r="BI879" s="13">
        <v>2.5000000000000001E-2</v>
      </c>
      <c r="BJ879" s="18">
        <f>ABS(_xlfn.NORM.S.INV(Table1347456[[#This Row],[p_value]]/2))</f>
        <v>2.2414027276049446</v>
      </c>
      <c r="BK879" s="19">
        <f>(Table1347456[[#This Row],[lnrr]]/Table1347456[[#This Row],[z_from_p]])^2</f>
        <v>2.2096118116115386E-3</v>
      </c>
      <c r="BL879" s="16">
        <f>Table1347456[[#This Row],[v_from_z_from_p]]</f>
        <v>2.2096118116115386E-3</v>
      </c>
      <c r="BM879" s="20">
        <f>SQRT(Table1347456[[#This Row],[v]])</f>
        <v>4.7006508183564735E-2</v>
      </c>
      <c r="BN879" s="20">
        <f>Table1347456[[#This Row],[lnrr]]-(1.96*Table1347456[[#This Row],[se]])</f>
        <v>1.3227759618039264E-2</v>
      </c>
      <c r="BO879" s="20">
        <f>Table1347456[[#This Row],[lnrr]]+(1.96 * Table1347456[[#This Row],[se]])</f>
        <v>0.19749327169761302</v>
      </c>
    </row>
    <row r="880" spans="1:67">
      <c r="A880" s="13" t="s">
        <v>312</v>
      </c>
      <c r="B880" s="13" t="s">
        <v>313</v>
      </c>
      <c r="C880" s="13" t="s">
        <v>43</v>
      </c>
      <c r="D880" s="13" t="s">
        <v>314</v>
      </c>
      <c r="E880" s="13" t="s">
        <v>151</v>
      </c>
      <c r="F880" s="13" t="s">
        <v>587</v>
      </c>
      <c r="G880" s="13" t="s">
        <v>315</v>
      </c>
      <c r="H880" s="13">
        <v>31.3</v>
      </c>
      <c r="I880" s="13">
        <v>800</v>
      </c>
      <c r="K880" s="13" t="s">
        <v>902</v>
      </c>
      <c r="L880" s="13" t="s">
        <v>903</v>
      </c>
      <c r="N880" s="13" t="s">
        <v>316</v>
      </c>
      <c r="O880" s="13" t="s">
        <v>644</v>
      </c>
      <c r="P880" s="13" t="s">
        <v>71</v>
      </c>
      <c r="Q880" s="13" t="s">
        <v>48</v>
      </c>
      <c r="R880" s="4">
        <v>3</v>
      </c>
      <c r="S880" s="13" t="s">
        <v>595</v>
      </c>
      <c r="T880" s="13">
        <v>365</v>
      </c>
      <c r="U880" s="4" t="s">
        <v>275</v>
      </c>
      <c r="V880" s="4">
        <v>380</v>
      </c>
      <c r="W880" s="4" t="s">
        <v>42</v>
      </c>
      <c r="X880" s="4">
        <v>430</v>
      </c>
      <c r="Y880" s="4">
        <v>20</v>
      </c>
      <c r="AA880" s="4" t="s">
        <v>50</v>
      </c>
      <c r="AB880" s="4">
        <v>60</v>
      </c>
      <c r="AC880" s="4" t="s">
        <v>49</v>
      </c>
      <c r="AD880" s="4">
        <v>0</v>
      </c>
      <c r="AE880" s="4" t="s">
        <v>49</v>
      </c>
      <c r="AF880" s="4">
        <v>0</v>
      </c>
      <c r="AG880" s="4" t="s">
        <v>708</v>
      </c>
      <c r="AH880" s="4" t="s">
        <v>775</v>
      </c>
      <c r="AI880" s="4" t="s">
        <v>52</v>
      </c>
      <c r="AJ880" s="13">
        <v>0</v>
      </c>
      <c r="AK880" s="13">
        <v>15</v>
      </c>
      <c r="AM880" s="13" t="s">
        <v>533</v>
      </c>
      <c r="AN880" s="13" t="s">
        <v>531</v>
      </c>
      <c r="AO880" s="13" t="s">
        <v>532</v>
      </c>
      <c r="AP880" s="13" t="s">
        <v>49</v>
      </c>
      <c r="AQ880" s="13" t="s">
        <v>49</v>
      </c>
      <c r="AR880" s="13" t="s">
        <v>49</v>
      </c>
      <c r="AS880" s="13" t="s">
        <v>49</v>
      </c>
      <c r="AT880" s="13" t="s">
        <v>992</v>
      </c>
      <c r="AU880" s="4" t="s">
        <v>1000</v>
      </c>
      <c r="AV880" s="14">
        <f>(238*1.5)/1.37/1000</f>
        <v>0.26058394160583942</v>
      </c>
      <c r="AW880" s="14">
        <f>(198*1.5)/1.37/1000</f>
        <v>0.21678832116788319</v>
      </c>
      <c r="AX880" s="14">
        <f>Table1347456[[#This Row],[treatment_mean]]/Table1347456[[#This Row],[control_mean]]</f>
        <v>1.2020202020202022</v>
      </c>
      <c r="AY880" s="14">
        <f>LN(Table1347456[[#This Row],[rr]])</f>
        <v>0.18400364297693961</v>
      </c>
      <c r="AZ880" s="13">
        <v>3</v>
      </c>
      <c r="BA880" s="13">
        <v>3</v>
      </c>
      <c r="BB880" s="14" t="s">
        <v>46</v>
      </c>
      <c r="BC880" s="14" t="s">
        <v>46</v>
      </c>
      <c r="BD880" s="15" t="s">
        <v>46</v>
      </c>
      <c r="BE880" s="14" t="s">
        <v>46</v>
      </c>
      <c r="BF88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80" s="17" t="s">
        <v>46</v>
      </c>
      <c r="BH880" s="13" t="s">
        <v>50</v>
      </c>
      <c r="BI880" s="13">
        <v>2.5000000000000001E-2</v>
      </c>
      <c r="BJ880" s="18">
        <f>ABS(_xlfn.NORM.S.INV(Table1347456[[#This Row],[p_value]]/2))</f>
        <v>2.2414027276049446</v>
      </c>
      <c r="BK880" s="19">
        <f>(Table1347456[[#This Row],[lnrr]]/Table1347456[[#This Row],[z_from_p]])^2</f>
        <v>6.7392730182211343E-3</v>
      </c>
      <c r="BL880" s="16">
        <f>Table1347456[[#This Row],[v_from_z_from_p]]</f>
        <v>6.7392730182211343E-3</v>
      </c>
      <c r="BM880" s="20">
        <f>SQRT(Table1347456[[#This Row],[v]])</f>
        <v>8.2093075336602747E-2</v>
      </c>
      <c r="BN880" s="20">
        <f>Table1347456[[#This Row],[lnrr]]-(1.96*Table1347456[[#This Row],[se]])</f>
        <v>2.310121531719822E-2</v>
      </c>
      <c r="BO880" s="20">
        <f>Table1347456[[#This Row],[lnrr]]+(1.96 * Table1347456[[#This Row],[se]])</f>
        <v>0.34490607063668099</v>
      </c>
    </row>
    <row r="881" spans="1:67">
      <c r="A881" s="13" t="s">
        <v>312</v>
      </c>
      <c r="B881" s="13" t="s">
        <v>313</v>
      </c>
      <c r="C881" s="13" t="s">
        <v>43</v>
      </c>
      <c r="D881" s="13" t="s">
        <v>314</v>
      </c>
      <c r="E881" s="13" t="s">
        <v>151</v>
      </c>
      <c r="F881" s="13" t="s">
        <v>587</v>
      </c>
      <c r="G881" s="13" t="s">
        <v>315</v>
      </c>
      <c r="H881" s="13">
        <v>31.3</v>
      </c>
      <c r="I881" s="13">
        <v>800</v>
      </c>
      <c r="K881" s="13" t="s">
        <v>902</v>
      </c>
      <c r="L881" s="13" t="s">
        <v>903</v>
      </c>
      <c r="N881" s="13" t="s">
        <v>316</v>
      </c>
      <c r="O881" s="13" t="s">
        <v>644</v>
      </c>
      <c r="P881" s="13" t="s">
        <v>71</v>
      </c>
      <c r="Q881" s="13" t="s">
        <v>48</v>
      </c>
      <c r="R881" s="4">
        <v>3</v>
      </c>
      <c r="S881" s="13" t="s">
        <v>595</v>
      </c>
      <c r="T881" s="13">
        <v>365</v>
      </c>
      <c r="U881" s="4" t="s">
        <v>275</v>
      </c>
      <c r="V881" s="4">
        <v>380</v>
      </c>
      <c r="W881" s="4" t="s">
        <v>42</v>
      </c>
      <c r="X881" s="4">
        <v>430</v>
      </c>
      <c r="Y881" s="4">
        <v>40</v>
      </c>
      <c r="AA881" s="4" t="s">
        <v>50</v>
      </c>
      <c r="AB881" s="4">
        <v>60</v>
      </c>
      <c r="AC881" s="4" t="s">
        <v>49</v>
      </c>
      <c r="AD881" s="4">
        <v>0</v>
      </c>
      <c r="AE881" s="4" t="s">
        <v>49</v>
      </c>
      <c r="AF881" s="4">
        <v>0</v>
      </c>
      <c r="AG881" s="4" t="s">
        <v>708</v>
      </c>
      <c r="AH881" s="4" t="s">
        <v>775</v>
      </c>
      <c r="AI881" s="4" t="s">
        <v>52</v>
      </c>
      <c r="AJ881" s="13">
        <v>0</v>
      </c>
      <c r="AK881" s="13">
        <v>15</v>
      </c>
      <c r="AM881" s="13" t="s">
        <v>533</v>
      </c>
      <c r="AN881" s="13" t="s">
        <v>531</v>
      </c>
      <c r="AO881" s="13" t="s">
        <v>532</v>
      </c>
      <c r="AP881" s="13" t="s">
        <v>49</v>
      </c>
      <c r="AQ881" s="13" t="s">
        <v>49</v>
      </c>
      <c r="AR881" s="13" t="s">
        <v>49</v>
      </c>
      <c r="AS881" s="13" t="s">
        <v>49</v>
      </c>
      <c r="AT881" s="13" t="s">
        <v>992</v>
      </c>
      <c r="AU881" s="4" t="s">
        <v>1000</v>
      </c>
      <c r="AV881" s="14">
        <f>(255*1.5)/1.37/1000</f>
        <v>0.27919708029197077</v>
      </c>
      <c r="AW881" s="14">
        <f>(198*1.5)/1.37/1000</f>
        <v>0.21678832116788319</v>
      </c>
      <c r="AX881" s="14">
        <f>Table1347456[[#This Row],[treatment_mean]]/Table1347456[[#This Row],[control_mean]]</f>
        <v>1.2878787878787878</v>
      </c>
      <c r="AY881" s="14">
        <f>LN(Table1347456[[#This Row],[rr]])</f>
        <v>0.25299651446389088</v>
      </c>
      <c r="AZ881" s="13">
        <v>3</v>
      </c>
      <c r="BA881" s="13">
        <v>3</v>
      </c>
      <c r="BB881" s="14" t="s">
        <v>46</v>
      </c>
      <c r="BC881" s="14" t="s">
        <v>46</v>
      </c>
      <c r="BD881" s="15" t="s">
        <v>46</v>
      </c>
      <c r="BE881" s="14" t="s">
        <v>46</v>
      </c>
      <c r="BF88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81" s="17" t="s">
        <v>46</v>
      </c>
      <c r="BH881" s="13" t="s">
        <v>50</v>
      </c>
      <c r="BI881" s="13">
        <v>2.5000000000000001E-2</v>
      </c>
      <c r="BJ881" s="18">
        <f>ABS(_xlfn.NORM.S.INV(Table1347456[[#This Row],[p_value]]/2))</f>
        <v>2.2414027276049446</v>
      </c>
      <c r="BK881" s="19">
        <f>(Table1347456[[#This Row],[lnrr]]/Table1347456[[#This Row],[z_from_p]])^2</f>
        <v>1.2740582478260255E-2</v>
      </c>
      <c r="BL881" s="16">
        <f>Table1347456[[#This Row],[v_from_z_from_p]]</f>
        <v>1.2740582478260255E-2</v>
      </c>
      <c r="BM881" s="20">
        <f>SQRT(Table1347456[[#This Row],[v]])</f>
        <v>0.11287418871584529</v>
      </c>
      <c r="BN881" s="20">
        <f>Table1347456[[#This Row],[lnrr]]-(1.96*Table1347456[[#This Row],[se]])</f>
        <v>3.1763104580834117E-2</v>
      </c>
      <c r="BO881" s="20">
        <f>Table1347456[[#This Row],[lnrr]]+(1.96 * Table1347456[[#This Row],[se]])</f>
        <v>0.47422992434694766</v>
      </c>
    </row>
    <row r="882" spans="1:67">
      <c r="A882" s="13" t="s">
        <v>312</v>
      </c>
      <c r="B882" s="13" t="s">
        <v>313</v>
      </c>
      <c r="C882" s="13" t="s">
        <v>43</v>
      </c>
      <c r="D882" s="13" t="s">
        <v>314</v>
      </c>
      <c r="E882" s="13" t="s">
        <v>151</v>
      </c>
      <c r="F882" s="13" t="s">
        <v>587</v>
      </c>
      <c r="G882" s="13" t="s">
        <v>315</v>
      </c>
      <c r="H882" s="13">
        <v>31.3</v>
      </c>
      <c r="I882" s="13">
        <v>800</v>
      </c>
      <c r="K882" s="13" t="s">
        <v>902</v>
      </c>
      <c r="L882" s="13" t="s">
        <v>903</v>
      </c>
      <c r="N882" s="13" t="s">
        <v>316</v>
      </c>
      <c r="O882" s="13" t="s">
        <v>644</v>
      </c>
      <c r="P882" s="13" t="s">
        <v>71</v>
      </c>
      <c r="Q882" s="13" t="s">
        <v>48</v>
      </c>
      <c r="R882" s="4">
        <v>3</v>
      </c>
      <c r="S882" s="13" t="s">
        <v>595</v>
      </c>
      <c r="T882" s="13">
        <v>365</v>
      </c>
      <c r="U882" s="4" t="s">
        <v>275</v>
      </c>
      <c r="V882" s="4">
        <v>380</v>
      </c>
      <c r="W882" s="4" t="s">
        <v>42</v>
      </c>
      <c r="X882" s="4">
        <v>430</v>
      </c>
      <c r="Y882" s="4">
        <v>10</v>
      </c>
      <c r="AA882" s="4" t="s">
        <v>50</v>
      </c>
      <c r="AB882" s="4">
        <v>90</v>
      </c>
      <c r="AC882" s="4" t="s">
        <v>49</v>
      </c>
      <c r="AD882" s="4">
        <v>0</v>
      </c>
      <c r="AE882" s="4" t="s">
        <v>49</v>
      </c>
      <c r="AF882" s="4">
        <v>0</v>
      </c>
      <c r="AG882" s="4" t="s">
        <v>708</v>
      </c>
      <c r="AH882" s="4" t="s">
        <v>682</v>
      </c>
      <c r="AI882" s="4" t="s">
        <v>297</v>
      </c>
      <c r="AJ882" s="13">
        <v>0</v>
      </c>
      <c r="AK882" s="13">
        <v>15</v>
      </c>
      <c r="AM882" s="13">
        <v>1.52</v>
      </c>
      <c r="AN882" s="13" t="s">
        <v>531</v>
      </c>
      <c r="AO882" s="13" t="s">
        <v>532</v>
      </c>
      <c r="AP882" s="13" t="s">
        <v>49</v>
      </c>
      <c r="AQ882" s="13" t="s">
        <v>49</v>
      </c>
      <c r="AR882" s="13" t="s">
        <v>49</v>
      </c>
      <c r="AS882" s="13" t="s">
        <v>49</v>
      </c>
      <c r="AT882" s="13" t="s">
        <v>992</v>
      </c>
      <c r="AU882" s="4" t="s">
        <v>1000</v>
      </c>
      <c r="AV882" s="14">
        <f>(142*1.5)/1.52/1000</f>
        <v>0.14013157894736841</v>
      </c>
      <c r="AW882" s="14">
        <f>(129*1.5)/1.52/1000</f>
        <v>0.12730263157894736</v>
      </c>
      <c r="AX882" s="14">
        <f>Table1347456[[#This Row],[treatment_mean]]/Table1347456[[#This Row],[control_mean]]</f>
        <v>1.1007751937984496</v>
      </c>
      <c r="AY882" s="14">
        <f>LN(Table1347456[[#This Row],[rr]])</f>
        <v>9.6014653239588577E-2</v>
      </c>
      <c r="AZ882" s="13">
        <v>3</v>
      </c>
      <c r="BA882" s="13">
        <v>3</v>
      </c>
      <c r="BB882" s="14" t="s">
        <v>46</v>
      </c>
      <c r="BC882" s="14" t="s">
        <v>46</v>
      </c>
      <c r="BD882" s="15" t="s">
        <v>46</v>
      </c>
      <c r="BE882" s="14" t="s">
        <v>46</v>
      </c>
      <c r="BF88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82" s="17" t="s">
        <v>46</v>
      </c>
      <c r="BH882" s="13" t="s">
        <v>50</v>
      </c>
      <c r="BI882" s="13">
        <v>2.5000000000000001E-2</v>
      </c>
      <c r="BJ882" s="18">
        <f>ABS(_xlfn.NORM.S.INV(Table1347456[[#This Row],[p_value]]/2))</f>
        <v>2.2414027276049446</v>
      </c>
      <c r="BK882" s="19">
        <f>(Table1347456[[#This Row],[lnrr]]/Table1347456[[#This Row],[z_from_p]])^2</f>
        <v>1.8349965132561277E-3</v>
      </c>
      <c r="BL882" s="16">
        <f>Table1347456[[#This Row],[v_from_z_from_p]]</f>
        <v>1.8349965132561277E-3</v>
      </c>
      <c r="BM882" s="20">
        <f>SQRT(Table1347456[[#This Row],[v]])</f>
        <v>4.2836859283286954E-2</v>
      </c>
      <c r="BN882" s="20">
        <f>Table1347456[[#This Row],[lnrr]]-(1.96*Table1347456[[#This Row],[se]])</f>
        <v>1.2054409044346154E-2</v>
      </c>
      <c r="BO882" s="20">
        <f>Table1347456[[#This Row],[lnrr]]+(1.96 * Table1347456[[#This Row],[se]])</f>
        <v>0.179974897434831</v>
      </c>
    </row>
    <row r="883" spans="1:67">
      <c r="A883" s="13" t="s">
        <v>312</v>
      </c>
      <c r="B883" s="13" t="s">
        <v>313</v>
      </c>
      <c r="C883" s="13" t="s">
        <v>43</v>
      </c>
      <c r="D883" s="13" t="s">
        <v>314</v>
      </c>
      <c r="E883" s="13" t="s">
        <v>151</v>
      </c>
      <c r="F883" s="13" t="s">
        <v>587</v>
      </c>
      <c r="G883" s="13" t="s">
        <v>315</v>
      </c>
      <c r="H883" s="13">
        <v>31.3</v>
      </c>
      <c r="I883" s="13">
        <v>800</v>
      </c>
      <c r="K883" s="13" t="s">
        <v>902</v>
      </c>
      <c r="L883" s="13" t="s">
        <v>903</v>
      </c>
      <c r="N883" s="13" t="s">
        <v>316</v>
      </c>
      <c r="O883" s="13" t="s">
        <v>644</v>
      </c>
      <c r="P883" s="13" t="s">
        <v>71</v>
      </c>
      <c r="Q883" s="13" t="s">
        <v>48</v>
      </c>
      <c r="R883" s="4">
        <v>3</v>
      </c>
      <c r="S883" s="13" t="s">
        <v>595</v>
      </c>
      <c r="T883" s="13">
        <v>365</v>
      </c>
      <c r="U883" s="4" t="s">
        <v>275</v>
      </c>
      <c r="V883" s="4">
        <v>380</v>
      </c>
      <c r="W883" s="4" t="s">
        <v>42</v>
      </c>
      <c r="X883" s="4">
        <v>430</v>
      </c>
      <c r="Y883" s="4">
        <v>20</v>
      </c>
      <c r="AA883" s="4" t="s">
        <v>50</v>
      </c>
      <c r="AB883" s="4">
        <v>90</v>
      </c>
      <c r="AC883" s="4" t="s">
        <v>49</v>
      </c>
      <c r="AD883" s="4">
        <v>0</v>
      </c>
      <c r="AE883" s="4" t="s">
        <v>49</v>
      </c>
      <c r="AF883" s="4">
        <v>0</v>
      </c>
      <c r="AG883" s="4" t="s">
        <v>708</v>
      </c>
      <c r="AH883" s="4" t="s">
        <v>682</v>
      </c>
      <c r="AI883" s="4" t="s">
        <v>297</v>
      </c>
      <c r="AJ883" s="13">
        <v>0</v>
      </c>
      <c r="AK883" s="13">
        <v>15</v>
      </c>
      <c r="AM883" s="13">
        <v>1.52</v>
      </c>
      <c r="AN883" s="13" t="s">
        <v>531</v>
      </c>
      <c r="AO883" s="13" t="s">
        <v>532</v>
      </c>
      <c r="AP883" s="13" t="s">
        <v>49</v>
      </c>
      <c r="AQ883" s="13" t="s">
        <v>49</v>
      </c>
      <c r="AR883" s="13" t="s">
        <v>49</v>
      </c>
      <c r="AS883" s="13" t="s">
        <v>49</v>
      </c>
      <c r="AT883" s="13" t="s">
        <v>992</v>
      </c>
      <c r="AU883" s="4" t="s">
        <v>1000</v>
      </c>
      <c r="AV883" s="14">
        <f>(151*1.5)/1.52/1000</f>
        <v>0.14901315789473685</v>
      </c>
      <c r="AW883" s="14">
        <f>(129*1.5)/1.52/1000</f>
        <v>0.12730263157894736</v>
      </c>
      <c r="AX883" s="14">
        <f>Table1347456[[#This Row],[treatment_mean]]/Table1347456[[#This Row],[control_mean]]</f>
        <v>1.1705426356589148</v>
      </c>
      <c r="AY883" s="14">
        <f>LN(Table1347456[[#This Row],[rr]])</f>
        <v>0.15746743245325229</v>
      </c>
      <c r="AZ883" s="13">
        <v>3</v>
      </c>
      <c r="BA883" s="13">
        <v>3</v>
      </c>
      <c r="BB883" s="14" t="s">
        <v>46</v>
      </c>
      <c r="BC883" s="14" t="s">
        <v>46</v>
      </c>
      <c r="BD883" s="15" t="s">
        <v>46</v>
      </c>
      <c r="BE883" s="14" t="s">
        <v>46</v>
      </c>
      <c r="BF88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83" s="17" t="s">
        <v>46</v>
      </c>
      <c r="BH883" s="13" t="s">
        <v>50</v>
      </c>
      <c r="BI883" s="13">
        <v>2.5000000000000001E-2</v>
      </c>
      <c r="BJ883" s="18">
        <f>ABS(_xlfn.NORM.S.INV(Table1347456[[#This Row],[p_value]]/2))</f>
        <v>2.2414027276049446</v>
      </c>
      <c r="BK883" s="19">
        <f>(Table1347456[[#This Row],[lnrr]]/Table1347456[[#This Row],[z_from_p]])^2</f>
        <v>4.9356198287350697E-3</v>
      </c>
      <c r="BL883" s="16">
        <f>Table1347456[[#This Row],[v_from_z_from_p]]</f>
        <v>4.9356198287350697E-3</v>
      </c>
      <c r="BM883" s="20">
        <f>SQRT(Table1347456[[#This Row],[v]])</f>
        <v>7.0253966640575316E-2</v>
      </c>
      <c r="BN883" s="20">
        <f>Table1347456[[#This Row],[lnrr]]-(1.96*Table1347456[[#This Row],[se]])</f>
        <v>1.9769657837724663E-2</v>
      </c>
      <c r="BO883" s="20">
        <f>Table1347456[[#This Row],[lnrr]]+(1.96 * Table1347456[[#This Row],[se]])</f>
        <v>0.29516520706877991</v>
      </c>
    </row>
    <row r="884" spans="1:67">
      <c r="A884" s="13" t="s">
        <v>312</v>
      </c>
      <c r="B884" s="13" t="s">
        <v>313</v>
      </c>
      <c r="C884" s="13" t="s">
        <v>43</v>
      </c>
      <c r="D884" s="13" t="s">
        <v>314</v>
      </c>
      <c r="E884" s="13" t="s">
        <v>151</v>
      </c>
      <c r="F884" s="13" t="s">
        <v>587</v>
      </c>
      <c r="G884" s="13" t="s">
        <v>315</v>
      </c>
      <c r="H884" s="13">
        <v>31.3</v>
      </c>
      <c r="I884" s="13">
        <v>800</v>
      </c>
      <c r="K884" s="13" t="s">
        <v>902</v>
      </c>
      <c r="L884" s="13" t="s">
        <v>903</v>
      </c>
      <c r="N884" s="13" t="s">
        <v>316</v>
      </c>
      <c r="O884" s="13" t="s">
        <v>644</v>
      </c>
      <c r="P884" s="13" t="s">
        <v>71</v>
      </c>
      <c r="Q884" s="13" t="s">
        <v>48</v>
      </c>
      <c r="R884" s="4">
        <v>3</v>
      </c>
      <c r="S884" s="13" t="s">
        <v>595</v>
      </c>
      <c r="T884" s="13">
        <v>365</v>
      </c>
      <c r="U884" s="4" t="s">
        <v>275</v>
      </c>
      <c r="V884" s="4">
        <v>380</v>
      </c>
      <c r="W884" s="4" t="s">
        <v>42</v>
      </c>
      <c r="X884" s="4">
        <v>430</v>
      </c>
      <c r="Y884" s="4">
        <v>40</v>
      </c>
      <c r="AA884" s="4" t="s">
        <v>50</v>
      </c>
      <c r="AB884" s="4">
        <v>90</v>
      </c>
      <c r="AC884" s="4" t="s">
        <v>49</v>
      </c>
      <c r="AD884" s="4">
        <v>0</v>
      </c>
      <c r="AE884" s="4" t="s">
        <v>49</v>
      </c>
      <c r="AF884" s="4">
        <v>0</v>
      </c>
      <c r="AG884" s="4" t="s">
        <v>708</v>
      </c>
      <c r="AH884" s="4" t="s">
        <v>682</v>
      </c>
      <c r="AI884" s="4" t="s">
        <v>297</v>
      </c>
      <c r="AJ884" s="13">
        <v>0</v>
      </c>
      <c r="AK884" s="13">
        <v>15</v>
      </c>
      <c r="AM884" s="13">
        <v>1.52</v>
      </c>
      <c r="AN884" s="13" t="s">
        <v>531</v>
      </c>
      <c r="AO884" s="13" t="s">
        <v>532</v>
      </c>
      <c r="AP884" s="13" t="s">
        <v>49</v>
      </c>
      <c r="AQ884" s="13" t="s">
        <v>49</v>
      </c>
      <c r="AR884" s="13" t="s">
        <v>49</v>
      </c>
      <c r="AS884" s="13" t="s">
        <v>49</v>
      </c>
      <c r="AT884" s="13" t="s">
        <v>992</v>
      </c>
      <c r="AU884" s="4" t="s">
        <v>1000</v>
      </c>
      <c r="AV884" s="14">
        <f>(173*1.5)/1.52/1000</f>
        <v>0.17072368421052631</v>
      </c>
      <c r="AW884" s="14">
        <f>(129*1.5)/1.52/1000</f>
        <v>0.12730263157894736</v>
      </c>
      <c r="AX884" s="14">
        <f>Table1347456[[#This Row],[treatment_mean]]/Table1347456[[#This Row],[control_mean]]</f>
        <v>1.3410852713178294</v>
      </c>
      <c r="AY884" s="14">
        <f>LN(Table1347456[[#This Row],[rr]])</f>
        <v>0.29347919013610679</v>
      </c>
      <c r="AZ884" s="13">
        <v>3</v>
      </c>
      <c r="BA884" s="13">
        <v>3</v>
      </c>
      <c r="BB884" s="14" t="s">
        <v>46</v>
      </c>
      <c r="BC884" s="14" t="s">
        <v>46</v>
      </c>
      <c r="BD884" s="15" t="s">
        <v>46</v>
      </c>
      <c r="BE884" s="14" t="s">
        <v>46</v>
      </c>
      <c r="BF88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84" s="17" t="s">
        <v>46</v>
      </c>
      <c r="BH884" s="13" t="s">
        <v>50</v>
      </c>
      <c r="BI884" s="13">
        <v>2.5000000000000001E-2</v>
      </c>
      <c r="BJ884" s="18">
        <f>ABS(_xlfn.NORM.S.INV(Table1347456[[#This Row],[p_value]]/2))</f>
        <v>2.2414027276049446</v>
      </c>
      <c r="BK884" s="19">
        <f>(Table1347456[[#This Row],[lnrr]]/Table1347456[[#This Row],[z_from_p]])^2</f>
        <v>1.7144105545308742E-2</v>
      </c>
      <c r="BL884" s="16">
        <f>Table1347456[[#This Row],[v_from_z_from_p]]</f>
        <v>1.7144105545308742E-2</v>
      </c>
      <c r="BM884" s="20">
        <f>SQRT(Table1347456[[#This Row],[v]])</f>
        <v>0.13093550147041383</v>
      </c>
      <c r="BN884" s="20">
        <f>Table1347456[[#This Row],[lnrr]]-(1.96*Table1347456[[#This Row],[se]])</f>
        <v>3.6845607254095691E-2</v>
      </c>
      <c r="BO884" s="20">
        <f>Table1347456[[#This Row],[lnrr]]+(1.96 * Table1347456[[#This Row],[se]])</f>
        <v>0.5501127730181179</v>
      </c>
    </row>
    <row r="885" spans="1:67">
      <c r="A885" s="13" t="s">
        <v>312</v>
      </c>
      <c r="B885" s="13" t="s">
        <v>313</v>
      </c>
      <c r="C885" s="13" t="s">
        <v>43</v>
      </c>
      <c r="D885" s="13" t="s">
        <v>314</v>
      </c>
      <c r="E885" s="13" t="s">
        <v>151</v>
      </c>
      <c r="F885" s="13" t="s">
        <v>587</v>
      </c>
      <c r="G885" s="13" t="s">
        <v>315</v>
      </c>
      <c r="H885" s="13">
        <v>31.3</v>
      </c>
      <c r="I885" s="13">
        <v>800</v>
      </c>
      <c r="K885" s="13" t="s">
        <v>902</v>
      </c>
      <c r="L885" s="13" t="s">
        <v>903</v>
      </c>
      <c r="N885" s="13" t="s">
        <v>316</v>
      </c>
      <c r="O885" s="13" t="s">
        <v>644</v>
      </c>
      <c r="P885" s="13" t="s">
        <v>71</v>
      </c>
      <c r="Q885" s="13" t="s">
        <v>48</v>
      </c>
      <c r="R885" s="4">
        <v>3</v>
      </c>
      <c r="S885" s="13" t="s">
        <v>595</v>
      </c>
      <c r="T885" s="13">
        <v>365</v>
      </c>
      <c r="U885" s="4" t="s">
        <v>275</v>
      </c>
      <c r="V885" s="4">
        <v>380</v>
      </c>
      <c r="W885" s="4" t="s">
        <v>42</v>
      </c>
      <c r="X885" s="4">
        <v>430</v>
      </c>
      <c r="Y885" s="4">
        <v>10</v>
      </c>
      <c r="AA885" s="4" t="s">
        <v>50</v>
      </c>
      <c r="AB885" s="4">
        <v>90</v>
      </c>
      <c r="AC885" s="4" t="s">
        <v>49</v>
      </c>
      <c r="AD885" s="4">
        <v>0</v>
      </c>
      <c r="AE885" s="4" t="s">
        <v>49</v>
      </c>
      <c r="AF885" s="4">
        <v>0</v>
      </c>
      <c r="AG885" s="4" t="s">
        <v>708</v>
      </c>
      <c r="AH885" s="4" t="s">
        <v>775</v>
      </c>
      <c r="AI885" s="4" t="s">
        <v>52</v>
      </c>
      <c r="AJ885" s="13">
        <v>0</v>
      </c>
      <c r="AK885" s="13">
        <v>15</v>
      </c>
      <c r="AM885" s="13" t="s">
        <v>533</v>
      </c>
      <c r="AN885" s="13" t="s">
        <v>531</v>
      </c>
      <c r="AO885" s="13" t="s">
        <v>532</v>
      </c>
      <c r="AP885" s="13" t="s">
        <v>49</v>
      </c>
      <c r="AQ885" s="13" t="s">
        <v>49</v>
      </c>
      <c r="AR885" s="13" t="s">
        <v>49</v>
      </c>
      <c r="AS885" s="13" t="s">
        <v>49</v>
      </c>
      <c r="AT885" s="13" t="s">
        <v>992</v>
      </c>
      <c r="AU885" s="4" t="s">
        <v>1000</v>
      </c>
      <c r="AV885" s="14">
        <f>(250*1.5)/1.37/1000</f>
        <v>0.27372262773722628</v>
      </c>
      <c r="AW885" s="14">
        <f>(218*1.5)/1.37/1000</f>
        <v>0.23868613138686129</v>
      </c>
      <c r="AX885" s="14">
        <f>Table1347456[[#This Row],[treatment_mean]]/Table1347456[[#This Row],[control_mean]]</f>
        <v>1.1467889908256881</v>
      </c>
      <c r="AY885" s="14">
        <f>LN(Table1347456[[#This Row],[rr]])</f>
        <v>0.13696585507315742</v>
      </c>
      <c r="AZ885" s="13">
        <v>3</v>
      </c>
      <c r="BA885" s="13">
        <v>3</v>
      </c>
      <c r="BB885" s="14" t="s">
        <v>46</v>
      </c>
      <c r="BC885" s="14" t="s">
        <v>46</v>
      </c>
      <c r="BD885" s="15" t="s">
        <v>46</v>
      </c>
      <c r="BE885" s="14" t="s">
        <v>46</v>
      </c>
      <c r="BF88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85" s="17" t="s">
        <v>46</v>
      </c>
      <c r="BH885" s="13" t="s">
        <v>50</v>
      </c>
      <c r="BI885" s="13">
        <v>2.5000000000000001E-2</v>
      </c>
      <c r="BJ885" s="18">
        <f>ABS(_xlfn.NORM.S.INV(Table1347456[[#This Row],[p_value]]/2))</f>
        <v>2.2414027276049446</v>
      </c>
      <c r="BK885" s="19">
        <f>(Table1347456[[#This Row],[lnrr]]/Table1347456[[#This Row],[z_from_p]])^2</f>
        <v>3.7340904543754446E-3</v>
      </c>
      <c r="BL885" s="16">
        <f>Table1347456[[#This Row],[v_from_z_from_p]]</f>
        <v>3.7340904543754446E-3</v>
      </c>
      <c r="BM885" s="20">
        <f>SQRT(Table1347456[[#This Row],[v]])</f>
        <v>6.1107204602857138E-2</v>
      </c>
      <c r="BN885" s="20">
        <f>Table1347456[[#This Row],[lnrr]]-(1.96*Table1347456[[#This Row],[se]])</f>
        <v>1.7195734051557429E-2</v>
      </c>
      <c r="BO885" s="20">
        <f>Table1347456[[#This Row],[lnrr]]+(1.96 * Table1347456[[#This Row],[se]])</f>
        <v>0.2567359760947574</v>
      </c>
    </row>
    <row r="886" spans="1:67">
      <c r="A886" s="13" t="s">
        <v>312</v>
      </c>
      <c r="B886" s="13" t="s">
        <v>313</v>
      </c>
      <c r="C886" s="13" t="s">
        <v>43</v>
      </c>
      <c r="D886" s="13" t="s">
        <v>314</v>
      </c>
      <c r="E886" s="13" t="s">
        <v>151</v>
      </c>
      <c r="F886" s="13" t="s">
        <v>587</v>
      </c>
      <c r="G886" s="13" t="s">
        <v>315</v>
      </c>
      <c r="H886" s="13">
        <v>31.3</v>
      </c>
      <c r="I886" s="13">
        <v>800</v>
      </c>
      <c r="K886" s="13" t="s">
        <v>902</v>
      </c>
      <c r="L886" s="13" t="s">
        <v>903</v>
      </c>
      <c r="N886" s="13" t="s">
        <v>316</v>
      </c>
      <c r="O886" s="13" t="s">
        <v>644</v>
      </c>
      <c r="P886" s="13" t="s">
        <v>71</v>
      </c>
      <c r="Q886" s="13" t="s">
        <v>48</v>
      </c>
      <c r="R886" s="4">
        <v>3</v>
      </c>
      <c r="S886" s="13" t="s">
        <v>595</v>
      </c>
      <c r="T886" s="13">
        <v>365</v>
      </c>
      <c r="U886" s="4" t="s">
        <v>275</v>
      </c>
      <c r="V886" s="4">
        <v>380</v>
      </c>
      <c r="W886" s="4" t="s">
        <v>42</v>
      </c>
      <c r="X886" s="4">
        <v>430</v>
      </c>
      <c r="Y886" s="4">
        <v>20</v>
      </c>
      <c r="AA886" s="4" t="s">
        <v>50</v>
      </c>
      <c r="AB886" s="4">
        <v>90</v>
      </c>
      <c r="AC886" s="4" t="s">
        <v>49</v>
      </c>
      <c r="AD886" s="4">
        <v>0</v>
      </c>
      <c r="AE886" s="4" t="s">
        <v>49</v>
      </c>
      <c r="AF886" s="4">
        <v>0</v>
      </c>
      <c r="AG886" s="4" t="s">
        <v>708</v>
      </c>
      <c r="AH886" s="4" t="s">
        <v>775</v>
      </c>
      <c r="AI886" s="4" t="s">
        <v>52</v>
      </c>
      <c r="AJ886" s="13">
        <v>0</v>
      </c>
      <c r="AK886" s="13">
        <v>15</v>
      </c>
      <c r="AM886" s="13" t="s">
        <v>533</v>
      </c>
      <c r="AN886" s="13" t="s">
        <v>531</v>
      </c>
      <c r="AO886" s="13" t="s">
        <v>532</v>
      </c>
      <c r="AP886" s="13" t="s">
        <v>49</v>
      </c>
      <c r="AQ886" s="13" t="s">
        <v>49</v>
      </c>
      <c r="AR886" s="13" t="s">
        <v>49</v>
      </c>
      <c r="AS886" s="13" t="s">
        <v>49</v>
      </c>
      <c r="AT886" s="13" t="s">
        <v>992</v>
      </c>
      <c r="AU886" s="4" t="s">
        <v>1000</v>
      </c>
      <c r="AV886" s="14">
        <f>(259*1.5)/1.37/1000</f>
        <v>0.2835766423357664</v>
      </c>
      <c r="AW886" s="14">
        <f>(218*1.5)/1.37/1000</f>
        <v>0.23868613138686129</v>
      </c>
      <c r="AX886" s="14">
        <f>Table1347456[[#This Row],[treatment_mean]]/Table1347456[[#This Row],[control_mean]]</f>
        <v>1.1880733944954129</v>
      </c>
      <c r="AY886" s="14">
        <f>LN(Table1347456[[#This Row],[rr]])</f>
        <v>0.17233299891044881</v>
      </c>
      <c r="AZ886" s="13">
        <v>3</v>
      </c>
      <c r="BA886" s="13">
        <v>3</v>
      </c>
      <c r="BB886" s="14" t="s">
        <v>46</v>
      </c>
      <c r="BC886" s="14" t="s">
        <v>46</v>
      </c>
      <c r="BD886" s="15" t="s">
        <v>46</v>
      </c>
      <c r="BE886" s="14" t="s">
        <v>46</v>
      </c>
      <c r="BF88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86" s="17" t="s">
        <v>46</v>
      </c>
      <c r="BH886" s="13" t="s">
        <v>50</v>
      </c>
      <c r="BI886" s="13">
        <v>2.5000000000000001E-2</v>
      </c>
      <c r="BJ886" s="18">
        <f>ABS(_xlfn.NORM.S.INV(Table1347456[[#This Row],[p_value]]/2))</f>
        <v>2.2414027276049446</v>
      </c>
      <c r="BK886" s="19">
        <f>(Table1347456[[#This Row],[lnrr]]/Table1347456[[#This Row],[z_from_p]])^2</f>
        <v>5.9114919021168713E-3</v>
      </c>
      <c r="BL886" s="16">
        <f>Table1347456[[#This Row],[v_from_z_from_p]]</f>
        <v>5.9114919021168713E-3</v>
      </c>
      <c r="BM886" s="20">
        <f>SQRT(Table1347456[[#This Row],[v]])</f>
        <v>7.6886226998838167E-2</v>
      </c>
      <c r="BN886" s="20">
        <f>Table1347456[[#This Row],[lnrr]]-(1.96*Table1347456[[#This Row],[se]])</f>
        <v>2.1635993992726005E-2</v>
      </c>
      <c r="BO886" s="20">
        <f>Table1347456[[#This Row],[lnrr]]+(1.96 * Table1347456[[#This Row],[se]])</f>
        <v>0.3230300038281716</v>
      </c>
    </row>
    <row r="887" spans="1:67">
      <c r="A887" s="13" t="s">
        <v>312</v>
      </c>
      <c r="B887" s="13" t="s">
        <v>313</v>
      </c>
      <c r="C887" s="13" t="s">
        <v>43</v>
      </c>
      <c r="D887" s="13" t="s">
        <v>314</v>
      </c>
      <c r="E887" s="13" t="s">
        <v>151</v>
      </c>
      <c r="F887" s="13" t="s">
        <v>587</v>
      </c>
      <c r="G887" s="13" t="s">
        <v>315</v>
      </c>
      <c r="H887" s="13">
        <v>31.3</v>
      </c>
      <c r="I887" s="13">
        <v>800</v>
      </c>
      <c r="K887" s="13" t="s">
        <v>902</v>
      </c>
      <c r="L887" s="13" t="s">
        <v>903</v>
      </c>
      <c r="N887" s="13" t="s">
        <v>316</v>
      </c>
      <c r="O887" s="13" t="s">
        <v>644</v>
      </c>
      <c r="P887" s="13" t="s">
        <v>71</v>
      </c>
      <c r="Q887" s="13" t="s">
        <v>48</v>
      </c>
      <c r="R887" s="4">
        <v>3</v>
      </c>
      <c r="S887" s="13" t="s">
        <v>595</v>
      </c>
      <c r="T887" s="13">
        <v>365</v>
      </c>
      <c r="U887" s="4" t="s">
        <v>275</v>
      </c>
      <c r="V887" s="4">
        <v>380</v>
      </c>
      <c r="W887" s="4" t="s">
        <v>42</v>
      </c>
      <c r="X887" s="4">
        <v>430</v>
      </c>
      <c r="Y887" s="4">
        <v>40</v>
      </c>
      <c r="AA887" s="4" t="s">
        <v>50</v>
      </c>
      <c r="AB887" s="4">
        <v>90</v>
      </c>
      <c r="AC887" s="4" t="s">
        <v>49</v>
      </c>
      <c r="AD887" s="4">
        <v>0</v>
      </c>
      <c r="AE887" s="4" t="s">
        <v>49</v>
      </c>
      <c r="AF887" s="4">
        <v>0</v>
      </c>
      <c r="AG887" s="4" t="s">
        <v>708</v>
      </c>
      <c r="AH887" s="4" t="s">
        <v>775</v>
      </c>
      <c r="AI887" s="4" t="s">
        <v>52</v>
      </c>
      <c r="AJ887" s="13">
        <v>0</v>
      </c>
      <c r="AK887" s="13">
        <v>15</v>
      </c>
      <c r="AM887" s="13" t="s">
        <v>533</v>
      </c>
      <c r="AN887" s="13" t="s">
        <v>531</v>
      </c>
      <c r="AO887" s="13" t="s">
        <v>532</v>
      </c>
      <c r="AP887" s="13" t="s">
        <v>49</v>
      </c>
      <c r="AQ887" s="13" t="s">
        <v>49</v>
      </c>
      <c r="AR887" s="13" t="s">
        <v>49</v>
      </c>
      <c r="AS887" s="13" t="s">
        <v>49</v>
      </c>
      <c r="AT887" s="13" t="s">
        <v>992</v>
      </c>
      <c r="AU887" s="4" t="s">
        <v>1000</v>
      </c>
      <c r="AV887" s="14">
        <f>(289*1.5)/1.37/1000</f>
        <v>0.31642335766423357</v>
      </c>
      <c r="AW887" s="14">
        <f>(218*1.5)/1.37/1000</f>
        <v>0.23868613138686129</v>
      </c>
      <c r="AX887" s="14">
        <f>Table1347456[[#This Row],[treatment_mean]]/Table1347456[[#This Row],[control_mean]]</f>
        <v>1.3256880733944956</v>
      </c>
      <c r="AY887" s="14">
        <f>LN(Table1347456[[#This Row],[rr]])</f>
        <v>0.28193162532334326</v>
      </c>
      <c r="AZ887" s="13">
        <v>3</v>
      </c>
      <c r="BA887" s="13">
        <v>3</v>
      </c>
      <c r="BB887" s="14" t="s">
        <v>46</v>
      </c>
      <c r="BC887" s="14" t="s">
        <v>46</v>
      </c>
      <c r="BD887" s="15" t="s">
        <v>46</v>
      </c>
      <c r="BE887" s="14" t="s">
        <v>46</v>
      </c>
      <c r="BF88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87" s="17" t="s">
        <v>46</v>
      </c>
      <c r="BH887" s="13" t="s">
        <v>50</v>
      </c>
      <c r="BI887" s="13">
        <v>2.5000000000000001E-2</v>
      </c>
      <c r="BJ887" s="18">
        <f>ABS(_xlfn.NORM.S.INV(Table1347456[[#This Row],[p_value]]/2))</f>
        <v>2.2414027276049446</v>
      </c>
      <c r="BK887" s="19">
        <f>(Table1347456[[#This Row],[lnrr]]/Table1347456[[#This Row],[z_from_p]])^2</f>
        <v>1.5821505184205727E-2</v>
      </c>
      <c r="BL887" s="16">
        <f>Table1347456[[#This Row],[v_from_z_from_p]]</f>
        <v>1.5821505184205727E-2</v>
      </c>
      <c r="BM887" s="20">
        <f>SQRT(Table1347456[[#This Row],[v]])</f>
        <v>0.12578356484138031</v>
      </c>
      <c r="BN887" s="20">
        <f>Table1347456[[#This Row],[lnrr]]-(1.96*Table1347456[[#This Row],[se]])</f>
        <v>3.5395838234237864E-2</v>
      </c>
      <c r="BO887" s="20">
        <f>Table1347456[[#This Row],[lnrr]]+(1.96 * Table1347456[[#This Row],[se]])</f>
        <v>0.52846741241244866</v>
      </c>
    </row>
    <row r="888" spans="1:67">
      <c r="A888" s="13" t="s">
        <v>312</v>
      </c>
      <c r="B888" s="13" t="s">
        <v>313</v>
      </c>
      <c r="C888" s="13" t="s">
        <v>43</v>
      </c>
      <c r="D888" s="13" t="s">
        <v>314</v>
      </c>
      <c r="E888" s="13" t="s">
        <v>151</v>
      </c>
      <c r="F888" s="13" t="s">
        <v>587</v>
      </c>
      <c r="G888" s="13" t="s">
        <v>315</v>
      </c>
      <c r="H888" s="13">
        <v>31.3</v>
      </c>
      <c r="I888" s="13">
        <v>800</v>
      </c>
      <c r="K888" s="13" t="s">
        <v>902</v>
      </c>
      <c r="L888" s="13" t="s">
        <v>903</v>
      </c>
      <c r="N888" s="13" t="s">
        <v>316</v>
      </c>
      <c r="O888" s="13" t="s">
        <v>644</v>
      </c>
      <c r="P888" s="13" t="s">
        <v>71</v>
      </c>
      <c r="Q888" s="13" t="s">
        <v>48</v>
      </c>
      <c r="R888" s="4">
        <v>3</v>
      </c>
      <c r="S888" s="13" t="s">
        <v>595</v>
      </c>
      <c r="T888" s="13">
        <v>365</v>
      </c>
      <c r="U888" s="4" t="s">
        <v>275</v>
      </c>
      <c r="V888" s="4">
        <v>380</v>
      </c>
      <c r="W888" s="4" t="s">
        <v>42</v>
      </c>
      <c r="X888" s="4">
        <v>430</v>
      </c>
      <c r="Y888" s="4">
        <v>10</v>
      </c>
      <c r="AA888" s="4" t="s">
        <v>50</v>
      </c>
      <c r="AB888" s="4">
        <v>120</v>
      </c>
      <c r="AC888" s="4" t="s">
        <v>49</v>
      </c>
      <c r="AD888" s="4">
        <v>0</v>
      </c>
      <c r="AE888" s="4" t="s">
        <v>49</v>
      </c>
      <c r="AF888" s="4">
        <v>0</v>
      </c>
      <c r="AG888" s="4" t="s">
        <v>708</v>
      </c>
      <c r="AH888" s="4" t="s">
        <v>682</v>
      </c>
      <c r="AI888" s="4" t="s">
        <v>297</v>
      </c>
      <c r="AJ888" s="13">
        <v>0</v>
      </c>
      <c r="AK888" s="13">
        <v>15</v>
      </c>
      <c r="AM888" s="13">
        <v>1.52</v>
      </c>
      <c r="AN888" s="13" t="s">
        <v>531</v>
      </c>
      <c r="AO888" s="13" t="s">
        <v>532</v>
      </c>
      <c r="AP888" s="13" t="s">
        <v>49</v>
      </c>
      <c r="AQ888" s="13" t="s">
        <v>49</v>
      </c>
      <c r="AR888" s="13" t="s">
        <v>49</v>
      </c>
      <c r="AS888" s="13" t="s">
        <v>49</v>
      </c>
      <c r="AT888" s="13" t="s">
        <v>992</v>
      </c>
      <c r="AU888" s="4" t="s">
        <v>1000</v>
      </c>
      <c r="AV888" s="14">
        <f>(136*1.5)/1.52/1000</f>
        <v>0.13421052631578947</v>
      </c>
      <c r="AW888" s="14">
        <f>(126*1.5)/1.52/1000</f>
        <v>0.12434210526315789</v>
      </c>
      <c r="AX888" s="14">
        <f>Table1347456[[#This Row],[treatment_mean]]/Table1347456[[#This Row],[control_mean]]</f>
        <v>1.0793650793650793</v>
      </c>
      <c r="AY888" s="14">
        <f>LN(Table1347456[[#This Row],[rr]])</f>
        <v>7.6372978784573956E-2</v>
      </c>
      <c r="AZ888" s="13">
        <v>3</v>
      </c>
      <c r="BA888" s="13">
        <v>3</v>
      </c>
      <c r="BB888" s="14" t="s">
        <v>46</v>
      </c>
      <c r="BC888" s="14" t="s">
        <v>46</v>
      </c>
      <c r="BD888" s="15" t="s">
        <v>46</v>
      </c>
      <c r="BE888" s="14" t="s">
        <v>46</v>
      </c>
      <c r="BF88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88" s="17" t="s">
        <v>46</v>
      </c>
      <c r="BH888" s="13" t="s">
        <v>50</v>
      </c>
      <c r="BI888" s="13">
        <v>2.5000000000000001E-2</v>
      </c>
      <c r="BJ888" s="18">
        <f>ABS(_xlfn.NORM.S.INV(Table1347456[[#This Row],[p_value]]/2))</f>
        <v>2.2414027276049446</v>
      </c>
      <c r="BK888" s="19">
        <f>(Table1347456[[#This Row],[lnrr]]/Table1347456[[#This Row],[z_from_p]])^2</f>
        <v>1.1610199098770699E-3</v>
      </c>
      <c r="BL888" s="16">
        <f>Table1347456[[#This Row],[v_from_z_from_p]]</f>
        <v>1.1610199098770699E-3</v>
      </c>
      <c r="BM888" s="20">
        <f>SQRT(Table1347456[[#This Row],[v]])</f>
        <v>3.4073742234704274E-2</v>
      </c>
      <c r="BN888" s="20">
        <f>Table1347456[[#This Row],[lnrr]]-(1.96*Table1347456[[#This Row],[se]])</f>
        <v>9.5884440045535813E-3</v>
      </c>
      <c r="BO888" s="20">
        <f>Table1347456[[#This Row],[lnrr]]+(1.96 * Table1347456[[#This Row],[se]])</f>
        <v>0.14315751356459433</v>
      </c>
    </row>
    <row r="889" spans="1:67">
      <c r="A889" s="13" t="s">
        <v>312</v>
      </c>
      <c r="B889" s="13" t="s">
        <v>313</v>
      </c>
      <c r="C889" s="13" t="s">
        <v>43</v>
      </c>
      <c r="D889" s="13" t="s">
        <v>314</v>
      </c>
      <c r="E889" s="13" t="s">
        <v>151</v>
      </c>
      <c r="F889" s="13" t="s">
        <v>587</v>
      </c>
      <c r="G889" s="13" t="s">
        <v>315</v>
      </c>
      <c r="H889" s="13">
        <v>31.3</v>
      </c>
      <c r="I889" s="13">
        <v>800</v>
      </c>
      <c r="K889" s="13" t="s">
        <v>902</v>
      </c>
      <c r="L889" s="13" t="s">
        <v>903</v>
      </c>
      <c r="N889" s="13" t="s">
        <v>316</v>
      </c>
      <c r="O889" s="13" t="s">
        <v>644</v>
      </c>
      <c r="P889" s="13" t="s">
        <v>71</v>
      </c>
      <c r="Q889" s="13" t="s">
        <v>48</v>
      </c>
      <c r="R889" s="4">
        <v>3</v>
      </c>
      <c r="S889" s="13" t="s">
        <v>595</v>
      </c>
      <c r="T889" s="13">
        <v>365</v>
      </c>
      <c r="U889" s="4" t="s">
        <v>275</v>
      </c>
      <c r="V889" s="4">
        <v>380</v>
      </c>
      <c r="W889" s="4" t="s">
        <v>42</v>
      </c>
      <c r="X889" s="4">
        <v>430</v>
      </c>
      <c r="Y889" s="4">
        <v>20</v>
      </c>
      <c r="AA889" s="4" t="s">
        <v>50</v>
      </c>
      <c r="AB889" s="4">
        <v>120</v>
      </c>
      <c r="AC889" s="4" t="s">
        <v>49</v>
      </c>
      <c r="AD889" s="4">
        <v>0</v>
      </c>
      <c r="AE889" s="4" t="s">
        <v>49</v>
      </c>
      <c r="AF889" s="4">
        <v>0</v>
      </c>
      <c r="AG889" s="4" t="s">
        <v>708</v>
      </c>
      <c r="AH889" s="4" t="s">
        <v>682</v>
      </c>
      <c r="AI889" s="4" t="s">
        <v>297</v>
      </c>
      <c r="AJ889" s="13">
        <v>0</v>
      </c>
      <c r="AK889" s="13">
        <v>15</v>
      </c>
      <c r="AM889" s="13">
        <v>1.52</v>
      </c>
      <c r="AN889" s="13" t="s">
        <v>531</v>
      </c>
      <c r="AO889" s="13" t="s">
        <v>532</v>
      </c>
      <c r="AP889" s="13" t="s">
        <v>49</v>
      </c>
      <c r="AQ889" s="13" t="s">
        <v>49</v>
      </c>
      <c r="AR889" s="13" t="s">
        <v>49</v>
      </c>
      <c r="AS889" s="13" t="s">
        <v>49</v>
      </c>
      <c r="AT889" s="13" t="s">
        <v>992</v>
      </c>
      <c r="AU889" s="4" t="s">
        <v>1000</v>
      </c>
      <c r="AV889" s="14">
        <f>(173*1.5)/1.52/1000</f>
        <v>0.17072368421052631</v>
      </c>
      <c r="AW889" s="14">
        <f>(126*1.5)/1.52/1000</f>
        <v>0.12434210526315789</v>
      </c>
      <c r="AX889" s="14">
        <f>Table1347456[[#This Row],[treatment_mean]]/Table1347456[[#This Row],[control_mean]]</f>
        <v>1.373015873015873</v>
      </c>
      <c r="AY889" s="14">
        <f>LN(Table1347456[[#This Row],[rr]])</f>
        <v>0.31700968754630093</v>
      </c>
      <c r="AZ889" s="13">
        <v>3</v>
      </c>
      <c r="BA889" s="13">
        <v>3</v>
      </c>
      <c r="BB889" s="14" t="s">
        <v>46</v>
      </c>
      <c r="BC889" s="14" t="s">
        <v>46</v>
      </c>
      <c r="BD889" s="15" t="s">
        <v>46</v>
      </c>
      <c r="BE889" s="14" t="s">
        <v>46</v>
      </c>
      <c r="BF88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89" s="17" t="s">
        <v>46</v>
      </c>
      <c r="BH889" s="13" t="s">
        <v>50</v>
      </c>
      <c r="BI889" s="13">
        <v>2.5000000000000001E-2</v>
      </c>
      <c r="BJ889" s="18">
        <f>ABS(_xlfn.NORM.S.INV(Table1347456[[#This Row],[p_value]]/2))</f>
        <v>2.2414027276049446</v>
      </c>
      <c r="BK889" s="19">
        <f>(Table1347456[[#This Row],[lnrr]]/Table1347456[[#This Row],[z_from_p]])^2</f>
        <v>2.0003467087281877E-2</v>
      </c>
      <c r="BL889" s="16">
        <f>Table1347456[[#This Row],[v_from_z_from_p]]</f>
        <v>2.0003467087281877E-2</v>
      </c>
      <c r="BM889" s="20">
        <f>SQRT(Table1347456[[#This Row],[v]])</f>
        <v>0.14143361371075081</v>
      </c>
      <c r="BN889" s="20">
        <f>Table1347456[[#This Row],[lnrr]]-(1.96*Table1347456[[#This Row],[se]])</f>
        <v>3.9799804673229355E-2</v>
      </c>
      <c r="BO889" s="20">
        <f>Table1347456[[#This Row],[lnrr]]+(1.96 * Table1347456[[#This Row],[se]])</f>
        <v>0.59421957041937246</v>
      </c>
    </row>
    <row r="890" spans="1:67">
      <c r="A890" s="13" t="s">
        <v>312</v>
      </c>
      <c r="B890" s="13" t="s">
        <v>313</v>
      </c>
      <c r="C890" s="13" t="s">
        <v>43</v>
      </c>
      <c r="D890" s="13" t="s">
        <v>314</v>
      </c>
      <c r="E890" s="13" t="s">
        <v>151</v>
      </c>
      <c r="F890" s="13" t="s">
        <v>587</v>
      </c>
      <c r="G890" s="13" t="s">
        <v>315</v>
      </c>
      <c r="H890" s="13">
        <v>31.3</v>
      </c>
      <c r="I890" s="13">
        <v>800</v>
      </c>
      <c r="K890" s="13" t="s">
        <v>902</v>
      </c>
      <c r="L890" s="13" t="s">
        <v>903</v>
      </c>
      <c r="N890" s="13" t="s">
        <v>316</v>
      </c>
      <c r="O890" s="13" t="s">
        <v>644</v>
      </c>
      <c r="P890" s="13" t="s">
        <v>71</v>
      </c>
      <c r="Q890" s="13" t="s">
        <v>48</v>
      </c>
      <c r="R890" s="4">
        <v>3</v>
      </c>
      <c r="S890" s="13" t="s">
        <v>595</v>
      </c>
      <c r="T890" s="13">
        <v>365</v>
      </c>
      <c r="U890" s="4" t="s">
        <v>275</v>
      </c>
      <c r="V890" s="4">
        <v>380</v>
      </c>
      <c r="W890" s="4" t="s">
        <v>42</v>
      </c>
      <c r="X890" s="4">
        <v>430</v>
      </c>
      <c r="Y890" s="4">
        <v>40</v>
      </c>
      <c r="AA890" s="4" t="s">
        <v>50</v>
      </c>
      <c r="AB890" s="4">
        <v>120</v>
      </c>
      <c r="AC890" s="4" t="s">
        <v>49</v>
      </c>
      <c r="AD890" s="4">
        <v>0</v>
      </c>
      <c r="AE890" s="4" t="s">
        <v>49</v>
      </c>
      <c r="AF890" s="4">
        <v>0</v>
      </c>
      <c r="AG890" s="4" t="s">
        <v>708</v>
      </c>
      <c r="AH890" s="4" t="s">
        <v>682</v>
      </c>
      <c r="AI890" s="4" t="s">
        <v>297</v>
      </c>
      <c r="AJ890" s="13">
        <v>0</v>
      </c>
      <c r="AK890" s="13">
        <v>15</v>
      </c>
      <c r="AM890" s="13">
        <v>1.52</v>
      </c>
      <c r="AN890" s="13" t="s">
        <v>531</v>
      </c>
      <c r="AO890" s="13" t="s">
        <v>532</v>
      </c>
      <c r="AP890" s="13" t="s">
        <v>49</v>
      </c>
      <c r="AQ890" s="13" t="s">
        <v>49</v>
      </c>
      <c r="AR890" s="13" t="s">
        <v>49</v>
      </c>
      <c r="AS890" s="13" t="s">
        <v>49</v>
      </c>
      <c r="AT890" s="13" t="s">
        <v>992</v>
      </c>
      <c r="AU890" s="4" t="s">
        <v>1000</v>
      </c>
      <c r="AV890" s="14">
        <f>(181*1.5)/1.52/1000</f>
        <v>0.17861842105263159</v>
      </c>
      <c r="AW890" s="14">
        <f>(126*1.5)/1.52/1000</f>
        <v>0.12434210526315789</v>
      </c>
      <c r="AX890" s="14">
        <f>Table1347456[[#This Row],[treatment_mean]]/Table1347456[[#This Row],[control_mean]]</f>
        <v>1.4365079365079367</v>
      </c>
      <c r="AY890" s="14">
        <f>LN(Table1347456[[#This Row],[rr]])</f>
        <v>0.36221512431434788</v>
      </c>
      <c r="AZ890" s="13">
        <v>3</v>
      </c>
      <c r="BA890" s="13">
        <v>3</v>
      </c>
      <c r="BB890" s="14" t="s">
        <v>46</v>
      </c>
      <c r="BC890" s="14" t="s">
        <v>46</v>
      </c>
      <c r="BD890" s="15" t="s">
        <v>46</v>
      </c>
      <c r="BE890" s="14" t="s">
        <v>46</v>
      </c>
      <c r="BF89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90" s="17" t="s">
        <v>46</v>
      </c>
      <c r="BH890" s="13" t="s">
        <v>50</v>
      </c>
      <c r="BI890" s="13">
        <v>2.5000000000000001E-2</v>
      </c>
      <c r="BJ890" s="18">
        <f>ABS(_xlfn.NORM.S.INV(Table1347456[[#This Row],[p_value]]/2))</f>
        <v>2.2414027276049446</v>
      </c>
      <c r="BK890" s="19">
        <f>(Table1347456[[#This Row],[lnrr]]/Table1347456[[#This Row],[z_from_p]])^2</f>
        <v>2.6115200741078249E-2</v>
      </c>
      <c r="BL890" s="16">
        <f>Table1347456[[#This Row],[v_from_z_from_p]]</f>
        <v>2.6115200741078249E-2</v>
      </c>
      <c r="BM890" s="20">
        <f>SQRT(Table1347456[[#This Row],[v]])</f>
        <v>0.16160198247879959</v>
      </c>
      <c r="BN890" s="20">
        <f>Table1347456[[#This Row],[lnrr]]-(1.96*Table1347456[[#This Row],[se]])</f>
        <v>4.5475238655900696E-2</v>
      </c>
      <c r="BO890" s="20">
        <f>Table1347456[[#This Row],[lnrr]]+(1.96 * Table1347456[[#This Row],[se]])</f>
        <v>0.67895500997279501</v>
      </c>
    </row>
    <row r="891" spans="1:67">
      <c r="A891" s="13" t="s">
        <v>312</v>
      </c>
      <c r="B891" s="13" t="s">
        <v>313</v>
      </c>
      <c r="C891" s="13" t="s">
        <v>43</v>
      </c>
      <c r="D891" s="13" t="s">
        <v>314</v>
      </c>
      <c r="E891" s="13" t="s">
        <v>151</v>
      </c>
      <c r="F891" s="13" t="s">
        <v>587</v>
      </c>
      <c r="G891" s="13" t="s">
        <v>315</v>
      </c>
      <c r="H891" s="13">
        <v>31.3</v>
      </c>
      <c r="I891" s="13">
        <v>800</v>
      </c>
      <c r="K891" s="13" t="s">
        <v>902</v>
      </c>
      <c r="L891" s="13" t="s">
        <v>903</v>
      </c>
      <c r="N891" s="13" t="s">
        <v>316</v>
      </c>
      <c r="O891" s="13" t="s">
        <v>644</v>
      </c>
      <c r="P891" s="13" t="s">
        <v>71</v>
      </c>
      <c r="Q891" s="13" t="s">
        <v>48</v>
      </c>
      <c r="R891" s="4">
        <v>3</v>
      </c>
      <c r="S891" s="13" t="s">
        <v>595</v>
      </c>
      <c r="T891" s="13">
        <v>365</v>
      </c>
      <c r="U891" s="4" t="s">
        <v>275</v>
      </c>
      <c r="V891" s="4">
        <v>380</v>
      </c>
      <c r="W891" s="4" t="s">
        <v>42</v>
      </c>
      <c r="X891" s="4">
        <v>430</v>
      </c>
      <c r="Y891" s="4">
        <v>10</v>
      </c>
      <c r="AA891" s="4" t="s">
        <v>50</v>
      </c>
      <c r="AB891" s="4">
        <v>120</v>
      </c>
      <c r="AC891" s="4" t="s">
        <v>49</v>
      </c>
      <c r="AD891" s="4">
        <v>0</v>
      </c>
      <c r="AE891" s="4" t="s">
        <v>49</v>
      </c>
      <c r="AF891" s="4">
        <v>0</v>
      </c>
      <c r="AG891" s="4" t="s">
        <v>708</v>
      </c>
      <c r="AH891" s="4" t="s">
        <v>775</v>
      </c>
      <c r="AI891" s="4" t="s">
        <v>52</v>
      </c>
      <c r="AJ891" s="13">
        <v>0</v>
      </c>
      <c r="AK891" s="13">
        <v>15</v>
      </c>
      <c r="AM891" s="13" t="s">
        <v>533</v>
      </c>
      <c r="AN891" s="13" t="s">
        <v>531</v>
      </c>
      <c r="AO891" s="13" t="s">
        <v>532</v>
      </c>
      <c r="AP891" s="13" t="s">
        <v>49</v>
      </c>
      <c r="AQ891" s="13" t="s">
        <v>49</v>
      </c>
      <c r="AR891" s="13" t="s">
        <v>49</v>
      </c>
      <c r="AS891" s="13" t="s">
        <v>49</v>
      </c>
      <c r="AT891" s="13" t="s">
        <v>992</v>
      </c>
      <c r="AU891" s="4" t="s">
        <v>1000</v>
      </c>
      <c r="AV891" s="14">
        <f>(229*1.5)/1.37/1000</f>
        <v>0.25072992700729924</v>
      </c>
      <c r="AW891" s="14">
        <f>(210*1.5)/1.37/1000</f>
        <v>0.22992700729927007</v>
      </c>
      <c r="AX891" s="14">
        <f>Table1347456[[#This Row],[treatment_mean]]/Table1347456[[#This Row],[control_mean]]</f>
        <v>1.0904761904761904</v>
      </c>
      <c r="AY891" s="14">
        <f>LN(Table1347456[[#This Row],[rr]])</f>
        <v>8.6614472836770873E-2</v>
      </c>
      <c r="AZ891" s="13">
        <v>3</v>
      </c>
      <c r="BA891" s="13">
        <v>3</v>
      </c>
      <c r="BB891" s="14" t="s">
        <v>46</v>
      </c>
      <c r="BC891" s="14" t="s">
        <v>46</v>
      </c>
      <c r="BD891" s="15" t="s">
        <v>46</v>
      </c>
      <c r="BE891" s="14" t="s">
        <v>46</v>
      </c>
      <c r="BF89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91" s="17" t="s">
        <v>46</v>
      </c>
      <c r="BH891" s="13" t="s">
        <v>50</v>
      </c>
      <c r="BI891" s="13">
        <v>2.5000000000000001E-2</v>
      </c>
      <c r="BJ891" s="18">
        <f>ABS(_xlfn.NORM.S.INV(Table1347456[[#This Row],[p_value]]/2))</f>
        <v>2.2414027276049446</v>
      </c>
      <c r="BK891" s="19">
        <f>(Table1347456[[#This Row],[lnrr]]/Table1347456[[#This Row],[z_from_p]])^2</f>
        <v>1.4932796295692649E-3</v>
      </c>
      <c r="BL891" s="16">
        <f>Table1347456[[#This Row],[v_from_z_from_p]]</f>
        <v>1.4932796295692649E-3</v>
      </c>
      <c r="BM891" s="20">
        <f>SQRT(Table1347456[[#This Row],[v]])</f>
        <v>3.8642976458462215E-2</v>
      </c>
      <c r="BN891" s="20">
        <f>Table1347456[[#This Row],[lnrr]]-(1.96*Table1347456[[#This Row],[se]])</f>
        <v>1.087423897818493E-2</v>
      </c>
      <c r="BO891" s="20">
        <f>Table1347456[[#This Row],[lnrr]]+(1.96 * Table1347456[[#This Row],[se]])</f>
        <v>0.16235470669535682</v>
      </c>
    </row>
    <row r="892" spans="1:67">
      <c r="A892" s="13" t="s">
        <v>312</v>
      </c>
      <c r="B892" s="13" t="s">
        <v>313</v>
      </c>
      <c r="C892" s="13" t="s">
        <v>43</v>
      </c>
      <c r="D892" s="13" t="s">
        <v>314</v>
      </c>
      <c r="E892" s="13" t="s">
        <v>151</v>
      </c>
      <c r="F892" s="13" t="s">
        <v>587</v>
      </c>
      <c r="G892" s="13" t="s">
        <v>315</v>
      </c>
      <c r="H892" s="13">
        <v>31.3</v>
      </c>
      <c r="I892" s="13">
        <v>800</v>
      </c>
      <c r="K892" s="13" t="s">
        <v>902</v>
      </c>
      <c r="L892" s="13" t="s">
        <v>903</v>
      </c>
      <c r="N892" s="13" t="s">
        <v>316</v>
      </c>
      <c r="O892" s="13" t="s">
        <v>644</v>
      </c>
      <c r="P892" s="13" t="s">
        <v>71</v>
      </c>
      <c r="Q892" s="13" t="s">
        <v>48</v>
      </c>
      <c r="R892" s="4">
        <v>3</v>
      </c>
      <c r="S892" s="13" t="s">
        <v>595</v>
      </c>
      <c r="T892" s="13">
        <v>365</v>
      </c>
      <c r="U892" s="4" t="s">
        <v>275</v>
      </c>
      <c r="V892" s="4">
        <v>380</v>
      </c>
      <c r="W892" s="4" t="s">
        <v>42</v>
      </c>
      <c r="X892" s="4">
        <v>430</v>
      </c>
      <c r="Y892" s="4">
        <v>20</v>
      </c>
      <c r="AA892" s="4" t="s">
        <v>50</v>
      </c>
      <c r="AB892" s="4">
        <v>120</v>
      </c>
      <c r="AC892" s="4" t="s">
        <v>49</v>
      </c>
      <c r="AD892" s="4">
        <v>0</v>
      </c>
      <c r="AE892" s="4" t="s">
        <v>49</v>
      </c>
      <c r="AF892" s="4">
        <v>0</v>
      </c>
      <c r="AG892" s="4" t="s">
        <v>708</v>
      </c>
      <c r="AH892" s="4" t="s">
        <v>775</v>
      </c>
      <c r="AI892" s="4" t="s">
        <v>52</v>
      </c>
      <c r="AJ892" s="13">
        <v>0</v>
      </c>
      <c r="AK892" s="13">
        <v>15</v>
      </c>
      <c r="AM892" s="13" t="s">
        <v>533</v>
      </c>
      <c r="AN892" s="13" t="s">
        <v>531</v>
      </c>
      <c r="AO892" s="13" t="s">
        <v>532</v>
      </c>
      <c r="AP892" s="13" t="s">
        <v>49</v>
      </c>
      <c r="AQ892" s="13" t="s">
        <v>49</v>
      </c>
      <c r="AR892" s="13" t="s">
        <v>49</v>
      </c>
      <c r="AS892" s="13" t="s">
        <v>49</v>
      </c>
      <c r="AT892" s="13" t="s">
        <v>992</v>
      </c>
      <c r="AU892" s="4" t="s">
        <v>1000</v>
      </c>
      <c r="AV892" s="14">
        <f>(249*1.5)/1.37/1000</f>
        <v>0.27262773722627737</v>
      </c>
      <c r="AW892" s="14">
        <f>(210*1.5)/1.37/1000</f>
        <v>0.22992700729927007</v>
      </c>
      <c r="AX892" s="14">
        <f>Table1347456[[#This Row],[treatment_mean]]/Table1347456[[#This Row],[control_mean]]</f>
        <v>1.1857142857142857</v>
      </c>
      <c r="AY892" s="14">
        <f>LN(Table1347456[[#This Row],[rr]])</f>
        <v>0.17034536574723894</v>
      </c>
      <c r="AZ892" s="13">
        <v>3</v>
      </c>
      <c r="BA892" s="13">
        <v>3</v>
      </c>
      <c r="BB892" s="14" t="s">
        <v>46</v>
      </c>
      <c r="BC892" s="14" t="s">
        <v>46</v>
      </c>
      <c r="BD892" s="15" t="s">
        <v>46</v>
      </c>
      <c r="BE892" s="14" t="s">
        <v>46</v>
      </c>
      <c r="BF89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92" s="17" t="s">
        <v>46</v>
      </c>
      <c r="BH892" s="13" t="s">
        <v>50</v>
      </c>
      <c r="BI892" s="13">
        <v>2.5000000000000001E-2</v>
      </c>
      <c r="BJ892" s="18">
        <f>ABS(_xlfn.NORM.S.INV(Table1347456[[#This Row],[p_value]]/2))</f>
        <v>2.2414027276049446</v>
      </c>
      <c r="BK892" s="19">
        <f>(Table1347456[[#This Row],[lnrr]]/Table1347456[[#This Row],[z_from_p]])^2</f>
        <v>5.7759158049457337E-3</v>
      </c>
      <c r="BL892" s="16">
        <f>Table1347456[[#This Row],[v_from_z_from_p]]</f>
        <v>5.7759158049457337E-3</v>
      </c>
      <c r="BM892" s="20">
        <f>SQRT(Table1347456[[#This Row],[v]])</f>
        <v>7.5999446083150721E-2</v>
      </c>
      <c r="BN892" s="20">
        <f>Table1347456[[#This Row],[lnrr]]-(1.96*Table1347456[[#This Row],[se]])</f>
        <v>2.1386451424263514E-2</v>
      </c>
      <c r="BO892" s="20">
        <f>Table1347456[[#This Row],[lnrr]]+(1.96 * Table1347456[[#This Row],[se]])</f>
        <v>0.31930428007021439</v>
      </c>
    </row>
    <row r="893" spans="1:67">
      <c r="A893" s="13" t="s">
        <v>312</v>
      </c>
      <c r="B893" s="13" t="s">
        <v>313</v>
      </c>
      <c r="C893" s="13" t="s">
        <v>43</v>
      </c>
      <c r="D893" s="13" t="s">
        <v>314</v>
      </c>
      <c r="E893" s="13" t="s">
        <v>151</v>
      </c>
      <c r="F893" s="13" t="s">
        <v>587</v>
      </c>
      <c r="G893" s="13" t="s">
        <v>315</v>
      </c>
      <c r="H893" s="13">
        <v>31.3</v>
      </c>
      <c r="I893" s="13">
        <v>800</v>
      </c>
      <c r="K893" s="13" t="s">
        <v>902</v>
      </c>
      <c r="L893" s="13" t="s">
        <v>903</v>
      </c>
      <c r="N893" s="13" t="s">
        <v>316</v>
      </c>
      <c r="O893" s="13" t="s">
        <v>644</v>
      </c>
      <c r="P893" s="13" t="s">
        <v>71</v>
      </c>
      <c r="Q893" s="13" t="s">
        <v>48</v>
      </c>
      <c r="R893" s="4">
        <v>3</v>
      </c>
      <c r="S893" s="13" t="s">
        <v>595</v>
      </c>
      <c r="T893" s="13">
        <v>365</v>
      </c>
      <c r="U893" s="4" t="s">
        <v>275</v>
      </c>
      <c r="V893" s="4">
        <v>380</v>
      </c>
      <c r="W893" s="4" t="s">
        <v>42</v>
      </c>
      <c r="X893" s="4">
        <v>430</v>
      </c>
      <c r="Y893" s="4">
        <v>40</v>
      </c>
      <c r="AA893" s="4" t="s">
        <v>50</v>
      </c>
      <c r="AB893" s="4">
        <v>120</v>
      </c>
      <c r="AC893" s="4" t="s">
        <v>49</v>
      </c>
      <c r="AD893" s="4">
        <v>0</v>
      </c>
      <c r="AE893" s="4" t="s">
        <v>49</v>
      </c>
      <c r="AF893" s="4">
        <v>0</v>
      </c>
      <c r="AG893" s="4" t="s">
        <v>708</v>
      </c>
      <c r="AH893" s="4" t="s">
        <v>775</v>
      </c>
      <c r="AI893" s="4" t="s">
        <v>52</v>
      </c>
      <c r="AJ893" s="13">
        <v>0</v>
      </c>
      <c r="AK893" s="13">
        <v>15</v>
      </c>
      <c r="AM893" s="13" t="s">
        <v>533</v>
      </c>
      <c r="AN893" s="13" t="s">
        <v>531</v>
      </c>
      <c r="AO893" s="13" t="s">
        <v>532</v>
      </c>
      <c r="AP893" s="13" t="s">
        <v>49</v>
      </c>
      <c r="AQ893" s="13" t="s">
        <v>49</v>
      </c>
      <c r="AR893" s="13" t="s">
        <v>49</v>
      </c>
      <c r="AS893" s="13" t="s">
        <v>49</v>
      </c>
      <c r="AT893" s="13" t="s">
        <v>992</v>
      </c>
      <c r="AU893" s="4" t="s">
        <v>1000</v>
      </c>
      <c r="AV893" s="14">
        <f>(302*1.5)/1.37/1000</f>
        <v>0.33065693430656934</v>
      </c>
      <c r="AW893" s="14">
        <f>(210*1.5)/1.37/1000</f>
        <v>0.22992700729927007</v>
      </c>
      <c r="AX893" s="14">
        <f>Table1347456[[#This Row],[treatment_mean]]/Table1347456[[#This Row],[control_mean]]</f>
        <v>1.4380952380952381</v>
      </c>
      <c r="AY893" s="14">
        <f>LN(Table1347456[[#This Row],[rr]])</f>
        <v>0.36331948665740094</v>
      </c>
      <c r="AZ893" s="13">
        <v>3</v>
      </c>
      <c r="BA893" s="13">
        <v>3</v>
      </c>
      <c r="BB893" s="14" t="s">
        <v>46</v>
      </c>
      <c r="BC893" s="14" t="s">
        <v>46</v>
      </c>
      <c r="BD893" s="15" t="s">
        <v>46</v>
      </c>
      <c r="BE893" s="14" t="s">
        <v>46</v>
      </c>
      <c r="BF89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93" s="17" t="s">
        <v>46</v>
      </c>
      <c r="BH893" s="13" t="s">
        <v>50</v>
      </c>
      <c r="BI893" s="13">
        <v>2.5000000000000001E-2</v>
      </c>
      <c r="BJ893" s="18">
        <f>ABS(_xlfn.NORM.S.INV(Table1347456[[#This Row],[p_value]]/2))</f>
        <v>2.2414027276049446</v>
      </c>
      <c r="BK893" s="19">
        <f>(Table1347456[[#This Row],[lnrr]]/Table1347456[[#This Row],[z_from_p]])^2</f>
        <v>2.6274689446248757E-2</v>
      </c>
      <c r="BL893" s="16">
        <f>Table1347456[[#This Row],[v_from_z_from_p]]</f>
        <v>2.6274689446248757E-2</v>
      </c>
      <c r="BM893" s="20">
        <f>SQRT(Table1347456[[#This Row],[v]])</f>
        <v>0.16209469283800984</v>
      </c>
      <c r="BN893" s="20">
        <f>Table1347456[[#This Row],[lnrr]]-(1.96*Table1347456[[#This Row],[se]])</f>
        <v>4.5613888694901628E-2</v>
      </c>
      <c r="BO893" s="20">
        <f>Table1347456[[#This Row],[lnrr]]+(1.96 * Table1347456[[#This Row],[se]])</f>
        <v>0.68102508461990019</v>
      </c>
    </row>
    <row r="894" spans="1:67">
      <c r="A894" s="13" t="s">
        <v>312</v>
      </c>
      <c r="B894" s="13" t="s">
        <v>313</v>
      </c>
      <c r="C894" s="13" t="s">
        <v>43</v>
      </c>
      <c r="D894" s="13" t="s">
        <v>314</v>
      </c>
      <c r="E894" s="13" t="s">
        <v>151</v>
      </c>
      <c r="F894" s="13" t="s">
        <v>587</v>
      </c>
      <c r="G894" s="13" t="s">
        <v>315</v>
      </c>
      <c r="H894" s="13">
        <v>31.3</v>
      </c>
      <c r="I894" s="13">
        <v>800</v>
      </c>
      <c r="K894" s="13" t="s">
        <v>902</v>
      </c>
      <c r="L894" s="13" t="s">
        <v>903</v>
      </c>
      <c r="N894" s="13" t="s">
        <v>316</v>
      </c>
      <c r="O894" s="13" t="s">
        <v>644</v>
      </c>
      <c r="P894" s="13" t="s">
        <v>71</v>
      </c>
      <c r="Q894" s="13" t="s">
        <v>48</v>
      </c>
      <c r="R894" s="4">
        <v>3</v>
      </c>
      <c r="S894" s="13" t="s">
        <v>595</v>
      </c>
      <c r="T894" s="13">
        <v>365</v>
      </c>
      <c r="U894" s="4" t="s">
        <v>275</v>
      </c>
      <c r="V894" s="4">
        <v>380</v>
      </c>
      <c r="W894" s="4" t="s">
        <v>42</v>
      </c>
      <c r="X894" s="4">
        <v>430</v>
      </c>
      <c r="Y894" s="4">
        <v>10</v>
      </c>
      <c r="AA894" s="4" t="s">
        <v>50</v>
      </c>
      <c r="AB894" s="4">
        <v>150</v>
      </c>
      <c r="AC894" s="4" t="s">
        <v>49</v>
      </c>
      <c r="AD894" s="4">
        <v>0</v>
      </c>
      <c r="AE894" s="4" t="s">
        <v>49</v>
      </c>
      <c r="AF894" s="4">
        <v>0</v>
      </c>
      <c r="AG894" s="4" t="s">
        <v>708</v>
      </c>
      <c r="AH894" s="4" t="s">
        <v>682</v>
      </c>
      <c r="AI894" s="4" t="s">
        <v>297</v>
      </c>
      <c r="AJ894" s="13">
        <v>0</v>
      </c>
      <c r="AK894" s="13">
        <v>15</v>
      </c>
      <c r="AM894" s="13">
        <v>1.52</v>
      </c>
      <c r="AN894" s="13" t="s">
        <v>531</v>
      </c>
      <c r="AO894" s="13" t="s">
        <v>532</v>
      </c>
      <c r="AP894" s="13" t="s">
        <v>49</v>
      </c>
      <c r="AQ894" s="13" t="s">
        <v>49</v>
      </c>
      <c r="AR894" s="13" t="s">
        <v>49</v>
      </c>
      <c r="AS894" s="13" t="s">
        <v>49</v>
      </c>
      <c r="AT894" s="13" t="s">
        <v>992</v>
      </c>
      <c r="AU894" s="4" t="s">
        <v>1000</v>
      </c>
      <c r="AV894" s="14">
        <f>(135*1.5)/1.52/1000</f>
        <v>0.1332236842105263</v>
      </c>
      <c r="AW894" s="14">
        <f>(128*1.5)/1.52/1000</f>
        <v>0.12631578947368421</v>
      </c>
      <c r="AX894" s="14">
        <f>Table1347456[[#This Row],[treatment_mean]]/Table1347456[[#This Row],[control_mean]]</f>
        <v>1.0546874999999998</v>
      </c>
      <c r="AY894" s="14">
        <f>LN(Table1347456[[#This Row],[rr]])</f>
        <v>5.3244514518812069E-2</v>
      </c>
      <c r="AZ894" s="13">
        <v>3</v>
      </c>
      <c r="BA894" s="13">
        <v>3</v>
      </c>
      <c r="BB894" s="14" t="s">
        <v>46</v>
      </c>
      <c r="BC894" s="14" t="s">
        <v>46</v>
      </c>
      <c r="BD894" s="15" t="s">
        <v>46</v>
      </c>
      <c r="BE894" s="14" t="s">
        <v>46</v>
      </c>
      <c r="BF89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94" s="17" t="s">
        <v>46</v>
      </c>
      <c r="BH894" s="13" t="s">
        <v>50</v>
      </c>
      <c r="BI894" s="13">
        <v>2.5000000000000001E-2</v>
      </c>
      <c r="BJ894" s="18">
        <f>ABS(_xlfn.NORM.S.INV(Table1347456[[#This Row],[p_value]]/2))</f>
        <v>2.2414027276049446</v>
      </c>
      <c r="BK894" s="19">
        <f>(Table1347456[[#This Row],[lnrr]]/Table1347456[[#This Row],[z_from_p]])^2</f>
        <v>5.6429987078572715E-4</v>
      </c>
      <c r="BL894" s="16">
        <f>Table1347456[[#This Row],[v_from_z_from_p]]</f>
        <v>5.6429987078572715E-4</v>
      </c>
      <c r="BM894" s="20">
        <f>SQRT(Table1347456[[#This Row],[v]])</f>
        <v>2.3754996754066861E-2</v>
      </c>
      <c r="BN894" s="20">
        <f>Table1347456[[#This Row],[lnrr]]-(1.96*Table1347456[[#This Row],[se]])</f>
        <v>6.6847208808410233E-3</v>
      </c>
      <c r="BO894" s="20">
        <f>Table1347456[[#This Row],[lnrr]]+(1.96 * Table1347456[[#This Row],[se]])</f>
        <v>9.9804308156783123E-2</v>
      </c>
    </row>
    <row r="895" spans="1:67">
      <c r="A895" s="13" t="s">
        <v>312</v>
      </c>
      <c r="B895" s="13" t="s">
        <v>313</v>
      </c>
      <c r="C895" s="13" t="s">
        <v>43</v>
      </c>
      <c r="D895" s="13" t="s">
        <v>314</v>
      </c>
      <c r="E895" s="13" t="s">
        <v>151</v>
      </c>
      <c r="F895" s="13" t="s">
        <v>587</v>
      </c>
      <c r="G895" s="13" t="s">
        <v>315</v>
      </c>
      <c r="H895" s="13">
        <v>31.3</v>
      </c>
      <c r="I895" s="13">
        <v>800</v>
      </c>
      <c r="K895" s="13" t="s">
        <v>902</v>
      </c>
      <c r="L895" s="13" t="s">
        <v>903</v>
      </c>
      <c r="N895" s="13" t="s">
        <v>316</v>
      </c>
      <c r="O895" s="13" t="s">
        <v>644</v>
      </c>
      <c r="P895" s="13" t="s">
        <v>71</v>
      </c>
      <c r="Q895" s="13" t="s">
        <v>48</v>
      </c>
      <c r="R895" s="4">
        <v>3</v>
      </c>
      <c r="S895" s="13" t="s">
        <v>595</v>
      </c>
      <c r="T895" s="13">
        <v>365</v>
      </c>
      <c r="U895" s="4" t="s">
        <v>275</v>
      </c>
      <c r="V895" s="4">
        <v>380</v>
      </c>
      <c r="W895" s="4" t="s">
        <v>42</v>
      </c>
      <c r="X895" s="4">
        <v>430</v>
      </c>
      <c r="Y895" s="4">
        <v>20</v>
      </c>
      <c r="AA895" s="4" t="s">
        <v>50</v>
      </c>
      <c r="AB895" s="4">
        <v>150</v>
      </c>
      <c r="AC895" s="4" t="s">
        <v>49</v>
      </c>
      <c r="AD895" s="4">
        <v>0</v>
      </c>
      <c r="AE895" s="4" t="s">
        <v>49</v>
      </c>
      <c r="AF895" s="4">
        <v>0</v>
      </c>
      <c r="AG895" s="4" t="s">
        <v>708</v>
      </c>
      <c r="AH895" s="4" t="s">
        <v>682</v>
      </c>
      <c r="AI895" s="4" t="s">
        <v>297</v>
      </c>
      <c r="AJ895" s="13">
        <v>0</v>
      </c>
      <c r="AK895" s="13">
        <v>15</v>
      </c>
      <c r="AM895" s="13">
        <v>1.52</v>
      </c>
      <c r="AN895" s="13" t="s">
        <v>531</v>
      </c>
      <c r="AO895" s="13" t="s">
        <v>532</v>
      </c>
      <c r="AP895" s="13" t="s">
        <v>49</v>
      </c>
      <c r="AQ895" s="13" t="s">
        <v>49</v>
      </c>
      <c r="AR895" s="13" t="s">
        <v>49</v>
      </c>
      <c r="AS895" s="13" t="s">
        <v>49</v>
      </c>
      <c r="AT895" s="13" t="s">
        <v>992</v>
      </c>
      <c r="AU895" s="4" t="s">
        <v>1000</v>
      </c>
      <c r="AV895" s="14">
        <f>(153*1.5)/1.52/1000</f>
        <v>0.15098684210526314</v>
      </c>
      <c r="AW895" s="14">
        <f>(128*1.5)/1.52/1000</f>
        <v>0.12631578947368421</v>
      </c>
      <c r="AX895" s="14">
        <f>Table1347456[[#This Row],[treatment_mean]]/Table1347456[[#This Row],[control_mean]]</f>
        <v>1.1953124999999998</v>
      </c>
      <c r="AY895" s="14">
        <f>LN(Table1347456[[#This Row],[rr]])</f>
        <v>0.17840765747281812</v>
      </c>
      <c r="AZ895" s="13">
        <v>3</v>
      </c>
      <c r="BA895" s="13">
        <v>3</v>
      </c>
      <c r="BB895" s="14" t="s">
        <v>46</v>
      </c>
      <c r="BC895" s="14" t="s">
        <v>46</v>
      </c>
      <c r="BD895" s="15" t="s">
        <v>46</v>
      </c>
      <c r="BE895" s="14" t="s">
        <v>46</v>
      </c>
      <c r="BF89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95" s="17" t="s">
        <v>46</v>
      </c>
      <c r="BH895" s="13" t="s">
        <v>50</v>
      </c>
      <c r="BI895" s="13">
        <v>2.5000000000000001E-2</v>
      </c>
      <c r="BJ895" s="18">
        <f>ABS(_xlfn.NORM.S.INV(Table1347456[[#This Row],[p_value]]/2))</f>
        <v>2.2414027276049446</v>
      </c>
      <c r="BK895" s="19">
        <f>(Table1347456[[#This Row],[lnrr]]/Table1347456[[#This Row],[z_from_p]])^2</f>
        <v>6.3355918223836575E-3</v>
      </c>
      <c r="BL895" s="16">
        <f>Table1347456[[#This Row],[v_from_z_from_p]]</f>
        <v>6.3355918223836575E-3</v>
      </c>
      <c r="BM895" s="20">
        <f>SQRT(Table1347456[[#This Row],[v]])</f>
        <v>7.9596430965110848E-2</v>
      </c>
      <c r="BN895" s="20">
        <f>Table1347456[[#This Row],[lnrr]]-(1.96*Table1347456[[#This Row],[se]])</f>
        <v>2.2398652781200845E-2</v>
      </c>
      <c r="BO895" s="20">
        <f>Table1347456[[#This Row],[lnrr]]+(1.96 * Table1347456[[#This Row],[se]])</f>
        <v>0.33441666216443539</v>
      </c>
    </row>
    <row r="896" spans="1:67">
      <c r="A896" s="13" t="s">
        <v>312</v>
      </c>
      <c r="B896" s="13" t="s">
        <v>313</v>
      </c>
      <c r="C896" s="13" t="s">
        <v>43</v>
      </c>
      <c r="D896" s="13" t="s">
        <v>314</v>
      </c>
      <c r="E896" s="13" t="s">
        <v>151</v>
      </c>
      <c r="F896" s="13" t="s">
        <v>587</v>
      </c>
      <c r="G896" s="13" t="s">
        <v>315</v>
      </c>
      <c r="H896" s="13">
        <v>31.3</v>
      </c>
      <c r="I896" s="13">
        <v>800</v>
      </c>
      <c r="K896" s="13" t="s">
        <v>902</v>
      </c>
      <c r="L896" s="13" t="s">
        <v>903</v>
      </c>
      <c r="N896" s="13" t="s">
        <v>316</v>
      </c>
      <c r="O896" s="13" t="s">
        <v>644</v>
      </c>
      <c r="P896" s="13" t="s">
        <v>71</v>
      </c>
      <c r="Q896" s="13" t="s">
        <v>48</v>
      </c>
      <c r="R896" s="4">
        <v>3</v>
      </c>
      <c r="S896" s="13" t="s">
        <v>595</v>
      </c>
      <c r="T896" s="13">
        <v>365</v>
      </c>
      <c r="U896" s="4" t="s">
        <v>275</v>
      </c>
      <c r="V896" s="4">
        <v>380</v>
      </c>
      <c r="W896" s="4" t="s">
        <v>42</v>
      </c>
      <c r="X896" s="4">
        <v>430</v>
      </c>
      <c r="Y896" s="4">
        <v>40</v>
      </c>
      <c r="AA896" s="4" t="s">
        <v>50</v>
      </c>
      <c r="AB896" s="4">
        <v>150</v>
      </c>
      <c r="AC896" s="4" t="s">
        <v>49</v>
      </c>
      <c r="AD896" s="4">
        <v>0</v>
      </c>
      <c r="AE896" s="4" t="s">
        <v>49</v>
      </c>
      <c r="AF896" s="4">
        <v>0</v>
      </c>
      <c r="AG896" s="4" t="s">
        <v>708</v>
      </c>
      <c r="AH896" s="4" t="s">
        <v>682</v>
      </c>
      <c r="AI896" s="4" t="s">
        <v>297</v>
      </c>
      <c r="AJ896" s="13">
        <v>0</v>
      </c>
      <c r="AK896" s="13">
        <v>15</v>
      </c>
      <c r="AM896" s="13">
        <v>1.52</v>
      </c>
      <c r="AN896" s="13" t="s">
        <v>531</v>
      </c>
      <c r="AO896" s="13" t="s">
        <v>532</v>
      </c>
      <c r="AP896" s="13" t="s">
        <v>49</v>
      </c>
      <c r="AQ896" s="13" t="s">
        <v>49</v>
      </c>
      <c r="AR896" s="13" t="s">
        <v>49</v>
      </c>
      <c r="AS896" s="13" t="s">
        <v>49</v>
      </c>
      <c r="AT896" s="13" t="s">
        <v>992</v>
      </c>
      <c r="AU896" s="4" t="s">
        <v>1000</v>
      </c>
      <c r="AV896" s="14">
        <f>(195*1.5)/1.52/1000</f>
        <v>0.19243421052631579</v>
      </c>
      <c r="AW896" s="14">
        <f>(128*1.5)/1.52/1000</f>
        <v>0.12631578947368421</v>
      </c>
      <c r="AX896" s="14">
        <f>Table1347456[[#This Row],[treatment_mean]]/Table1347456[[#This Row],[control_mean]]</f>
        <v>1.5234375</v>
      </c>
      <c r="AY896" s="14">
        <f>LN(Table1347456[[#This Row],[rr]])</f>
        <v>0.42096929464412963</v>
      </c>
      <c r="AZ896" s="13">
        <v>3</v>
      </c>
      <c r="BA896" s="13">
        <v>3</v>
      </c>
      <c r="BB896" s="14" t="s">
        <v>46</v>
      </c>
      <c r="BC896" s="14" t="s">
        <v>46</v>
      </c>
      <c r="BD896" s="15" t="s">
        <v>46</v>
      </c>
      <c r="BE896" s="14" t="s">
        <v>46</v>
      </c>
      <c r="BF89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96" s="17" t="s">
        <v>46</v>
      </c>
      <c r="BH896" s="13" t="s">
        <v>50</v>
      </c>
      <c r="BI896" s="13">
        <v>2.5000000000000001E-2</v>
      </c>
      <c r="BJ896" s="18">
        <f>ABS(_xlfn.NORM.S.INV(Table1347456[[#This Row],[p_value]]/2))</f>
        <v>2.2414027276049446</v>
      </c>
      <c r="BK896" s="19">
        <f>(Table1347456[[#This Row],[lnrr]]/Table1347456[[#This Row],[z_from_p]])^2</f>
        <v>3.5274514673647922E-2</v>
      </c>
      <c r="BL896" s="16">
        <f>Table1347456[[#This Row],[v_from_z_from_p]]</f>
        <v>3.5274514673647922E-2</v>
      </c>
      <c r="BM896" s="20">
        <f>SQRT(Table1347456[[#This Row],[v]])</f>
        <v>0.18781510768212423</v>
      </c>
      <c r="BN896" s="20">
        <f>Table1347456[[#This Row],[lnrr]]-(1.96*Table1347456[[#This Row],[se]])</f>
        <v>5.2851683587166132E-2</v>
      </c>
      <c r="BO896" s="20">
        <f>Table1347456[[#This Row],[lnrr]]+(1.96 * Table1347456[[#This Row],[se]])</f>
        <v>0.78908690570109319</v>
      </c>
    </row>
    <row r="897" spans="1:67">
      <c r="A897" s="13" t="s">
        <v>312</v>
      </c>
      <c r="B897" s="13" t="s">
        <v>313</v>
      </c>
      <c r="C897" s="13" t="s">
        <v>43</v>
      </c>
      <c r="D897" s="13" t="s">
        <v>314</v>
      </c>
      <c r="E897" s="13" t="s">
        <v>151</v>
      </c>
      <c r="F897" s="13" t="s">
        <v>587</v>
      </c>
      <c r="G897" s="13" t="s">
        <v>315</v>
      </c>
      <c r="H897" s="13">
        <v>31.3</v>
      </c>
      <c r="I897" s="13">
        <v>800</v>
      </c>
      <c r="K897" s="13" t="s">
        <v>902</v>
      </c>
      <c r="L897" s="13" t="s">
        <v>903</v>
      </c>
      <c r="N897" s="13" t="s">
        <v>316</v>
      </c>
      <c r="O897" s="13" t="s">
        <v>644</v>
      </c>
      <c r="P897" s="13" t="s">
        <v>71</v>
      </c>
      <c r="Q897" s="13" t="s">
        <v>48</v>
      </c>
      <c r="R897" s="4">
        <v>3</v>
      </c>
      <c r="S897" s="13" t="s">
        <v>595</v>
      </c>
      <c r="T897" s="13">
        <v>365</v>
      </c>
      <c r="U897" s="4" t="s">
        <v>275</v>
      </c>
      <c r="V897" s="4">
        <v>380</v>
      </c>
      <c r="W897" s="4" t="s">
        <v>42</v>
      </c>
      <c r="X897" s="4">
        <v>430</v>
      </c>
      <c r="Y897" s="4">
        <v>10</v>
      </c>
      <c r="AA897" s="4" t="s">
        <v>50</v>
      </c>
      <c r="AB897" s="4">
        <v>150</v>
      </c>
      <c r="AC897" s="4" t="s">
        <v>49</v>
      </c>
      <c r="AD897" s="4">
        <v>0</v>
      </c>
      <c r="AE897" s="4" t="s">
        <v>49</v>
      </c>
      <c r="AF897" s="4">
        <v>0</v>
      </c>
      <c r="AG897" s="4" t="s">
        <v>708</v>
      </c>
      <c r="AH897" s="4" t="s">
        <v>775</v>
      </c>
      <c r="AI897" s="4" t="s">
        <v>52</v>
      </c>
      <c r="AJ897" s="13">
        <v>0</v>
      </c>
      <c r="AK897" s="13">
        <v>15</v>
      </c>
      <c r="AM897" s="13" t="s">
        <v>533</v>
      </c>
      <c r="AN897" s="13" t="s">
        <v>531</v>
      </c>
      <c r="AO897" s="13" t="s">
        <v>532</v>
      </c>
      <c r="AP897" s="13" t="s">
        <v>49</v>
      </c>
      <c r="AQ897" s="13" t="s">
        <v>49</v>
      </c>
      <c r="AR897" s="13" t="s">
        <v>49</v>
      </c>
      <c r="AS897" s="13" t="s">
        <v>49</v>
      </c>
      <c r="AT897" s="13" t="s">
        <v>992</v>
      </c>
      <c r="AU897" s="4" t="s">
        <v>1000</v>
      </c>
      <c r="AV897" s="14">
        <f>(252*1.5)/1.37/1000</f>
        <v>0.27591240875912404</v>
      </c>
      <c r="AW897" s="14">
        <f>(233*1.5)/1.37/1000</f>
        <v>0.25510948905109487</v>
      </c>
      <c r="AX897" s="14">
        <f>Table1347456[[#This Row],[treatment_mean]]/Table1347456[[#This Row],[control_mean]]</f>
        <v>1.0815450643776823</v>
      </c>
      <c r="AY897" s="14">
        <f>LN(Table1347456[[#This Row],[rr]])</f>
        <v>7.8390633945722626E-2</v>
      </c>
      <c r="AZ897" s="13">
        <v>3</v>
      </c>
      <c r="BA897" s="13">
        <v>3</v>
      </c>
      <c r="BB897" s="14" t="s">
        <v>46</v>
      </c>
      <c r="BC897" s="14" t="s">
        <v>46</v>
      </c>
      <c r="BD897" s="15" t="s">
        <v>46</v>
      </c>
      <c r="BE897" s="14" t="s">
        <v>46</v>
      </c>
      <c r="BF89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97" s="17" t="s">
        <v>46</v>
      </c>
      <c r="BH897" s="13" t="s">
        <v>50</v>
      </c>
      <c r="BI897" s="13">
        <v>2.5000000000000001E-2</v>
      </c>
      <c r="BJ897" s="18">
        <f>ABS(_xlfn.NORM.S.INV(Table1347456[[#This Row],[p_value]]/2))</f>
        <v>2.2414027276049446</v>
      </c>
      <c r="BK897" s="19">
        <f>(Table1347456[[#This Row],[lnrr]]/Table1347456[[#This Row],[z_from_p]])^2</f>
        <v>1.2231749011210476E-3</v>
      </c>
      <c r="BL897" s="16">
        <f>Table1347456[[#This Row],[v_from_z_from_p]]</f>
        <v>1.2231749011210476E-3</v>
      </c>
      <c r="BM897" s="20">
        <f>SQRT(Table1347456[[#This Row],[v]])</f>
        <v>3.4973917440301816E-2</v>
      </c>
      <c r="BN897" s="20">
        <f>Table1347456[[#This Row],[lnrr]]-(1.96*Table1347456[[#This Row],[se]])</f>
        <v>9.8417557627310664E-3</v>
      </c>
      <c r="BO897" s="20">
        <f>Table1347456[[#This Row],[lnrr]]+(1.96 * Table1347456[[#This Row],[se]])</f>
        <v>0.1469395121287142</v>
      </c>
    </row>
    <row r="898" spans="1:67">
      <c r="A898" s="13" t="s">
        <v>312</v>
      </c>
      <c r="B898" s="13" t="s">
        <v>313</v>
      </c>
      <c r="C898" s="13" t="s">
        <v>43</v>
      </c>
      <c r="D898" s="13" t="s">
        <v>314</v>
      </c>
      <c r="E898" s="13" t="s">
        <v>151</v>
      </c>
      <c r="F898" s="13" t="s">
        <v>587</v>
      </c>
      <c r="G898" s="13" t="s">
        <v>315</v>
      </c>
      <c r="H898" s="13">
        <v>31.3</v>
      </c>
      <c r="I898" s="13">
        <v>800</v>
      </c>
      <c r="K898" s="13" t="s">
        <v>902</v>
      </c>
      <c r="L898" s="13" t="s">
        <v>903</v>
      </c>
      <c r="N898" s="13" t="s">
        <v>316</v>
      </c>
      <c r="O898" s="13" t="s">
        <v>644</v>
      </c>
      <c r="P898" s="13" t="s">
        <v>71</v>
      </c>
      <c r="Q898" s="13" t="s">
        <v>48</v>
      </c>
      <c r="R898" s="4">
        <v>3</v>
      </c>
      <c r="S898" s="13" t="s">
        <v>595</v>
      </c>
      <c r="T898" s="13">
        <v>365</v>
      </c>
      <c r="U898" s="4" t="s">
        <v>275</v>
      </c>
      <c r="V898" s="4">
        <v>380</v>
      </c>
      <c r="W898" s="4" t="s">
        <v>42</v>
      </c>
      <c r="X898" s="4">
        <v>430</v>
      </c>
      <c r="Y898" s="4">
        <v>20</v>
      </c>
      <c r="AA898" s="4" t="s">
        <v>50</v>
      </c>
      <c r="AB898" s="4">
        <v>150</v>
      </c>
      <c r="AC898" s="4" t="s">
        <v>49</v>
      </c>
      <c r="AD898" s="4">
        <v>0</v>
      </c>
      <c r="AE898" s="4" t="s">
        <v>49</v>
      </c>
      <c r="AF898" s="4">
        <v>0</v>
      </c>
      <c r="AG898" s="4" t="s">
        <v>708</v>
      </c>
      <c r="AH898" s="4" t="s">
        <v>775</v>
      </c>
      <c r="AI898" s="4" t="s">
        <v>52</v>
      </c>
      <c r="AJ898" s="13">
        <v>0</v>
      </c>
      <c r="AK898" s="13">
        <v>15</v>
      </c>
      <c r="AM898" s="13" t="s">
        <v>533</v>
      </c>
      <c r="AN898" s="13" t="s">
        <v>531</v>
      </c>
      <c r="AO898" s="13" t="s">
        <v>532</v>
      </c>
      <c r="AP898" s="13" t="s">
        <v>49</v>
      </c>
      <c r="AQ898" s="13" t="s">
        <v>49</v>
      </c>
      <c r="AR898" s="13" t="s">
        <v>49</v>
      </c>
      <c r="AS898" s="13" t="s">
        <v>49</v>
      </c>
      <c r="AT898" s="13" t="s">
        <v>992</v>
      </c>
      <c r="AU898" s="4" t="s">
        <v>1000</v>
      </c>
      <c r="AV898" s="14">
        <f>(289*1.5)/1.37/1000</f>
        <v>0.31642335766423357</v>
      </c>
      <c r="AW898" s="14">
        <f>(233*1.5)/1.37/1000</f>
        <v>0.25510948905109487</v>
      </c>
      <c r="AX898" s="14">
        <f>Table1347456[[#This Row],[treatment_mean]]/Table1347456[[#This Row],[control_mean]]</f>
        <v>1.2403433476394849</v>
      </c>
      <c r="AY898" s="14">
        <f>LN(Table1347456[[#This Row],[rr]])</f>
        <v>0.21538823454673156</v>
      </c>
      <c r="AZ898" s="13">
        <v>3</v>
      </c>
      <c r="BA898" s="13">
        <v>3</v>
      </c>
      <c r="BB898" s="14" t="s">
        <v>46</v>
      </c>
      <c r="BC898" s="14" t="s">
        <v>46</v>
      </c>
      <c r="BD898" s="15" t="s">
        <v>46</v>
      </c>
      <c r="BE898" s="14" t="s">
        <v>46</v>
      </c>
      <c r="BF89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98" s="17" t="s">
        <v>46</v>
      </c>
      <c r="BH898" s="13" t="s">
        <v>50</v>
      </c>
      <c r="BI898" s="13">
        <v>2.5000000000000001E-2</v>
      </c>
      <c r="BJ898" s="18">
        <f>ABS(_xlfn.NORM.S.INV(Table1347456[[#This Row],[p_value]]/2))</f>
        <v>2.2414027276049446</v>
      </c>
      <c r="BK898" s="19">
        <f>(Table1347456[[#This Row],[lnrr]]/Table1347456[[#This Row],[z_from_p]])^2</f>
        <v>9.234303853916128E-3</v>
      </c>
      <c r="BL898" s="16">
        <f>Table1347456[[#This Row],[v_from_z_from_p]]</f>
        <v>9.234303853916128E-3</v>
      </c>
      <c r="BM898" s="20">
        <f>SQRT(Table1347456[[#This Row],[v]])</f>
        <v>9.6095285284534787E-2</v>
      </c>
      <c r="BN898" s="20">
        <f>Table1347456[[#This Row],[lnrr]]-(1.96*Table1347456[[#This Row],[se]])</f>
        <v>2.704147538904339E-2</v>
      </c>
      <c r="BO898" s="20">
        <f>Table1347456[[#This Row],[lnrr]]+(1.96 * Table1347456[[#This Row],[se]])</f>
        <v>0.40373499370441973</v>
      </c>
    </row>
    <row r="899" spans="1:67">
      <c r="A899" s="13" t="s">
        <v>312</v>
      </c>
      <c r="B899" s="13" t="s">
        <v>313</v>
      </c>
      <c r="C899" s="13" t="s">
        <v>43</v>
      </c>
      <c r="D899" s="13" t="s">
        <v>314</v>
      </c>
      <c r="E899" s="13" t="s">
        <v>151</v>
      </c>
      <c r="F899" s="13" t="s">
        <v>587</v>
      </c>
      <c r="G899" s="13" t="s">
        <v>315</v>
      </c>
      <c r="H899" s="13">
        <v>31.3</v>
      </c>
      <c r="I899" s="13">
        <v>800</v>
      </c>
      <c r="K899" s="13" t="s">
        <v>902</v>
      </c>
      <c r="L899" s="13" t="s">
        <v>903</v>
      </c>
      <c r="N899" s="13" t="s">
        <v>316</v>
      </c>
      <c r="O899" s="13" t="s">
        <v>644</v>
      </c>
      <c r="P899" s="13" t="s">
        <v>71</v>
      </c>
      <c r="Q899" s="13" t="s">
        <v>48</v>
      </c>
      <c r="R899" s="4">
        <v>3</v>
      </c>
      <c r="S899" s="13" t="s">
        <v>595</v>
      </c>
      <c r="T899" s="13">
        <v>365</v>
      </c>
      <c r="U899" s="4" t="s">
        <v>275</v>
      </c>
      <c r="V899" s="4">
        <v>380</v>
      </c>
      <c r="W899" s="4" t="s">
        <v>42</v>
      </c>
      <c r="X899" s="4">
        <v>430</v>
      </c>
      <c r="Y899" s="4">
        <v>40</v>
      </c>
      <c r="AA899" s="4" t="s">
        <v>50</v>
      </c>
      <c r="AB899" s="4">
        <v>150</v>
      </c>
      <c r="AC899" s="4" t="s">
        <v>49</v>
      </c>
      <c r="AD899" s="4">
        <v>0</v>
      </c>
      <c r="AE899" s="4" t="s">
        <v>49</v>
      </c>
      <c r="AF899" s="4">
        <v>0</v>
      </c>
      <c r="AG899" s="4" t="s">
        <v>708</v>
      </c>
      <c r="AH899" s="4" t="s">
        <v>775</v>
      </c>
      <c r="AI899" s="4" t="s">
        <v>52</v>
      </c>
      <c r="AJ899" s="13">
        <v>0</v>
      </c>
      <c r="AK899" s="13">
        <v>15</v>
      </c>
      <c r="AM899" s="13" t="s">
        <v>533</v>
      </c>
      <c r="AN899" s="13" t="s">
        <v>531</v>
      </c>
      <c r="AO899" s="13" t="s">
        <v>532</v>
      </c>
      <c r="AP899" s="13" t="s">
        <v>49</v>
      </c>
      <c r="AQ899" s="13" t="s">
        <v>49</v>
      </c>
      <c r="AR899" s="13" t="s">
        <v>49</v>
      </c>
      <c r="AS899" s="13" t="s">
        <v>49</v>
      </c>
      <c r="AT899" s="13" t="s">
        <v>992</v>
      </c>
      <c r="AU899" s="4" t="s">
        <v>1000</v>
      </c>
      <c r="AV899" s="14">
        <f>(319*1.5)/1.37/1000</f>
        <v>0.34927007299270069</v>
      </c>
      <c r="AW899" s="14">
        <f>(233*1.5)/1.37/1000</f>
        <v>0.25510948905109487</v>
      </c>
      <c r="AX899" s="14">
        <f>Table1347456[[#This Row],[treatment_mean]]/Table1347456[[#This Row],[control_mean]]</f>
        <v>1.3690987124463518</v>
      </c>
      <c r="AY899" s="14">
        <f>LN(Table1347456[[#This Row],[rr]])</f>
        <v>0.31415264921914393</v>
      </c>
      <c r="AZ899" s="13">
        <v>3</v>
      </c>
      <c r="BA899" s="13">
        <v>3</v>
      </c>
      <c r="BB899" s="14" t="s">
        <v>46</v>
      </c>
      <c r="BC899" s="14" t="s">
        <v>46</v>
      </c>
      <c r="BD899" s="15" t="s">
        <v>46</v>
      </c>
      <c r="BE899" s="14" t="s">
        <v>46</v>
      </c>
      <c r="BF89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899" s="17" t="s">
        <v>46</v>
      </c>
      <c r="BH899" s="13" t="s">
        <v>50</v>
      </c>
      <c r="BI899" s="13">
        <v>2.5000000000000001E-2</v>
      </c>
      <c r="BJ899" s="18">
        <f>ABS(_xlfn.NORM.S.INV(Table1347456[[#This Row],[p_value]]/2))</f>
        <v>2.2414027276049446</v>
      </c>
      <c r="BK899" s="19">
        <f>(Table1347456[[#This Row],[lnrr]]/Table1347456[[#This Row],[z_from_p]])^2</f>
        <v>1.9644530813735312E-2</v>
      </c>
      <c r="BL899" s="16">
        <f>Table1347456[[#This Row],[v_from_z_from_p]]</f>
        <v>1.9644530813735312E-2</v>
      </c>
      <c r="BM899" s="20">
        <f>SQRT(Table1347456[[#This Row],[v]])</f>
        <v>0.14015894838980247</v>
      </c>
      <c r="BN899" s="20">
        <f>Table1347456[[#This Row],[lnrr]]-(1.96*Table1347456[[#This Row],[se]])</f>
        <v>3.9441110375131094E-2</v>
      </c>
      <c r="BO899" s="20">
        <f>Table1347456[[#This Row],[lnrr]]+(1.96 * Table1347456[[#This Row],[se]])</f>
        <v>0.58886418806315677</v>
      </c>
    </row>
    <row r="900" spans="1:67">
      <c r="A900" s="13" t="s">
        <v>312</v>
      </c>
      <c r="B900" s="13" t="s">
        <v>313</v>
      </c>
      <c r="C900" s="13" t="s">
        <v>43</v>
      </c>
      <c r="D900" s="13" t="s">
        <v>314</v>
      </c>
      <c r="E900" s="13" t="s">
        <v>151</v>
      </c>
      <c r="F900" s="13" t="s">
        <v>587</v>
      </c>
      <c r="G900" s="13" t="s">
        <v>315</v>
      </c>
      <c r="H900" s="13">
        <v>31.3</v>
      </c>
      <c r="I900" s="13">
        <v>800</v>
      </c>
      <c r="J900" s="13" t="s">
        <v>662</v>
      </c>
      <c r="K900" s="13" t="s">
        <v>902</v>
      </c>
      <c r="L900" s="13" t="s">
        <v>903</v>
      </c>
      <c r="M900" s="13" t="s">
        <v>800</v>
      </c>
      <c r="N900" s="13" t="s">
        <v>317</v>
      </c>
      <c r="O900" s="13" t="s">
        <v>644</v>
      </c>
      <c r="P900" s="13" t="s">
        <v>71</v>
      </c>
      <c r="Q900" s="13" t="s">
        <v>48</v>
      </c>
      <c r="R900" s="4">
        <v>3</v>
      </c>
      <c r="S900" s="13" t="s">
        <v>595</v>
      </c>
      <c r="T900" s="13">
        <v>365</v>
      </c>
      <c r="U900" s="4" t="s">
        <v>275</v>
      </c>
      <c r="V900" s="4">
        <v>380</v>
      </c>
      <c r="W900" s="4" t="s">
        <v>42</v>
      </c>
      <c r="X900" s="4">
        <v>430</v>
      </c>
      <c r="Y900" s="4">
        <v>10</v>
      </c>
      <c r="AA900" s="4" t="s">
        <v>49</v>
      </c>
      <c r="AB900" s="4">
        <v>0</v>
      </c>
      <c r="AC900" s="4" t="s">
        <v>49</v>
      </c>
      <c r="AD900" s="4">
        <v>0</v>
      </c>
      <c r="AE900" s="4" t="s">
        <v>49</v>
      </c>
      <c r="AF900" s="4">
        <v>0</v>
      </c>
      <c r="AG900" s="4" t="s">
        <v>708</v>
      </c>
      <c r="AH900" s="4" t="s">
        <v>682</v>
      </c>
      <c r="AI900" s="4" t="s">
        <v>297</v>
      </c>
      <c r="AJ900" s="13">
        <v>0</v>
      </c>
      <c r="AK900" s="13">
        <v>15</v>
      </c>
      <c r="AM900" s="13">
        <v>1.52</v>
      </c>
      <c r="AN900" s="13" t="s">
        <v>531</v>
      </c>
      <c r="AO900" s="13" t="s">
        <v>532</v>
      </c>
      <c r="AP900" s="13" t="s">
        <v>49</v>
      </c>
      <c r="AQ900" s="13" t="s">
        <v>49</v>
      </c>
      <c r="AR900" s="13" t="s">
        <v>49</v>
      </c>
      <c r="AS900" s="13" t="s">
        <v>49</v>
      </c>
      <c r="AT900" s="13" t="s">
        <v>990</v>
      </c>
      <c r="AU900" s="13" t="s">
        <v>998</v>
      </c>
      <c r="AV900" s="23">
        <f>(14*1.5)/1.52/1000</f>
        <v>1.381578947368421E-2</v>
      </c>
      <c r="AW900" s="23">
        <f>(8*1.5)/1.52/1000</f>
        <v>7.8947368421052634E-3</v>
      </c>
      <c r="AX900" s="14">
        <f>Table1347456[[#This Row],[treatment_mean]]/Table1347456[[#This Row],[control_mean]]</f>
        <v>1.75</v>
      </c>
      <c r="AY900" s="14">
        <f>LN(Table1347456[[#This Row],[rr]])</f>
        <v>0.55961578793542266</v>
      </c>
      <c r="AZ900" s="13">
        <v>3</v>
      </c>
      <c r="BA900" s="13">
        <v>3</v>
      </c>
      <c r="BB900" s="14" t="s">
        <v>46</v>
      </c>
      <c r="BC900" s="14" t="s">
        <v>46</v>
      </c>
      <c r="BD900" s="15" t="s">
        <v>46</v>
      </c>
      <c r="BE900" s="14" t="s">
        <v>46</v>
      </c>
      <c r="BF90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00" s="17" t="s">
        <v>46</v>
      </c>
      <c r="BH900" s="13" t="s">
        <v>50</v>
      </c>
      <c r="BI900" s="13">
        <v>2.5000000000000001E-2</v>
      </c>
      <c r="BJ900" s="18">
        <f>ABS(_xlfn.NORM.S.INV(Table1347456[[#This Row],[p_value]]/2))</f>
        <v>2.2414027276049446</v>
      </c>
      <c r="BK900" s="19">
        <f>(Table1347456[[#This Row],[lnrr]]/Table1347456[[#This Row],[z_from_p]])^2</f>
        <v>6.2336171328348441E-2</v>
      </c>
      <c r="BL900" s="16">
        <f>Table1347456[[#This Row],[v_from_z_from_p]]</f>
        <v>6.2336171328348441E-2</v>
      </c>
      <c r="BM900" s="20">
        <f>SQRT(Table1347456[[#This Row],[v]])</f>
        <v>0.24967212765614916</v>
      </c>
      <c r="BN900" s="20">
        <f>Table1347456[[#This Row],[lnrr]]-(1.96*Table1347456[[#This Row],[se]])</f>
        <v>7.0258417729370304E-2</v>
      </c>
      <c r="BO900" s="20">
        <f>Table1347456[[#This Row],[lnrr]]+(1.96 * Table1347456[[#This Row],[se]])</f>
        <v>1.048973158141475</v>
      </c>
    </row>
    <row r="901" spans="1:67">
      <c r="A901" s="13" t="s">
        <v>312</v>
      </c>
      <c r="B901" s="13" t="s">
        <v>313</v>
      </c>
      <c r="C901" s="13" t="s">
        <v>43</v>
      </c>
      <c r="D901" s="13" t="s">
        <v>314</v>
      </c>
      <c r="E901" s="13" t="s">
        <v>151</v>
      </c>
      <c r="F901" s="13" t="s">
        <v>587</v>
      </c>
      <c r="G901" s="13" t="s">
        <v>315</v>
      </c>
      <c r="H901" s="13">
        <v>31.3</v>
      </c>
      <c r="I901" s="13">
        <v>800</v>
      </c>
      <c r="J901" s="13" t="s">
        <v>662</v>
      </c>
      <c r="K901" s="13" t="s">
        <v>902</v>
      </c>
      <c r="L901" s="13" t="s">
        <v>903</v>
      </c>
      <c r="M901" s="13" t="s">
        <v>800</v>
      </c>
      <c r="N901" s="13" t="s">
        <v>317</v>
      </c>
      <c r="O901" s="13" t="s">
        <v>644</v>
      </c>
      <c r="P901" s="13" t="s">
        <v>71</v>
      </c>
      <c r="Q901" s="13" t="s">
        <v>48</v>
      </c>
      <c r="R901" s="4">
        <v>3</v>
      </c>
      <c r="S901" s="13" t="s">
        <v>595</v>
      </c>
      <c r="T901" s="13">
        <v>365</v>
      </c>
      <c r="U901" s="4" t="s">
        <v>275</v>
      </c>
      <c r="V901" s="4">
        <v>380</v>
      </c>
      <c r="W901" s="4" t="s">
        <v>42</v>
      </c>
      <c r="X901" s="4">
        <v>430</v>
      </c>
      <c r="Y901" s="4">
        <v>20</v>
      </c>
      <c r="AA901" s="4" t="s">
        <v>49</v>
      </c>
      <c r="AB901" s="4">
        <v>0</v>
      </c>
      <c r="AC901" s="4" t="s">
        <v>49</v>
      </c>
      <c r="AD901" s="4">
        <v>0</v>
      </c>
      <c r="AE901" s="4" t="s">
        <v>49</v>
      </c>
      <c r="AF901" s="4">
        <v>0</v>
      </c>
      <c r="AG901" s="4" t="s">
        <v>708</v>
      </c>
      <c r="AH901" s="4" t="s">
        <v>682</v>
      </c>
      <c r="AI901" s="4" t="s">
        <v>297</v>
      </c>
      <c r="AJ901" s="13">
        <v>0</v>
      </c>
      <c r="AK901" s="13">
        <v>15</v>
      </c>
      <c r="AM901" s="13">
        <v>1.52</v>
      </c>
      <c r="AN901" s="13" t="s">
        <v>531</v>
      </c>
      <c r="AO901" s="13" t="s">
        <v>532</v>
      </c>
      <c r="AP901" s="13" t="s">
        <v>49</v>
      </c>
      <c r="AQ901" s="13" t="s">
        <v>49</v>
      </c>
      <c r="AR901" s="13" t="s">
        <v>49</v>
      </c>
      <c r="AS901" s="13" t="s">
        <v>49</v>
      </c>
      <c r="AT901" s="13" t="s">
        <v>990</v>
      </c>
      <c r="AU901" s="13" t="s">
        <v>998</v>
      </c>
      <c r="AV901" s="23">
        <f>(17*1.5)/1.52/1000</f>
        <v>1.6776315789473684E-2</v>
      </c>
      <c r="AW901" s="23">
        <f>(8*1.5)/1.52/1000</f>
        <v>7.8947368421052634E-3</v>
      </c>
      <c r="AX901" s="14">
        <f>Table1347456[[#This Row],[treatment_mean]]/Table1347456[[#This Row],[control_mean]]</f>
        <v>2.125</v>
      </c>
      <c r="AY901" s="14">
        <f>LN(Table1347456[[#This Row],[rr]])</f>
        <v>0.7537718023763802</v>
      </c>
      <c r="AZ901" s="13">
        <v>3</v>
      </c>
      <c r="BA901" s="13">
        <v>3</v>
      </c>
      <c r="BB901" s="14" t="s">
        <v>46</v>
      </c>
      <c r="BC901" s="14" t="s">
        <v>46</v>
      </c>
      <c r="BD901" s="15" t="s">
        <v>46</v>
      </c>
      <c r="BE901" s="14" t="s">
        <v>46</v>
      </c>
      <c r="BF90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01" s="17" t="s">
        <v>46</v>
      </c>
      <c r="BH901" s="13" t="s">
        <v>50</v>
      </c>
      <c r="BI901" s="13">
        <v>2.5000000000000001E-2</v>
      </c>
      <c r="BJ901" s="18">
        <f>ABS(_xlfn.NORM.S.INV(Table1347456[[#This Row],[p_value]]/2))</f>
        <v>2.2414027276049446</v>
      </c>
      <c r="BK901" s="19">
        <f>(Table1347456[[#This Row],[lnrr]]/Table1347456[[#This Row],[z_from_p]])^2</f>
        <v>0.11309410859910568</v>
      </c>
      <c r="BL901" s="16">
        <f>Table1347456[[#This Row],[v_from_z_from_p]]</f>
        <v>0.11309410859910568</v>
      </c>
      <c r="BM901" s="20">
        <f>SQRT(Table1347456[[#This Row],[v]])</f>
        <v>0.33629467524643575</v>
      </c>
      <c r="BN901" s="20">
        <f>Table1347456[[#This Row],[lnrr]]-(1.96*Table1347456[[#This Row],[se]])</f>
        <v>9.4634238893366196E-2</v>
      </c>
      <c r="BO901" s="20">
        <f>Table1347456[[#This Row],[lnrr]]+(1.96 * Table1347456[[#This Row],[se]])</f>
        <v>1.4129093658593943</v>
      </c>
    </row>
    <row r="902" spans="1:67">
      <c r="A902" s="13" t="s">
        <v>312</v>
      </c>
      <c r="B902" s="13" t="s">
        <v>313</v>
      </c>
      <c r="C902" s="13" t="s">
        <v>43</v>
      </c>
      <c r="D902" s="13" t="s">
        <v>314</v>
      </c>
      <c r="E902" s="13" t="s">
        <v>151</v>
      </c>
      <c r="F902" s="13" t="s">
        <v>587</v>
      </c>
      <c r="G902" s="13" t="s">
        <v>315</v>
      </c>
      <c r="H902" s="13">
        <v>31.3</v>
      </c>
      <c r="I902" s="13">
        <v>800</v>
      </c>
      <c r="J902" s="13" t="s">
        <v>662</v>
      </c>
      <c r="K902" s="13" t="s">
        <v>902</v>
      </c>
      <c r="L902" s="13" t="s">
        <v>903</v>
      </c>
      <c r="M902" s="13" t="s">
        <v>800</v>
      </c>
      <c r="N902" s="13" t="s">
        <v>317</v>
      </c>
      <c r="O902" s="13" t="s">
        <v>644</v>
      </c>
      <c r="P902" s="13" t="s">
        <v>71</v>
      </c>
      <c r="Q902" s="13" t="s">
        <v>48</v>
      </c>
      <c r="R902" s="4">
        <v>3</v>
      </c>
      <c r="S902" s="13" t="s">
        <v>595</v>
      </c>
      <c r="T902" s="13">
        <v>365</v>
      </c>
      <c r="U902" s="4" t="s">
        <v>275</v>
      </c>
      <c r="V902" s="4">
        <v>380</v>
      </c>
      <c r="W902" s="4" t="s">
        <v>42</v>
      </c>
      <c r="X902" s="4">
        <v>430</v>
      </c>
      <c r="Y902" s="4">
        <v>40</v>
      </c>
      <c r="AA902" s="4" t="s">
        <v>49</v>
      </c>
      <c r="AB902" s="4">
        <v>0</v>
      </c>
      <c r="AC902" s="4" t="s">
        <v>49</v>
      </c>
      <c r="AD902" s="4">
        <v>0</v>
      </c>
      <c r="AE902" s="4" t="s">
        <v>49</v>
      </c>
      <c r="AF902" s="4">
        <v>0</v>
      </c>
      <c r="AG902" s="4" t="s">
        <v>708</v>
      </c>
      <c r="AH902" s="4" t="s">
        <v>682</v>
      </c>
      <c r="AI902" s="4" t="s">
        <v>297</v>
      </c>
      <c r="AJ902" s="13">
        <v>0</v>
      </c>
      <c r="AK902" s="13">
        <v>15</v>
      </c>
      <c r="AM902" s="13">
        <v>1.52</v>
      </c>
      <c r="AN902" s="13" t="s">
        <v>531</v>
      </c>
      <c r="AO902" s="13" t="s">
        <v>532</v>
      </c>
      <c r="AP902" s="13" t="s">
        <v>49</v>
      </c>
      <c r="AQ902" s="13" t="s">
        <v>49</v>
      </c>
      <c r="AR902" s="13" t="s">
        <v>49</v>
      </c>
      <c r="AS902" s="13" t="s">
        <v>49</v>
      </c>
      <c r="AT902" s="13" t="s">
        <v>990</v>
      </c>
      <c r="AU902" s="13" t="s">
        <v>998</v>
      </c>
      <c r="AV902" s="23">
        <f>(22*1.5)/1.52/1000</f>
        <v>2.1710526315789472E-2</v>
      </c>
      <c r="AW902" s="23">
        <f>(8*1.5)/1.52/1000</f>
        <v>7.8947368421052634E-3</v>
      </c>
      <c r="AX902" s="14">
        <f>Table1347456[[#This Row],[treatment_mean]]/Table1347456[[#This Row],[control_mean]]</f>
        <v>2.7499999999999996</v>
      </c>
      <c r="AY902" s="14">
        <f>LN(Table1347456[[#This Row],[rr]])</f>
        <v>1.0116009116784797</v>
      </c>
      <c r="AZ902" s="13">
        <v>3</v>
      </c>
      <c r="BA902" s="13">
        <v>3</v>
      </c>
      <c r="BB902" s="14" t="s">
        <v>46</v>
      </c>
      <c r="BC902" s="14" t="s">
        <v>46</v>
      </c>
      <c r="BD902" s="15" t="s">
        <v>46</v>
      </c>
      <c r="BE902" s="14" t="s">
        <v>46</v>
      </c>
      <c r="BF90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02" s="17" t="s">
        <v>46</v>
      </c>
      <c r="BH902" s="13" t="s">
        <v>50</v>
      </c>
      <c r="BI902" s="13">
        <v>2.5000000000000001E-2</v>
      </c>
      <c r="BJ902" s="18">
        <f>ABS(_xlfn.NORM.S.INV(Table1347456[[#This Row],[p_value]]/2))</f>
        <v>2.2414027276049446</v>
      </c>
      <c r="BK902" s="19">
        <f>(Table1347456[[#This Row],[lnrr]]/Table1347456[[#This Row],[z_from_p]])^2</f>
        <v>0.20369418540822345</v>
      </c>
      <c r="BL902" s="16">
        <f>Table1347456[[#This Row],[v_from_z_from_p]]</f>
        <v>0.20369418540822345</v>
      </c>
      <c r="BM902" s="20">
        <f>SQRT(Table1347456[[#This Row],[v]])</f>
        <v>0.45132492221039983</v>
      </c>
      <c r="BN902" s="20">
        <f>Table1347456[[#This Row],[lnrr]]-(1.96*Table1347456[[#This Row],[se]])</f>
        <v>0.127004064146096</v>
      </c>
      <c r="BO902" s="20">
        <f>Table1347456[[#This Row],[lnrr]]+(1.96 * Table1347456[[#This Row],[se]])</f>
        <v>1.8961977592108634</v>
      </c>
    </row>
    <row r="903" spans="1:67">
      <c r="A903" s="13" t="s">
        <v>312</v>
      </c>
      <c r="B903" s="13" t="s">
        <v>313</v>
      </c>
      <c r="C903" s="13" t="s">
        <v>43</v>
      </c>
      <c r="D903" s="13" t="s">
        <v>314</v>
      </c>
      <c r="E903" s="13" t="s">
        <v>151</v>
      </c>
      <c r="F903" s="13" t="s">
        <v>587</v>
      </c>
      <c r="G903" s="13" t="s">
        <v>315</v>
      </c>
      <c r="H903" s="13">
        <v>31.3</v>
      </c>
      <c r="I903" s="13">
        <v>800</v>
      </c>
      <c r="J903" s="13" t="s">
        <v>662</v>
      </c>
      <c r="K903" s="13" t="s">
        <v>902</v>
      </c>
      <c r="L903" s="13" t="s">
        <v>903</v>
      </c>
      <c r="M903" s="13" t="s">
        <v>800</v>
      </c>
      <c r="N903" s="13" t="s">
        <v>317</v>
      </c>
      <c r="O903" s="13" t="s">
        <v>644</v>
      </c>
      <c r="P903" s="13" t="s">
        <v>71</v>
      </c>
      <c r="Q903" s="13" t="s">
        <v>48</v>
      </c>
      <c r="R903" s="4">
        <v>3</v>
      </c>
      <c r="S903" s="13" t="s">
        <v>595</v>
      </c>
      <c r="T903" s="13">
        <v>365</v>
      </c>
      <c r="U903" s="4" t="s">
        <v>275</v>
      </c>
      <c r="V903" s="4">
        <v>380</v>
      </c>
      <c r="W903" s="4" t="s">
        <v>42</v>
      </c>
      <c r="X903" s="4">
        <v>430</v>
      </c>
      <c r="Y903" s="4">
        <v>10</v>
      </c>
      <c r="AA903" s="4" t="s">
        <v>49</v>
      </c>
      <c r="AB903" s="4">
        <v>0</v>
      </c>
      <c r="AC903" s="4" t="s">
        <v>49</v>
      </c>
      <c r="AD903" s="4">
        <v>0</v>
      </c>
      <c r="AE903" s="4" t="s">
        <v>49</v>
      </c>
      <c r="AF903" s="4">
        <v>0</v>
      </c>
      <c r="AG903" s="4" t="s">
        <v>708</v>
      </c>
      <c r="AH903" s="4" t="s">
        <v>775</v>
      </c>
      <c r="AI903" s="4" t="s">
        <v>52</v>
      </c>
      <c r="AJ903" s="13">
        <v>0</v>
      </c>
      <c r="AK903" s="13">
        <v>15</v>
      </c>
      <c r="AM903" s="13" t="s">
        <v>533</v>
      </c>
      <c r="AN903" s="13" t="s">
        <v>531</v>
      </c>
      <c r="AO903" s="13" t="s">
        <v>532</v>
      </c>
      <c r="AP903" s="13" t="s">
        <v>49</v>
      </c>
      <c r="AQ903" s="13" t="s">
        <v>49</v>
      </c>
      <c r="AR903" s="13" t="s">
        <v>49</v>
      </c>
      <c r="AS903" s="13" t="s">
        <v>49</v>
      </c>
      <c r="AT903" s="13" t="s">
        <v>990</v>
      </c>
      <c r="AU903" s="13" t="s">
        <v>998</v>
      </c>
      <c r="AV903" s="23">
        <f>(19*1.5)/1.37/1000</f>
        <v>2.0802919708029197E-2</v>
      </c>
      <c r="AW903" s="23">
        <f>(14*1.5)/1.37/1000</f>
        <v>1.532846715328467E-2</v>
      </c>
      <c r="AX903" s="14">
        <f>Table1347456[[#This Row],[treatment_mean]]/Table1347456[[#This Row],[control_mean]]</f>
        <v>1.3571428571428572</v>
      </c>
      <c r="AY903" s="14">
        <f>LN(Table1347456[[#This Row],[rr]])</f>
        <v>0.30538164955118191</v>
      </c>
      <c r="AZ903" s="13">
        <v>3</v>
      </c>
      <c r="BA903" s="13">
        <v>3</v>
      </c>
      <c r="BB903" s="14" t="s">
        <v>46</v>
      </c>
      <c r="BC903" s="14" t="s">
        <v>46</v>
      </c>
      <c r="BD903" s="15" t="s">
        <v>46</v>
      </c>
      <c r="BE903" s="14" t="s">
        <v>46</v>
      </c>
      <c r="BF90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03" s="17" t="s">
        <v>46</v>
      </c>
      <c r="BH903" s="13" t="s">
        <v>50</v>
      </c>
      <c r="BI903" s="13">
        <v>2.5000000000000001E-2</v>
      </c>
      <c r="BJ903" s="18">
        <f>ABS(_xlfn.NORM.S.INV(Table1347456[[#This Row],[p_value]]/2))</f>
        <v>2.2414027276049446</v>
      </c>
      <c r="BK903" s="19">
        <f>(Table1347456[[#This Row],[lnrr]]/Table1347456[[#This Row],[z_from_p]])^2</f>
        <v>1.856291094294165E-2</v>
      </c>
      <c r="BL903" s="16">
        <f>Table1347456[[#This Row],[v_from_z_from_p]]</f>
        <v>1.856291094294165E-2</v>
      </c>
      <c r="BM903" s="20">
        <f>SQRT(Table1347456[[#This Row],[v]])</f>
        <v>0.13624577403700142</v>
      </c>
      <c r="BN903" s="20">
        <f>Table1347456[[#This Row],[lnrr]]-(1.96*Table1347456[[#This Row],[se]])</f>
        <v>3.833993243865913E-2</v>
      </c>
      <c r="BO903" s="20">
        <f>Table1347456[[#This Row],[lnrr]]+(1.96 * Table1347456[[#This Row],[se]])</f>
        <v>0.57242336666370464</v>
      </c>
    </row>
    <row r="904" spans="1:67">
      <c r="A904" s="13" t="s">
        <v>312</v>
      </c>
      <c r="B904" s="13" t="s">
        <v>313</v>
      </c>
      <c r="C904" s="13" t="s">
        <v>43</v>
      </c>
      <c r="D904" s="13" t="s">
        <v>314</v>
      </c>
      <c r="E904" s="13" t="s">
        <v>151</v>
      </c>
      <c r="F904" s="13" t="s">
        <v>587</v>
      </c>
      <c r="G904" s="13" t="s">
        <v>315</v>
      </c>
      <c r="H904" s="13">
        <v>31.3</v>
      </c>
      <c r="I904" s="13">
        <v>800</v>
      </c>
      <c r="J904" s="13" t="s">
        <v>662</v>
      </c>
      <c r="K904" s="13" t="s">
        <v>902</v>
      </c>
      <c r="L904" s="13" t="s">
        <v>903</v>
      </c>
      <c r="M904" s="13" t="s">
        <v>800</v>
      </c>
      <c r="N904" s="13" t="s">
        <v>317</v>
      </c>
      <c r="O904" s="13" t="s">
        <v>644</v>
      </c>
      <c r="P904" s="13" t="s">
        <v>71</v>
      </c>
      <c r="Q904" s="13" t="s">
        <v>48</v>
      </c>
      <c r="R904" s="4">
        <v>3</v>
      </c>
      <c r="S904" s="13" t="s">
        <v>595</v>
      </c>
      <c r="T904" s="13">
        <v>365</v>
      </c>
      <c r="U904" s="4" t="s">
        <v>275</v>
      </c>
      <c r="V904" s="4">
        <v>380</v>
      </c>
      <c r="W904" s="4" t="s">
        <v>42</v>
      </c>
      <c r="X904" s="4">
        <v>430</v>
      </c>
      <c r="Y904" s="4">
        <v>20</v>
      </c>
      <c r="AA904" s="4" t="s">
        <v>49</v>
      </c>
      <c r="AB904" s="4">
        <v>0</v>
      </c>
      <c r="AC904" s="4" t="s">
        <v>49</v>
      </c>
      <c r="AD904" s="4">
        <v>0</v>
      </c>
      <c r="AE904" s="4" t="s">
        <v>49</v>
      </c>
      <c r="AF904" s="4">
        <v>0</v>
      </c>
      <c r="AG904" s="4" t="s">
        <v>708</v>
      </c>
      <c r="AH904" s="4" t="s">
        <v>775</v>
      </c>
      <c r="AI904" s="4" t="s">
        <v>52</v>
      </c>
      <c r="AJ904" s="13">
        <v>0</v>
      </c>
      <c r="AK904" s="13">
        <v>15</v>
      </c>
      <c r="AM904" s="13" t="s">
        <v>533</v>
      </c>
      <c r="AN904" s="13" t="s">
        <v>531</v>
      </c>
      <c r="AO904" s="13" t="s">
        <v>532</v>
      </c>
      <c r="AP904" s="13" t="s">
        <v>49</v>
      </c>
      <c r="AQ904" s="13" t="s">
        <v>49</v>
      </c>
      <c r="AR904" s="13" t="s">
        <v>49</v>
      </c>
      <c r="AS904" s="13" t="s">
        <v>49</v>
      </c>
      <c r="AT904" s="13" t="s">
        <v>990</v>
      </c>
      <c r="AU904" s="13" t="s">
        <v>998</v>
      </c>
      <c r="AV904" s="23">
        <f>(23*1.5)/1.37/1000</f>
        <v>2.5182481751824817E-2</v>
      </c>
      <c r="AW904" s="23">
        <f>(14*1.5)/1.37/1000</f>
        <v>1.532846715328467E-2</v>
      </c>
      <c r="AX904" s="14">
        <f>Table1347456[[#This Row],[treatment_mean]]/Table1347456[[#This Row],[control_mean]]</f>
        <v>1.642857142857143</v>
      </c>
      <c r="AY904" s="14">
        <f>LN(Table1347456[[#This Row],[rr]])</f>
        <v>0.49643688631389116</v>
      </c>
      <c r="AZ904" s="13">
        <v>3</v>
      </c>
      <c r="BA904" s="13">
        <v>3</v>
      </c>
      <c r="BB904" s="14" t="s">
        <v>46</v>
      </c>
      <c r="BC904" s="14" t="s">
        <v>46</v>
      </c>
      <c r="BD904" s="15" t="s">
        <v>46</v>
      </c>
      <c r="BE904" s="14" t="s">
        <v>46</v>
      </c>
      <c r="BF90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04" s="17" t="s">
        <v>46</v>
      </c>
      <c r="BH904" s="13" t="s">
        <v>50</v>
      </c>
      <c r="BI904" s="13">
        <v>2.5000000000000001E-2</v>
      </c>
      <c r="BJ904" s="18">
        <f>ABS(_xlfn.NORM.S.INV(Table1347456[[#This Row],[p_value]]/2))</f>
        <v>2.2414027276049446</v>
      </c>
      <c r="BK904" s="19">
        <f>(Table1347456[[#This Row],[lnrr]]/Table1347456[[#This Row],[z_from_p]])^2</f>
        <v>4.9055566329370026E-2</v>
      </c>
      <c r="BL904" s="16">
        <f>Table1347456[[#This Row],[v_from_z_from_p]]</f>
        <v>4.9055566329370026E-2</v>
      </c>
      <c r="BM904" s="20">
        <f>SQRT(Table1347456[[#This Row],[v]])</f>
        <v>0.22148491219351721</v>
      </c>
      <c r="BN904" s="20">
        <f>Table1347456[[#This Row],[lnrr]]-(1.96*Table1347456[[#This Row],[se]])</f>
        <v>6.2326458414597441E-2</v>
      </c>
      <c r="BO904" s="20">
        <f>Table1347456[[#This Row],[lnrr]]+(1.96 * Table1347456[[#This Row],[se]])</f>
        <v>0.93054731421318482</v>
      </c>
    </row>
    <row r="905" spans="1:67">
      <c r="A905" s="13" t="s">
        <v>312</v>
      </c>
      <c r="B905" s="13" t="s">
        <v>313</v>
      </c>
      <c r="C905" s="13" t="s">
        <v>43</v>
      </c>
      <c r="D905" s="13" t="s">
        <v>314</v>
      </c>
      <c r="E905" s="13" t="s">
        <v>151</v>
      </c>
      <c r="F905" s="13" t="s">
        <v>587</v>
      </c>
      <c r="G905" s="13" t="s">
        <v>315</v>
      </c>
      <c r="H905" s="13">
        <v>31.3</v>
      </c>
      <c r="I905" s="13">
        <v>800</v>
      </c>
      <c r="J905" s="13" t="s">
        <v>662</v>
      </c>
      <c r="K905" s="13" t="s">
        <v>902</v>
      </c>
      <c r="L905" s="13" t="s">
        <v>903</v>
      </c>
      <c r="M905" s="13" t="s">
        <v>800</v>
      </c>
      <c r="N905" s="13" t="s">
        <v>317</v>
      </c>
      <c r="O905" s="13" t="s">
        <v>644</v>
      </c>
      <c r="P905" s="13" t="s">
        <v>71</v>
      </c>
      <c r="Q905" s="13" t="s">
        <v>48</v>
      </c>
      <c r="R905" s="4">
        <v>3</v>
      </c>
      <c r="S905" s="13" t="s">
        <v>595</v>
      </c>
      <c r="T905" s="13">
        <v>365</v>
      </c>
      <c r="U905" s="4" t="s">
        <v>275</v>
      </c>
      <c r="V905" s="4">
        <v>380</v>
      </c>
      <c r="W905" s="4" t="s">
        <v>42</v>
      </c>
      <c r="X905" s="4">
        <v>430</v>
      </c>
      <c r="Y905" s="4">
        <v>40</v>
      </c>
      <c r="AA905" s="4" t="s">
        <v>49</v>
      </c>
      <c r="AB905" s="4">
        <v>0</v>
      </c>
      <c r="AC905" s="4" t="s">
        <v>49</v>
      </c>
      <c r="AD905" s="4">
        <v>0</v>
      </c>
      <c r="AE905" s="4" t="s">
        <v>49</v>
      </c>
      <c r="AF905" s="4">
        <v>0</v>
      </c>
      <c r="AG905" s="4" t="s">
        <v>708</v>
      </c>
      <c r="AH905" s="4" t="s">
        <v>775</v>
      </c>
      <c r="AI905" s="4" t="s">
        <v>52</v>
      </c>
      <c r="AJ905" s="13">
        <v>0</v>
      </c>
      <c r="AK905" s="13">
        <v>15</v>
      </c>
      <c r="AM905" s="13" t="s">
        <v>533</v>
      </c>
      <c r="AN905" s="13" t="s">
        <v>531</v>
      </c>
      <c r="AO905" s="13" t="s">
        <v>532</v>
      </c>
      <c r="AP905" s="13" t="s">
        <v>49</v>
      </c>
      <c r="AQ905" s="13" t="s">
        <v>49</v>
      </c>
      <c r="AR905" s="13" t="s">
        <v>49</v>
      </c>
      <c r="AS905" s="13" t="s">
        <v>49</v>
      </c>
      <c r="AT905" s="13" t="s">
        <v>990</v>
      </c>
      <c r="AU905" s="13" t="s">
        <v>998</v>
      </c>
      <c r="AV905" s="23">
        <f>(25*1.5)/1.37/1000</f>
        <v>2.7372262773722626E-2</v>
      </c>
      <c r="AW905" s="23">
        <f>(14*1.5)/1.37/1000</f>
        <v>1.532846715328467E-2</v>
      </c>
      <c r="AX905" s="14">
        <f>Table1347456[[#This Row],[treatment_mean]]/Table1347456[[#This Row],[control_mean]]</f>
        <v>1.7857142857142858</v>
      </c>
      <c r="AY905" s="14">
        <f>LN(Table1347456[[#This Row],[rr]])</f>
        <v>0.57981849525294216</v>
      </c>
      <c r="AZ905" s="13">
        <v>3</v>
      </c>
      <c r="BA905" s="13">
        <v>3</v>
      </c>
      <c r="BB905" s="14" t="s">
        <v>46</v>
      </c>
      <c r="BC905" s="14" t="s">
        <v>46</v>
      </c>
      <c r="BD905" s="15" t="s">
        <v>46</v>
      </c>
      <c r="BE905" s="14" t="s">
        <v>46</v>
      </c>
      <c r="BF90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05" s="17" t="s">
        <v>46</v>
      </c>
      <c r="BH905" s="13" t="s">
        <v>50</v>
      </c>
      <c r="BI905" s="13">
        <v>2.5000000000000001E-2</v>
      </c>
      <c r="BJ905" s="18">
        <f>ABS(_xlfn.NORM.S.INV(Table1347456[[#This Row],[p_value]]/2))</f>
        <v>2.2414027276049446</v>
      </c>
      <c r="BK905" s="19">
        <f>(Table1347456[[#This Row],[lnrr]]/Table1347456[[#This Row],[z_from_p]])^2</f>
        <v>6.6918213291983261E-2</v>
      </c>
      <c r="BL905" s="16">
        <f>Table1347456[[#This Row],[v_from_z_from_p]]</f>
        <v>6.6918213291983261E-2</v>
      </c>
      <c r="BM905" s="20">
        <f>SQRT(Table1347456[[#This Row],[v]])</f>
        <v>0.25868554905905211</v>
      </c>
      <c r="BN905" s="20">
        <f>Table1347456[[#This Row],[lnrr]]-(1.96*Table1347456[[#This Row],[se]])</f>
        <v>7.2794819097199981E-2</v>
      </c>
      <c r="BO905" s="20">
        <f>Table1347456[[#This Row],[lnrr]]+(1.96 * Table1347456[[#This Row],[se]])</f>
        <v>1.0868421714086844</v>
      </c>
    </row>
    <row r="906" spans="1:67">
      <c r="A906" s="13" t="s">
        <v>312</v>
      </c>
      <c r="B906" s="13" t="s">
        <v>313</v>
      </c>
      <c r="C906" s="13" t="s">
        <v>43</v>
      </c>
      <c r="D906" s="13" t="s">
        <v>314</v>
      </c>
      <c r="E906" s="13" t="s">
        <v>151</v>
      </c>
      <c r="F906" s="13" t="s">
        <v>587</v>
      </c>
      <c r="G906" s="13" t="s">
        <v>315</v>
      </c>
      <c r="H906" s="13">
        <v>31.3</v>
      </c>
      <c r="I906" s="13">
        <v>800</v>
      </c>
      <c r="J906" s="13" t="s">
        <v>662</v>
      </c>
      <c r="K906" s="13" t="s">
        <v>902</v>
      </c>
      <c r="L906" s="13" t="s">
        <v>903</v>
      </c>
      <c r="M906" s="13" t="s">
        <v>800</v>
      </c>
      <c r="N906" s="13" t="s">
        <v>317</v>
      </c>
      <c r="O906" s="13" t="s">
        <v>644</v>
      </c>
      <c r="P906" s="13" t="s">
        <v>71</v>
      </c>
      <c r="Q906" s="13" t="s">
        <v>48</v>
      </c>
      <c r="R906" s="4">
        <v>3</v>
      </c>
      <c r="S906" s="13" t="s">
        <v>595</v>
      </c>
      <c r="T906" s="13">
        <v>365</v>
      </c>
      <c r="U906" s="4" t="s">
        <v>275</v>
      </c>
      <c r="V906" s="4">
        <v>380</v>
      </c>
      <c r="W906" s="4" t="s">
        <v>42</v>
      </c>
      <c r="X906" s="4">
        <v>430</v>
      </c>
      <c r="Y906" s="4">
        <v>10</v>
      </c>
      <c r="AA906" s="4" t="s">
        <v>50</v>
      </c>
      <c r="AB906" s="4">
        <v>60</v>
      </c>
      <c r="AC906" s="4" t="s">
        <v>49</v>
      </c>
      <c r="AD906" s="4">
        <v>0</v>
      </c>
      <c r="AE906" s="4" t="s">
        <v>49</v>
      </c>
      <c r="AF906" s="4">
        <v>0</v>
      </c>
      <c r="AG906" s="4" t="s">
        <v>708</v>
      </c>
      <c r="AH906" s="4" t="s">
        <v>682</v>
      </c>
      <c r="AI906" s="4" t="s">
        <v>297</v>
      </c>
      <c r="AJ906" s="13">
        <v>0</v>
      </c>
      <c r="AK906" s="13">
        <v>15</v>
      </c>
      <c r="AM906" s="13">
        <v>1.52</v>
      </c>
      <c r="AN906" s="13" t="s">
        <v>531</v>
      </c>
      <c r="AO906" s="13" t="s">
        <v>532</v>
      </c>
      <c r="AP906" s="13" t="s">
        <v>49</v>
      </c>
      <c r="AQ906" s="13" t="s">
        <v>49</v>
      </c>
      <c r="AR906" s="13" t="s">
        <v>49</v>
      </c>
      <c r="AS906" s="13" t="s">
        <v>49</v>
      </c>
      <c r="AT906" s="13" t="s">
        <v>992</v>
      </c>
      <c r="AU906" s="4" t="s">
        <v>1000</v>
      </c>
      <c r="AV906" s="23">
        <f>(16*1.5)/1.52/1000</f>
        <v>1.5789473684210527E-2</v>
      </c>
      <c r="AW906" s="23">
        <f>(10*1.5)/1.52/1000</f>
        <v>9.8684210526315784E-3</v>
      </c>
      <c r="AX906" s="14">
        <f>Table1347456[[#This Row],[treatment_mean]]/Table1347456[[#This Row],[control_mean]]</f>
        <v>1.6</v>
      </c>
      <c r="AY906" s="14">
        <f>LN(Table1347456[[#This Row],[rr]])</f>
        <v>0.47000362924573563</v>
      </c>
      <c r="AZ906" s="13">
        <v>3</v>
      </c>
      <c r="BA906" s="13">
        <v>3</v>
      </c>
      <c r="BB906" s="14" t="s">
        <v>46</v>
      </c>
      <c r="BC906" s="14" t="s">
        <v>46</v>
      </c>
      <c r="BD906" s="15" t="s">
        <v>46</v>
      </c>
      <c r="BE906" s="14" t="s">
        <v>46</v>
      </c>
      <c r="BF90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06" s="17" t="s">
        <v>46</v>
      </c>
      <c r="BH906" s="13" t="s">
        <v>50</v>
      </c>
      <c r="BI906" s="13">
        <v>2.5000000000000001E-2</v>
      </c>
      <c r="BJ906" s="18">
        <f>ABS(_xlfn.NORM.S.INV(Table1347456[[#This Row],[p_value]]/2))</f>
        <v>2.2414027276049446</v>
      </c>
      <c r="BK906" s="19">
        <f>(Table1347456[[#This Row],[lnrr]]/Table1347456[[#This Row],[z_from_p]])^2</f>
        <v>4.3970624187692653E-2</v>
      </c>
      <c r="BL906" s="16">
        <f>Table1347456[[#This Row],[v_from_z_from_p]]</f>
        <v>4.3970624187692653E-2</v>
      </c>
      <c r="BM906" s="20">
        <f>SQRT(Table1347456[[#This Row],[v]])</f>
        <v>0.20969173609776007</v>
      </c>
      <c r="BN906" s="20">
        <f>Table1347456[[#This Row],[lnrr]]-(1.96*Table1347456[[#This Row],[se]])</f>
        <v>5.9007826494125892E-2</v>
      </c>
      <c r="BO906" s="20">
        <f>Table1347456[[#This Row],[lnrr]]+(1.96 * Table1347456[[#This Row],[se]])</f>
        <v>0.88099943199734532</v>
      </c>
    </row>
    <row r="907" spans="1:67">
      <c r="A907" s="13" t="s">
        <v>312</v>
      </c>
      <c r="B907" s="13" t="s">
        <v>313</v>
      </c>
      <c r="C907" s="13" t="s">
        <v>43</v>
      </c>
      <c r="D907" s="13" t="s">
        <v>314</v>
      </c>
      <c r="E907" s="13" t="s">
        <v>151</v>
      </c>
      <c r="F907" s="13" t="s">
        <v>587</v>
      </c>
      <c r="G907" s="13" t="s">
        <v>315</v>
      </c>
      <c r="H907" s="13">
        <v>31.3</v>
      </c>
      <c r="I907" s="13">
        <v>800</v>
      </c>
      <c r="J907" s="13" t="s">
        <v>662</v>
      </c>
      <c r="K907" s="13" t="s">
        <v>902</v>
      </c>
      <c r="L907" s="13" t="s">
        <v>903</v>
      </c>
      <c r="M907" s="13" t="s">
        <v>800</v>
      </c>
      <c r="N907" s="13" t="s">
        <v>317</v>
      </c>
      <c r="O907" s="13" t="s">
        <v>644</v>
      </c>
      <c r="P907" s="13" t="s">
        <v>71</v>
      </c>
      <c r="Q907" s="13" t="s">
        <v>48</v>
      </c>
      <c r="R907" s="4">
        <v>3</v>
      </c>
      <c r="S907" s="13" t="s">
        <v>595</v>
      </c>
      <c r="T907" s="13">
        <v>365</v>
      </c>
      <c r="U907" s="4" t="s">
        <v>275</v>
      </c>
      <c r="V907" s="4">
        <v>380</v>
      </c>
      <c r="W907" s="4" t="s">
        <v>42</v>
      </c>
      <c r="X907" s="4">
        <v>430</v>
      </c>
      <c r="Y907" s="4">
        <v>20</v>
      </c>
      <c r="AA907" s="4" t="s">
        <v>50</v>
      </c>
      <c r="AB907" s="4">
        <v>60</v>
      </c>
      <c r="AC907" s="4" t="s">
        <v>49</v>
      </c>
      <c r="AD907" s="4">
        <v>0</v>
      </c>
      <c r="AE907" s="4" t="s">
        <v>49</v>
      </c>
      <c r="AF907" s="4">
        <v>0</v>
      </c>
      <c r="AG907" s="4" t="s">
        <v>708</v>
      </c>
      <c r="AH907" s="4" t="s">
        <v>682</v>
      </c>
      <c r="AI907" s="4" t="s">
        <v>297</v>
      </c>
      <c r="AJ907" s="13">
        <v>0</v>
      </c>
      <c r="AK907" s="13">
        <v>15</v>
      </c>
      <c r="AM907" s="13">
        <v>1.52</v>
      </c>
      <c r="AN907" s="13" t="s">
        <v>531</v>
      </c>
      <c r="AO907" s="13" t="s">
        <v>532</v>
      </c>
      <c r="AP907" s="13" t="s">
        <v>49</v>
      </c>
      <c r="AQ907" s="13" t="s">
        <v>49</v>
      </c>
      <c r="AR907" s="13" t="s">
        <v>49</v>
      </c>
      <c r="AS907" s="13" t="s">
        <v>49</v>
      </c>
      <c r="AT907" s="13" t="s">
        <v>992</v>
      </c>
      <c r="AU907" s="4" t="s">
        <v>1000</v>
      </c>
      <c r="AV907" s="23">
        <f>(21*1.5)/1.52/1000</f>
        <v>2.0723684210526314E-2</v>
      </c>
      <c r="AW907" s="23">
        <f>(10*1.5)/1.52/1000</f>
        <v>9.8684210526315784E-3</v>
      </c>
      <c r="AX907" s="14">
        <f>Table1347456[[#This Row],[treatment_mean]]/Table1347456[[#This Row],[control_mean]]</f>
        <v>2.1</v>
      </c>
      <c r="AY907" s="14">
        <f>LN(Table1347456[[#This Row],[rr]])</f>
        <v>0.74193734472937733</v>
      </c>
      <c r="AZ907" s="13">
        <v>3</v>
      </c>
      <c r="BA907" s="13">
        <v>3</v>
      </c>
      <c r="BB907" s="14" t="s">
        <v>46</v>
      </c>
      <c r="BC907" s="14" t="s">
        <v>46</v>
      </c>
      <c r="BD907" s="15" t="s">
        <v>46</v>
      </c>
      <c r="BE907" s="14" t="s">
        <v>46</v>
      </c>
      <c r="BF90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07" s="17" t="s">
        <v>46</v>
      </c>
      <c r="BH907" s="13" t="s">
        <v>50</v>
      </c>
      <c r="BI907" s="13">
        <v>2.5000000000000001E-2</v>
      </c>
      <c r="BJ907" s="18">
        <f>ABS(_xlfn.NORM.S.INV(Table1347456[[#This Row],[p_value]]/2))</f>
        <v>2.2414027276049446</v>
      </c>
      <c r="BK907" s="19">
        <f>(Table1347456[[#This Row],[lnrr]]/Table1347456[[#This Row],[z_from_p]])^2</f>
        <v>0.10957075916528454</v>
      </c>
      <c r="BL907" s="16">
        <f>Table1347456[[#This Row],[v_from_z_from_p]]</f>
        <v>0.10957075916528454</v>
      </c>
      <c r="BM907" s="20">
        <f>SQRT(Table1347456[[#This Row],[v]])</f>
        <v>0.33101474161324679</v>
      </c>
      <c r="BN907" s="20">
        <f>Table1347456[[#This Row],[lnrr]]-(1.96*Table1347456[[#This Row],[se]])</f>
        <v>9.3148451167413659E-2</v>
      </c>
      <c r="BO907" s="20">
        <f>Table1347456[[#This Row],[lnrr]]+(1.96 * Table1347456[[#This Row],[se]])</f>
        <v>1.390726238291341</v>
      </c>
    </row>
    <row r="908" spans="1:67">
      <c r="A908" s="13" t="s">
        <v>312</v>
      </c>
      <c r="B908" s="13" t="s">
        <v>313</v>
      </c>
      <c r="C908" s="13" t="s">
        <v>43</v>
      </c>
      <c r="D908" s="13" t="s">
        <v>314</v>
      </c>
      <c r="E908" s="13" t="s">
        <v>151</v>
      </c>
      <c r="F908" s="13" t="s">
        <v>587</v>
      </c>
      <c r="G908" s="13" t="s">
        <v>315</v>
      </c>
      <c r="H908" s="13">
        <v>31.3</v>
      </c>
      <c r="I908" s="13">
        <v>800</v>
      </c>
      <c r="J908" s="13" t="s">
        <v>662</v>
      </c>
      <c r="K908" s="13" t="s">
        <v>902</v>
      </c>
      <c r="L908" s="13" t="s">
        <v>903</v>
      </c>
      <c r="M908" s="13" t="s">
        <v>800</v>
      </c>
      <c r="N908" s="13" t="s">
        <v>317</v>
      </c>
      <c r="O908" s="13" t="s">
        <v>644</v>
      </c>
      <c r="P908" s="13" t="s">
        <v>71</v>
      </c>
      <c r="Q908" s="13" t="s">
        <v>48</v>
      </c>
      <c r="R908" s="4">
        <v>3</v>
      </c>
      <c r="S908" s="13" t="s">
        <v>595</v>
      </c>
      <c r="T908" s="13">
        <v>365</v>
      </c>
      <c r="U908" s="4" t="s">
        <v>275</v>
      </c>
      <c r="V908" s="4">
        <v>380</v>
      </c>
      <c r="W908" s="4" t="s">
        <v>42</v>
      </c>
      <c r="X908" s="4">
        <v>430</v>
      </c>
      <c r="Y908" s="4">
        <v>40</v>
      </c>
      <c r="AA908" s="4" t="s">
        <v>50</v>
      </c>
      <c r="AB908" s="4">
        <v>60</v>
      </c>
      <c r="AC908" s="4" t="s">
        <v>49</v>
      </c>
      <c r="AD908" s="4">
        <v>0</v>
      </c>
      <c r="AE908" s="4" t="s">
        <v>49</v>
      </c>
      <c r="AF908" s="4">
        <v>0</v>
      </c>
      <c r="AG908" s="4" t="s">
        <v>708</v>
      </c>
      <c r="AH908" s="4" t="s">
        <v>682</v>
      </c>
      <c r="AI908" s="4" t="s">
        <v>297</v>
      </c>
      <c r="AJ908" s="13">
        <v>0</v>
      </c>
      <c r="AK908" s="13">
        <v>15</v>
      </c>
      <c r="AM908" s="13">
        <v>1.52</v>
      </c>
      <c r="AN908" s="13" t="s">
        <v>531</v>
      </c>
      <c r="AO908" s="13" t="s">
        <v>532</v>
      </c>
      <c r="AP908" s="13" t="s">
        <v>49</v>
      </c>
      <c r="AQ908" s="13" t="s">
        <v>49</v>
      </c>
      <c r="AR908" s="13" t="s">
        <v>49</v>
      </c>
      <c r="AS908" s="13" t="s">
        <v>49</v>
      </c>
      <c r="AT908" s="13" t="s">
        <v>992</v>
      </c>
      <c r="AU908" s="4" t="s">
        <v>1000</v>
      </c>
      <c r="AV908" s="23">
        <f>(24*1.5)/1.52/1000</f>
        <v>2.3684210526315787E-2</v>
      </c>
      <c r="AW908" s="23">
        <f>(10*1.5)/1.52/1000</f>
        <v>9.8684210526315784E-3</v>
      </c>
      <c r="AX908" s="14">
        <f>Table1347456[[#This Row],[treatment_mean]]/Table1347456[[#This Row],[control_mean]]</f>
        <v>2.4</v>
      </c>
      <c r="AY908" s="14">
        <f>LN(Table1347456[[#This Row],[rr]])</f>
        <v>0.87546873735389985</v>
      </c>
      <c r="AZ908" s="13">
        <v>3</v>
      </c>
      <c r="BA908" s="13">
        <v>3</v>
      </c>
      <c r="BB908" s="14" t="s">
        <v>46</v>
      </c>
      <c r="BC908" s="14" t="s">
        <v>46</v>
      </c>
      <c r="BD908" s="15" t="s">
        <v>46</v>
      </c>
      <c r="BE908" s="14" t="s">
        <v>46</v>
      </c>
      <c r="BF90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08" s="17" t="s">
        <v>46</v>
      </c>
      <c r="BH908" s="13" t="s">
        <v>50</v>
      </c>
      <c r="BI908" s="13">
        <v>2.5000000000000001E-2</v>
      </c>
      <c r="BJ908" s="18">
        <f>ABS(_xlfn.NORM.S.INV(Table1347456[[#This Row],[p_value]]/2))</f>
        <v>2.2414027276049446</v>
      </c>
      <c r="BK908" s="19">
        <f>(Table1347456[[#This Row],[lnrr]]/Table1347456[[#This Row],[z_from_p]])^2</f>
        <v>0.15256028530647778</v>
      </c>
      <c r="BL908" s="16">
        <f>Table1347456[[#This Row],[v_from_z_from_p]]</f>
        <v>0.15256028530647778</v>
      </c>
      <c r="BM908" s="20">
        <f>SQRT(Table1347456[[#This Row],[v]])</f>
        <v>0.39058966359400471</v>
      </c>
      <c r="BN908" s="20">
        <f>Table1347456[[#This Row],[lnrr]]-(1.96*Table1347456[[#This Row],[se]])</f>
        <v>0.1099129967096506</v>
      </c>
      <c r="BO908" s="20">
        <f>Table1347456[[#This Row],[lnrr]]+(1.96 * Table1347456[[#This Row],[se]])</f>
        <v>1.6410244779981491</v>
      </c>
    </row>
    <row r="909" spans="1:67">
      <c r="A909" s="13" t="s">
        <v>312</v>
      </c>
      <c r="B909" s="13" t="s">
        <v>313</v>
      </c>
      <c r="C909" s="13" t="s">
        <v>43</v>
      </c>
      <c r="D909" s="13" t="s">
        <v>314</v>
      </c>
      <c r="E909" s="13" t="s">
        <v>151</v>
      </c>
      <c r="F909" s="13" t="s">
        <v>587</v>
      </c>
      <c r="G909" s="13" t="s">
        <v>315</v>
      </c>
      <c r="H909" s="13">
        <v>31.3</v>
      </c>
      <c r="I909" s="13">
        <v>800</v>
      </c>
      <c r="J909" s="13" t="s">
        <v>662</v>
      </c>
      <c r="K909" s="13" t="s">
        <v>902</v>
      </c>
      <c r="L909" s="13" t="s">
        <v>903</v>
      </c>
      <c r="M909" s="13" t="s">
        <v>800</v>
      </c>
      <c r="N909" s="13" t="s">
        <v>317</v>
      </c>
      <c r="O909" s="13" t="s">
        <v>644</v>
      </c>
      <c r="P909" s="13" t="s">
        <v>71</v>
      </c>
      <c r="Q909" s="13" t="s">
        <v>48</v>
      </c>
      <c r="R909" s="4">
        <v>3</v>
      </c>
      <c r="S909" s="13" t="s">
        <v>595</v>
      </c>
      <c r="T909" s="13">
        <v>365</v>
      </c>
      <c r="U909" s="4" t="s">
        <v>275</v>
      </c>
      <c r="V909" s="4">
        <v>380</v>
      </c>
      <c r="W909" s="4" t="s">
        <v>42</v>
      </c>
      <c r="X909" s="4">
        <v>430</v>
      </c>
      <c r="Y909" s="4">
        <v>10</v>
      </c>
      <c r="AA909" s="4" t="s">
        <v>50</v>
      </c>
      <c r="AB909" s="4">
        <v>60</v>
      </c>
      <c r="AC909" s="4" t="s">
        <v>49</v>
      </c>
      <c r="AD909" s="4">
        <v>0</v>
      </c>
      <c r="AE909" s="4" t="s">
        <v>49</v>
      </c>
      <c r="AF909" s="4">
        <v>0</v>
      </c>
      <c r="AG909" s="4" t="s">
        <v>708</v>
      </c>
      <c r="AH909" s="4" t="s">
        <v>775</v>
      </c>
      <c r="AI909" s="4" t="s">
        <v>52</v>
      </c>
      <c r="AJ909" s="13">
        <v>0</v>
      </c>
      <c r="AK909" s="13">
        <v>15</v>
      </c>
      <c r="AM909" s="13" t="s">
        <v>533</v>
      </c>
      <c r="AN909" s="13" t="s">
        <v>531</v>
      </c>
      <c r="AO909" s="13" t="s">
        <v>532</v>
      </c>
      <c r="AP909" s="13" t="s">
        <v>49</v>
      </c>
      <c r="AQ909" s="13" t="s">
        <v>49</v>
      </c>
      <c r="AR909" s="13" t="s">
        <v>49</v>
      </c>
      <c r="AS909" s="13" t="s">
        <v>49</v>
      </c>
      <c r="AT909" s="13" t="s">
        <v>992</v>
      </c>
      <c r="AU909" s="4" t="s">
        <v>1000</v>
      </c>
      <c r="AV909" s="23">
        <f>(19*1.5)/1.37/1000</f>
        <v>2.0802919708029197E-2</v>
      </c>
      <c r="AW909" s="23">
        <f>(13*1.5)/1.37/1000</f>
        <v>1.4233576642335766E-2</v>
      </c>
      <c r="AX909" s="14">
        <f>Table1347456[[#This Row],[treatment_mean]]/Table1347456[[#This Row],[control_mean]]</f>
        <v>1.4615384615384617</v>
      </c>
      <c r="AY909" s="14">
        <f>LN(Table1347456[[#This Row],[rr]])</f>
        <v>0.3794896217049038</v>
      </c>
      <c r="AZ909" s="13">
        <v>3</v>
      </c>
      <c r="BA909" s="13">
        <v>3</v>
      </c>
      <c r="BB909" s="14" t="s">
        <v>46</v>
      </c>
      <c r="BC909" s="14" t="s">
        <v>46</v>
      </c>
      <c r="BD909" s="15" t="s">
        <v>46</v>
      </c>
      <c r="BE909" s="14" t="s">
        <v>46</v>
      </c>
      <c r="BF90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09" s="17" t="s">
        <v>46</v>
      </c>
      <c r="BH909" s="13" t="s">
        <v>50</v>
      </c>
      <c r="BI909" s="13">
        <v>2.5000000000000001E-2</v>
      </c>
      <c r="BJ909" s="18">
        <f>ABS(_xlfn.NORM.S.INV(Table1347456[[#This Row],[p_value]]/2))</f>
        <v>2.2414027276049446</v>
      </c>
      <c r="BK909" s="19">
        <f>(Table1347456[[#This Row],[lnrr]]/Table1347456[[#This Row],[z_from_p]])^2</f>
        <v>2.8665532540398019E-2</v>
      </c>
      <c r="BL909" s="16">
        <f>Table1347456[[#This Row],[v_from_z_from_p]]</f>
        <v>2.8665532540398019E-2</v>
      </c>
      <c r="BM909" s="20">
        <f>SQRT(Table1347456[[#This Row],[v]])</f>
        <v>0.16930898540951103</v>
      </c>
      <c r="BN909" s="20">
        <f>Table1347456[[#This Row],[lnrr]]-(1.96*Table1347456[[#This Row],[se]])</f>
        <v>4.7644010302262174E-2</v>
      </c>
      <c r="BO909" s="20">
        <f>Table1347456[[#This Row],[lnrr]]+(1.96 * Table1347456[[#This Row],[se]])</f>
        <v>0.71133523310754543</v>
      </c>
    </row>
    <row r="910" spans="1:67">
      <c r="A910" s="13" t="s">
        <v>312</v>
      </c>
      <c r="B910" s="13" t="s">
        <v>313</v>
      </c>
      <c r="C910" s="13" t="s">
        <v>43</v>
      </c>
      <c r="D910" s="13" t="s">
        <v>314</v>
      </c>
      <c r="E910" s="13" t="s">
        <v>151</v>
      </c>
      <c r="F910" s="13" t="s">
        <v>587</v>
      </c>
      <c r="G910" s="13" t="s">
        <v>315</v>
      </c>
      <c r="H910" s="13">
        <v>31.3</v>
      </c>
      <c r="I910" s="13">
        <v>800</v>
      </c>
      <c r="J910" s="13" t="s">
        <v>662</v>
      </c>
      <c r="K910" s="13" t="s">
        <v>902</v>
      </c>
      <c r="L910" s="13" t="s">
        <v>903</v>
      </c>
      <c r="M910" s="13" t="s">
        <v>800</v>
      </c>
      <c r="N910" s="13" t="s">
        <v>317</v>
      </c>
      <c r="O910" s="13" t="s">
        <v>644</v>
      </c>
      <c r="P910" s="13" t="s">
        <v>71</v>
      </c>
      <c r="Q910" s="13" t="s">
        <v>48</v>
      </c>
      <c r="R910" s="4">
        <v>3</v>
      </c>
      <c r="S910" s="13" t="s">
        <v>595</v>
      </c>
      <c r="T910" s="13">
        <v>365</v>
      </c>
      <c r="U910" s="4" t="s">
        <v>275</v>
      </c>
      <c r="V910" s="4">
        <v>380</v>
      </c>
      <c r="W910" s="4" t="s">
        <v>42</v>
      </c>
      <c r="X910" s="4">
        <v>430</v>
      </c>
      <c r="Y910" s="4">
        <v>20</v>
      </c>
      <c r="AA910" s="4" t="s">
        <v>50</v>
      </c>
      <c r="AB910" s="4">
        <v>60</v>
      </c>
      <c r="AC910" s="4" t="s">
        <v>49</v>
      </c>
      <c r="AD910" s="4">
        <v>0</v>
      </c>
      <c r="AE910" s="4" t="s">
        <v>49</v>
      </c>
      <c r="AF910" s="4">
        <v>0</v>
      </c>
      <c r="AG910" s="4" t="s">
        <v>708</v>
      </c>
      <c r="AH910" s="4" t="s">
        <v>775</v>
      </c>
      <c r="AI910" s="4" t="s">
        <v>52</v>
      </c>
      <c r="AJ910" s="13">
        <v>0</v>
      </c>
      <c r="AK910" s="13">
        <v>15</v>
      </c>
      <c r="AM910" s="13" t="s">
        <v>533</v>
      </c>
      <c r="AN910" s="13" t="s">
        <v>531</v>
      </c>
      <c r="AO910" s="13" t="s">
        <v>532</v>
      </c>
      <c r="AP910" s="13" t="s">
        <v>49</v>
      </c>
      <c r="AQ910" s="13" t="s">
        <v>49</v>
      </c>
      <c r="AR910" s="13" t="s">
        <v>49</v>
      </c>
      <c r="AS910" s="13" t="s">
        <v>49</v>
      </c>
      <c r="AT910" s="13" t="s">
        <v>992</v>
      </c>
      <c r="AU910" s="4" t="s">
        <v>1000</v>
      </c>
      <c r="AV910" s="23">
        <f>(20*1.5)/1.37/1000</f>
        <v>2.18978102189781E-2</v>
      </c>
      <c r="AW910" s="23">
        <f>(13*1.5)/1.37/1000</f>
        <v>1.4233576642335766E-2</v>
      </c>
      <c r="AX910" s="14">
        <f>Table1347456[[#This Row],[treatment_mean]]/Table1347456[[#This Row],[control_mean]]</f>
        <v>1.5384615384615383</v>
      </c>
      <c r="AY910" s="14">
        <f>LN(Table1347456[[#This Row],[rr]])</f>
        <v>0.43078291609245417</v>
      </c>
      <c r="AZ910" s="13">
        <v>3</v>
      </c>
      <c r="BA910" s="13">
        <v>3</v>
      </c>
      <c r="BB910" s="14" t="s">
        <v>46</v>
      </c>
      <c r="BC910" s="14" t="s">
        <v>46</v>
      </c>
      <c r="BD910" s="15" t="s">
        <v>46</v>
      </c>
      <c r="BE910" s="14" t="s">
        <v>46</v>
      </c>
      <c r="BF91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10" s="17" t="s">
        <v>46</v>
      </c>
      <c r="BH910" s="13" t="s">
        <v>50</v>
      </c>
      <c r="BI910" s="13">
        <v>2.5000000000000001E-2</v>
      </c>
      <c r="BJ910" s="18">
        <f>ABS(_xlfn.NORM.S.INV(Table1347456[[#This Row],[p_value]]/2))</f>
        <v>2.2414027276049446</v>
      </c>
      <c r="BK910" s="19">
        <f>(Table1347456[[#This Row],[lnrr]]/Table1347456[[#This Row],[z_from_p]])^2</f>
        <v>3.6938321028387393E-2</v>
      </c>
      <c r="BL910" s="16">
        <f>Table1347456[[#This Row],[v_from_z_from_p]]</f>
        <v>3.6938321028387393E-2</v>
      </c>
      <c r="BM910" s="20">
        <f>SQRT(Table1347456[[#This Row],[v]])</f>
        <v>0.1921934468924146</v>
      </c>
      <c r="BN910" s="20">
        <f>Table1347456[[#This Row],[lnrr]]-(1.96*Table1347456[[#This Row],[se]])</f>
        <v>5.4083760183321561E-2</v>
      </c>
      <c r="BO910" s="20">
        <f>Table1347456[[#This Row],[lnrr]]+(1.96 * Table1347456[[#This Row],[se]])</f>
        <v>0.80748207200158673</v>
      </c>
    </row>
    <row r="911" spans="1:67">
      <c r="A911" s="13" t="s">
        <v>312</v>
      </c>
      <c r="B911" s="13" t="s">
        <v>313</v>
      </c>
      <c r="C911" s="13" t="s">
        <v>43</v>
      </c>
      <c r="D911" s="13" t="s">
        <v>314</v>
      </c>
      <c r="E911" s="13" t="s">
        <v>151</v>
      </c>
      <c r="F911" s="13" t="s">
        <v>587</v>
      </c>
      <c r="G911" s="13" t="s">
        <v>315</v>
      </c>
      <c r="H911" s="13">
        <v>31.3</v>
      </c>
      <c r="I911" s="13">
        <v>800</v>
      </c>
      <c r="J911" s="13" t="s">
        <v>662</v>
      </c>
      <c r="K911" s="13" t="s">
        <v>902</v>
      </c>
      <c r="L911" s="13" t="s">
        <v>903</v>
      </c>
      <c r="M911" s="13" t="s">
        <v>800</v>
      </c>
      <c r="N911" s="13" t="s">
        <v>317</v>
      </c>
      <c r="O911" s="13" t="s">
        <v>644</v>
      </c>
      <c r="P911" s="13" t="s">
        <v>71</v>
      </c>
      <c r="Q911" s="13" t="s">
        <v>48</v>
      </c>
      <c r="R911" s="4">
        <v>3</v>
      </c>
      <c r="S911" s="13" t="s">
        <v>595</v>
      </c>
      <c r="T911" s="13">
        <v>365</v>
      </c>
      <c r="U911" s="4" t="s">
        <v>275</v>
      </c>
      <c r="V911" s="4">
        <v>380</v>
      </c>
      <c r="W911" s="4" t="s">
        <v>42</v>
      </c>
      <c r="X911" s="4">
        <v>430</v>
      </c>
      <c r="Y911" s="4">
        <v>40</v>
      </c>
      <c r="AA911" s="4" t="s">
        <v>50</v>
      </c>
      <c r="AB911" s="4">
        <v>60</v>
      </c>
      <c r="AC911" s="4" t="s">
        <v>49</v>
      </c>
      <c r="AD911" s="4">
        <v>0</v>
      </c>
      <c r="AE911" s="4" t="s">
        <v>49</v>
      </c>
      <c r="AF911" s="4">
        <v>0</v>
      </c>
      <c r="AG911" s="4" t="s">
        <v>708</v>
      </c>
      <c r="AH911" s="4" t="s">
        <v>775</v>
      </c>
      <c r="AI911" s="4" t="s">
        <v>52</v>
      </c>
      <c r="AJ911" s="13">
        <v>0</v>
      </c>
      <c r="AK911" s="13">
        <v>15</v>
      </c>
      <c r="AM911" s="13" t="s">
        <v>533</v>
      </c>
      <c r="AN911" s="13" t="s">
        <v>531</v>
      </c>
      <c r="AO911" s="13" t="s">
        <v>532</v>
      </c>
      <c r="AP911" s="13" t="s">
        <v>49</v>
      </c>
      <c r="AQ911" s="13" t="s">
        <v>49</v>
      </c>
      <c r="AR911" s="13" t="s">
        <v>49</v>
      </c>
      <c r="AS911" s="13" t="s">
        <v>49</v>
      </c>
      <c r="AT911" s="13" t="s">
        <v>992</v>
      </c>
      <c r="AU911" s="4" t="s">
        <v>1000</v>
      </c>
      <c r="AV911" s="23">
        <f>(29*1.5)/1.37/1000</f>
        <v>3.1751824817518245E-2</v>
      </c>
      <c r="AW911" s="23">
        <f>(13*1.5)/1.37/1000</f>
        <v>1.4233576642335766E-2</v>
      </c>
      <c r="AX911" s="14">
        <f>Table1347456[[#This Row],[treatment_mean]]/Table1347456[[#This Row],[control_mean]]</f>
        <v>2.2307692307692308</v>
      </c>
      <c r="AY911" s="14">
        <f>LN(Table1347456[[#This Row],[rr]])</f>
        <v>0.80234647252493729</v>
      </c>
      <c r="AZ911" s="13">
        <v>3</v>
      </c>
      <c r="BA911" s="13">
        <v>3</v>
      </c>
      <c r="BB911" s="14" t="s">
        <v>46</v>
      </c>
      <c r="BC911" s="14" t="s">
        <v>46</v>
      </c>
      <c r="BD911" s="15" t="s">
        <v>46</v>
      </c>
      <c r="BE911" s="14" t="s">
        <v>46</v>
      </c>
      <c r="BF91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11" s="17" t="s">
        <v>46</v>
      </c>
      <c r="BH911" s="13" t="s">
        <v>50</v>
      </c>
      <c r="BI911" s="13">
        <v>2.5000000000000001E-2</v>
      </c>
      <c r="BJ911" s="18">
        <f>ABS(_xlfn.NORM.S.INV(Table1347456[[#This Row],[p_value]]/2))</f>
        <v>2.2414027276049446</v>
      </c>
      <c r="BK911" s="19">
        <f>(Table1347456[[#This Row],[lnrr]]/Table1347456[[#This Row],[z_from_p]])^2</f>
        <v>0.12813981805532901</v>
      </c>
      <c r="BL911" s="16">
        <f>Table1347456[[#This Row],[v_from_z_from_p]]</f>
        <v>0.12813981805532901</v>
      </c>
      <c r="BM911" s="20">
        <f>SQRT(Table1347456[[#This Row],[v]])</f>
        <v>0.35796622474100681</v>
      </c>
      <c r="BN911" s="20">
        <f>Table1347456[[#This Row],[lnrr]]-(1.96*Table1347456[[#This Row],[se]])</f>
        <v>0.10073267203256397</v>
      </c>
      <c r="BO911" s="20">
        <f>Table1347456[[#This Row],[lnrr]]+(1.96 * Table1347456[[#This Row],[se]])</f>
        <v>1.5039602730173107</v>
      </c>
    </row>
    <row r="912" spans="1:67">
      <c r="A912" s="13" t="s">
        <v>312</v>
      </c>
      <c r="B912" s="13" t="s">
        <v>313</v>
      </c>
      <c r="C912" s="13" t="s">
        <v>43</v>
      </c>
      <c r="D912" s="13" t="s">
        <v>314</v>
      </c>
      <c r="E912" s="13" t="s">
        <v>151</v>
      </c>
      <c r="F912" s="13" t="s">
        <v>587</v>
      </c>
      <c r="G912" s="13" t="s">
        <v>315</v>
      </c>
      <c r="H912" s="13">
        <v>31.3</v>
      </c>
      <c r="I912" s="13">
        <v>800</v>
      </c>
      <c r="J912" s="13" t="s">
        <v>662</v>
      </c>
      <c r="K912" s="13" t="s">
        <v>902</v>
      </c>
      <c r="L912" s="13" t="s">
        <v>903</v>
      </c>
      <c r="M912" s="13" t="s">
        <v>800</v>
      </c>
      <c r="N912" s="13" t="s">
        <v>317</v>
      </c>
      <c r="O912" s="13" t="s">
        <v>644</v>
      </c>
      <c r="P912" s="13" t="s">
        <v>71</v>
      </c>
      <c r="Q912" s="13" t="s">
        <v>48</v>
      </c>
      <c r="R912" s="4">
        <v>3</v>
      </c>
      <c r="S912" s="13" t="s">
        <v>595</v>
      </c>
      <c r="T912" s="13">
        <v>365</v>
      </c>
      <c r="U912" s="4" t="s">
        <v>275</v>
      </c>
      <c r="V912" s="4">
        <v>380</v>
      </c>
      <c r="W912" s="4" t="s">
        <v>42</v>
      </c>
      <c r="X912" s="4">
        <v>430</v>
      </c>
      <c r="Y912" s="4">
        <v>10</v>
      </c>
      <c r="AA912" s="4" t="s">
        <v>50</v>
      </c>
      <c r="AB912" s="4">
        <v>90</v>
      </c>
      <c r="AC912" s="4" t="s">
        <v>49</v>
      </c>
      <c r="AD912" s="4">
        <v>0</v>
      </c>
      <c r="AE912" s="4" t="s">
        <v>49</v>
      </c>
      <c r="AF912" s="4">
        <v>0</v>
      </c>
      <c r="AG912" s="4" t="s">
        <v>708</v>
      </c>
      <c r="AH912" s="4" t="s">
        <v>682</v>
      </c>
      <c r="AI912" s="4" t="s">
        <v>297</v>
      </c>
      <c r="AJ912" s="13">
        <v>0</v>
      </c>
      <c r="AK912" s="13">
        <v>15</v>
      </c>
      <c r="AM912" s="13">
        <v>1.52</v>
      </c>
      <c r="AN912" s="13" t="s">
        <v>531</v>
      </c>
      <c r="AO912" s="13" t="s">
        <v>532</v>
      </c>
      <c r="AP912" s="13" t="s">
        <v>49</v>
      </c>
      <c r="AQ912" s="13" t="s">
        <v>49</v>
      </c>
      <c r="AR912" s="13" t="s">
        <v>49</v>
      </c>
      <c r="AS912" s="13" t="s">
        <v>49</v>
      </c>
      <c r="AT912" s="13" t="s">
        <v>992</v>
      </c>
      <c r="AU912" s="4" t="s">
        <v>1000</v>
      </c>
      <c r="AV912" s="23">
        <f>(16*1.5)/1.52/1000</f>
        <v>1.5789473684210527E-2</v>
      </c>
      <c r="AW912" s="23">
        <f>(13*1.5)/1.52/1000</f>
        <v>1.2828947368421053E-2</v>
      </c>
      <c r="AX912" s="14">
        <f>Table1347456[[#This Row],[treatment_mean]]/Table1347456[[#This Row],[control_mean]]</f>
        <v>1.2307692307692308</v>
      </c>
      <c r="AY912" s="14">
        <f>LN(Table1347456[[#This Row],[rr]])</f>
        <v>0.20763936477824455</v>
      </c>
      <c r="AZ912" s="13">
        <v>3</v>
      </c>
      <c r="BA912" s="13">
        <v>3</v>
      </c>
      <c r="BB912" s="14" t="s">
        <v>46</v>
      </c>
      <c r="BC912" s="14" t="s">
        <v>46</v>
      </c>
      <c r="BD912" s="15" t="s">
        <v>46</v>
      </c>
      <c r="BE912" s="14" t="s">
        <v>46</v>
      </c>
      <c r="BF91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12" s="17" t="s">
        <v>46</v>
      </c>
      <c r="BH912" s="13" t="s">
        <v>50</v>
      </c>
      <c r="BI912" s="13">
        <v>2.5000000000000001E-2</v>
      </c>
      <c r="BJ912" s="18">
        <f>ABS(_xlfn.NORM.S.INV(Table1347456[[#This Row],[p_value]]/2))</f>
        <v>2.2414027276049446</v>
      </c>
      <c r="BK912" s="19">
        <f>(Table1347456[[#This Row],[lnrr]]/Table1347456[[#This Row],[z_from_p]])^2</f>
        <v>8.5818237511777872E-3</v>
      </c>
      <c r="BL912" s="16">
        <f>Table1347456[[#This Row],[v_from_z_from_p]]</f>
        <v>8.5818237511777872E-3</v>
      </c>
      <c r="BM912" s="20">
        <f>SQRT(Table1347456[[#This Row],[v]])</f>
        <v>9.2638133353267579E-2</v>
      </c>
      <c r="BN912" s="20">
        <f>Table1347456[[#This Row],[lnrr]]-(1.96*Table1347456[[#This Row],[se]])</f>
        <v>2.6068623405840097E-2</v>
      </c>
      <c r="BO912" s="20">
        <f>Table1347456[[#This Row],[lnrr]]+(1.96 * Table1347456[[#This Row],[se]])</f>
        <v>0.38921010615064899</v>
      </c>
    </row>
    <row r="913" spans="1:67">
      <c r="A913" s="13" t="s">
        <v>312</v>
      </c>
      <c r="B913" s="13" t="s">
        <v>313</v>
      </c>
      <c r="C913" s="13" t="s">
        <v>43</v>
      </c>
      <c r="D913" s="13" t="s">
        <v>314</v>
      </c>
      <c r="E913" s="13" t="s">
        <v>151</v>
      </c>
      <c r="F913" s="13" t="s">
        <v>587</v>
      </c>
      <c r="G913" s="13" t="s">
        <v>315</v>
      </c>
      <c r="H913" s="13">
        <v>31.3</v>
      </c>
      <c r="I913" s="13">
        <v>800</v>
      </c>
      <c r="J913" s="13" t="s">
        <v>662</v>
      </c>
      <c r="K913" s="13" t="s">
        <v>902</v>
      </c>
      <c r="L913" s="13" t="s">
        <v>903</v>
      </c>
      <c r="M913" s="13" t="s">
        <v>800</v>
      </c>
      <c r="N913" s="13" t="s">
        <v>317</v>
      </c>
      <c r="O913" s="13" t="s">
        <v>644</v>
      </c>
      <c r="P913" s="13" t="s">
        <v>71</v>
      </c>
      <c r="Q913" s="13" t="s">
        <v>48</v>
      </c>
      <c r="R913" s="4">
        <v>3</v>
      </c>
      <c r="S913" s="13" t="s">
        <v>595</v>
      </c>
      <c r="T913" s="13">
        <v>365</v>
      </c>
      <c r="U913" s="4" t="s">
        <v>275</v>
      </c>
      <c r="V913" s="4">
        <v>380</v>
      </c>
      <c r="W913" s="4" t="s">
        <v>42</v>
      </c>
      <c r="X913" s="4">
        <v>430</v>
      </c>
      <c r="Y913" s="4">
        <v>20</v>
      </c>
      <c r="AA913" s="4" t="s">
        <v>50</v>
      </c>
      <c r="AB913" s="4">
        <v>90</v>
      </c>
      <c r="AC913" s="4" t="s">
        <v>49</v>
      </c>
      <c r="AD913" s="4">
        <v>0</v>
      </c>
      <c r="AE913" s="4" t="s">
        <v>49</v>
      </c>
      <c r="AF913" s="4">
        <v>0</v>
      </c>
      <c r="AG913" s="4" t="s">
        <v>708</v>
      </c>
      <c r="AH913" s="4" t="s">
        <v>682</v>
      </c>
      <c r="AI913" s="4" t="s">
        <v>297</v>
      </c>
      <c r="AJ913" s="13">
        <v>0</v>
      </c>
      <c r="AK913" s="13">
        <v>15</v>
      </c>
      <c r="AM913" s="13">
        <v>1.52</v>
      </c>
      <c r="AN913" s="13" t="s">
        <v>531</v>
      </c>
      <c r="AO913" s="13" t="s">
        <v>532</v>
      </c>
      <c r="AP913" s="13" t="s">
        <v>49</v>
      </c>
      <c r="AQ913" s="13" t="s">
        <v>49</v>
      </c>
      <c r="AR913" s="13" t="s">
        <v>49</v>
      </c>
      <c r="AS913" s="13" t="s">
        <v>49</v>
      </c>
      <c r="AT913" s="13" t="s">
        <v>992</v>
      </c>
      <c r="AU913" s="4" t="s">
        <v>1000</v>
      </c>
      <c r="AV913" s="23">
        <f>(21*1.5)/1.52/1000</f>
        <v>2.0723684210526314E-2</v>
      </c>
      <c r="AW913" s="23">
        <f>(13*1.5)/1.52/1000</f>
        <v>1.2828947368421053E-2</v>
      </c>
      <c r="AX913" s="14">
        <f>Table1347456[[#This Row],[treatment_mean]]/Table1347456[[#This Row],[control_mean]]</f>
        <v>1.6153846153846152</v>
      </c>
      <c r="AY913" s="14">
        <f>LN(Table1347456[[#This Row],[rr]])</f>
        <v>0.47957308026188616</v>
      </c>
      <c r="AZ913" s="13">
        <v>3</v>
      </c>
      <c r="BA913" s="13">
        <v>3</v>
      </c>
      <c r="BB913" s="14" t="s">
        <v>46</v>
      </c>
      <c r="BC913" s="14" t="s">
        <v>46</v>
      </c>
      <c r="BD913" s="15" t="s">
        <v>46</v>
      </c>
      <c r="BE913" s="14" t="s">
        <v>46</v>
      </c>
      <c r="BF91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13" s="17" t="s">
        <v>46</v>
      </c>
      <c r="BH913" s="13" t="s">
        <v>50</v>
      </c>
      <c r="BI913" s="13">
        <v>2.5000000000000001E-2</v>
      </c>
      <c r="BJ913" s="18">
        <f>ABS(_xlfn.NORM.S.INV(Table1347456[[#This Row],[p_value]]/2))</f>
        <v>2.2414027276049446</v>
      </c>
      <c r="BK913" s="19">
        <f>(Table1347456[[#This Row],[lnrr]]/Table1347456[[#This Row],[z_from_p]])^2</f>
        <v>4.5779368946014358E-2</v>
      </c>
      <c r="BL913" s="16">
        <f>Table1347456[[#This Row],[v_from_z_from_p]]</f>
        <v>4.5779368946014358E-2</v>
      </c>
      <c r="BM913" s="20">
        <f>SQRT(Table1347456[[#This Row],[v]])</f>
        <v>0.21396113886875429</v>
      </c>
      <c r="BN913" s="20">
        <f>Table1347456[[#This Row],[lnrr]]-(1.96*Table1347456[[#This Row],[se]])</f>
        <v>6.0209248079127753E-2</v>
      </c>
      <c r="BO913" s="20">
        <f>Table1347456[[#This Row],[lnrr]]+(1.96 * Table1347456[[#This Row],[se]])</f>
        <v>0.89893691244464458</v>
      </c>
    </row>
    <row r="914" spans="1:67">
      <c r="A914" s="13" t="s">
        <v>312</v>
      </c>
      <c r="B914" s="13" t="s">
        <v>313</v>
      </c>
      <c r="C914" s="13" t="s">
        <v>43</v>
      </c>
      <c r="D914" s="13" t="s">
        <v>314</v>
      </c>
      <c r="E914" s="13" t="s">
        <v>151</v>
      </c>
      <c r="F914" s="13" t="s">
        <v>587</v>
      </c>
      <c r="G914" s="13" t="s">
        <v>315</v>
      </c>
      <c r="H914" s="13">
        <v>31.3</v>
      </c>
      <c r="I914" s="13">
        <v>800</v>
      </c>
      <c r="J914" s="13" t="s">
        <v>662</v>
      </c>
      <c r="K914" s="13" t="s">
        <v>902</v>
      </c>
      <c r="L914" s="13" t="s">
        <v>903</v>
      </c>
      <c r="M914" s="13" t="s">
        <v>800</v>
      </c>
      <c r="N914" s="13" t="s">
        <v>317</v>
      </c>
      <c r="O914" s="13" t="s">
        <v>644</v>
      </c>
      <c r="P914" s="13" t="s">
        <v>71</v>
      </c>
      <c r="Q914" s="13" t="s">
        <v>48</v>
      </c>
      <c r="R914" s="4">
        <v>3</v>
      </c>
      <c r="S914" s="13" t="s">
        <v>595</v>
      </c>
      <c r="T914" s="13">
        <v>365</v>
      </c>
      <c r="U914" s="4" t="s">
        <v>275</v>
      </c>
      <c r="V914" s="4">
        <v>380</v>
      </c>
      <c r="W914" s="4" t="s">
        <v>42</v>
      </c>
      <c r="X914" s="4">
        <v>430</v>
      </c>
      <c r="Y914" s="4">
        <v>40</v>
      </c>
      <c r="AA914" s="4" t="s">
        <v>50</v>
      </c>
      <c r="AB914" s="4">
        <v>90</v>
      </c>
      <c r="AC914" s="4" t="s">
        <v>49</v>
      </c>
      <c r="AD914" s="4">
        <v>0</v>
      </c>
      <c r="AE914" s="4" t="s">
        <v>49</v>
      </c>
      <c r="AF914" s="4">
        <v>0</v>
      </c>
      <c r="AG914" s="4" t="s">
        <v>708</v>
      </c>
      <c r="AH914" s="4" t="s">
        <v>682</v>
      </c>
      <c r="AI914" s="4" t="s">
        <v>297</v>
      </c>
      <c r="AJ914" s="13">
        <v>0</v>
      </c>
      <c r="AK914" s="13">
        <v>15</v>
      </c>
      <c r="AM914" s="13">
        <v>1.52</v>
      </c>
      <c r="AN914" s="13" t="s">
        <v>531</v>
      </c>
      <c r="AO914" s="13" t="s">
        <v>532</v>
      </c>
      <c r="AP914" s="13" t="s">
        <v>49</v>
      </c>
      <c r="AQ914" s="13" t="s">
        <v>49</v>
      </c>
      <c r="AR914" s="13" t="s">
        <v>49</v>
      </c>
      <c r="AS914" s="13" t="s">
        <v>49</v>
      </c>
      <c r="AT914" s="13" t="s">
        <v>992</v>
      </c>
      <c r="AU914" s="4" t="s">
        <v>1000</v>
      </c>
      <c r="AV914" s="23">
        <f>(24*1.5)/1.52/1000</f>
        <v>2.3684210526315787E-2</v>
      </c>
      <c r="AW914" s="23">
        <f>(13*1.5)/1.52/1000</f>
        <v>1.2828947368421053E-2</v>
      </c>
      <c r="AX914" s="14">
        <f>Table1347456[[#This Row],[treatment_mean]]/Table1347456[[#This Row],[control_mean]]</f>
        <v>1.846153846153846</v>
      </c>
      <c r="AY914" s="14">
        <f>LN(Table1347456[[#This Row],[rr]])</f>
        <v>0.61310447288640879</v>
      </c>
      <c r="AZ914" s="13">
        <v>3</v>
      </c>
      <c r="BA914" s="13">
        <v>3</v>
      </c>
      <c r="BB914" s="14" t="s">
        <v>46</v>
      </c>
      <c r="BC914" s="14" t="s">
        <v>46</v>
      </c>
      <c r="BD914" s="15" t="s">
        <v>46</v>
      </c>
      <c r="BE914" s="14" t="s">
        <v>46</v>
      </c>
      <c r="BF91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14" s="17" t="s">
        <v>46</v>
      </c>
      <c r="BH914" s="13" t="s">
        <v>50</v>
      </c>
      <c r="BI914" s="13">
        <v>2.5000000000000001E-2</v>
      </c>
      <c r="BJ914" s="18">
        <f>ABS(_xlfn.NORM.S.INV(Table1347456[[#This Row],[p_value]]/2))</f>
        <v>2.2414027276049446</v>
      </c>
      <c r="BK914" s="19">
        <f>(Table1347456[[#This Row],[lnrr]]/Table1347456[[#This Row],[z_from_p]])^2</f>
        <v>7.4821976585068048E-2</v>
      </c>
      <c r="BL914" s="16">
        <f>Table1347456[[#This Row],[v_from_z_from_p]]</f>
        <v>7.4821976585068048E-2</v>
      </c>
      <c r="BM914" s="20">
        <f>SQRT(Table1347456[[#This Row],[v]])</f>
        <v>0.27353606084951221</v>
      </c>
      <c r="BN914" s="20">
        <f>Table1347456[[#This Row],[lnrr]]-(1.96*Table1347456[[#This Row],[se]])</f>
        <v>7.6973793621364917E-2</v>
      </c>
      <c r="BO914" s="20">
        <f>Table1347456[[#This Row],[lnrr]]+(1.96 * Table1347456[[#This Row],[se]])</f>
        <v>1.1492351521514528</v>
      </c>
    </row>
    <row r="915" spans="1:67">
      <c r="A915" s="13" t="s">
        <v>312</v>
      </c>
      <c r="B915" s="13" t="s">
        <v>313</v>
      </c>
      <c r="C915" s="13" t="s">
        <v>43</v>
      </c>
      <c r="D915" s="13" t="s">
        <v>314</v>
      </c>
      <c r="E915" s="13" t="s">
        <v>151</v>
      </c>
      <c r="F915" s="13" t="s">
        <v>587</v>
      </c>
      <c r="G915" s="13" t="s">
        <v>315</v>
      </c>
      <c r="H915" s="13">
        <v>31.3</v>
      </c>
      <c r="I915" s="13">
        <v>800</v>
      </c>
      <c r="J915" s="13" t="s">
        <v>662</v>
      </c>
      <c r="K915" s="13" t="s">
        <v>902</v>
      </c>
      <c r="L915" s="13" t="s">
        <v>903</v>
      </c>
      <c r="M915" s="13" t="s">
        <v>800</v>
      </c>
      <c r="N915" s="13" t="s">
        <v>317</v>
      </c>
      <c r="O915" s="13" t="s">
        <v>644</v>
      </c>
      <c r="P915" s="13" t="s">
        <v>71</v>
      </c>
      <c r="Q915" s="13" t="s">
        <v>48</v>
      </c>
      <c r="R915" s="4">
        <v>3</v>
      </c>
      <c r="S915" s="13" t="s">
        <v>595</v>
      </c>
      <c r="T915" s="13">
        <v>365</v>
      </c>
      <c r="U915" s="4" t="s">
        <v>275</v>
      </c>
      <c r="V915" s="4">
        <v>380</v>
      </c>
      <c r="W915" s="4" t="s">
        <v>42</v>
      </c>
      <c r="X915" s="4">
        <v>430</v>
      </c>
      <c r="Y915" s="4">
        <v>10</v>
      </c>
      <c r="AA915" s="4" t="s">
        <v>50</v>
      </c>
      <c r="AB915" s="4">
        <v>90</v>
      </c>
      <c r="AC915" s="4" t="s">
        <v>49</v>
      </c>
      <c r="AD915" s="4">
        <v>0</v>
      </c>
      <c r="AE915" s="4" t="s">
        <v>49</v>
      </c>
      <c r="AF915" s="4">
        <v>0</v>
      </c>
      <c r="AG915" s="4" t="s">
        <v>708</v>
      </c>
      <c r="AH915" s="4" t="s">
        <v>775</v>
      </c>
      <c r="AI915" s="4" t="s">
        <v>52</v>
      </c>
      <c r="AJ915" s="13">
        <v>0</v>
      </c>
      <c r="AK915" s="13">
        <v>15</v>
      </c>
      <c r="AM915" s="13" t="s">
        <v>533</v>
      </c>
      <c r="AN915" s="13" t="s">
        <v>531</v>
      </c>
      <c r="AO915" s="13" t="s">
        <v>532</v>
      </c>
      <c r="AP915" s="13" t="s">
        <v>49</v>
      </c>
      <c r="AQ915" s="13" t="s">
        <v>49</v>
      </c>
      <c r="AR915" s="13" t="s">
        <v>49</v>
      </c>
      <c r="AS915" s="13" t="s">
        <v>49</v>
      </c>
      <c r="AT915" s="13" t="s">
        <v>992</v>
      </c>
      <c r="AU915" s="4" t="s">
        <v>1000</v>
      </c>
      <c r="AV915" s="23">
        <f>(22*1.5)/1.37/1000</f>
        <v>2.4087591240875908E-2</v>
      </c>
      <c r="AW915" s="23">
        <f>(15*1.5)/1.37/1000</f>
        <v>1.6423357664233574E-2</v>
      </c>
      <c r="AX915" s="14">
        <f>Table1347456[[#This Row],[treatment_mean]]/Table1347456[[#This Row],[control_mean]]</f>
        <v>1.4666666666666666</v>
      </c>
      <c r="AY915" s="14">
        <f>LN(Table1347456[[#This Row],[rr]])</f>
        <v>0.38299225225610573</v>
      </c>
      <c r="AZ915" s="13">
        <v>3</v>
      </c>
      <c r="BA915" s="13">
        <v>3</v>
      </c>
      <c r="BB915" s="14" t="s">
        <v>46</v>
      </c>
      <c r="BC915" s="14" t="s">
        <v>46</v>
      </c>
      <c r="BD915" s="15" t="s">
        <v>46</v>
      </c>
      <c r="BE915" s="14" t="s">
        <v>46</v>
      </c>
      <c r="BF91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15" s="17" t="s">
        <v>46</v>
      </c>
      <c r="BH915" s="13" t="s">
        <v>50</v>
      </c>
      <c r="BI915" s="13">
        <v>2.5000000000000001E-2</v>
      </c>
      <c r="BJ915" s="18">
        <f>ABS(_xlfn.NORM.S.INV(Table1347456[[#This Row],[p_value]]/2))</f>
        <v>2.2414027276049446</v>
      </c>
      <c r="BK915" s="19">
        <f>(Table1347456[[#This Row],[lnrr]]/Table1347456[[#This Row],[z_from_p]])^2</f>
        <v>2.9197131427573634E-2</v>
      </c>
      <c r="BL915" s="16">
        <f>Table1347456[[#This Row],[v_from_z_from_p]]</f>
        <v>2.9197131427573634E-2</v>
      </c>
      <c r="BM915" s="20">
        <f>SQRT(Table1347456[[#This Row],[v]])</f>
        <v>0.17087168117500814</v>
      </c>
      <c r="BN915" s="20">
        <f>Table1347456[[#This Row],[lnrr]]-(1.96*Table1347456[[#This Row],[se]])</f>
        <v>4.8083757153089768E-2</v>
      </c>
      <c r="BO915" s="20">
        <f>Table1347456[[#This Row],[lnrr]]+(1.96 * Table1347456[[#This Row],[se]])</f>
        <v>0.71790074735912168</v>
      </c>
    </row>
    <row r="916" spans="1:67">
      <c r="A916" s="13" t="s">
        <v>312</v>
      </c>
      <c r="B916" s="13" t="s">
        <v>313</v>
      </c>
      <c r="C916" s="13" t="s">
        <v>43</v>
      </c>
      <c r="D916" s="13" t="s">
        <v>314</v>
      </c>
      <c r="E916" s="13" t="s">
        <v>151</v>
      </c>
      <c r="F916" s="13" t="s">
        <v>587</v>
      </c>
      <c r="G916" s="13" t="s">
        <v>315</v>
      </c>
      <c r="H916" s="13">
        <v>31.3</v>
      </c>
      <c r="I916" s="13">
        <v>800</v>
      </c>
      <c r="J916" s="13" t="s">
        <v>662</v>
      </c>
      <c r="K916" s="13" t="s">
        <v>902</v>
      </c>
      <c r="L916" s="13" t="s">
        <v>903</v>
      </c>
      <c r="M916" s="13" t="s">
        <v>800</v>
      </c>
      <c r="N916" s="13" t="s">
        <v>317</v>
      </c>
      <c r="O916" s="13" t="s">
        <v>644</v>
      </c>
      <c r="P916" s="13" t="s">
        <v>71</v>
      </c>
      <c r="Q916" s="13" t="s">
        <v>48</v>
      </c>
      <c r="R916" s="4">
        <v>3</v>
      </c>
      <c r="S916" s="13" t="s">
        <v>595</v>
      </c>
      <c r="T916" s="13">
        <v>365</v>
      </c>
      <c r="U916" s="4" t="s">
        <v>275</v>
      </c>
      <c r="V916" s="4">
        <v>380</v>
      </c>
      <c r="W916" s="4" t="s">
        <v>42</v>
      </c>
      <c r="X916" s="4">
        <v>430</v>
      </c>
      <c r="Y916" s="4">
        <v>20</v>
      </c>
      <c r="AA916" s="4" t="s">
        <v>50</v>
      </c>
      <c r="AB916" s="4">
        <v>90</v>
      </c>
      <c r="AC916" s="4" t="s">
        <v>49</v>
      </c>
      <c r="AD916" s="4">
        <v>0</v>
      </c>
      <c r="AE916" s="4" t="s">
        <v>49</v>
      </c>
      <c r="AF916" s="4">
        <v>0</v>
      </c>
      <c r="AG916" s="4" t="s">
        <v>708</v>
      </c>
      <c r="AH916" s="4" t="s">
        <v>775</v>
      </c>
      <c r="AI916" s="4" t="s">
        <v>52</v>
      </c>
      <c r="AJ916" s="13">
        <v>0</v>
      </c>
      <c r="AK916" s="13">
        <v>15</v>
      </c>
      <c r="AM916" s="13" t="s">
        <v>533</v>
      </c>
      <c r="AN916" s="13" t="s">
        <v>531</v>
      </c>
      <c r="AO916" s="13" t="s">
        <v>532</v>
      </c>
      <c r="AP916" s="13" t="s">
        <v>49</v>
      </c>
      <c r="AQ916" s="13" t="s">
        <v>49</v>
      </c>
      <c r="AR916" s="13" t="s">
        <v>49</v>
      </c>
      <c r="AS916" s="13" t="s">
        <v>49</v>
      </c>
      <c r="AT916" s="13" t="s">
        <v>992</v>
      </c>
      <c r="AU916" s="4" t="s">
        <v>1000</v>
      </c>
      <c r="AV916" s="23">
        <f>(25*1.5)/1.37/1000</f>
        <v>2.7372262773722626E-2</v>
      </c>
      <c r="AW916" s="23">
        <f>(15*1.5)/1.37/1000</f>
        <v>1.6423357664233574E-2</v>
      </c>
      <c r="AX916" s="14">
        <f>Table1347456[[#This Row],[treatment_mean]]/Table1347456[[#This Row],[control_mean]]</f>
        <v>1.6666666666666667</v>
      </c>
      <c r="AY916" s="14">
        <f>LN(Table1347456[[#This Row],[rr]])</f>
        <v>0.51082562376599072</v>
      </c>
      <c r="AZ916" s="13">
        <v>3</v>
      </c>
      <c r="BA916" s="13">
        <v>3</v>
      </c>
      <c r="BB916" s="14" t="s">
        <v>46</v>
      </c>
      <c r="BC916" s="14" t="s">
        <v>46</v>
      </c>
      <c r="BD916" s="15" t="s">
        <v>46</v>
      </c>
      <c r="BE916" s="14" t="s">
        <v>46</v>
      </c>
      <c r="BF91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16" s="17" t="s">
        <v>46</v>
      </c>
      <c r="BH916" s="13" t="s">
        <v>50</v>
      </c>
      <c r="BI916" s="13">
        <v>2.5000000000000001E-2</v>
      </c>
      <c r="BJ916" s="18">
        <f>ABS(_xlfn.NORM.S.INV(Table1347456[[#This Row],[p_value]]/2))</f>
        <v>2.2414027276049446</v>
      </c>
      <c r="BK916" s="19">
        <f>(Table1347456[[#This Row],[lnrr]]/Table1347456[[#This Row],[z_from_p]])^2</f>
        <v>5.1940431802532439E-2</v>
      </c>
      <c r="BL916" s="16">
        <f>Table1347456[[#This Row],[v_from_z_from_p]]</f>
        <v>5.1940431802532439E-2</v>
      </c>
      <c r="BM916" s="20">
        <f>SQRT(Table1347456[[#This Row],[v]])</f>
        <v>0.22790443567980953</v>
      </c>
      <c r="BN916" s="20">
        <f>Table1347456[[#This Row],[lnrr]]-(1.96*Table1347456[[#This Row],[se]])</f>
        <v>6.4132929833564056E-2</v>
      </c>
      <c r="BO916" s="20">
        <f>Table1347456[[#This Row],[lnrr]]+(1.96 * Table1347456[[#This Row],[se]])</f>
        <v>0.95751831769841744</v>
      </c>
    </row>
    <row r="917" spans="1:67">
      <c r="A917" s="13" t="s">
        <v>312</v>
      </c>
      <c r="B917" s="13" t="s">
        <v>313</v>
      </c>
      <c r="C917" s="13" t="s">
        <v>43</v>
      </c>
      <c r="D917" s="13" t="s">
        <v>314</v>
      </c>
      <c r="E917" s="13" t="s">
        <v>151</v>
      </c>
      <c r="F917" s="13" t="s">
        <v>587</v>
      </c>
      <c r="G917" s="13" t="s">
        <v>315</v>
      </c>
      <c r="H917" s="13">
        <v>31.3</v>
      </c>
      <c r="I917" s="13">
        <v>800</v>
      </c>
      <c r="J917" s="13" t="s">
        <v>662</v>
      </c>
      <c r="K917" s="13" t="s">
        <v>902</v>
      </c>
      <c r="L917" s="13" t="s">
        <v>903</v>
      </c>
      <c r="M917" s="13" t="s">
        <v>800</v>
      </c>
      <c r="N917" s="13" t="s">
        <v>317</v>
      </c>
      <c r="O917" s="13" t="s">
        <v>644</v>
      </c>
      <c r="P917" s="13" t="s">
        <v>71</v>
      </c>
      <c r="Q917" s="13" t="s">
        <v>48</v>
      </c>
      <c r="R917" s="4">
        <v>3</v>
      </c>
      <c r="S917" s="13" t="s">
        <v>595</v>
      </c>
      <c r="T917" s="13">
        <v>365</v>
      </c>
      <c r="U917" s="4" t="s">
        <v>275</v>
      </c>
      <c r="V917" s="4">
        <v>380</v>
      </c>
      <c r="W917" s="4" t="s">
        <v>42</v>
      </c>
      <c r="X917" s="4">
        <v>430</v>
      </c>
      <c r="Y917" s="4">
        <v>40</v>
      </c>
      <c r="AA917" s="4" t="s">
        <v>50</v>
      </c>
      <c r="AB917" s="4">
        <v>90</v>
      </c>
      <c r="AC917" s="4" t="s">
        <v>49</v>
      </c>
      <c r="AD917" s="4">
        <v>0</v>
      </c>
      <c r="AE917" s="4" t="s">
        <v>49</v>
      </c>
      <c r="AF917" s="4">
        <v>0</v>
      </c>
      <c r="AG917" s="4" t="s">
        <v>708</v>
      </c>
      <c r="AH917" s="4" t="s">
        <v>775</v>
      </c>
      <c r="AI917" s="4" t="s">
        <v>52</v>
      </c>
      <c r="AJ917" s="13">
        <v>0</v>
      </c>
      <c r="AK917" s="13">
        <v>15</v>
      </c>
      <c r="AM917" s="13" t="s">
        <v>533</v>
      </c>
      <c r="AN917" s="13" t="s">
        <v>531</v>
      </c>
      <c r="AO917" s="13" t="s">
        <v>532</v>
      </c>
      <c r="AP917" s="13" t="s">
        <v>49</v>
      </c>
      <c r="AQ917" s="13" t="s">
        <v>49</v>
      </c>
      <c r="AR917" s="13" t="s">
        <v>49</v>
      </c>
      <c r="AS917" s="13" t="s">
        <v>49</v>
      </c>
      <c r="AT917" s="13" t="s">
        <v>992</v>
      </c>
      <c r="AU917" s="4" t="s">
        <v>1000</v>
      </c>
      <c r="AV917" s="23">
        <f>(27*1.5)/1.37/1000</f>
        <v>2.9562043795620437E-2</v>
      </c>
      <c r="AW917" s="23">
        <f>(15*1.5)/1.37/1000</f>
        <v>1.6423357664233574E-2</v>
      </c>
      <c r="AX917" s="14">
        <f>Table1347456[[#This Row],[treatment_mean]]/Table1347456[[#This Row],[control_mean]]</f>
        <v>1.8000000000000003</v>
      </c>
      <c r="AY917" s="14">
        <f>LN(Table1347456[[#This Row],[rr]])</f>
        <v>0.58778666490211917</v>
      </c>
      <c r="AZ917" s="13">
        <v>3</v>
      </c>
      <c r="BA917" s="13">
        <v>3</v>
      </c>
      <c r="BB917" s="14" t="s">
        <v>46</v>
      </c>
      <c r="BC917" s="14" t="s">
        <v>46</v>
      </c>
      <c r="BD917" s="15" t="s">
        <v>46</v>
      </c>
      <c r="BE917" s="14" t="s">
        <v>46</v>
      </c>
      <c r="BF91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17" s="17" t="s">
        <v>46</v>
      </c>
      <c r="BH917" s="13" t="s">
        <v>50</v>
      </c>
      <c r="BI917" s="13">
        <v>2.5000000000000001E-2</v>
      </c>
      <c r="BJ917" s="18">
        <f>ABS(_xlfn.NORM.S.INV(Table1347456[[#This Row],[p_value]]/2))</f>
        <v>2.2414027276049446</v>
      </c>
      <c r="BK917" s="19">
        <f>(Table1347456[[#This Row],[lnrr]]/Table1347456[[#This Row],[z_from_p]])^2</f>
        <v>6.8770101581742168E-2</v>
      </c>
      <c r="BL917" s="16">
        <f>Table1347456[[#This Row],[v_from_z_from_p]]</f>
        <v>6.8770101581742168E-2</v>
      </c>
      <c r="BM917" s="20">
        <f>SQRT(Table1347456[[#This Row],[v]])</f>
        <v>0.26224054145334236</v>
      </c>
      <c r="BN917" s="20">
        <f>Table1347456[[#This Row],[lnrr]]-(1.96*Table1347456[[#This Row],[se]])</f>
        <v>7.3795203653568175E-2</v>
      </c>
      <c r="BO917" s="20">
        <f>Table1347456[[#This Row],[lnrr]]+(1.96 * Table1347456[[#This Row],[se]])</f>
        <v>1.1017781261506703</v>
      </c>
    </row>
    <row r="918" spans="1:67">
      <c r="A918" s="13" t="s">
        <v>312</v>
      </c>
      <c r="B918" s="13" t="s">
        <v>313</v>
      </c>
      <c r="C918" s="13" t="s">
        <v>43</v>
      </c>
      <c r="D918" s="13" t="s">
        <v>314</v>
      </c>
      <c r="E918" s="13" t="s">
        <v>151</v>
      </c>
      <c r="F918" s="13" t="s">
        <v>587</v>
      </c>
      <c r="G918" s="13" t="s">
        <v>315</v>
      </c>
      <c r="H918" s="13">
        <v>31.3</v>
      </c>
      <c r="I918" s="13">
        <v>800</v>
      </c>
      <c r="J918" s="13" t="s">
        <v>662</v>
      </c>
      <c r="K918" s="13" t="s">
        <v>902</v>
      </c>
      <c r="L918" s="13" t="s">
        <v>903</v>
      </c>
      <c r="M918" s="13" t="s">
        <v>800</v>
      </c>
      <c r="N918" s="13" t="s">
        <v>317</v>
      </c>
      <c r="O918" s="13" t="s">
        <v>644</v>
      </c>
      <c r="P918" s="13" t="s">
        <v>71</v>
      </c>
      <c r="Q918" s="13" t="s">
        <v>48</v>
      </c>
      <c r="R918" s="4">
        <v>3</v>
      </c>
      <c r="S918" s="13" t="s">
        <v>595</v>
      </c>
      <c r="T918" s="13">
        <v>365</v>
      </c>
      <c r="U918" s="4" t="s">
        <v>275</v>
      </c>
      <c r="V918" s="4">
        <v>380</v>
      </c>
      <c r="W918" s="4" t="s">
        <v>42</v>
      </c>
      <c r="X918" s="4">
        <v>430</v>
      </c>
      <c r="Y918" s="4">
        <v>10</v>
      </c>
      <c r="AA918" s="4" t="s">
        <v>50</v>
      </c>
      <c r="AB918" s="4">
        <v>120</v>
      </c>
      <c r="AC918" s="4" t="s">
        <v>49</v>
      </c>
      <c r="AD918" s="4">
        <v>0</v>
      </c>
      <c r="AE918" s="4" t="s">
        <v>49</v>
      </c>
      <c r="AF918" s="4">
        <v>0</v>
      </c>
      <c r="AG918" s="4" t="s">
        <v>708</v>
      </c>
      <c r="AH918" s="4" t="s">
        <v>682</v>
      </c>
      <c r="AI918" s="4" t="s">
        <v>297</v>
      </c>
      <c r="AJ918" s="13">
        <v>0</v>
      </c>
      <c r="AK918" s="13">
        <v>15</v>
      </c>
      <c r="AM918" s="13">
        <v>1.52</v>
      </c>
      <c r="AN918" s="13" t="s">
        <v>531</v>
      </c>
      <c r="AO918" s="13" t="s">
        <v>532</v>
      </c>
      <c r="AP918" s="13" t="s">
        <v>49</v>
      </c>
      <c r="AQ918" s="13" t="s">
        <v>49</v>
      </c>
      <c r="AR918" s="13" t="s">
        <v>49</v>
      </c>
      <c r="AS918" s="13" t="s">
        <v>49</v>
      </c>
      <c r="AT918" s="13" t="s">
        <v>992</v>
      </c>
      <c r="AU918" s="4" t="s">
        <v>1000</v>
      </c>
      <c r="AV918" s="23">
        <f>(20*1.5)/1.52/1000</f>
        <v>1.9736842105263157E-2</v>
      </c>
      <c r="AW918" s="23">
        <f>(11*1.5)/1.52/1000</f>
        <v>1.0855263157894736E-2</v>
      </c>
      <c r="AX918" s="14">
        <f>Table1347456[[#This Row],[treatment_mean]]/Table1347456[[#This Row],[control_mean]]</f>
        <v>1.8181818181818183</v>
      </c>
      <c r="AY918" s="14">
        <f>LN(Table1347456[[#This Row],[rr]])</f>
        <v>0.59783700075562052</v>
      </c>
      <c r="AZ918" s="13">
        <v>3</v>
      </c>
      <c r="BA918" s="13">
        <v>3</v>
      </c>
      <c r="BB918" s="14" t="s">
        <v>46</v>
      </c>
      <c r="BC918" s="14" t="s">
        <v>46</v>
      </c>
      <c r="BD918" s="15" t="s">
        <v>46</v>
      </c>
      <c r="BE918" s="14" t="s">
        <v>46</v>
      </c>
      <c r="BF91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18" s="17" t="s">
        <v>46</v>
      </c>
      <c r="BH918" s="13" t="s">
        <v>50</v>
      </c>
      <c r="BI918" s="13">
        <v>2.5000000000000001E-2</v>
      </c>
      <c r="BJ918" s="18">
        <f>ABS(_xlfn.NORM.S.INV(Table1347456[[#This Row],[p_value]]/2))</f>
        <v>2.2414027276049446</v>
      </c>
      <c r="BK918" s="19">
        <f>(Table1347456[[#This Row],[lnrr]]/Table1347456[[#This Row],[z_from_p]])^2</f>
        <v>7.1141953887195852E-2</v>
      </c>
      <c r="BL918" s="16">
        <f>Table1347456[[#This Row],[v_from_z_from_p]]</f>
        <v>7.1141953887195852E-2</v>
      </c>
      <c r="BM918" s="20">
        <f>SQRT(Table1347456[[#This Row],[v]])</f>
        <v>0.26672449060256137</v>
      </c>
      <c r="BN918" s="20">
        <f>Table1347456[[#This Row],[lnrr]]-(1.96*Table1347456[[#This Row],[se]])</f>
        <v>7.5056999174600292E-2</v>
      </c>
      <c r="BO918" s="20">
        <f>Table1347456[[#This Row],[lnrr]]+(1.96 * Table1347456[[#This Row],[se]])</f>
        <v>1.1206170023366409</v>
      </c>
    </row>
    <row r="919" spans="1:67">
      <c r="A919" s="13" t="s">
        <v>312</v>
      </c>
      <c r="B919" s="13" t="s">
        <v>313</v>
      </c>
      <c r="C919" s="13" t="s">
        <v>43</v>
      </c>
      <c r="D919" s="13" t="s">
        <v>314</v>
      </c>
      <c r="E919" s="13" t="s">
        <v>151</v>
      </c>
      <c r="F919" s="13" t="s">
        <v>587</v>
      </c>
      <c r="G919" s="13" t="s">
        <v>315</v>
      </c>
      <c r="H919" s="13">
        <v>31.3</v>
      </c>
      <c r="I919" s="13">
        <v>800</v>
      </c>
      <c r="J919" s="13" t="s">
        <v>662</v>
      </c>
      <c r="K919" s="13" t="s">
        <v>902</v>
      </c>
      <c r="L919" s="13" t="s">
        <v>903</v>
      </c>
      <c r="M919" s="13" t="s">
        <v>800</v>
      </c>
      <c r="N919" s="13" t="s">
        <v>317</v>
      </c>
      <c r="O919" s="13" t="s">
        <v>644</v>
      </c>
      <c r="P919" s="13" t="s">
        <v>71</v>
      </c>
      <c r="Q919" s="13" t="s">
        <v>48</v>
      </c>
      <c r="R919" s="4">
        <v>3</v>
      </c>
      <c r="S919" s="13" t="s">
        <v>595</v>
      </c>
      <c r="T919" s="13">
        <v>365</v>
      </c>
      <c r="U919" s="4" t="s">
        <v>275</v>
      </c>
      <c r="V919" s="4">
        <v>380</v>
      </c>
      <c r="W919" s="4" t="s">
        <v>42</v>
      </c>
      <c r="X919" s="4">
        <v>430</v>
      </c>
      <c r="Y919" s="4">
        <v>20</v>
      </c>
      <c r="AA919" s="4" t="s">
        <v>50</v>
      </c>
      <c r="AB919" s="4">
        <v>120</v>
      </c>
      <c r="AC919" s="4" t="s">
        <v>49</v>
      </c>
      <c r="AD919" s="4">
        <v>0</v>
      </c>
      <c r="AE919" s="4" t="s">
        <v>49</v>
      </c>
      <c r="AF919" s="4">
        <v>0</v>
      </c>
      <c r="AG919" s="4" t="s">
        <v>708</v>
      </c>
      <c r="AH919" s="4" t="s">
        <v>682</v>
      </c>
      <c r="AI919" s="4" t="s">
        <v>297</v>
      </c>
      <c r="AJ919" s="13">
        <v>0</v>
      </c>
      <c r="AK919" s="13">
        <v>15</v>
      </c>
      <c r="AM919" s="13">
        <v>1.52</v>
      </c>
      <c r="AN919" s="13" t="s">
        <v>531</v>
      </c>
      <c r="AO919" s="13" t="s">
        <v>532</v>
      </c>
      <c r="AP919" s="13" t="s">
        <v>49</v>
      </c>
      <c r="AQ919" s="13" t="s">
        <v>49</v>
      </c>
      <c r="AR919" s="13" t="s">
        <v>49</v>
      </c>
      <c r="AS919" s="13" t="s">
        <v>49</v>
      </c>
      <c r="AT919" s="13" t="s">
        <v>992</v>
      </c>
      <c r="AU919" s="4" t="s">
        <v>1000</v>
      </c>
      <c r="AV919" s="23">
        <f>(23*1.5)/1.52/1000</f>
        <v>2.2697368421052629E-2</v>
      </c>
      <c r="AW919" s="23">
        <f>(11*1.5)/1.52/1000</f>
        <v>1.0855263157894736E-2</v>
      </c>
      <c r="AX919" s="14">
        <f>Table1347456[[#This Row],[treatment_mean]]/Table1347456[[#This Row],[control_mean]]</f>
        <v>2.0909090909090908</v>
      </c>
      <c r="AY919" s="14">
        <f>LN(Table1347456[[#This Row],[rr]])</f>
        <v>0.73759894313077912</v>
      </c>
      <c r="AZ919" s="13">
        <v>3</v>
      </c>
      <c r="BA919" s="13">
        <v>3</v>
      </c>
      <c r="BB919" s="14" t="s">
        <v>46</v>
      </c>
      <c r="BC919" s="14" t="s">
        <v>46</v>
      </c>
      <c r="BD919" s="15" t="s">
        <v>46</v>
      </c>
      <c r="BE919" s="14" t="s">
        <v>46</v>
      </c>
      <c r="BF91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19" s="17" t="s">
        <v>46</v>
      </c>
      <c r="BH919" s="13" t="s">
        <v>50</v>
      </c>
      <c r="BI919" s="13">
        <v>2.5000000000000001E-2</v>
      </c>
      <c r="BJ919" s="18">
        <f>ABS(_xlfn.NORM.S.INV(Table1347456[[#This Row],[p_value]]/2))</f>
        <v>2.2414027276049446</v>
      </c>
      <c r="BK919" s="19">
        <f>(Table1347456[[#This Row],[lnrr]]/Table1347456[[#This Row],[z_from_p]])^2</f>
        <v>0.10829309833517976</v>
      </c>
      <c r="BL919" s="16">
        <f>Table1347456[[#This Row],[v_from_z_from_p]]</f>
        <v>0.10829309833517976</v>
      </c>
      <c r="BM919" s="20">
        <f>SQRT(Table1347456[[#This Row],[v]])</f>
        <v>0.32907916727617348</v>
      </c>
      <c r="BN919" s="20">
        <f>Table1347456[[#This Row],[lnrr]]-(1.96*Table1347456[[#This Row],[se]])</f>
        <v>9.260377526947916E-2</v>
      </c>
      <c r="BO919" s="20">
        <f>Table1347456[[#This Row],[lnrr]]+(1.96 * Table1347456[[#This Row],[se]])</f>
        <v>1.3825941109920792</v>
      </c>
    </row>
    <row r="920" spans="1:67">
      <c r="A920" s="13" t="s">
        <v>312</v>
      </c>
      <c r="B920" s="13" t="s">
        <v>313</v>
      </c>
      <c r="C920" s="13" t="s">
        <v>43</v>
      </c>
      <c r="D920" s="13" t="s">
        <v>314</v>
      </c>
      <c r="E920" s="13" t="s">
        <v>151</v>
      </c>
      <c r="F920" s="13" t="s">
        <v>587</v>
      </c>
      <c r="G920" s="13" t="s">
        <v>315</v>
      </c>
      <c r="H920" s="13">
        <v>31.3</v>
      </c>
      <c r="I920" s="13">
        <v>800</v>
      </c>
      <c r="J920" s="13" t="s">
        <v>662</v>
      </c>
      <c r="K920" s="13" t="s">
        <v>902</v>
      </c>
      <c r="L920" s="13" t="s">
        <v>903</v>
      </c>
      <c r="M920" s="13" t="s">
        <v>800</v>
      </c>
      <c r="N920" s="13" t="s">
        <v>317</v>
      </c>
      <c r="O920" s="13" t="s">
        <v>644</v>
      </c>
      <c r="P920" s="13" t="s">
        <v>71</v>
      </c>
      <c r="Q920" s="13" t="s">
        <v>48</v>
      </c>
      <c r="R920" s="4">
        <v>3</v>
      </c>
      <c r="S920" s="13" t="s">
        <v>595</v>
      </c>
      <c r="T920" s="13">
        <v>365</v>
      </c>
      <c r="U920" s="4" t="s">
        <v>275</v>
      </c>
      <c r="V920" s="4">
        <v>380</v>
      </c>
      <c r="W920" s="4" t="s">
        <v>42</v>
      </c>
      <c r="X920" s="4">
        <v>430</v>
      </c>
      <c r="Y920" s="4">
        <v>40</v>
      </c>
      <c r="AA920" s="4" t="s">
        <v>50</v>
      </c>
      <c r="AB920" s="4">
        <v>120</v>
      </c>
      <c r="AC920" s="4" t="s">
        <v>49</v>
      </c>
      <c r="AD920" s="4">
        <v>0</v>
      </c>
      <c r="AE920" s="4" t="s">
        <v>49</v>
      </c>
      <c r="AF920" s="4">
        <v>0</v>
      </c>
      <c r="AG920" s="4" t="s">
        <v>708</v>
      </c>
      <c r="AH920" s="4" t="s">
        <v>682</v>
      </c>
      <c r="AI920" s="4" t="s">
        <v>297</v>
      </c>
      <c r="AJ920" s="13">
        <v>0</v>
      </c>
      <c r="AK920" s="13">
        <v>15</v>
      </c>
      <c r="AM920" s="13">
        <v>1.52</v>
      </c>
      <c r="AN920" s="13" t="s">
        <v>531</v>
      </c>
      <c r="AO920" s="13" t="s">
        <v>532</v>
      </c>
      <c r="AP920" s="13" t="s">
        <v>49</v>
      </c>
      <c r="AQ920" s="13" t="s">
        <v>49</v>
      </c>
      <c r="AR920" s="13" t="s">
        <v>49</v>
      </c>
      <c r="AS920" s="13" t="s">
        <v>49</v>
      </c>
      <c r="AT920" s="13" t="s">
        <v>992</v>
      </c>
      <c r="AU920" s="4" t="s">
        <v>1000</v>
      </c>
      <c r="AV920" s="23">
        <f>(29*1.5)/1.52/1000</f>
        <v>2.8618421052631578E-2</v>
      </c>
      <c r="AW920" s="23">
        <f>(11*1.5)/1.52/1000</f>
        <v>1.0855263157894736E-2</v>
      </c>
      <c r="AX920" s="14">
        <f>Table1347456[[#This Row],[treatment_mean]]/Table1347456[[#This Row],[control_mean]]</f>
        <v>2.6363636363636367</v>
      </c>
      <c r="AY920" s="14">
        <f>LN(Table1347456[[#This Row],[rr]])</f>
        <v>0.96940055718810358</v>
      </c>
      <c r="AZ920" s="13">
        <v>3</v>
      </c>
      <c r="BA920" s="13">
        <v>3</v>
      </c>
      <c r="BB920" s="14" t="s">
        <v>46</v>
      </c>
      <c r="BC920" s="14" t="s">
        <v>46</v>
      </c>
      <c r="BD920" s="15" t="s">
        <v>46</v>
      </c>
      <c r="BE920" s="14" t="s">
        <v>46</v>
      </c>
      <c r="BF92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20" s="17" t="s">
        <v>46</v>
      </c>
      <c r="BH920" s="13" t="s">
        <v>50</v>
      </c>
      <c r="BI920" s="13">
        <v>2.5000000000000001E-2</v>
      </c>
      <c r="BJ920" s="18">
        <f>ABS(_xlfn.NORM.S.INV(Table1347456[[#This Row],[p_value]]/2))</f>
        <v>2.2414027276049446</v>
      </c>
      <c r="BK920" s="19">
        <f>(Table1347456[[#This Row],[lnrr]]/Table1347456[[#This Row],[z_from_p]])^2</f>
        <v>0.18705388721770919</v>
      </c>
      <c r="BL920" s="16">
        <f>Table1347456[[#This Row],[v_from_z_from_p]]</f>
        <v>0.18705388721770919</v>
      </c>
      <c r="BM920" s="20">
        <f>SQRT(Table1347456[[#This Row],[v]])</f>
        <v>0.43249726845115355</v>
      </c>
      <c r="BN920" s="20">
        <f>Table1347456[[#This Row],[lnrr]]-(1.96*Table1347456[[#This Row],[se]])</f>
        <v>0.12170591102384265</v>
      </c>
      <c r="BO920" s="20">
        <f>Table1347456[[#This Row],[lnrr]]+(1.96 * Table1347456[[#This Row],[se]])</f>
        <v>1.8170952033523644</v>
      </c>
    </row>
    <row r="921" spans="1:67">
      <c r="A921" s="13" t="s">
        <v>312</v>
      </c>
      <c r="B921" s="13" t="s">
        <v>313</v>
      </c>
      <c r="C921" s="13" t="s">
        <v>43</v>
      </c>
      <c r="D921" s="13" t="s">
        <v>314</v>
      </c>
      <c r="E921" s="13" t="s">
        <v>151</v>
      </c>
      <c r="F921" s="13" t="s">
        <v>587</v>
      </c>
      <c r="G921" s="13" t="s">
        <v>315</v>
      </c>
      <c r="H921" s="13">
        <v>31.3</v>
      </c>
      <c r="I921" s="13">
        <v>800</v>
      </c>
      <c r="J921" s="13" t="s">
        <v>662</v>
      </c>
      <c r="K921" s="13" t="s">
        <v>902</v>
      </c>
      <c r="L921" s="13" t="s">
        <v>903</v>
      </c>
      <c r="M921" s="13" t="s">
        <v>800</v>
      </c>
      <c r="N921" s="13" t="s">
        <v>317</v>
      </c>
      <c r="O921" s="13" t="s">
        <v>644</v>
      </c>
      <c r="P921" s="13" t="s">
        <v>71</v>
      </c>
      <c r="Q921" s="13" t="s">
        <v>48</v>
      </c>
      <c r="R921" s="4">
        <v>3</v>
      </c>
      <c r="S921" s="13" t="s">
        <v>595</v>
      </c>
      <c r="T921" s="13">
        <v>365</v>
      </c>
      <c r="U921" s="4" t="s">
        <v>275</v>
      </c>
      <c r="V921" s="4">
        <v>380</v>
      </c>
      <c r="W921" s="4" t="s">
        <v>42</v>
      </c>
      <c r="X921" s="4">
        <v>430</v>
      </c>
      <c r="Y921" s="4">
        <v>10</v>
      </c>
      <c r="AA921" s="4" t="s">
        <v>50</v>
      </c>
      <c r="AB921" s="4">
        <v>120</v>
      </c>
      <c r="AC921" s="4" t="s">
        <v>49</v>
      </c>
      <c r="AD921" s="4">
        <v>0</v>
      </c>
      <c r="AE921" s="4" t="s">
        <v>49</v>
      </c>
      <c r="AF921" s="4">
        <v>0</v>
      </c>
      <c r="AG921" s="4" t="s">
        <v>708</v>
      </c>
      <c r="AH921" s="4" t="s">
        <v>775</v>
      </c>
      <c r="AI921" s="4" t="s">
        <v>52</v>
      </c>
      <c r="AJ921" s="13">
        <v>0</v>
      </c>
      <c r="AK921" s="13">
        <v>15</v>
      </c>
      <c r="AM921" s="13" t="s">
        <v>533</v>
      </c>
      <c r="AN921" s="13" t="s">
        <v>531</v>
      </c>
      <c r="AO921" s="13" t="s">
        <v>532</v>
      </c>
      <c r="AP921" s="13" t="s">
        <v>49</v>
      </c>
      <c r="AQ921" s="13" t="s">
        <v>49</v>
      </c>
      <c r="AR921" s="13" t="s">
        <v>49</v>
      </c>
      <c r="AS921" s="13" t="s">
        <v>49</v>
      </c>
      <c r="AT921" s="13" t="s">
        <v>992</v>
      </c>
      <c r="AU921" s="4" t="s">
        <v>1000</v>
      </c>
      <c r="AV921" s="23">
        <f>(24*1.5)/1.37/1000</f>
        <v>2.627737226277372E-2</v>
      </c>
      <c r="AW921" s="23">
        <f>(18*1.5)/1.37/1000</f>
        <v>1.9708029197080288E-2</v>
      </c>
      <c r="AX921" s="14">
        <f>Table1347456[[#This Row],[treatment_mean]]/Table1347456[[#This Row],[control_mean]]</f>
        <v>1.3333333333333335</v>
      </c>
      <c r="AY921" s="14">
        <f>LN(Table1347456[[#This Row],[rr]])</f>
        <v>0.28768207245178101</v>
      </c>
      <c r="AZ921" s="13">
        <v>3</v>
      </c>
      <c r="BA921" s="13">
        <v>3</v>
      </c>
      <c r="BB921" s="14" t="s">
        <v>46</v>
      </c>
      <c r="BC921" s="14" t="s">
        <v>46</v>
      </c>
      <c r="BD921" s="15" t="s">
        <v>46</v>
      </c>
      <c r="BE921" s="14" t="s">
        <v>46</v>
      </c>
      <c r="BF92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21" s="17" t="s">
        <v>46</v>
      </c>
      <c r="BH921" s="13" t="s">
        <v>50</v>
      </c>
      <c r="BI921" s="13">
        <v>2.5000000000000001E-2</v>
      </c>
      <c r="BJ921" s="18">
        <f>ABS(_xlfn.NORM.S.INV(Table1347456[[#This Row],[p_value]]/2))</f>
        <v>2.2414027276049446</v>
      </c>
      <c r="BK921" s="19">
        <f>(Table1347456[[#This Row],[lnrr]]/Table1347456[[#This Row],[z_from_p]])^2</f>
        <v>1.6473497154278691E-2</v>
      </c>
      <c r="BL921" s="16">
        <f>Table1347456[[#This Row],[v_from_z_from_p]]</f>
        <v>1.6473497154278691E-2</v>
      </c>
      <c r="BM921" s="20">
        <f>SQRT(Table1347456[[#This Row],[v]])</f>
        <v>0.12834912214066246</v>
      </c>
      <c r="BN921" s="20">
        <f>Table1347456[[#This Row],[lnrr]]-(1.96*Table1347456[[#This Row],[se]])</f>
        <v>3.6117793056082592E-2</v>
      </c>
      <c r="BO921" s="20">
        <f>Table1347456[[#This Row],[lnrr]]+(1.96 * Table1347456[[#This Row],[se]])</f>
        <v>0.53924635184747949</v>
      </c>
    </row>
    <row r="922" spans="1:67">
      <c r="A922" s="13" t="s">
        <v>312</v>
      </c>
      <c r="B922" s="13" t="s">
        <v>313</v>
      </c>
      <c r="C922" s="13" t="s">
        <v>43</v>
      </c>
      <c r="D922" s="13" t="s">
        <v>314</v>
      </c>
      <c r="E922" s="13" t="s">
        <v>151</v>
      </c>
      <c r="F922" s="13" t="s">
        <v>587</v>
      </c>
      <c r="G922" s="13" t="s">
        <v>315</v>
      </c>
      <c r="H922" s="13">
        <v>31.3</v>
      </c>
      <c r="I922" s="13">
        <v>800</v>
      </c>
      <c r="J922" s="13" t="s">
        <v>662</v>
      </c>
      <c r="K922" s="13" t="s">
        <v>902</v>
      </c>
      <c r="L922" s="13" t="s">
        <v>903</v>
      </c>
      <c r="M922" s="13" t="s">
        <v>800</v>
      </c>
      <c r="N922" s="13" t="s">
        <v>317</v>
      </c>
      <c r="O922" s="13" t="s">
        <v>644</v>
      </c>
      <c r="P922" s="13" t="s">
        <v>71</v>
      </c>
      <c r="Q922" s="13" t="s">
        <v>48</v>
      </c>
      <c r="R922" s="4">
        <v>3</v>
      </c>
      <c r="S922" s="13" t="s">
        <v>595</v>
      </c>
      <c r="T922" s="13">
        <v>365</v>
      </c>
      <c r="U922" s="4" t="s">
        <v>275</v>
      </c>
      <c r="V922" s="4">
        <v>380</v>
      </c>
      <c r="W922" s="4" t="s">
        <v>42</v>
      </c>
      <c r="X922" s="4">
        <v>430</v>
      </c>
      <c r="Y922" s="4">
        <v>20</v>
      </c>
      <c r="AA922" s="4" t="s">
        <v>50</v>
      </c>
      <c r="AB922" s="4">
        <v>120</v>
      </c>
      <c r="AC922" s="4" t="s">
        <v>49</v>
      </c>
      <c r="AD922" s="4">
        <v>0</v>
      </c>
      <c r="AE922" s="4" t="s">
        <v>49</v>
      </c>
      <c r="AF922" s="4">
        <v>0</v>
      </c>
      <c r="AG922" s="4" t="s">
        <v>708</v>
      </c>
      <c r="AH922" s="4" t="s">
        <v>775</v>
      </c>
      <c r="AI922" s="4" t="s">
        <v>52</v>
      </c>
      <c r="AJ922" s="13">
        <v>0</v>
      </c>
      <c r="AK922" s="13">
        <v>15</v>
      </c>
      <c r="AM922" s="13" t="s">
        <v>533</v>
      </c>
      <c r="AN922" s="13" t="s">
        <v>531</v>
      </c>
      <c r="AO922" s="13" t="s">
        <v>532</v>
      </c>
      <c r="AP922" s="13" t="s">
        <v>49</v>
      </c>
      <c r="AQ922" s="13" t="s">
        <v>49</v>
      </c>
      <c r="AR922" s="13" t="s">
        <v>49</v>
      </c>
      <c r="AS922" s="13" t="s">
        <v>49</v>
      </c>
      <c r="AT922" s="13" t="s">
        <v>992</v>
      </c>
      <c r="AU922" s="4" t="s">
        <v>1000</v>
      </c>
      <c r="AV922" s="23">
        <f>(28*1.5)/1.37/1000</f>
        <v>3.065693430656934E-2</v>
      </c>
      <c r="AW922" s="23">
        <f>(18*1.5)/1.37/1000</f>
        <v>1.9708029197080288E-2</v>
      </c>
      <c r="AX922" s="14">
        <f>Table1347456[[#This Row],[treatment_mean]]/Table1347456[[#This Row],[control_mean]]</f>
        <v>1.5555555555555558</v>
      </c>
      <c r="AY922" s="14">
        <f>LN(Table1347456[[#This Row],[rr]])</f>
        <v>0.4418327522790394</v>
      </c>
      <c r="AZ922" s="13">
        <v>3</v>
      </c>
      <c r="BA922" s="13">
        <v>3</v>
      </c>
      <c r="BB922" s="14" t="s">
        <v>46</v>
      </c>
      <c r="BC922" s="14" t="s">
        <v>46</v>
      </c>
      <c r="BD922" s="15" t="s">
        <v>46</v>
      </c>
      <c r="BE922" s="14" t="s">
        <v>46</v>
      </c>
      <c r="BF92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22" s="17" t="s">
        <v>46</v>
      </c>
      <c r="BH922" s="13" t="s">
        <v>50</v>
      </c>
      <c r="BI922" s="13">
        <v>2.5000000000000001E-2</v>
      </c>
      <c r="BJ922" s="18">
        <f>ABS(_xlfn.NORM.S.INV(Table1347456[[#This Row],[p_value]]/2))</f>
        <v>2.2414027276049446</v>
      </c>
      <c r="BK922" s="19">
        <f>(Table1347456[[#This Row],[lnrr]]/Table1347456[[#This Row],[z_from_p]])^2</f>
        <v>3.8857604194813197E-2</v>
      </c>
      <c r="BL922" s="16">
        <f>Table1347456[[#This Row],[v_from_z_from_p]]</f>
        <v>3.8857604194813197E-2</v>
      </c>
      <c r="BM922" s="20">
        <f>SQRT(Table1347456[[#This Row],[v]])</f>
        <v>0.19712332230056695</v>
      </c>
      <c r="BN922" s="20">
        <f>Table1347456[[#This Row],[lnrr]]-(1.96*Table1347456[[#This Row],[se]])</f>
        <v>5.5471040569928187E-2</v>
      </c>
      <c r="BO922" s="20">
        <f>Table1347456[[#This Row],[lnrr]]+(1.96 * Table1347456[[#This Row],[se]])</f>
        <v>0.82819446398815066</v>
      </c>
    </row>
    <row r="923" spans="1:67">
      <c r="A923" s="13" t="s">
        <v>312</v>
      </c>
      <c r="B923" s="13" t="s">
        <v>313</v>
      </c>
      <c r="C923" s="13" t="s">
        <v>43</v>
      </c>
      <c r="D923" s="13" t="s">
        <v>314</v>
      </c>
      <c r="E923" s="13" t="s">
        <v>151</v>
      </c>
      <c r="F923" s="13" t="s">
        <v>587</v>
      </c>
      <c r="G923" s="13" t="s">
        <v>315</v>
      </c>
      <c r="H923" s="13">
        <v>31.3</v>
      </c>
      <c r="I923" s="13">
        <v>800</v>
      </c>
      <c r="J923" s="13" t="s">
        <v>662</v>
      </c>
      <c r="K923" s="13" t="s">
        <v>902</v>
      </c>
      <c r="L923" s="13" t="s">
        <v>903</v>
      </c>
      <c r="M923" s="13" t="s">
        <v>800</v>
      </c>
      <c r="N923" s="13" t="s">
        <v>317</v>
      </c>
      <c r="O923" s="13" t="s">
        <v>644</v>
      </c>
      <c r="P923" s="13" t="s">
        <v>71</v>
      </c>
      <c r="Q923" s="13" t="s">
        <v>48</v>
      </c>
      <c r="R923" s="4">
        <v>3</v>
      </c>
      <c r="S923" s="13" t="s">
        <v>595</v>
      </c>
      <c r="T923" s="13">
        <v>365</v>
      </c>
      <c r="U923" s="4" t="s">
        <v>275</v>
      </c>
      <c r="V923" s="4">
        <v>380</v>
      </c>
      <c r="W923" s="4" t="s">
        <v>42</v>
      </c>
      <c r="X923" s="4">
        <v>430</v>
      </c>
      <c r="Y923" s="4">
        <v>40</v>
      </c>
      <c r="AA923" s="4" t="s">
        <v>50</v>
      </c>
      <c r="AB923" s="4">
        <v>120</v>
      </c>
      <c r="AC923" s="4" t="s">
        <v>49</v>
      </c>
      <c r="AD923" s="4">
        <v>0</v>
      </c>
      <c r="AE923" s="4" t="s">
        <v>49</v>
      </c>
      <c r="AF923" s="4">
        <v>0</v>
      </c>
      <c r="AG923" s="4" t="s">
        <v>708</v>
      </c>
      <c r="AH923" s="4" t="s">
        <v>775</v>
      </c>
      <c r="AI923" s="4" t="s">
        <v>52</v>
      </c>
      <c r="AJ923" s="13">
        <v>0</v>
      </c>
      <c r="AK923" s="13">
        <v>15</v>
      </c>
      <c r="AM923" s="13" t="s">
        <v>533</v>
      </c>
      <c r="AN923" s="13" t="s">
        <v>531</v>
      </c>
      <c r="AO923" s="13" t="s">
        <v>532</v>
      </c>
      <c r="AP923" s="13" t="s">
        <v>49</v>
      </c>
      <c r="AQ923" s="13" t="s">
        <v>49</v>
      </c>
      <c r="AR923" s="13" t="s">
        <v>49</v>
      </c>
      <c r="AS923" s="13" t="s">
        <v>49</v>
      </c>
      <c r="AT923" s="13" t="s">
        <v>992</v>
      </c>
      <c r="AU923" s="4" t="s">
        <v>1000</v>
      </c>
      <c r="AV923" s="23">
        <f>(31*1.5)/1.37/1000</f>
        <v>3.3941605839416057E-2</v>
      </c>
      <c r="AW923" s="23">
        <f>(18*1.5)/1.37/1000</f>
        <v>1.9708029197080288E-2</v>
      </c>
      <c r="AX923" s="14">
        <f>Table1347456[[#This Row],[treatment_mean]]/Table1347456[[#This Row],[control_mean]]</f>
        <v>1.7222222222222225</v>
      </c>
      <c r="AY923" s="14">
        <f>LN(Table1347456[[#This Row],[rr]])</f>
        <v>0.54361544658898175</v>
      </c>
      <c r="AZ923" s="13">
        <v>3</v>
      </c>
      <c r="BA923" s="13">
        <v>3</v>
      </c>
      <c r="BB923" s="14" t="s">
        <v>46</v>
      </c>
      <c r="BC923" s="14" t="s">
        <v>46</v>
      </c>
      <c r="BD923" s="15" t="s">
        <v>46</v>
      </c>
      <c r="BE923" s="14" t="s">
        <v>46</v>
      </c>
      <c r="BF92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23" s="17" t="s">
        <v>46</v>
      </c>
      <c r="BH923" s="13" t="s">
        <v>50</v>
      </c>
      <c r="BI923" s="13">
        <v>2.5000000000000001E-2</v>
      </c>
      <c r="BJ923" s="18">
        <f>ABS(_xlfn.NORM.S.INV(Table1347456[[#This Row],[p_value]]/2))</f>
        <v>2.2414027276049446</v>
      </c>
      <c r="BK923" s="19">
        <f>(Table1347456[[#This Row],[lnrr]]/Table1347456[[#This Row],[z_from_p]])^2</f>
        <v>5.8822541505082017E-2</v>
      </c>
      <c r="BL923" s="16">
        <f>Table1347456[[#This Row],[v_from_z_from_p]]</f>
        <v>5.8822541505082017E-2</v>
      </c>
      <c r="BM923" s="20">
        <f>SQRT(Table1347456[[#This Row],[v]])</f>
        <v>0.24253358840598144</v>
      </c>
      <c r="BN923" s="20">
        <f>Table1347456[[#This Row],[lnrr]]-(1.96*Table1347456[[#This Row],[se]])</f>
        <v>6.8249613313258128E-2</v>
      </c>
      <c r="BO923" s="20">
        <f>Table1347456[[#This Row],[lnrr]]+(1.96 * Table1347456[[#This Row],[se]])</f>
        <v>1.0189812798647053</v>
      </c>
    </row>
    <row r="924" spans="1:67">
      <c r="A924" s="13" t="s">
        <v>312</v>
      </c>
      <c r="B924" s="13" t="s">
        <v>313</v>
      </c>
      <c r="C924" s="13" t="s">
        <v>43</v>
      </c>
      <c r="D924" s="13" t="s">
        <v>314</v>
      </c>
      <c r="E924" s="13" t="s">
        <v>151</v>
      </c>
      <c r="F924" s="13" t="s">
        <v>587</v>
      </c>
      <c r="G924" s="13" t="s">
        <v>315</v>
      </c>
      <c r="H924" s="13">
        <v>31.3</v>
      </c>
      <c r="I924" s="13">
        <v>800</v>
      </c>
      <c r="J924" s="13" t="s">
        <v>662</v>
      </c>
      <c r="K924" s="13" t="s">
        <v>902</v>
      </c>
      <c r="L924" s="13" t="s">
        <v>903</v>
      </c>
      <c r="M924" s="13" t="s">
        <v>800</v>
      </c>
      <c r="N924" s="13" t="s">
        <v>317</v>
      </c>
      <c r="O924" s="13" t="s">
        <v>644</v>
      </c>
      <c r="P924" s="13" t="s">
        <v>71</v>
      </c>
      <c r="Q924" s="13" t="s">
        <v>48</v>
      </c>
      <c r="R924" s="4">
        <v>3</v>
      </c>
      <c r="S924" s="13" t="s">
        <v>595</v>
      </c>
      <c r="T924" s="13">
        <v>365</v>
      </c>
      <c r="U924" s="4" t="s">
        <v>275</v>
      </c>
      <c r="V924" s="4">
        <v>380</v>
      </c>
      <c r="W924" s="4" t="s">
        <v>42</v>
      </c>
      <c r="X924" s="4">
        <v>430</v>
      </c>
      <c r="Y924" s="4">
        <v>10</v>
      </c>
      <c r="AA924" s="4" t="s">
        <v>50</v>
      </c>
      <c r="AB924" s="4">
        <v>150</v>
      </c>
      <c r="AC924" s="4" t="s">
        <v>49</v>
      </c>
      <c r="AD924" s="4">
        <v>0</v>
      </c>
      <c r="AE924" s="4" t="s">
        <v>49</v>
      </c>
      <c r="AF924" s="4">
        <v>0</v>
      </c>
      <c r="AG924" s="4" t="s">
        <v>708</v>
      </c>
      <c r="AH924" s="4" t="s">
        <v>682</v>
      </c>
      <c r="AI924" s="4" t="s">
        <v>297</v>
      </c>
      <c r="AJ924" s="13">
        <v>0</v>
      </c>
      <c r="AK924" s="13">
        <v>15</v>
      </c>
      <c r="AM924" s="13">
        <v>1.52</v>
      </c>
      <c r="AN924" s="13" t="s">
        <v>531</v>
      </c>
      <c r="AO924" s="13" t="s">
        <v>532</v>
      </c>
      <c r="AP924" s="13" t="s">
        <v>49</v>
      </c>
      <c r="AQ924" s="13" t="s">
        <v>49</v>
      </c>
      <c r="AR924" s="13" t="s">
        <v>49</v>
      </c>
      <c r="AS924" s="13" t="s">
        <v>49</v>
      </c>
      <c r="AT924" s="13" t="s">
        <v>992</v>
      </c>
      <c r="AU924" s="4" t="s">
        <v>1000</v>
      </c>
      <c r="AV924" s="23">
        <f>(14*1.5)/1.52/1000</f>
        <v>1.381578947368421E-2</v>
      </c>
      <c r="AW924" s="23">
        <f>(11*1.5)/1.52/1000</f>
        <v>1.0855263157894736E-2</v>
      </c>
      <c r="AX924" s="14">
        <f>Table1347456[[#This Row],[treatment_mean]]/Table1347456[[#This Row],[control_mean]]</f>
        <v>1.2727272727272727</v>
      </c>
      <c r="AY924" s="14">
        <f>LN(Table1347456[[#This Row],[rr]])</f>
        <v>0.24116205681688804</v>
      </c>
      <c r="AZ924" s="13">
        <v>3</v>
      </c>
      <c r="BA924" s="13">
        <v>3</v>
      </c>
      <c r="BB924" s="14" t="s">
        <v>46</v>
      </c>
      <c r="BC924" s="14" t="s">
        <v>46</v>
      </c>
      <c r="BD924" s="15" t="s">
        <v>46</v>
      </c>
      <c r="BE924" s="14" t="s">
        <v>46</v>
      </c>
      <c r="BF92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24" s="17" t="s">
        <v>46</v>
      </c>
      <c r="BH924" s="13" t="s">
        <v>50</v>
      </c>
      <c r="BI924" s="13">
        <v>2.5000000000000001E-2</v>
      </c>
      <c r="BJ924" s="18">
        <f>ABS(_xlfn.NORM.S.INV(Table1347456[[#This Row],[p_value]]/2))</f>
        <v>2.2414027276049446</v>
      </c>
      <c r="BK924" s="19">
        <f>(Table1347456[[#This Row],[lnrr]]/Table1347456[[#This Row],[z_from_p]])^2</f>
        <v>1.1576523726791714E-2</v>
      </c>
      <c r="BL924" s="16">
        <f>Table1347456[[#This Row],[v_from_z_from_p]]</f>
        <v>1.1576523726791714E-2</v>
      </c>
      <c r="BM924" s="20">
        <f>SQRT(Table1347456[[#This Row],[v]])</f>
        <v>0.10759425508265631</v>
      </c>
      <c r="BN924" s="20">
        <f>Table1347456[[#This Row],[lnrr]]-(1.96*Table1347456[[#This Row],[se]])</f>
        <v>3.0277316854881664E-2</v>
      </c>
      <c r="BO924" s="20">
        <f>Table1347456[[#This Row],[lnrr]]+(1.96 * Table1347456[[#This Row],[se]])</f>
        <v>0.45204679677889442</v>
      </c>
    </row>
    <row r="925" spans="1:67">
      <c r="A925" s="13" t="s">
        <v>312</v>
      </c>
      <c r="B925" s="13" t="s">
        <v>313</v>
      </c>
      <c r="C925" s="13" t="s">
        <v>43</v>
      </c>
      <c r="D925" s="13" t="s">
        <v>314</v>
      </c>
      <c r="E925" s="13" t="s">
        <v>151</v>
      </c>
      <c r="F925" s="13" t="s">
        <v>587</v>
      </c>
      <c r="G925" s="13" t="s">
        <v>315</v>
      </c>
      <c r="H925" s="13">
        <v>31.3</v>
      </c>
      <c r="I925" s="13">
        <v>800</v>
      </c>
      <c r="J925" s="13" t="s">
        <v>662</v>
      </c>
      <c r="K925" s="13" t="s">
        <v>902</v>
      </c>
      <c r="L925" s="13" t="s">
        <v>903</v>
      </c>
      <c r="M925" s="13" t="s">
        <v>800</v>
      </c>
      <c r="N925" s="13" t="s">
        <v>317</v>
      </c>
      <c r="O925" s="13" t="s">
        <v>644</v>
      </c>
      <c r="P925" s="13" t="s">
        <v>71</v>
      </c>
      <c r="Q925" s="13" t="s">
        <v>48</v>
      </c>
      <c r="R925" s="4">
        <v>3</v>
      </c>
      <c r="S925" s="13" t="s">
        <v>595</v>
      </c>
      <c r="T925" s="13">
        <v>365</v>
      </c>
      <c r="U925" s="4" t="s">
        <v>275</v>
      </c>
      <c r="V925" s="4">
        <v>380</v>
      </c>
      <c r="W925" s="4" t="s">
        <v>42</v>
      </c>
      <c r="X925" s="4">
        <v>430</v>
      </c>
      <c r="Y925" s="4">
        <v>20</v>
      </c>
      <c r="AA925" s="4" t="s">
        <v>50</v>
      </c>
      <c r="AB925" s="4">
        <v>150</v>
      </c>
      <c r="AC925" s="4" t="s">
        <v>49</v>
      </c>
      <c r="AD925" s="4">
        <v>0</v>
      </c>
      <c r="AE925" s="4" t="s">
        <v>49</v>
      </c>
      <c r="AF925" s="4">
        <v>0</v>
      </c>
      <c r="AG925" s="4" t="s">
        <v>708</v>
      </c>
      <c r="AH925" s="4" t="s">
        <v>682</v>
      </c>
      <c r="AI925" s="4" t="s">
        <v>297</v>
      </c>
      <c r="AJ925" s="13">
        <v>0</v>
      </c>
      <c r="AK925" s="13">
        <v>15</v>
      </c>
      <c r="AM925" s="13">
        <v>1.52</v>
      </c>
      <c r="AN925" s="13" t="s">
        <v>531</v>
      </c>
      <c r="AO925" s="13" t="s">
        <v>532</v>
      </c>
      <c r="AP925" s="13" t="s">
        <v>49</v>
      </c>
      <c r="AQ925" s="13" t="s">
        <v>49</v>
      </c>
      <c r="AR925" s="13" t="s">
        <v>49</v>
      </c>
      <c r="AS925" s="13" t="s">
        <v>49</v>
      </c>
      <c r="AT925" s="13" t="s">
        <v>992</v>
      </c>
      <c r="AU925" s="4" t="s">
        <v>1000</v>
      </c>
      <c r="AV925" s="23">
        <f>(20*1.5)/1.52/1000</f>
        <v>1.9736842105263157E-2</v>
      </c>
      <c r="AW925" s="23">
        <f>(11*1.5)/1.52/1000</f>
        <v>1.0855263157894736E-2</v>
      </c>
      <c r="AX925" s="14">
        <f>Table1347456[[#This Row],[treatment_mean]]/Table1347456[[#This Row],[control_mean]]</f>
        <v>1.8181818181818183</v>
      </c>
      <c r="AY925" s="14">
        <f>LN(Table1347456[[#This Row],[rr]])</f>
        <v>0.59783700075562052</v>
      </c>
      <c r="AZ925" s="13">
        <v>3</v>
      </c>
      <c r="BA925" s="13">
        <v>3</v>
      </c>
      <c r="BB925" s="14" t="s">
        <v>46</v>
      </c>
      <c r="BC925" s="14" t="s">
        <v>46</v>
      </c>
      <c r="BD925" s="15" t="s">
        <v>46</v>
      </c>
      <c r="BE925" s="14" t="s">
        <v>46</v>
      </c>
      <c r="BF92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25" s="17" t="s">
        <v>46</v>
      </c>
      <c r="BH925" s="13" t="s">
        <v>50</v>
      </c>
      <c r="BI925" s="13">
        <v>2.5000000000000001E-2</v>
      </c>
      <c r="BJ925" s="18">
        <f>ABS(_xlfn.NORM.S.INV(Table1347456[[#This Row],[p_value]]/2))</f>
        <v>2.2414027276049446</v>
      </c>
      <c r="BK925" s="19">
        <f>(Table1347456[[#This Row],[lnrr]]/Table1347456[[#This Row],[z_from_p]])^2</f>
        <v>7.1141953887195852E-2</v>
      </c>
      <c r="BL925" s="16">
        <f>Table1347456[[#This Row],[v_from_z_from_p]]</f>
        <v>7.1141953887195852E-2</v>
      </c>
      <c r="BM925" s="20">
        <f>SQRT(Table1347456[[#This Row],[v]])</f>
        <v>0.26672449060256137</v>
      </c>
      <c r="BN925" s="20">
        <f>Table1347456[[#This Row],[lnrr]]-(1.96*Table1347456[[#This Row],[se]])</f>
        <v>7.5056999174600292E-2</v>
      </c>
      <c r="BO925" s="20">
        <f>Table1347456[[#This Row],[lnrr]]+(1.96 * Table1347456[[#This Row],[se]])</f>
        <v>1.1206170023366409</v>
      </c>
    </row>
    <row r="926" spans="1:67">
      <c r="A926" s="13" t="s">
        <v>312</v>
      </c>
      <c r="B926" s="13" t="s">
        <v>313</v>
      </c>
      <c r="C926" s="13" t="s">
        <v>43</v>
      </c>
      <c r="D926" s="13" t="s">
        <v>314</v>
      </c>
      <c r="E926" s="13" t="s">
        <v>151</v>
      </c>
      <c r="F926" s="13" t="s">
        <v>587</v>
      </c>
      <c r="G926" s="13" t="s">
        <v>315</v>
      </c>
      <c r="H926" s="13">
        <v>31.3</v>
      </c>
      <c r="I926" s="13">
        <v>800</v>
      </c>
      <c r="J926" s="13" t="s">
        <v>662</v>
      </c>
      <c r="K926" s="13" t="s">
        <v>902</v>
      </c>
      <c r="L926" s="13" t="s">
        <v>903</v>
      </c>
      <c r="M926" s="13" t="s">
        <v>800</v>
      </c>
      <c r="N926" s="13" t="s">
        <v>317</v>
      </c>
      <c r="O926" s="13" t="s">
        <v>644</v>
      </c>
      <c r="P926" s="13" t="s">
        <v>71</v>
      </c>
      <c r="Q926" s="13" t="s">
        <v>48</v>
      </c>
      <c r="R926" s="4">
        <v>3</v>
      </c>
      <c r="S926" s="13" t="s">
        <v>595</v>
      </c>
      <c r="T926" s="13">
        <v>365</v>
      </c>
      <c r="U926" s="4" t="s">
        <v>275</v>
      </c>
      <c r="V926" s="4">
        <v>380</v>
      </c>
      <c r="W926" s="4" t="s">
        <v>42</v>
      </c>
      <c r="X926" s="4">
        <v>430</v>
      </c>
      <c r="Y926" s="4">
        <v>40</v>
      </c>
      <c r="AA926" s="4" t="s">
        <v>50</v>
      </c>
      <c r="AB926" s="4">
        <v>150</v>
      </c>
      <c r="AC926" s="4" t="s">
        <v>49</v>
      </c>
      <c r="AD926" s="4">
        <v>0</v>
      </c>
      <c r="AE926" s="4" t="s">
        <v>49</v>
      </c>
      <c r="AF926" s="4">
        <v>0</v>
      </c>
      <c r="AG926" s="4" t="s">
        <v>708</v>
      </c>
      <c r="AH926" s="4" t="s">
        <v>682</v>
      </c>
      <c r="AI926" s="4" t="s">
        <v>297</v>
      </c>
      <c r="AJ926" s="13">
        <v>0</v>
      </c>
      <c r="AK926" s="13">
        <v>15</v>
      </c>
      <c r="AM926" s="13">
        <v>1.52</v>
      </c>
      <c r="AN926" s="13" t="s">
        <v>531</v>
      </c>
      <c r="AO926" s="13" t="s">
        <v>532</v>
      </c>
      <c r="AP926" s="13" t="s">
        <v>49</v>
      </c>
      <c r="AQ926" s="13" t="s">
        <v>49</v>
      </c>
      <c r="AR926" s="13" t="s">
        <v>49</v>
      </c>
      <c r="AS926" s="13" t="s">
        <v>49</v>
      </c>
      <c r="AT926" s="13" t="s">
        <v>992</v>
      </c>
      <c r="AU926" s="4" t="s">
        <v>1000</v>
      </c>
      <c r="AV926" s="23">
        <f>(22*1.5)/1.52/1000</f>
        <v>2.1710526315789472E-2</v>
      </c>
      <c r="AW926" s="23">
        <f>(11*1.5)/1.52/1000</f>
        <v>1.0855263157894736E-2</v>
      </c>
      <c r="AX926" s="14">
        <f>Table1347456[[#This Row],[treatment_mean]]/Table1347456[[#This Row],[control_mean]]</f>
        <v>2</v>
      </c>
      <c r="AY926" s="14">
        <f>LN(Table1347456[[#This Row],[rr]])</f>
        <v>0.69314718055994529</v>
      </c>
      <c r="AZ926" s="13">
        <v>3</v>
      </c>
      <c r="BA926" s="13">
        <v>3</v>
      </c>
      <c r="BB926" s="14" t="s">
        <v>46</v>
      </c>
      <c r="BC926" s="14" t="s">
        <v>46</v>
      </c>
      <c r="BD926" s="15" t="s">
        <v>46</v>
      </c>
      <c r="BE926" s="14" t="s">
        <v>46</v>
      </c>
      <c r="BF92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26" s="17" t="s">
        <v>46</v>
      </c>
      <c r="BH926" s="13" t="s">
        <v>50</v>
      </c>
      <c r="BI926" s="13">
        <v>2.5000000000000001E-2</v>
      </c>
      <c r="BJ926" s="18">
        <f>ABS(_xlfn.NORM.S.INV(Table1347456[[#This Row],[p_value]]/2))</f>
        <v>2.2414027276049446</v>
      </c>
      <c r="BK926" s="19">
        <f>(Table1347456[[#This Row],[lnrr]]/Table1347456[[#This Row],[z_from_p]])^2</f>
        <v>9.5633737709131666E-2</v>
      </c>
      <c r="BL926" s="16">
        <f>Table1347456[[#This Row],[v_from_z_from_p]]</f>
        <v>9.5633737709131666E-2</v>
      </c>
      <c r="BM926" s="20">
        <f>SQRT(Table1347456[[#This Row],[v]])</f>
        <v>0.30924704963690708</v>
      </c>
      <c r="BN926" s="20">
        <f>Table1347456[[#This Row],[lnrr]]-(1.96*Table1347456[[#This Row],[se]])</f>
        <v>8.7022963271607412E-2</v>
      </c>
      <c r="BO926" s="20">
        <f>Table1347456[[#This Row],[lnrr]]+(1.96 * Table1347456[[#This Row],[se]])</f>
        <v>1.2992713978482833</v>
      </c>
    </row>
    <row r="927" spans="1:67">
      <c r="A927" s="13" t="s">
        <v>312</v>
      </c>
      <c r="B927" s="13" t="s">
        <v>313</v>
      </c>
      <c r="C927" s="13" t="s">
        <v>43</v>
      </c>
      <c r="D927" s="13" t="s">
        <v>314</v>
      </c>
      <c r="E927" s="13" t="s">
        <v>151</v>
      </c>
      <c r="F927" s="13" t="s">
        <v>587</v>
      </c>
      <c r="G927" s="13" t="s">
        <v>315</v>
      </c>
      <c r="H927" s="13">
        <v>31.3</v>
      </c>
      <c r="I927" s="13">
        <v>800</v>
      </c>
      <c r="J927" s="13" t="s">
        <v>662</v>
      </c>
      <c r="K927" s="13" t="s">
        <v>902</v>
      </c>
      <c r="L927" s="13" t="s">
        <v>903</v>
      </c>
      <c r="M927" s="13" t="s">
        <v>800</v>
      </c>
      <c r="N927" s="13" t="s">
        <v>317</v>
      </c>
      <c r="O927" s="13" t="s">
        <v>644</v>
      </c>
      <c r="P927" s="13" t="s">
        <v>71</v>
      </c>
      <c r="Q927" s="13" t="s">
        <v>48</v>
      </c>
      <c r="R927" s="4">
        <v>3</v>
      </c>
      <c r="S927" s="13" t="s">
        <v>595</v>
      </c>
      <c r="T927" s="13">
        <v>365</v>
      </c>
      <c r="U927" s="4" t="s">
        <v>275</v>
      </c>
      <c r="V927" s="4">
        <v>380</v>
      </c>
      <c r="W927" s="4" t="s">
        <v>42</v>
      </c>
      <c r="X927" s="4">
        <v>430</v>
      </c>
      <c r="Y927" s="4">
        <v>10</v>
      </c>
      <c r="AA927" s="4" t="s">
        <v>50</v>
      </c>
      <c r="AB927" s="4">
        <v>150</v>
      </c>
      <c r="AC927" s="4" t="s">
        <v>49</v>
      </c>
      <c r="AD927" s="4">
        <v>0</v>
      </c>
      <c r="AE927" s="4" t="s">
        <v>49</v>
      </c>
      <c r="AF927" s="4">
        <v>0</v>
      </c>
      <c r="AG927" s="4" t="s">
        <v>708</v>
      </c>
      <c r="AH927" s="4" t="s">
        <v>775</v>
      </c>
      <c r="AI927" s="4" t="s">
        <v>52</v>
      </c>
      <c r="AJ927" s="13">
        <v>0</v>
      </c>
      <c r="AK927" s="13">
        <v>15</v>
      </c>
      <c r="AM927" s="13" t="s">
        <v>533</v>
      </c>
      <c r="AN927" s="13" t="s">
        <v>531</v>
      </c>
      <c r="AO927" s="13" t="s">
        <v>532</v>
      </c>
      <c r="AP927" s="13" t="s">
        <v>49</v>
      </c>
      <c r="AQ927" s="13" t="s">
        <v>49</v>
      </c>
      <c r="AR927" s="13" t="s">
        <v>49</v>
      </c>
      <c r="AS927" s="13" t="s">
        <v>49</v>
      </c>
      <c r="AT927" s="13" t="s">
        <v>992</v>
      </c>
      <c r="AU927" s="4" t="s">
        <v>1000</v>
      </c>
      <c r="AV927" s="23">
        <f>(22*1.5)/1.37/1000</f>
        <v>2.4087591240875908E-2</v>
      </c>
      <c r="AW927" s="23">
        <f>(18*1.5)/1.37/1000</f>
        <v>1.9708029197080288E-2</v>
      </c>
      <c r="AX927" s="14">
        <f>Table1347456[[#This Row],[treatment_mean]]/Table1347456[[#This Row],[control_mean]]</f>
        <v>1.2222222222222223</v>
      </c>
      <c r="AY927" s="14">
        <f>LN(Table1347456[[#This Row],[rr]])</f>
        <v>0.20067069546215124</v>
      </c>
      <c r="AZ927" s="13">
        <v>3</v>
      </c>
      <c r="BA927" s="13">
        <v>3</v>
      </c>
      <c r="BB927" s="14" t="s">
        <v>46</v>
      </c>
      <c r="BC927" s="14" t="s">
        <v>46</v>
      </c>
      <c r="BD927" s="15" t="s">
        <v>46</v>
      </c>
      <c r="BE927" s="14" t="s">
        <v>46</v>
      </c>
      <c r="BF92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27" s="17" t="s">
        <v>46</v>
      </c>
      <c r="BH927" s="13" t="s">
        <v>50</v>
      </c>
      <c r="BI927" s="13">
        <v>2.5000000000000001E-2</v>
      </c>
      <c r="BJ927" s="18">
        <f>ABS(_xlfn.NORM.S.INV(Table1347456[[#This Row],[p_value]]/2))</f>
        <v>2.2414027276049446</v>
      </c>
      <c r="BK927" s="19">
        <f>(Table1347456[[#This Row],[lnrr]]/Table1347456[[#This Row],[z_from_p]])^2</f>
        <v>8.0154538769091534E-3</v>
      </c>
      <c r="BL927" s="16">
        <f>Table1347456[[#This Row],[v_from_z_from_p]]</f>
        <v>8.0154538769091534E-3</v>
      </c>
      <c r="BM927" s="20">
        <f>SQRT(Table1347456[[#This Row],[v]])</f>
        <v>8.9529067217910596E-2</v>
      </c>
      <c r="BN927" s="20">
        <f>Table1347456[[#This Row],[lnrr]]-(1.96*Table1347456[[#This Row],[se]])</f>
        <v>2.5193723715046468E-2</v>
      </c>
      <c r="BO927" s="20">
        <f>Table1347456[[#This Row],[lnrr]]+(1.96 * Table1347456[[#This Row],[se]])</f>
        <v>0.37614766720925602</v>
      </c>
    </row>
    <row r="928" spans="1:67">
      <c r="A928" s="13" t="s">
        <v>312</v>
      </c>
      <c r="B928" s="13" t="s">
        <v>313</v>
      </c>
      <c r="C928" s="13" t="s">
        <v>43</v>
      </c>
      <c r="D928" s="13" t="s">
        <v>314</v>
      </c>
      <c r="E928" s="13" t="s">
        <v>151</v>
      </c>
      <c r="F928" s="13" t="s">
        <v>587</v>
      </c>
      <c r="G928" s="13" t="s">
        <v>315</v>
      </c>
      <c r="H928" s="13">
        <v>31.3</v>
      </c>
      <c r="I928" s="13">
        <v>800</v>
      </c>
      <c r="J928" s="13" t="s">
        <v>662</v>
      </c>
      <c r="K928" s="13" t="s">
        <v>902</v>
      </c>
      <c r="L928" s="13" t="s">
        <v>903</v>
      </c>
      <c r="M928" s="13" t="s">
        <v>800</v>
      </c>
      <c r="N928" s="13" t="s">
        <v>317</v>
      </c>
      <c r="O928" s="13" t="s">
        <v>644</v>
      </c>
      <c r="P928" s="13" t="s">
        <v>71</v>
      </c>
      <c r="Q928" s="13" t="s">
        <v>48</v>
      </c>
      <c r="R928" s="4">
        <v>3</v>
      </c>
      <c r="S928" s="13" t="s">
        <v>595</v>
      </c>
      <c r="T928" s="13">
        <v>365</v>
      </c>
      <c r="U928" s="4" t="s">
        <v>275</v>
      </c>
      <c r="V928" s="4">
        <v>380</v>
      </c>
      <c r="W928" s="4" t="s">
        <v>42</v>
      </c>
      <c r="X928" s="4">
        <v>430</v>
      </c>
      <c r="Y928" s="4">
        <v>20</v>
      </c>
      <c r="AA928" s="4" t="s">
        <v>50</v>
      </c>
      <c r="AB928" s="4">
        <v>150</v>
      </c>
      <c r="AC928" s="4" t="s">
        <v>49</v>
      </c>
      <c r="AD928" s="4">
        <v>0</v>
      </c>
      <c r="AE928" s="4" t="s">
        <v>49</v>
      </c>
      <c r="AF928" s="4">
        <v>0</v>
      </c>
      <c r="AG928" s="4" t="s">
        <v>708</v>
      </c>
      <c r="AH928" s="4" t="s">
        <v>775</v>
      </c>
      <c r="AI928" s="4" t="s">
        <v>52</v>
      </c>
      <c r="AJ928" s="13">
        <v>0</v>
      </c>
      <c r="AK928" s="13">
        <v>15</v>
      </c>
      <c r="AM928" s="13" t="s">
        <v>533</v>
      </c>
      <c r="AN928" s="13" t="s">
        <v>531</v>
      </c>
      <c r="AO928" s="13" t="s">
        <v>532</v>
      </c>
      <c r="AP928" s="13" t="s">
        <v>49</v>
      </c>
      <c r="AQ928" s="13" t="s">
        <v>49</v>
      </c>
      <c r="AR928" s="13" t="s">
        <v>49</v>
      </c>
      <c r="AS928" s="13" t="s">
        <v>49</v>
      </c>
      <c r="AT928" s="13" t="s">
        <v>992</v>
      </c>
      <c r="AU928" s="4" t="s">
        <v>1000</v>
      </c>
      <c r="AV928" s="23">
        <f>(29*1.5)/1.37/1000</f>
        <v>3.1751824817518245E-2</v>
      </c>
      <c r="AW928" s="23">
        <f>(18*1.5)/1.37/1000</f>
        <v>1.9708029197080288E-2</v>
      </c>
      <c r="AX928" s="14">
        <f>Table1347456[[#This Row],[treatment_mean]]/Table1347456[[#This Row],[control_mean]]</f>
        <v>1.6111111111111114</v>
      </c>
      <c r="AY928" s="14">
        <f>LN(Table1347456[[#This Row],[rr]])</f>
        <v>0.47692407209030951</v>
      </c>
      <c r="AZ928" s="13">
        <v>3</v>
      </c>
      <c r="BA928" s="13">
        <v>3</v>
      </c>
      <c r="BB928" s="14" t="s">
        <v>46</v>
      </c>
      <c r="BC928" s="14" t="s">
        <v>46</v>
      </c>
      <c r="BD928" s="15" t="s">
        <v>46</v>
      </c>
      <c r="BE928" s="14" t="s">
        <v>46</v>
      </c>
      <c r="BF92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28" s="17" t="s">
        <v>46</v>
      </c>
      <c r="BH928" s="13" t="s">
        <v>50</v>
      </c>
      <c r="BI928" s="13">
        <v>2.5000000000000001E-2</v>
      </c>
      <c r="BJ928" s="18">
        <f>ABS(_xlfn.NORM.S.INV(Table1347456[[#This Row],[p_value]]/2))</f>
        <v>2.2414027276049446</v>
      </c>
      <c r="BK928" s="19">
        <f>(Table1347456[[#This Row],[lnrr]]/Table1347456[[#This Row],[z_from_p]])^2</f>
        <v>4.5275024564354498E-2</v>
      </c>
      <c r="BL928" s="16">
        <f>Table1347456[[#This Row],[v_from_z_from_p]]</f>
        <v>4.5275024564354498E-2</v>
      </c>
      <c r="BM928" s="20">
        <f>SQRT(Table1347456[[#This Row],[v]])</f>
        <v>0.21277928603215704</v>
      </c>
      <c r="BN928" s="20">
        <f>Table1347456[[#This Row],[lnrr]]-(1.96*Table1347456[[#This Row],[se]])</f>
        <v>5.9876671467281706E-2</v>
      </c>
      <c r="BO928" s="20">
        <f>Table1347456[[#This Row],[lnrr]]+(1.96 * Table1347456[[#This Row],[se]])</f>
        <v>0.89397147271333732</v>
      </c>
    </row>
    <row r="929" spans="1:67">
      <c r="A929" s="13" t="s">
        <v>312</v>
      </c>
      <c r="B929" s="13" t="s">
        <v>313</v>
      </c>
      <c r="C929" s="13" t="s">
        <v>43</v>
      </c>
      <c r="D929" s="13" t="s">
        <v>314</v>
      </c>
      <c r="E929" s="13" t="s">
        <v>151</v>
      </c>
      <c r="F929" s="13" t="s">
        <v>587</v>
      </c>
      <c r="G929" s="13" t="s">
        <v>315</v>
      </c>
      <c r="H929" s="13">
        <v>31.3</v>
      </c>
      <c r="I929" s="13">
        <v>800</v>
      </c>
      <c r="J929" s="13" t="s">
        <v>662</v>
      </c>
      <c r="K929" s="13" t="s">
        <v>902</v>
      </c>
      <c r="L929" s="13" t="s">
        <v>903</v>
      </c>
      <c r="M929" s="13" t="s">
        <v>800</v>
      </c>
      <c r="N929" s="13" t="s">
        <v>317</v>
      </c>
      <c r="O929" s="13" t="s">
        <v>644</v>
      </c>
      <c r="P929" s="13" t="s">
        <v>71</v>
      </c>
      <c r="Q929" s="13" t="s">
        <v>48</v>
      </c>
      <c r="R929" s="4">
        <v>3</v>
      </c>
      <c r="S929" s="13" t="s">
        <v>595</v>
      </c>
      <c r="T929" s="13">
        <v>365</v>
      </c>
      <c r="U929" s="4" t="s">
        <v>275</v>
      </c>
      <c r="V929" s="4">
        <v>380</v>
      </c>
      <c r="W929" s="4" t="s">
        <v>42</v>
      </c>
      <c r="X929" s="4">
        <v>430</v>
      </c>
      <c r="Y929" s="4">
        <v>40</v>
      </c>
      <c r="AA929" s="4" t="s">
        <v>50</v>
      </c>
      <c r="AB929" s="4">
        <v>150</v>
      </c>
      <c r="AC929" s="4" t="s">
        <v>49</v>
      </c>
      <c r="AD929" s="4">
        <v>0</v>
      </c>
      <c r="AE929" s="4" t="s">
        <v>49</v>
      </c>
      <c r="AF929" s="4">
        <v>0</v>
      </c>
      <c r="AG929" s="4" t="s">
        <v>708</v>
      </c>
      <c r="AH929" s="4" t="s">
        <v>775</v>
      </c>
      <c r="AI929" s="4" t="s">
        <v>52</v>
      </c>
      <c r="AJ929" s="13">
        <v>0</v>
      </c>
      <c r="AK929" s="13">
        <v>15</v>
      </c>
      <c r="AM929" s="13" t="s">
        <v>533</v>
      </c>
      <c r="AN929" s="13" t="s">
        <v>531</v>
      </c>
      <c r="AO929" s="13" t="s">
        <v>532</v>
      </c>
      <c r="AP929" s="13" t="s">
        <v>49</v>
      </c>
      <c r="AQ929" s="13" t="s">
        <v>49</v>
      </c>
      <c r="AR929" s="13" t="s">
        <v>49</v>
      </c>
      <c r="AS929" s="13" t="s">
        <v>49</v>
      </c>
      <c r="AT929" s="13" t="s">
        <v>992</v>
      </c>
      <c r="AU929" s="4" t="s">
        <v>1000</v>
      </c>
      <c r="AV929" s="23">
        <f>(27*1.5)/1.37/1000</f>
        <v>2.9562043795620437E-2</v>
      </c>
      <c r="AW929" s="23">
        <f>(18*1.5)/1.37/1000</f>
        <v>1.9708029197080288E-2</v>
      </c>
      <c r="AX929" s="14">
        <f>Table1347456[[#This Row],[treatment_mean]]/Table1347456[[#This Row],[control_mean]]</f>
        <v>1.5000000000000002</v>
      </c>
      <c r="AY929" s="14">
        <f>LN(Table1347456[[#This Row],[rr]])</f>
        <v>0.40546510810816455</v>
      </c>
      <c r="AZ929" s="13">
        <v>3</v>
      </c>
      <c r="BA929" s="13">
        <v>3</v>
      </c>
      <c r="BB929" s="14" t="s">
        <v>46</v>
      </c>
      <c r="BC929" s="14" t="s">
        <v>46</v>
      </c>
      <c r="BD929" s="15" t="s">
        <v>46</v>
      </c>
      <c r="BE929" s="14" t="s">
        <v>46</v>
      </c>
      <c r="BF92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29" s="17" t="s">
        <v>46</v>
      </c>
      <c r="BH929" s="13" t="s">
        <v>50</v>
      </c>
      <c r="BI929" s="13">
        <v>2.5000000000000001E-2</v>
      </c>
      <c r="BJ929" s="18">
        <f>ABS(_xlfn.NORM.S.INV(Table1347456[[#This Row],[p_value]]/2))</f>
        <v>2.2414027276049446</v>
      </c>
      <c r="BK929" s="19">
        <f>(Table1347456[[#This Row],[lnrr]]/Table1347456[[#This Row],[z_from_p]])^2</f>
        <v>3.2724060172436634E-2</v>
      </c>
      <c r="BL929" s="16">
        <f>Table1347456[[#This Row],[v_from_z_from_p]]</f>
        <v>3.2724060172436634E-2</v>
      </c>
      <c r="BM929" s="20">
        <f>SQRT(Table1347456[[#This Row],[v]])</f>
        <v>0.18089792749624478</v>
      </c>
      <c r="BN929" s="20">
        <f>Table1347456[[#This Row],[lnrr]]-(1.96*Table1347456[[#This Row],[se]])</f>
        <v>5.0905170215524764E-2</v>
      </c>
      <c r="BO929" s="20">
        <f>Table1347456[[#This Row],[lnrr]]+(1.96 * Table1347456[[#This Row],[se]])</f>
        <v>0.76002504600080434</v>
      </c>
    </row>
    <row r="930" spans="1:67">
      <c r="A930" s="13" t="s">
        <v>312</v>
      </c>
      <c r="B930" s="13" t="s">
        <v>313</v>
      </c>
      <c r="C930" s="13" t="s">
        <v>43</v>
      </c>
      <c r="D930" s="13" t="s">
        <v>314</v>
      </c>
      <c r="E930" s="13" t="s">
        <v>151</v>
      </c>
      <c r="F930" s="13" t="s">
        <v>587</v>
      </c>
      <c r="G930" s="13" t="s">
        <v>315</v>
      </c>
      <c r="H930" s="13">
        <v>31.3</v>
      </c>
      <c r="I930" s="13">
        <v>800</v>
      </c>
      <c r="K930" s="13" t="s">
        <v>902</v>
      </c>
      <c r="L930" s="13" t="s">
        <v>903</v>
      </c>
      <c r="N930" s="13" t="s">
        <v>86</v>
      </c>
      <c r="O930" s="13" t="s">
        <v>644</v>
      </c>
      <c r="P930" s="13" t="s">
        <v>71</v>
      </c>
      <c r="Q930" s="13" t="s">
        <v>48</v>
      </c>
      <c r="R930" s="4">
        <v>3</v>
      </c>
      <c r="S930" s="13" t="s">
        <v>595</v>
      </c>
      <c r="T930" s="13">
        <v>365</v>
      </c>
      <c r="U930" s="4" t="s">
        <v>275</v>
      </c>
      <c r="V930" s="4">
        <v>380</v>
      </c>
      <c r="W930" s="4" t="s">
        <v>42</v>
      </c>
      <c r="X930" s="4">
        <v>430</v>
      </c>
      <c r="Y930" s="4">
        <v>10</v>
      </c>
      <c r="AA930" s="4" t="s">
        <v>49</v>
      </c>
      <c r="AB930" s="4">
        <v>0</v>
      </c>
      <c r="AC930" s="4" t="s">
        <v>49</v>
      </c>
      <c r="AD930" s="4">
        <v>0</v>
      </c>
      <c r="AE930" s="4" t="s">
        <v>49</v>
      </c>
      <c r="AF930" s="4">
        <v>0</v>
      </c>
      <c r="AG930" s="4" t="s">
        <v>708</v>
      </c>
      <c r="AH930" s="4" t="s">
        <v>682</v>
      </c>
      <c r="AI930" s="4" t="s">
        <v>297</v>
      </c>
      <c r="AJ930" s="13">
        <v>0</v>
      </c>
      <c r="AK930" s="13">
        <v>15</v>
      </c>
      <c r="AM930" s="13">
        <v>1.52</v>
      </c>
      <c r="AN930" s="13" t="s">
        <v>531</v>
      </c>
      <c r="AO930" s="13" t="s">
        <v>532</v>
      </c>
      <c r="AP930" s="13" t="s">
        <v>49</v>
      </c>
      <c r="AQ930" s="13" t="s">
        <v>49</v>
      </c>
      <c r="AR930" s="13" t="s">
        <v>49</v>
      </c>
      <c r="AS930" s="13" t="s">
        <v>49</v>
      </c>
      <c r="AT930" s="13" t="s">
        <v>990</v>
      </c>
      <c r="AU930" s="13" t="s">
        <v>998</v>
      </c>
      <c r="AV930" s="14">
        <f>(105*1.5)/1.52/1000</f>
        <v>0.10361842105263158</v>
      </c>
      <c r="AW930" s="14">
        <f>(73*1.5)/1.52/1000</f>
        <v>7.2039473684210514E-2</v>
      </c>
      <c r="AX930" s="14">
        <f>Table1347456[[#This Row],[treatment_mean]]/Table1347456[[#This Row],[control_mean]]</f>
        <v>1.4383561643835618</v>
      </c>
      <c r="AY930" s="14">
        <f>LN(Table1347456[[#This Row],[rr]])</f>
        <v>0.3635009090091324</v>
      </c>
      <c r="AZ930" s="13">
        <v>3</v>
      </c>
      <c r="BA930" s="13">
        <v>3</v>
      </c>
      <c r="BB930" s="14" t="s">
        <v>46</v>
      </c>
      <c r="BC930" s="14" t="s">
        <v>46</v>
      </c>
      <c r="BD930" s="15" t="s">
        <v>46</v>
      </c>
      <c r="BE930" s="14" t="s">
        <v>46</v>
      </c>
      <c r="BF93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30" s="17" t="s">
        <v>46</v>
      </c>
      <c r="BH930" s="13" t="s">
        <v>50</v>
      </c>
      <c r="BI930" s="13">
        <v>2.5000000000000001E-2</v>
      </c>
      <c r="BJ930" s="18">
        <f>ABS(_xlfn.NORM.S.INV(Table1347456[[#This Row],[p_value]]/2))</f>
        <v>2.2414027276049446</v>
      </c>
      <c r="BK930" s="19">
        <f>(Table1347456[[#This Row],[lnrr]]/Table1347456[[#This Row],[z_from_p]])^2</f>
        <v>2.6300936351642667E-2</v>
      </c>
      <c r="BL930" s="16">
        <f>Table1347456[[#This Row],[v_from_z_from_p]]</f>
        <v>2.6300936351642667E-2</v>
      </c>
      <c r="BM930" s="20">
        <f>SQRT(Table1347456[[#This Row],[v]])</f>
        <v>0.16217563427236123</v>
      </c>
      <c r="BN930" s="20">
        <f>Table1347456[[#This Row],[lnrr]]-(1.96*Table1347456[[#This Row],[se]])</f>
        <v>4.5636665835304402E-2</v>
      </c>
      <c r="BO930" s="20">
        <f>Table1347456[[#This Row],[lnrr]]+(1.96 * Table1347456[[#This Row],[se]])</f>
        <v>0.68136515218296045</v>
      </c>
    </row>
    <row r="931" spans="1:67">
      <c r="A931" s="13" t="s">
        <v>312</v>
      </c>
      <c r="B931" s="13" t="s">
        <v>313</v>
      </c>
      <c r="C931" s="13" t="s">
        <v>43</v>
      </c>
      <c r="D931" s="13" t="s">
        <v>314</v>
      </c>
      <c r="E931" s="13" t="s">
        <v>151</v>
      </c>
      <c r="F931" s="13" t="s">
        <v>587</v>
      </c>
      <c r="G931" s="13" t="s">
        <v>315</v>
      </c>
      <c r="H931" s="13">
        <v>31.3</v>
      </c>
      <c r="I931" s="13">
        <v>800</v>
      </c>
      <c r="K931" s="13" t="s">
        <v>902</v>
      </c>
      <c r="L931" s="13" t="s">
        <v>903</v>
      </c>
      <c r="N931" s="13" t="s">
        <v>86</v>
      </c>
      <c r="O931" s="13" t="s">
        <v>644</v>
      </c>
      <c r="P931" s="13" t="s">
        <v>71</v>
      </c>
      <c r="Q931" s="13" t="s">
        <v>48</v>
      </c>
      <c r="R931" s="4">
        <v>3</v>
      </c>
      <c r="S931" s="13" t="s">
        <v>595</v>
      </c>
      <c r="T931" s="13">
        <v>365</v>
      </c>
      <c r="U931" s="4" t="s">
        <v>275</v>
      </c>
      <c r="V931" s="4">
        <v>380</v>
      </c>
      <c r="W931" s="4" t="s">
        <v>42</v>
      </c>
      <c r="X931" s="4">
        <v>430</v>
      </c>
      <c r="Y931" s="4">
        <v>20</v>
      </c>
      <c r="AA931" s="4" t="s">
        <v>49</v>
      </c>
      <c r="AB931" s="4">
        <v>0</v>
      </c>
      <c r="AC931" s="4" t="s">
        <v>49</v>
      </c>
      <c r="AD931" s="4">
        <v>0</v>
      </c>
      <c r="AE931" s="4" t="s">
        <v>49</v>
      </c>
      <c r="AF931" s="4">
        <v>0</v>
      </c>
      <c r="AG931" s="4" t="s">
        <v>708</v>
      </c>
      <c r="AH931" s="4" t="s">
        <v>682</v>
      </c>
      <c r="AI931" s="4" t="s">
        <v>297</v>
      </c>
      <c r="AJ931" s="13">
        <v>0</v>
      </c>
      <c r="AK931" s="13">
        <v>15</v>
      </c>
      <c r="AM931" s="13">
        <v>1.52</v>
      </c>
      <c r="AN931" s="13" t="s">
        <v>531</v>
      </c>
      <c r="AO931" s="13" t="s">
        <v>532</v>
      </c>
      <c r="AP931" s="13" t="s">
        <v>49</v>
      </c>
      <c r="AQ931" s="13" t="s">
        <v>49</v>
      </c>
      <c r="AR931" s="13" t="s">
        <v>49</v>
      </c>
      <c r="AS931" s="13" t="s">
        <v>49</v>
      </c>
      <c r="AT931" s="13" t="s">
        <v>990</v>
      </c>
      <c r="AU931" s="13" t="s">
        <v>998</v>
      </c>
      <c r="AV931" s="14">
        <f>(200*1.5)/1.52/1000</f>
        <v>0.19736842105263158</v>
      </c>
      <c r="AW931" s="14">
        <f>(73*1.5)/1.52/1000</f>
        <v>7.2039473684210514E-2</v>
      </c>
      <c r="AX931" s="14">
        <f>Table1347456[[#This Row],[treatment_mean]]/Table1347456[[#This Row],[control_mean]]</f>
        <v>2.7397260273972606</v>
      </c>
      <c r="AY931" s="14">
        <f>LN(Table1347456[[#This Row],[rr]])</f>
        <v>1.0078579253996456</v>
      </c>
      <c r="AZ931" s="13">
        <v>3</v>
      </c>
      <c r="BA931" s="13">
        <v>3</v>
      </c>
      <c r="BB931" s="14" t="s">
        <v>46</v>
      </c>
      <c r="BC931" s="14" t="s">
        <v>46</v>
      </c>
      <c r="BD931" s="15" t="s">
        <v>46</v>
      </c>
      <c r="BE931" s="14" t="s">
        <v>46</v>
      </c>
      <c r="BF93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31" s="17" t="s">
        <v>46</v>
      </c>
      <c r="BH931" s="13" t="s">
        <v>50</v>
      </c>
      <c r="BI931" s="13">
        <v>2.5000000000000001E-2</v>
      </c>
      <c r="BJ931" s="18">
        <f>ABS(_xlfn.NORM.S.INV(Table1347456[[#This Row],[p_value]]/2))</f>
        <v>2.2414027276049446</v>
      </c>
      <c r="BK931" s="19">
        <f>(Table1347456[[#This Row],[lnrr]]/Table1347456[[#This Row],[z_from_p]])^2</f>
        <v>0.20218961177020212</v>
      </c>
      <c r="BL931" s="16">
        <f>Table1347456[[#This Row],[v_from_z_from_p]]</f>
        <v>0.20218961177020212</v>
      </c>
      <c r="BM931" s="20">
        <f>SQRT(Table1347456[[#This Row],[v]])</f>
        <v>0.44965499193292863</v>
      </c>
      <c r="BN931" s="20">
        <f>Table1347456[[#This Row],[lnrr]]-(1.96*Table1347456[[#This Row],[se]])</f>
        <v>0.12653414121110551</v>
      </c>
      <c r="BO931" s="20">
        <f>Table1347456[[#This Row],[lnrr]]+(1.96 * Table1347456[[#This Row],[se]])</f>
        <v>1.8891817095881858</v>
      </c>
    </row>
    <row r="932" spans="1:67">
      <c r="A932" s="13" t="s">
        <v>312</v>
      </c>
      <c r="B932" s="13" t="s">
        <v>313</v>
      </c>
      <c r="C932" s="13" t="s">
        <v>43</v>
      </c>
      <c r="D932" s="13" t="s">
        <v>314</v>
      </c>
      <c r="E932" s="13" t="s">
        <v>151</v>
      </c>
      <c r="F932" s="13" t="s">
        <v>587</v>
      </c>
      <c r="G932" s="13" t="s">
        <v>315</v>
      </c>
      <c r="H932" s="13">
        <v>31.3</v>
      </c>
      <c r="I932" s="13">
        <v>800</v>
      </c>
      <c r="K932" s="13" t="s">
        <v>902</v>
      </c>
      <c r="L932" s="13" t="s">
        <v>903</v>
      </c>
      <c r="N932" s="13" t="s">
        <v>86</v>
      </c>
      <c r="O932" s="13" t="s">
        <v>644</v>
      </c>
      <c r="P932" s="13" t="s">
        <v>71</v>
      </c>
      <c r="Q932" s="13" t="s">
        <v>48</v>
      </c>
      <c r="R932" s="4">
        <v>3</v>
      </c>
      <c r="S932" s="13" t="s">
        <v>595</v>
      </c>
      <c r="T932" s="13">
        <v>365</v>
      </c>
      <c r="U932" s="4" t="s">
        <v>275</v>
      </c>
      <c r="V932" s="4">
        <v>380</v>
      </c>
      <c r="W932" s="4" t="s">
        <v>42</v>
      </c>
      <c r="X932" s="4">
        <v>430</v>
      </c>
      <c r="Y932" s="4">
        <v>40</v>
      </c>
      <c r="AA932" s="4" t="s">
        <v>49</v>
      </c>
      <c r="AB932" s="4">
        <v>0</v>
      </c>
      <c r="AC932" s="4" t="s">
        <v>49</v>
      </c>
      <c r="AD932" s="4">
        <v>0</v>
      </c>
      <c r="AE932" s="4" t="s">
        <v>49</v>
      </c>
      <c r="AF932" s="4">
        <v>0</v>
      </c>
      <c r="AG932" s="4" t="s">
        <v>708</v>
      </c>
      <c r="AH932" s="4" t="s">
        <v>682</v>
      </c>
      <c r="AI932" s="4" t="s">
        <v>297</v>
      </c>
      <c r="AJ932" s="13">
        <v>0</v>
      </c>
      <c r="AK932" s="13">
        <v>15</v>
      </c>
      <c r="AM932" s="13">
        <v>1.52</v>
      </c>
      <c r="AN932" s="13" t="s">
        <v>531</v>
      </c>
      <c r="AO932" s="13" t="s">
        <v>532</v>
      </c>
      <c r="AP932" s="13" t="s">
        <v>49</v>
      </c>
      <c r="AQ932" s="13" t="s">
        <v>49</v>
      </c>
      <c r="AR932" s="13" t="s">
        <v>49</v>
      </c>
      <c r="AS932" s="13" t="s">
        <v>49</v>
      </c>
      <c r="AT932" s="13" t="s">
        <v>990</v>
      </c>
      <c r="AU932" s="13" t="s">
        <v>998</v>
      </c>
      <c r="AV932" s="14">
        <f>(224*1.5)/1.52/1000</f>
        <v>0.22105263157894736</v>
      </c>
      <c r="AW932" s="14">
        <f>(73*1.5)/1.52/1000</f>
        <v>7.2039473684210514E-2</v>
      </c>
      <c r="AX932" s="14">
        <f>Table1347456[[#This Row],[treatment_mean]]/Table1347456[[#This Row],[control_mean]]</f>
        <v>3.0684931506849318</v>
      </c>
      <c r="AY932" s="14">
        <f>LN(Table1347456[[#This Row],[rr]])</f>
        <v>1.1211866107066488</v>
      </c>
      <c r="AZ932" s="13">
        <v>3</v>
      </c>
      <c r="BA932" s="13">
        <v>3</v>
      </c>
      <c r="BB932" s="14" t="s">
        <v>46</v>
      </c>
      <c r="BC932" s="14" t="s">
        <v>46</v>
      </c>
      <c r="BD932" s="15" t="s">
        <v>46</v>
      </c>
      <c r="BE932" s="14" t="s">
        <v>46</v>
      </c>
      <c r="BF93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32" s="17" t="s">
        <v>46</v>
      </c>
      <c r="BH932" s="13" t="s">
        <v>50</v>
      </c>
      <c r="BI932" s="13">
        <v>2.5000000000000001E-2</v>
      </c>
      <c r="BJ932" s="18">
        <f>ABS(_xlfn.NORM.S.INV(Table1347456[[#This Row],[p_value]]/2))</f>
        <v>2.2414027276049446</v>
      </c>
      <c r="BK932" s="19">
        <f>(Table1347456[[#This Row],[lnrr]]/Table1347456[[#This Row],[z_from_p]])^2</f>
        <v>0.25021653937979083</v>
      </c>
      <c r="BL932" s="16">
        <f>Table1347456[[#This Row],[v_from_z_from_p]]</f>
        <v>0.25021653937979083</v>
      </c>
      <c r="BM932" s="20">
        <f>SQRT(Table1347456[[#This Row],[v]])</f>
        <v>0.50021649251078359</v>
      </c>
      <c r="BN932" s="20">
        <f>Table1347456[[#This Row],[lnrr]]-(1.96*Table1347456[[#This Row],[se]])</f>
        <v>0.14076228538551294</v>
      </c>
      <c r="BO932" s="20">
        <f>Table1347456[[#This Row],[lnrr]]+(1.96 * Table1347456[[#This Row],[se]])</f>
        <v>2.1016109360277846</v>
      </c>
    </row>
    <row r="933" spans="1:67">
      <c r="A933" s="13" t="s">
        <v>312</v>
      </c>
      <c r="B933" s="13" t="s">
        <v>313</v>
      </c>
      <c r="C933" s="13" t="s">
        <v>43</v>
      </c>
      <c r="D933" s="13" t="s">
        <v>314</v>
      </c>
      <c r="E933" s="13" t="s">
        <v>151</v>
      </c>
      <c r="F933" s="13" t="s">
        <v>587</v>
      </c>
      <c r="G933" s="13" t="s">
        <v>315</v>
      </c>
      <c r="H933" s="13">
        <v>31.3</v>
      </c>
      <c r="I933" s="13">
        <v>800</v>
      </c>
      <c r="K933" s="13" t="s">
        <v>902</v>
      </c>
      <c r="L933" s="13" t="s">
        <v>903</v>
      </c>
      <c r="N933" s="13" t="s">
        <v>86</v>
      </c>
      <c r="O933" s="13" t="s">
        <v>644</v>
      </c>
      <c r="P933" s="13" t="s">
        <v>71</v>
      </c>
      <c r="Q933" s="13" t="s">
        <v>48</v>
      </c>
      <c r="R933" s="4">
        <v>3</v>
      </c>
      <c r="S933" s="13" t="s">
        <v>595</v>
      </c>
      <c r="T933" s="13">
        <v>365</v>
      </c>
      <c r="U933" s="4" t="s">
        <v>275</v>
      </c>
      <c r="V933" s="4">
        <v>380</v>
      </c>
      <c r="W933" s="4" t="s">
        <v>42</v>
      </c>
      <c r="X933" s="4">
        <v>430</v>
      </c>
      <c r="Y933" s="4">
        <v>10</v>
      </c>
      <c r="AA933" s="4" t="s">
        <v>49</v>
      </c>
      <c r="AB933" s="4">
        <v>0</v>
      </c>
      <c r="AC933" s="4" t="s">
        <v>49</v>
      </c>
      <c r="AD933" s="4">
        <v>0</v>
      </c>
      <c r="AE933" s="4" t="s">
        <v>49</v>
      </c>
      <c r="AF933" s="4">
        <v>0</v>
      </c>
      <c r="AG933" s="4" t="s">
        <v>708</v>
      </c>
      <c r="AH933" s="4" t="s">
        <v>775</v>
      </c>
      <c r="AI933" s="4" t="s">
        <v>52</v>
      </c>
      <c r="AJ933" s="13">
        <v>0</v>
      </c>
      <c r="AK933" s="13">
        <v>15</v>
      </c>
      <c r="AM933" s="13" t="s">
        <v>533</v>
      </c>
      <c r="AN933" s="13" t="s">
        <v>531</v>
      </c>
      <c r="AO933" s="13" t="s">
        <v>532</v>
      </c>
      <c r="AP933" s="13" t="s">
        <v>49</v>
      </c>
      <c r="AQ933" s="13" t="s">
        <v>49</v>
      </c>
      <c r="AR933" s="13" t="s">
        <v>49</v>
      </c>
      <c r="AS933" s="13" t="s">
        <v>49</v>
      </c>
      <c r="AT933" s="13" t="s">
        <v>990</v>
      </c>
      <c r="AU933" s="13" t="s">
        <v>998</v>
      </c>
      <c r="AV933" s="14">
        <f>(145*1.5)/1.37/1000</f>
        <v>0.15875912408759124</v>
      </c>
      <c r="AW933" s="14">
        <f>(109*1.5)/1.37/1000</f>
        <v>0.11934306569343064</v>
      </c>
      <c r="AX933" s="14">
        <f>Table1347456[[#This Row],[treatment_mean]]/Table1347456[[#This Row],[control_mean]]</f>
        <v>1.3302752293577984</v>
      </c>
      <c r="AY933" s="14">
        <f>LN(Table1347456[[#This Row],[rr]])</f>
        <v>0.28538586019143086</v>
      </c>
      <c r="AZ933" s="13">
        <v>3</v>
      </c>
      <c r="BA933" s="13">
        <v>3</v>
      </c>
      <c r="BB933" s="14" t="s">
        <v>46</v>
      </c>
      <c r="BC933" s="14" t="s">
        <v>46</v>
      </c>
      <c r="BD933" s="15" t="s">
        <v>46</v>
      </c>
      <c r="BE933" s="14" t="s">
        <v>46</v>
      </c>
      <c r="BF93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33" s="17" t="s">
        <v>46</v>
      </c>
      <c r="BH933" s="13" t="s">
        <v>50</v>
      </c>
      <c r="BI933" s="13">
        <v>2.5000000000000001E-2</v>
      </c>
      <c r="BJ933" s="18">
        <f>ABS(_xlfn.NORM.S.INV(Table1347456[[#This Row],[p_value]]/2))</f>
        <v>2.2414027276049446</v>
      </c>
      <c r="BK933" s="19">
        <f>(Table1347456[[#This Row],[lnrr]]/Table1347456[[#This Row],[z_from_p]])^2</f>
        <v>1.6211571313627396E-2</v>
      </c>
      <c r="BL933" s="16">
        <f>Table1347456[[#This Row],[v_from_z_from_p]]</f>
        <v>1.6211571313627396E-2</v>
      </c>
      <c r="BM933" s="20">
        <f>SQRT(Table1347456[[#This Row],[v]])</f>
        <v>0.12732466891230229</v>
      </c>
      <c r="BN933" s="20">
        <f>Table1347456[[#This Row],[lnrr]]-(1.96*Table1347456[[#This Row],[se]])</f>
        <v>3.5829509123318365E-2</v>
      </c>
      <c r="BO933" s="20">
        <f>Table1347456[[#This Row],[lnrr]]+(1.96 * Table1347456[[#This Row],[se]])</f>
        <v>0.53494221125954333</v>
      </c>
    </row>
    <row r="934" spans="1:67">
      <c r="A934" s="13" t="s">
        <v>312</v>
      </c>
      <c r="B934" s="13" t="s">
        <v>313</v>
      </c>
      <c r="C934" s="13" t="s">
        <v>43</v>
      </c>
      <c r="D934" s="13" t="s">
        <v>314</v>
      </c>
      <c r="E934" s="13" t="s">
        <v>151</v>
      </c>
      <c r="F934" s="13" t="s">
        <v>587</v>
      </c>
      <c r="G934" s="13" t="s">
        <v>315</v>
      </c>
      <c r="H934" s="13">
        <v>31.3</v>
      </c>
      <c r="I934" s="13">
        <v>800</v>
      </c>
      <c r="K934" s="13" t="s">
        <v>902</v>
      </c>
      <c r="L934" s="13" t="s">
        <v>903</v>
      </c>
      <c r="N934" s="13" t="s">
        <v>86</v>
      </c>
      <c r="O934" s="13" t="s">
        <v>644</v>
      </c>
      <c r="P934" s="13" t="s">
        <v>71</v>
      </c>
      <c r="Q934" s="13" t="s">
        <v>48</v>
      </c>
      <c r="R934" s="4">
        <v>3</v>
      </c>
      <c r="S934" s="13" t="s">
        <v>595</v>
      </c>
      <c r="T934" s="13">
        <v>365</v>
      </c>
      <c r="U934" s="4" t="s">
        <v>275</v>
      </c>
      <c r="V934" s="4">
        <v>380</v>
      </c>
      <c r="W934" s="4" t="s">
        <v>42</v>
      </c>
      <c r="X934" s="4">
        <v>430</v>
      </c>
      <c r="Y934" s="4">
        <v>20</v>
      </c>
      <c r="AA934" s="4" t="s">
        <v>49</v>
      </c>
      <c r="AB934" s="4">
        <v>0</v>
      </c>
      <c r="AC934" s="4" t="s">
        <v>49</v>
      </c>
      <c r="AD934" s="4">
        <v>0</v>
      </c>
      <c r="AE934" s="4" t="s">
        <v>49</v>
      </c>
      <c r="AF934" s="4">
        <v>0</v>
      </c>
      <c r="AG934" s="4" t="s">
        <v>708</v>
      </c>
      <c r="AH934" s="4" t="s">
        <v>775</v>
      </c>
      <c r="AI934" s="4" t="s">
        <v>52</v>
      </c>
      <c r="AJ934" s="13">
        <v>0</v>
      </c>
      <c r="AK934" s="13">
        <v>15</v>
      </c>
      <c r="AM934" s="13" t="s">
        <v>533</v>
      </c>
      <c r="AN934" s="13" t="s">
        <v>531</v>
      </c>
      <c r="AO934" s="13" t="s">
        <v>532</v>
      </c>
      <c r="AP934" s="13" t="s">
        <v>49</v>
      </c>
      <c r="AQ934" s="13" t="s">
        <v>49</v>
      </c>
      <c r="AR934" s="13" t="s">
        <v>49</v>
      </c>
      <c r="AS934" s="13" t="s">
        <v>49</v>
      </c>
      <c r="AT934" s="13" t="s">
        <v>990</v>
      </c>
      <c r="AU934" s="13" t="s">
        <v>998</v>
      </c>
      <c r="AV934" s="14">
        <f>(203*1.5)/1.37/1000</f>
        <v>0.2222627737226277</v>
      </c>
      <c r="AW934" s="14">
        <f>(109*1.5)/1.37/1000</f>
        <v>0.11934306569343064</v>
      </c>
      <c r="AX934" s="14">
        <f>Table1347456[[#This Row],[treatment_mean]]/Table1347456[[#This Row],[control_mean]]</f>
        <v>1.8623853211009174</v>
      </c>
      <c r="AY934" s="14">
        <f>LN(Table1347456[[#This Row],[rr]])</f>
        <v>0.62185809681264359</v>
      </c>
      <c r="AZ934" s="13">
        <v>3</v>
      </c>
      <c r="BA934" s="13">
        <v>3</v>
      </c>
      <c r="BB934" s="14" t="s">
        <v>46</v>
      </c>
      <c r="BC934" s="14" t="s">
        <v>46</v>
      </c>
      <c r="BD934" s="15" t="s">
        <v>46</v>
      </c>
      <c r="BE934" s="14" t="s">
        <v>46</v>
      </c>
      <c r="BF93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34" s="17" t="s">
        <v>46</v>
      </c>
      <c r="BH934" s="13" t="s">
        <v>50</v>
      </c>
      <c r="BI934" s="13">
        <v>2.5000000000000001E-2</v>
      </c>
      <c r="BJ934" s="18">
        <f>ABS(_xlfn.NORM.S.INV(Table1347456[[#This Row],[p_value]]/2))</f>
        <v>2.2414027276049446</v>
      </c>
      <c r="BK934" s="19">
        <f>(Table1347456[[#This Row],[lnrr]]/Table1347456[[#This Row],[z_from_p]])^2</f>
        <v>7.6973776505499733E-2</v>
      </c>
      <c r="BL934" s="16">
        <f>Table1347456[[#This Row],[v_from_z_from_p]]</f>
        <v>7.6973776505499733E-2</v>
      </c>
      <c r="BM934" s="20">
        <f>SQRT(Table1347456[[#This Row],[v]])</f>
        <v>0.27744148302930427</v>
      </c>
      <c r="BN934" s="20">
        <f>Table1347456[[#This Row],[lnrr]]-(1.96*Table1347456[[#This Row],[se]])</f>
        <v>7.8072790075207177E-2</v>
      </c>
      <c r="BO934" s="20">
        <f>Table1347456[[#This Row],[lnrr]]+(1.96 * Table1347456[[#This Row],[se]])</f>
        <v>1.16564340355008</v>
      </c>
    </row>
    <row r="935" spans="1:67">
      <c r="A935" s="13" t="s">
        <v>312</v>
      </c>
      <c r="B935" s="13" t="s">
        <v>313</v>
      </c>
      <c r="C935" s="13" t="s">
        <v>43</v>
      </c>
      <c r="D935" s="13" t="s">
        <v>314</v>
      </c>
      <c r="E935" s="13" t="s">
        <v>151</v>
      </c>
      <c r="F935" s="13" t="s">
        <v>587</v>
      </c>
      <c r="G935" s="13" t="s">
        <v>315</v>
      </c>
      <c r="H935" s="13">
        <v>31.3</v>
      </c>
      <c r="I935" s="13">
        <v>800</v>
      </c>
      <c r="K935" s="13" t="s">
        <v>902</v>
      </c>
      <c r="L935" s="13" t="s">
        <v>903</v>
      </c>
      <c r="N935" s="13" t="s">
        <v>86</v>
      </c>
      <c r="O935" s="13" t="s">
        <v>644</v>
      </c>
      <c r="P935" s="13" t="s">
        <v>71</v>
      </c>
      <c r="Q935" s="13" t="s">
        <v>48</v>
      </c>
      <c r="R935" s="4">
        <v>3</v>
      </c>
      <c r="S935" s="13" t="s">
        <v>595</v>
      </c>
      <c r="T935" s="13">
        <v>365</v>
      </c>
      <c r="U935" s="4" t="s">
        <v>275</v>
      </c>
      <c r="V935" s="4">
        <v>380</v>
      </c>
      <c r="W935" s="4" t="s">
        <v>42</v>
      </c>
      <c r="X935" s="4">
        <v>430</v>
      </c>
      <c r="Y935" s="4">
        <v>40</v>
      </c>
      <c r="AA935" s="4" t="s">
        <v>49</v>
      </c>
      <c r="AB935" s="4">
        <v>0</v>
      </c>
      <c r="AC935" s="4" t="s">
        <v>49</v>
      </c>
      <c r="AD935" s="4">
        <v>0</v>
      </c>
      <c r="AE935" s="4" t="s">
        <v>49</v>
      </c>
      <c r="AF935" s="4">
        <v>0</v>
      </c>
      <c r="AG935" s="4" t="s">
        <v>708</v>
      </c>
      <c r="AH935" s="4" t="s">
        <v>775</v>
      </c>
      <c r="AI935" s="4" t="s">
        <v>52</v>
      </c>
      <c r="AJ935" s="13">
        <v>0</v>
      </c>
      <c r="AK935" s="13">
        <v>15</v>
      </c>
      <c r="AM935" s="13" t="s">
        <v>533</v>
      </c>
      <c r="AN935" s="13" t="s">
        <v>531</v>
      </c>
      <c r="AO935" s="13" t="s">
        <v>532</v>
      </c>
      <c r="AP935" s="13" t="s">
        <v>49</v>
      </c>
      <c r="AQ935" s="13" t="s">
        <v>49</v>
      </c>
      <c r="AR935" s="13" t="s">
        <v>49</v>
      </c>
      <c r="AS935" s="13" t="s">
        <v>49</v>
      </c>
      <c r="AT935" s="13" t="s">
        <v>990</v>
      </c>
      <c r="AU935" s="13" t="s">
        <v>998</v>
      </c>
      <c r="AV935" s="14">
        <f>(355*1.5)/1.37/1000</f>
        <v>0.38868613138686131</v>
      </c>
      <c r="AW935" s="14">
        <f>(109*1.5)/1.37/1000</f>
        <v>0.11934306569343064</v>
      </c>
      <c r="AX935" s="14">
        <f>Table1347456[[#This Row],[treatment_mean]]/Table1347456[[#This Row],[control_mean]]</f>
        <v>3.2568807339449544</v>
      </c>
      <c r="AY935" s="14">
        <f>LN(Table1347456[[#This Row],[rr]])</f>
        <v>1.1807699072462721</v>
      </c>
      <c r="AZ935" s="13">
        <v>3</v>
      </c>
      <c r="BA935" s="13">
        <v>3</v>
      </c>
      <c r="BB935" s="14" t="s">
        <v>46</v>
      </c>
      <c r="BC935" s="14" t="s">
        <v>46</v>
      </c>
      <c r="BD935" s="15" t="s">
        <v>46</v>
      </c>
      <c r="BE935" s="14" t="s">
        <v>46</v>
      </c>
      <c r="BF93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35" s="17" t="s">
        <v>46</v>
      </c>
      <c r="BH935" s="13" t="s">
        <v>50</v>
      </c>
      <c r="BI935" s="13">
        <v>2.5000000000000001E-2</v>
      </c>
      <c r="BJ935" s="18">
        <f>ABS(_xlfn.NORM.S.INV(Table1347456[[#This Row],[p_value]]/2))</f>
        <v>2.2414027276049446</v>
      </c>
      <c r="BK935" s="19">
        <f>(Table1347456[[#This Row],[lnrr]]/Table1347456[[#This Row],[z_from_p]])^2</f>
        <v>0.27751774659599465</v>
      </c>
      <c r="BL935" s="16">
        <f>Table1347456[[#This Row],[v_from_z_from_p]]</f>
        <v>0.27751774659599465</v>
      </c>
      <c r="BM935" s="20">
        <f>SQRT(Table1347456[[#This Row],[v]])</f>
        <v>0.52679953169682547</v>
      </c>
      <c r="BN935" s="20">
        <f>Table1347456[[#This Row],[lnrr]]-(1.96*Table1347456[[#This Row],[se]])</f>
        <v>0.14824282512049414</v>
      </c>
      <c r="BO935" s="20">
        <f>Table1347456[[#This Row],[lnrr]]+(1.96 * Table1347456[[#This Row],[se]])</f>
        <v>2.2132969893720498</v>
      </c>
    </row>
    <row r="936" spans="1:67">
      <c r="A936" s="13" t="s">
        <v>312</v>
      </c>
      <c r="B936" s="13" t="s">
        <v>313</v>
      </c>
      <c r="C936" s="13" t="s">
        <v>43</v>
      </c>
      <c r="D936" s="13" t="s">
        <v>314</v>
      </c>
      <c r="E936" s="13" t="s">
        <v>151</v>
      </c>
      <c r="F936" s="13" t="s">
        <v>587</v>
      </c>
      <c r="G936" s="13" t="s">
        <v>315</v>
      </c>
      <c r="H936" s="13">
        <v>31.3</v>
      </c>
      <c r="I936" s="13">
        <v>800</v>
      </c>
      <c r="K936" s="13" t="s">
        <v>902</v>
      </c>
      <c r="L936" s="13" t="s">
        <v>903</v>
      </c>
      <c r="N936" s="13" t="s">
        <v>86</v>
      </c>
      <c r="O936" s="13" t="s">
        <v>644</v>
      </c>
      <c r="P936" s="13" t="s">
        <v>71</v>
      </c>
      <c r="Q936" s="13" t="s">
        <v>48</v>
      </c>
      <c r="R936" s="4">
        <v>3</v>
      </c>
      <c r="S936" s="13" t="s">
        <v>595</v>
      </c>
      <c r="T936" s="13">
        <v>365</v>
      </c>
      <c r="U936" s="4" t="s">
        <v>275</v>
      </c>
      <c r="V936" s="4">
        <v>380</v>
      </c>
      <c r="W936" s="4" t="s">
        <v>42</v>
      </c>
      <c r="X936" s="4">
        <v>430</v>
      </c>
      <c r="Y936" s="4">
        <v>10</v>
      </c>
      <c r="AA936" s="4" t="s">
        <v>50</v>
      </c>
      <c r="AB936" s="4">
        <v>60</v>
      </c>
      <c r="AC936" s="4" t="s">
        <v>49</v>
      </c>
      <c r="AD936" s="4">
        <v>0</v>
      </c>
      <c r="AE936" s="4" t="s">
        <v>49</v>
      </c>
      <c r="AF936" s="4">
        <v>0</v>
      </c>
      <c r="AG936" s="4" t="s">
        <v>708</v>
      </c>
      <c r="AH936" s="4" t="s">
        <v>682</v>
      </c>
      <c r="AI936" s="4" t="s">
        <v>297</v>
      </c>
      <c r="AJ936" s="13">
        <v>0</v>
      </c>
      <c r="AK936" s="13">
        <v>15</v>
      </c>
      <c r="AM936" s="13">
        <v>1.52</v>
      </c>
      <c r="AN936" s="13" t="s">
        <v>531</v>
      </c>
      <c r="AO936" s="13" t="s">
        <v>532</v>
      </c>
      <c r="AP936" s="13" t="s">
        <v>49</v>
      </c>
      <c r="AQ936" s="13" t="s">
        <v>49</v>
      </c>
      <c r="AR936" s="13" t="s">
        <v>49</v>
      </c>
      <c r="AS936" s="13" t="s">
        <v>49</v>
      </c>
      <c r="AT936" s="13" t="s">
        <v>992</v>
      </c>
      <c r="AU936" s="4" t="s">
        <v>1000</v>
      </c>
      <c r="AV936" s="14">
        <f>(196*1.5)/1.52/1000</f>
        <v>0.19342105263157894</v>
      </c>
      <c r="AW936" s="14">
        <f>(168*1.5)/1.52/1000</f>
        <v>0.16578947368421051</v>
      </c>
      <c r="AX936" s="14">
        <f>Table1347456[[#This Row],[treatment_mean]]/Table1347456[[#This Row],[control_mean]]</f>
        <v>1.1666666666666667</v>
      </c>
      <c r="AY936" s="14">
        <f>LN(Table1347456[[#This Row],[rr]])</f>
        <v>0.15415067982725836</v>
      </c>
      <c r="AZ936" s="13">
        <v>3</v>
      </c>
      <c r="BA936" s="13">
        <v>3</v>
      </c>
      <c r="BB936" s="14" t="s">
        <v>46</v>
      </c>
      <c r="BC936" s="14" t="s">
        <v>46</v>
      </c>
      <c r="BD936" s="15" t="s">
        <v>46</v>
      </c>
      <c r="BE936" s="14" t="s">
        <v>46</v>
      </c>
      <c r="BF93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36" s="17" t="s">
        <v>46</v>
      </c>
      <c r="BH936" s="13" t="s">
        <v>50</v>
      </c>
      <c r="BI936" s="13">
        <v>2.5000000000000001E-2</v>
      </c>
      <c r="BJ936" s="18">
        <f>ABS(_xlfn.NORM.S.INV(Table1347456[[#This Row],[p_value]]/2))</f>
        <v>2.2414027276049446</v>
      </c>
      <c r="BK936" s="19">
        <f>(Table1347456[[#This Row],[lnrr]]/Table1347456[[#This Row],[z_from_p]])^2</f>
        <v>4.729890607634608E-3</v>
      </c>
      <c r="BL936" s="16">
        <f>Table1347456[[#This Row],[v_from_z_from_p]]</f>
        <v>4.729890607634608E-3</v>
      </c>
      <c r="BM936" s="20">
        <f>SQRT(Table1347456[[#This Row],[v]])</f>
        <v>6.87742001599045E-2</v>
      </c>
      <c r="BN936" s="20">
        <f>Table1347456[[#This Row],[lnrr]]-(1.96*Table1347456[[#This Row],[se]])</f>
        <v>1.935324751384554E-2</v>
      </c>
      <c r="BO936" s="20">
        <f>Table1347456[[#This Row],[lnrr]]+(1.96 * Table1347456[[#This Row],[se]])</f>
        <v>0.28894811214067118</v>
      </c>
    </row>
    <row r="937" spans="1:67">
      <c r="A937" s="13" t="s">
        <v>312</v>
      </c>
      <c r="B937" s="13" t="s">
        <v>313</v>
      </c>
      <c r="C937" s="13" t="s">
        <v>43</v>
      </c>
      <c r="D937" s="13" t="s">
        <v>314</v>
      </c>
      <c r="E937" s="13" t="s">
        <v>151</v>
      </c>
      <c r="F937" s="13" t="s">
        <v>587</v>
      </c>
      <c r="G937" s="13" t="s">
        <v>315</v>
      </c>
      <c r="H937" s="13">
        <v>31.3</v>
      </c>
      <c r="I937" s="13">
        <v>800</v>
      </c>
      <c r="K937" s="13" t="s">
        <v>902</v>
      </c>
      <c r="L937" s="13" t="s">
        <v>903</v>
      </c>
      <c r="N937" s="13" t="s">
        <v>86</v>
      </c>
      <c r="O937" s="13" t="s">
        <v>644</v>
      </c>
      <c r="P937" s="13" t="s">
        <v>71</v>
      </c>
      <c r="Q937" s="13" t="s">
        <v>48</v>
      </c>
      <c r="R937" s="4">
        <v>3</v>
      </c>
      <c r="S937" s="13" t="s">
        <v>595</v>
      </c>
      <c r="T937" s="13">
        <v>365</v>
      </c>
      <c r="U937" s="4" t="s">
        <v>275</v>
      </c>
      <c r="V937" s="4">
        <v>380</v>
      </c>
      <c r="W937" s="4" t="s">
        <v>42</v>
      </c>
      <c r="X937" s="4">
        <v>430</v>
      </c>
      <c r="Y937" s="4">
        <v>20</v>
      </c>
      <c r="AA937" s="4" t="s">
        <v>50</v>
      </c>
      <c r="AB937" s="4">
        <v>60</v>
      </c>
      <c r="AC937" s="4" t="s">
        <v>49</v>
      </c>
      <c r="AD937" s="4">
        <v>0</v>
      </c>
      <c r="AE937" s="4" t="s">
        <v>49</v>
      </c>
      <c r="AF937" s="4">
        <v>0</v>
      </c>
      <c r="AG937" s="4" t="s">
        <v>708</v>
      </c>
      <c r="AH937" s="4" t="s">
        <v>682</v>
      </c>
      <c r="AI937" s="4" t="s">
        <v>297</v>
      </c>
      <c r="AJ937" s="13">
        <v>0</v>
      </c>
      <c r="AK937" s="13">
        <v>15</v>
      </c>
      <c r="AM937" s="13">
        <v>1.52</v>
      </c>
      <c r="AN937" s="13" t="s">
        <v>531</v>
      </c>
      <c r="AO937" s="13" t="s">
        <v>532</v>
      </c>
      <c r="AP937" s="13" t="s">
        <v>49</v>
      </c>
      <c r="AQ937" s="13" t="s">
        <v>49</v>
      </c>
      <c r="AR937" s="13" t="s">
        <v>49</v>
      </c>
      <c r="AS937" s="13" t="s">
        <v>49</v>
      </c>
      <c r="AT937" s="13" t="s">
        <v>992</v>
      </c>
      <c r="AU937" s="4" t="s">
        <v>1000</v>
      </c>
      <c r="AV937" s="14">
        <f>(207*1.5)/1.52/1000</f>
        <v>0.20427631578947367</v>
      </c>
      <c r="AW937" s="14">
        <f>(168*1.5)/1.52/1000</f>
        <v>0.16578947368421051</v>
      </c>
      <c r="AX937" s="14">
        <f>Table1347456[[#This Row],[treatment_mean]]/Table1347456[[#This Row],[control_mean]]</f>
        <v>1.2321428571428572</v>
      </c>
      <c r="AY937" s="14">
        <f>LN(Table1347456[[#This Row],[rr]])</f>
        <v>0.2087548138621102</v>
      </c>
      <c r="AZ937" s="13">
        <v>3</v>
      </c>
      <c r="BA937" s="13">
        <v>3</v>
      </c>
      <c r="BB937" s="14" t="s">
        <v>46</v>
      </c>
      <c r="BC937" s="14" t="s">
        <v>46</v>
      </c>
      <c r="BD937" s="15" t="s">
        <v>46</v>
      </c>
      <c r="BE937" s="14" t="s">
        <v>46</v>
      </c>
      <c r="BF93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37" s="17" t="s">
        <v>46</v>
      </c>
      <c r="BH937" s="13" t="s">
        <v>50</v>
      </c>
      <c r="BI937" s="13">
        <v>2.5000000000000001E-2</v>
      </c>
      <c r="BJ937" s="18">
        <f>ABS(_xlfn.NORM.S.INV(Table1347456[[#This Row],[p_value]]/2))</f>
        <v>2.2414027276049446</v>
      </c>
      <c r="BK937" s="19">
        <f>(Table1347456[[#This Row],[lnrr]]/Table1347456[[#This Row],[z_from_p]])^2</f>
        <v>8.6742753887694441E-3</v>
      </c>
      <c r="BL937" s="16">
        <f>Table1347456[[#This Row],[v_from_z_from_p]]</f>
        <v>8.6742753887694441E-3</v>
      </c>
      <c r="BM937" s="20">
        <f>SQRT(Table1347456[[#This Row],[v]])</f>
        <v>9.3135790052854786E-2</v>
      </c>
      <c r="BN937" s="20">
        <f>Table1347456[[#This Row],[lnrr]]-(1.96*Table1347456[[#This Row],[se]])</f>
        <v>2.6208665358514821E-2</v>
      </c>
      <c r="BO937" s="20">
        <f>Table1347456[[#This Row],[lnrr]]+(1.96 * Table1347456[[#This Row],[se]])</f>
        <v>0.39130096236570555</v>
      </c>
    </row>
    <row r="938" spans="1:67">
      <c r="A938" s="13" t="s">
        <v>312</v>
      </c>
      <c r="B938" s="13" t="s">
        <v>313</v>
      </c>
      <c r="C938" s="13" t="s">
        <v>43</v>
      </c>
      <c r="D938" s="13" t="s">
        <v>314</v>
      </c>
      <c r="E938" s="13" t="s">
        <v>151</v>
      </c>
      <c r="F938" s="13" t="s">
        <v>587</v>
      </c>
      <c r="G938" s="13" t="s">
        <v>315</v>
      </c>
      <c r="H938" s="13">
        <v>31.3</v>
      </c>
      <c r="I938" s="13">
        <v>800</v>
      </c>
      <c r="K938" s="13" t="s">
        <v>902</v>
      </c>
      <c r="L938" s="13" t="s">
        <v>903</v>
      </c>
      <c r="N938" s="13" t="s">
        <v>86</v>
      </c>
      <c r="O938" s="13" t="s">
        <v>644</v>
      </c>
      <c r="P938" s="13" t="s">
        <v>71</v>
      </c>
      <c r="Q938" s="13" t="s">
        <v>48</v>
      </c>
      <c r="R938" s="4">
        <v>3</v>
      </c>
      <c r="S938" s="13" t="s">
        <v>595</v>
      </c>
      <c r="T938" s="13">
        <v>365</v>
      </c>
      <c r="U938" s="4" t="s">
        <v>275</v>
      </c>
      <c r="V938" s="4">
        <v>380</v>
      </c>
      <c r="W938" s="4" t="s">
        <v>42</v>
      </c>
      <c r="X938" s="4">
        <v>430</v>
      </c>
      <c r="Y938" s="4">
        <v>40</v>
      </c>
      <c r="AA938" s="4" t="s">
        <v>50</v>
      </c>
      <c r="AB938" s="4">
        <v>60</v>
      </c>
      <c r="AC938" s="4" t="s">
        <v>49</v>
      </c>
      <c r="AD938" s="4">
        <v>0</v>
      </c>
      <c r="AE938" s="4" t="s">
        <v>49</v>
      </c>
      <c r="AF938" s="4">
        <v>0</v>
      </c>
      <c r="AG938" s="4" t="s">
        <v>708</v>
      </c>
      <c r="AH938" s="4" t="s">
        <v>682</v>
      </c>
      <c r="AI938" s="4" t="s">
        <v>297</v>
      </c>
      <c r="AJ938" s="13">
        <v>0</v>
      </c>
      <c r="AK938" s="13">
        <v>15</v>
      </c>
      <c r="AM938" s="13">
        <v>1.52</v>
      </c>
      <c r="AN938" s="13" t="s">
        <v>531</v>
      </c>
      <c r="AO938" s="13" t="s">
        <v>532</v>
      </c>
      <c r="AP938" s="13" t="s">
        <v>49</v>
      </c>
      <c r="AQ938" s="13" t="s">
        <v>49</v>
      </c>
      <c r="AR938" s="13" t="s">
        <v>49</v>
      </c>
      <c r="AS938" s="13" t="s">
        <v>49</v>
      </c>
      <c r="AT938" s="13" t="s">
        <v>992</v>
      </c>
      <c r="AU938" s="4" t="s">
        <v>1000</v>
      </c>
      <c r="AV938" s="14">
        <f>(219*1.5)/1.52/1000</f>
        <v>0.2161184210526316</v>
      </c>
      <c r="AW938" s="14">
        <f>(168*1.5)/1.52/1000</f>
        <v>0.16578947368421051</v>
      </c>
      <c r="AX938" s="14">
        <f>Table1347456[[#This Row],[treatment_mean]]/Table1347456[[#This Row],[control_mean]]</f>
        <v>1.3035714285714288</v>
      </c>
      <c r="AY938" s="14">
        <f>LN(Table1347456[[#This Row],[rr]])</f>
        <v>0.26510775041324208</v>
      </c>
      <c r="AZ938" s="13">
        <v>3</v>
      </c>
      <c r="BA938" s="13">
        <v>3</v>
      </c>
      <c r="BB938" s="14" t="s">
        <v>46</v>
      </c>
      <c r="BC938" s="14" t="s">
        <v>46</v>
      </c>
      <c r="BD938" s="15" t="s">
        <v>46</v>
      </c>
      <c r="BE938" s="14" t="s">
        <v>46</v>
      </c>
      <c r="BF93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38" s="17" t="s">
        <v>46</v>
      </c>
      <c r="BH938" s="13" t="s">
        <v>50</v>
      </c>
      <c r="BI938" s="13">
        <v>2.5000000000000001E-2</v>
      </c>
      <c r="BJ938" s="18">
        <f>ABS(_xlfn.NORM.S.INV(Table1347456[[#This Row],[p_value]]/2))</f>
        <v>2.2414027276049446</v>
      </c>
      <c r="BK938" s="19">
        <f>(Table1347456[[#This Row],[lnrr]]/Table1347456[[#This Row],[z_from_p]])^2</f>
        <v>1.3989592261590128E-2</v>
      </c>
      <c r="BL938" s="16">
        <f>Table1347456[[#This Row],[v_from_z_from_p]]</f>
        <v>1.3989592261590128E-2</v>
      </c>
      <c r="BM938" s="20">
        <f>SQRT(Table1347456[[#This Row],[v]])</f>
        <v>0.11827760676303072</v>
      </c>
      <c r="BN938" s="20">
        <f>Table1347456[[#This Row],[lnrr]]-(1.96*Table1347456[[#This Row],[se]])</f>
        <v>3.3283641157701882E-2</v>
      </c>
      <c r="BO938" s="20">
        <f>Table1347456[[#This Row],[lnrr]]+(1.96 * Table1347456[[#This Row],[se]])</f>
        <v>0.49693185966878228</v>
      </c>
    </row>
    <row r="939" spans="1:67">
      <c r="A939" s="13" t="s">
        <v>312</v>
      </c>
      <c r="B939" s="13" t="s">
        <v>313</v>
      </c>
      <c r="C939" s="13" t="s">
        <v>43</v>
      </c>
      <c r="D939" s="13" t="s">
        <v>314</v>
      </c>
      <c r="E939" s="13" t="s">
        <v>151</v>
      </c>
      <c r="F939" s="13" t="s">
        <v>587</v>
      </c>
      <c r="G939" s="13" t="s">
        <v>315</v>
      </c>
      <c r="H939" s="13">
        <v>31.3</v>
      </c>
      <c r="I939" s="13">
        <v>800</v>
      </c>
      <c r="K939" s="13" t="s">
        <v>902</v>
      </c>
      <c r="L939" s="13" t="s">
        <v>903</v>
      </c>
      <c r="N939" s="13" t="s">
        <v>86</v>
      </c>
      <c r="O939" s="13" t="s">
        <v>644</v>
      </c>
      <c r="P939" s="13" t="s">
        <v>71</v>
      </c>
      <c r="Q939" s="13" t="s">
        <v>48</v>
      </c>
      <c r="R939" s="4">
        <v>3</v>
      </c>
      <c r="S939" s="13" t="s">
        <v>595</v>
      </c>
      <c r="T939" s="13">
        <v>365</v>
      </c>
      <c r="U939" s="4" t="s">
        <v>275</v>
      </c>
      <c r="V939" s="4">
        <v>380</v>
      </c>
      <c r="W939" s="4" t="s">
        <v>42</v>
      </c>
      <c r="X939" s="4">
        <v>430</v>
      </c>
      <c r="Y939" s="4">
        <v>10</v>
      </c>
      <c r="AA939" s="4" t="s">
        <v>50</v>
      </c>
      <c r="AB939" s="4">
        <v>60</v>
      </c>
      <c r="AC939" s="4" t="s">
        <v>49</v>
      </c>
      <c r="AD939" s="4">
        <v>0</v>
      </c>
      <c r="AE939" s="4" t="s">
        <v>49</v>
      </c>
      <c r="AF939" s="4">
        <v>0</v>
      </c>
      <c r="AG939" s="4" t="s">
        <v>708</v>
      </c>
      <c r="AH939" s="4" t="s">
        <v>775</v>
      </c>
      <c r="AI939" s="4" t="s">
        <v>52</v>
      </c>
      <c r="AJ939" s="13">
        <v>0</v>
      </c>
      <c r="AK939" s="13">
        <v>15</v>
      </c>
      <c r="AM939" s="13" t="s">
        <v>533</v>
      </c>
      <c r="AN939" s="13" t="s">
        <v>531</v>
      </c>
      <c r="AO939" s="13" t="s">
        <v>532</v>
      </c>
      <c r="AP939" s="13" t="s">
        <v>49</v>
      </c>
      <c r="AQ939" s="13" t="s">
        <v>49</v>
      </c>
      <c r="AR939" s="13" t="s">
        <v>49</v>
      </c>
      <c r="AS939" s="13" t="s">
        <v>49</v>
      </c>
      <c r="AT939" s="13" t="s">
        <v>992</v>
      </c>
      <c r="AU939" s="4" t="s">
        <v>1000</v>
      </c>
      <c r="AV939" s="14">
        <f>(149*1.5)/1.37/1000</f>
        <v>0.16313868613138685</v>
      </c>
      <c r="AW939" s="14">
        <f>(134*1.5)/1.37/1000</f>
        <v>0.14671532846715329</v>
      </c>
      <c r="AX939" s="14">
        <f>Table1347456[[#This Row],[treatment_mean]]/Table1347456[[#This Row],[control_mean]]</f>
        <v>1.1119402985074625</v>
      </c>
      <c r="AY939" s="14">
        <f>LN(Table1347456[[#This Row],[rr]])</f>
        <v>0.10610650599454756</v>
      </c>
      <c r="AZ939" s="13">
        <v>3</v>
      </c>
      <c r="BA939" s="13">
        <v>3</v>
      </c>
      <c r="BB939" s="14" t="s">
        <v>46</v>
      </c>
      <c r="BC939" s="14" t="s">
        <v>46</v>
      </c>
      <c r="BD939" s="15" t="s">
        <v>46</v>
      </c>
      <c r="BE939" s="14" t="s">
        <v>46</v>
      </c>
      <c r="BF93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39" s="17" t="s">
        <v>46</v>
      </c>
      <c r="BH939" s="13" t="s">
        <v>50</v>
      </c>
      <c r="BI939" s="13">
        <v>2.5000000000000001E-2</v>
      </c>
      <c r="BJ939" s="18">
        <f>ABS(_xlfn.NORM.S.INV(Table1347456[[#This Row],[p_value]]/2))</f>
        <v>2.2414027276049446</v>
      </c>
      <c r="BK939" s="19">
        <f>(Table1347456[[#This Row],[lnrr]]/Table1347456[[#This Row],[z_from_p]])^2</f>
        <v>2.2410122750786935E-3</v>
      </c>
      <c r="BL939" s="16">
        <f>Table1347456[[#This Row],[v_from_z_from_p]]</f>
        <v>2.2410122750786935E-3</v>
      </c>
      <c r="BM939" s="20">
        <f>SQRT(Table1347456[[#This Row],[v]])</f>
        <v>4.7339331164251715E-2</v>
      </c>
      <c r="BN939" s="20">
        <f>Table1347456[[#This Row],[lnrr]]-(1.96*Table1347456[[#This Row],[se]])</f>
        <v>1.3321416912614195E-2</v>
      </c>
      <c r="BO939" s="20">
        <f>Table1347456[[#This Row],[lnrr]]+(1.96 * Table1347456[[#This Row],[se]])</f>
        <v>0.19889159507648091</v>
      </c>
    </row>
    <row r="940" spans="1:67">
      <c r="A940" s="13" t="s">
        <v>312</v>
      </c>
      <c r="B940" s="13" t="s">
        <v>313</v>
      </c>
      <c r="C940" s="13" t="s">
        <v>43</v>
      </c>
      <c r="D940" s="13" t="s">
        <v>314</v>
      </c>
      <c r="E940" s="13" t="s">
        <v>151</v>
      </c>
      <c r="F940" s="13" t="s">
        <v>587</v>
      </c>
      <c r="G940" s="13" t="s">
        <v>315</v>
      </c>
      <c r="H940" s="13">
        <v>31.3</v>
      </c>
      <c r="I940" s="13">
        <v>800</v>
      </c>
      <c r="K940" s="13" t="s">
        <v>902</v>
      </c>
      <c r="L940" s="13" t="s">
        <v>903</v>
      </c>
      <c r="N940" s="13" t="s">
        <v>86</v>
      </c>
      <c r="O940" s="13" t="s">
        <v>644</v>
      </c>
      <c r="P940" s="13" t="s">
        <v>71</v>
      </c>
      <c r="Q940" s="13" t="s">
        <v>48</v>
      </c>
      <c r="R940" s="4">
        <v>3</v>
      </c>
      <c r="S940" s="13" t="s">
        <v>595</v>
      </c>
      <c r="T940" s="13">
        <v>365</v>
      </c>
      <c r="U940" s="4" t="s">
        <v>275</v>
      </c>
      <c r="V940" s="4">
        <v>380</v>
      </c>
      <c r="W940" s="4" t="s">
        <v>42</v>
      </c>
      <c r="X940" s="4">
        <v>430</v>
      </c>
      <c r="Y940" s="4">
        <v>20</v>
      </c>
      <c r="AA940" s="4" t="s">
        <v>50</v>
      </c>
      <c r="AB940" s="4">
        <v>60</v>
      </c>
      <c r="AC940" s="4" t="s">
        <v>49</v>
      </c>
      <c r="AD940" s="4">
        <v>0</v>
      </c>
      <c r="AE940" s="4" t="s">
        <v>49</v>
      </c>
      <c r="AF940" s="4">
        <v>0</v>
      </c>
      <c r="AG940" s="4" t="s">
        <v>708</v>
      </c>
      <c r="AH940" s="4" t="s">
        <v>775</v>
      </c>
      <c r="AI940" s="4" t="s">
        <v>52</v>
      </c>
      <c r="AJ940" s="13">
        <v>0</v>
      </c>
      <c r="AK940" s="13">
        <v>15</v>
      </c>
      <c r="AM940" s="13" t="s">
        <v>533</v>
      </c>
      <c r="AN940" s="13" t="s">
        <v>531</v>
      </c>
      <c r="AO940" s="13" t="s">
        <v>532</v>
      </c>
      <c r="AP940" s="13" t="s">
        <v>49</v>
      </c>
      <c r="AQ940" s="13" t="s">
        <v>49</v>
      </c>
      <c r="AR940" s="13" t="s">
        <v>49</v>
      </c>
      <c r="AS940" s="13" t="s">
        <v>49</v>
      </c>
      <c r="AT940" s="13" t="s">
        <v>992</v>
      </c>
      <c r="AU940" s="4" t="s">
        <v>1000</v>
      </c>
      <c r="AV940" s="14">
        <f>(153*1.5)/1.37/1000</f>
        <v>0.16751824817518246</v>
      </c>
      <c r="AW940" s="14">
        <f>(134*1.5)/1.37/1000</f>
        <v>0.14671532846715329</v>
      </c>
      <c r="AX940" s="14">
        <f>Table1347456[[#This Row],[treatment_mean]]/Table1347456[[#This Row],[control_mean]]</f>
        <v>1.1417910447761193</v>
      </c>
      <c r="AY940" s="14">
        <f>LN(Table1347456[[#This Row],[rr]])</f>
        <v>0.13259812144152397</v>
      </c>
      <c r="AZ940" s="13">
        <v>3</v>
      </c>
      <c r="BA940" s="13">
        <v>3</v>
      </c>
      <c r="BB940" s="14" t="s">
        <v>46</v>
      </c>
      <c r="BC940" s="14" t="s">
        <v>46</v>
      </c>
      <c r="BD940" s="15" t="s">
        <v>46</v>
      </c>
      <c r="BE940" s="14" t="s">
        <v>46</v>
      </c>
      <c r="BF94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40" s="17" t="s">
        <v>46</v>
      </c>
      <c r="BH940" s="13" t="s">
        <v>50</v>
      </c>
      <c r="BI940" s="13">
        <v>2.5000000000000001E-2</v>
      </c>
      <c r="BJ940" s="18">
        <f>ABS(_xlfn.NORM.S.INV(Table1347456[[#This Row],[p_value]]/2))</f>
        <v>2.2414027276049446</v>
      </c>
      <c r="BK940" s="19">
        <f>(Table1347456[[#This Row],[lnrr]]/Table1347456[[#This Row],[z_from_p]])^2</f>
        <v>3.4997333049095851E-3</v>
      </c>
      <c r="BL940" s="16">
        <f>Table1347456[[#This Row],[v_from_z_from_p]]</f>
        <v>3.4997333049095851E-3</v>
      </c>
      <c r="BM940" s="20">
        <f>SQRT(Table1347456[[#This Row],[v]])</f>
        <v>5.9158543803153107E-2</v>
      </c>
      <c r="BN940" s="20">
        <f>Table1347456[[#This Row],[lnrr]]-(1.96*Table1347456[[#This Row],[se]])</f>
        <v>1.6647375587343888E-2</v>
      </c>
      <c r="BO940" s="20">
        <f>Table1347456[[#This Row],[lnrr]]+(1.96 * Table1347456[[#This Row],[se]])</f>
        <v>0.24854886729570405</v>
      </c>
    </row>
    <row r="941" spans="1:67">
      <c r="A941" s="13" t="s">
        <v>312</v>
      </c>
      <c r="B941" s="13" t="s">
        <v>313</v>
      </c>
      <c r="C941" s="13" t="s">
        <v>43</v>
      </c>
      <c r="D941" s="13" t="s">
        <v>314</v>
      </c>
      <c r="E941" s="13" t="s">
        <v>151</v>
      </c>
      <c r="F941" s="13" t="s">
        <v>587</v>
      </c>
      <c r="G941" s="13" t="s">
        <v>315</v>
      </c>
      <c r="H941" s="13">
        <v>31.3</v>
      </c>
      <c r="I941" s="13">
        <v>800</v>
      </c>
      <c r="K941" s="13" t="s">
        <v>902</v>
      </c>
      <c r="L941" s="13" t="s">
        <v>903</v>
      </c>
      <c r="N941" s="13" t="s">
        <v>86</v>
      </c>
      <c r="O941" s="13" t="s">
        <v>644</v>
      </c>
      <c r="P941" s="13" t="s">
        <v>71</v>
      </c>
      <c r="Q941" s="13" t="s">
        <v>48</v>
      </c>
      <c r="R941" s="4">
        <v>3</v>
      </c>
      <c r="S941" s="13" t="s">
        <v>595</v>
      </c>
      <c r="T941" s="13">
        <v>365</v>
      </c>
      <c r="U941" s="4" t="s">
        <v>275</v>
      </c>
      <c r="V941" s="4">
        <v>380</v>
      </c>
      <c r="W941" s="4" t="s">
        <v>42</v>
      </c>
      <c r="X941" s="4">
        <v>430</v>
      </c>
      <c r="Y941" s="4">
        <v>40</v>
      </c>
      <c r="AA941" s="4" t="s">
        <v>50</v>
      </c>
      <c r="AB941" s="4">
        <v>60</v>
      </c>
      <c r="AC941" s="4" t="s">
        <v>49</v>
      </c>
      <c r="AD941" s="4">
        <v>0</v>
      </c>
      <c r="AE941" s="4" t="s">
        <v>49</v>
      </c>
      <c r="AF941" s="4">
        <v>0</v>
      </c>
      <c r="AG941" s="4" t="s">
        <v>708</v>
      </c>
      <c r="AH941" s="4" t="s">
        <v>775</v>
      </c>
      <c r="AI941" s="4" t="s">
        <v>52</v>
      </c>
      <c r="AJ941" s="13">
        <v>0</v>
      </c>
      <c r="AK941" s="13">
        <v>15</v>
      </c>
      <c r="AM941" s="13" t="s">
        <v>533</v>
      </c>
      <c r="AN941" s="13" t="s">
        <v>531</v>
      </c>
      <c r="AO941" s="13" t="s">
        <v>532</v>
      </c>
      <c r="AP941" s="13" t="s">
        <v>49</v>
      </c>
      <c r="AQ941" s="13" t="s">
        <v>49</v>
      </c>
      <c r="AR941" s="13" t="s">
        <v>49</v>
      </c>
      <c r="AS941" s="13" t="s">
        <v>49</v>
      </c>
      <c r="AT941" s="13" t="s">
        <v>992</v>
      </c>
      <c r="AU941" s="4" t="s">
        <v>1000</v>
      </c>
      <c r="AV941" s="14">
        <f>(228*1.5)/1.37/1000</f>
        <v>0.24963503649635035</v>
      </c>
      <c r="AW941" s="14">
        <f>(134*1.5)/1.37/1000</f>
        <v>0.14671532846715329</v>
      </c>
      <c r="AX941" s="14">
        <f>Table1347456[[#This Row],[treatment_mean]]/Table1347456[[#This Row],[control_mean]]</f>
        <v>1.7014925373134326</v>
      </c>
      <c r="AY941" s="14">
        <f>LN(Table1347456[[#This Row],[rr]])</f>
        <v>0.53150582900352927</v>
      </c>
      <c r="AZ941" s="13">
        <v>3</v>
      </c>
      <c r="BA941" s="13">
        <v>3</v>
      </c>
      <c r="BB941" s="14" t="s">
        <v>46</v>
      </c>
      <c r="BC941" s="14" t="s">
        <v>46</v>
      </c>
      <c r="BD941" s="15" t="s">
        <v>46</v>
      </c>
      <c r="BE941" s="14" t="s">
        <v>46</v>
      </c>
      <c r="BF94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41" s="17" t="s">
        <v>46</v>
      </c>
      <c r="BH941" s="13" t="s">
        <v>50</v>
      </c>
      <c r="BI941" s="13">
        <v>2.5000000000000001E-2</v>
      </c>
      <c r="BJ941" s="18">
        <f>ABS(_xlfn.NORM.S.INV(Table1347456[[#This Row],[p_value]]/2))</f>
        <v>2.2414027276049446</v>
      </c>
      <c r="BK941" s="19">
        <f>(Table1347456[[#This Row],[lnrr]]/Table1347456[[#This Row],[z_from_p]])^2</f>
        <v>5.6231060125929266E-2</v>
      </c>
      <c r="BL941" s="16">
        <f>Table1347456[[#This Row],[v_from_z_from_p]]</f>
        <v>5.6231060125929266E-2</v>
      </c>
      <c r="BM941" s="20">
        <f>SQRT(Table1347456[[#This Row],[v]])</f>
        <v>0.23713089239053031</v>
      </c>
      <c r="BN941" s="20">
        <f>Table1347456[[#This Row],[lnrr]]-(1.96*Table1347456[[#This Row],[se]])</f>
        <v>6.6729279918089857E-2</v>
      </c>
      <c r="BO941" s="20">
        <f>Table1347456[[#This Row],[lnrr]]+(1.96 * Table1347456[[#This Row],[se]])</f>
        <v>0.99628237808896869</v>
      </c>
    </row>
    <row r="942" spans="1:67">
      <c r="A942" s="13" t="s">
        <v>312</v>
      </c>
      <c r="B942" s="13" t="s">
        <v>313</v>
      </c>
      <c r="C942" s="13" t="s">
        <v>43</v>
      </c>
      <c r="D942" s="13" t="s">
        <v>314</v>
      </c>
      <c r="E942" s="13" t="s">
        <v>151</v>
      </c>
      <c r="F942" s="13" t="s">
        <v>587</v>
      </c>
      <c r="G942" s="13" t="s">
        <v>315</v>
      </c>
      <c r="H942" s="13">
        <v>31.3</v>
      </c>
      <c r="I942" s="13">
        <v>800</v>
      </c>
      <c r="K942" s="13" t="s">
        <v>902</v>
      </c>
      <c r="L942" s="13" t="s">
        <v>903</v>
      </c>
      <c r="N942" s="13" t="s">
        <v>86</v>
      </c>
      <c r="O942" s="13" t="s">
        <v>644</v>
      </c>
      <c r="P942" s="13" t="s">
        <v>71</v>
      </c>
      <c r="Q942" s="13" t="s">
        <v>48</v>
      </c>
      <c r="R942" s="4">
        <v>3</v>
      </c>
      <c r="S942" s="13" t="s">
        <v>595</v>
      </c>
      <c r="T942" s="13">
        <v>365</v>
      </c>
      <c r="U942" s="4" t="s">
        <v>275</v>
      </c>
      <c r="V942" s="4">
        <v>380</v>
      </c>
      <c r="W942" s="4" t="s">
        <v>42</v>
      </c>
      <c r="X942" s="4">
        <v>430</v>
      </c>
      <c r="Y942" s="4">
        <v>10</v>
      </c>
      <c r="AA942" s="4" t="s">
        <v>50</v>
      </c>
      <c r="AB942" s="4">
        <v>90</v>
      </c>
      <c r="AC942" s="4" t="s">
        <v>49</v>
      </c>
      <c r="AD942" s="4">
        <v>0</v>
      </c>
      <c r="AE942" s="4" t="s">
        <v>49</v>
      </c>
      <c r="AF942" s="4">
        <v>0</v>
      </c>
      <c r="AG942" s="4" t="s">
        <v>708</v>
      </c>
      <c r="AH942" s="4" t="s">
        <v>682</v>
      </c>
      <c r="AI942" s="4" t="s">
        <v>297</v>
      </c>
      <c r="AJ942" s="13">
        <v>0</v>
      </c>
      <c r="AK942" s="13">
        <v>15</v>
      </c>
      <c r="AM942" s="13">
        <v>1.52</v>
      </c>
      <c r="AN942" s="13" t="s">
        <v>531</v>
      </c>
      <c r="AO942" s="13" t="s">
        <v>532</v>
      </c>
      <c r="AP942" s="13" t="s">
        <v>49</v>
      </c>
      <c r="AQ942" s="13" t="s">
        <v>49</v>
      </c>
      <c r="AR942" s="13" t="s">
        <v>49</v>
      </c>
      <c r="AS942" s="13" t="s">
        <v>49</v>
      </c>
      <c r="AT942" s="13" t="s">
        <v>992</v>
      </c>
      <c r="AU942" s="4" t="s">
        <v>1000</v>
      </c>
      <c r="AV942" s="14">
        <f>(140*1.5)/1.52/1000</f>
        <v>0.13815789473684212</v>
      </c>
      <c r="AW942" s="14">
        <f>(136*1.5)/1.52/1000</f>
        <v>0.13421052631578947</v>
      </c>
      <c r="AX942" s="14">
        <f>Table1347456[[#This Row],[treatment_mean]]/Table1347456[[#This Row],[control_mean]]</f>
        <v>1.0294117647058825</v>
      </c>
      <c r="AY942" s="14">
        <f>LN(Table1347456[[#This Row],[rr]])</f>
        <v>2.8987536873252406E-2</v>
      </c>
      <c r="AZ942" s="13">
        <v>3</v>
      </c>
      <c r="BA942" s="13">
        <v>3</v>
      </c>
      <c r="BB942" s="14" t="s">
        <v>46</v>
      </c>
      <c r="BC942" s="14" t="s">
        <v>46</v>
      </c>
      <c r="BD942" s="15" t="s">
        <v>46</v>
      </c>
      <c r="BE942" s="14" t="s">
        <v>46</v>
      </c>
      <c r="BF94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42" s="17" t="s">
        <v>46</v>
      </c>
      <c r="BH942" s="13" t="s">
        <v>50</v>
      </c>
      <c r="BI942" s="13">
        <v>2.5000000000000001E-2</v>
      </c>
      <c r="BJ942" s="18">
        <f>ABS(_xlfn.NORM.S.INV(Table1347456[[#This Row],[p_value]]/2))</f>
        <v>2.2414027276049446</v>
      </c>
      <c r="BK942" s="19">
        <f>(Table1347456[[#This Row],[lnrr]]/Table1347456[[#This Row],[z_from_p]])^2</f>
        <v>1.6725643508800714E-4</v>
      </c>
      <c r="BL942" s="16">
        <f>Table1347456[[#This Row],[v_from_z_from_p]]</f>
        <v>1.6725643508800714E-4</v>
      </c>
      <c r="BM942" s="20">
        <f>SQRT(Table1347456[[#This Row],[v]])</f>
        <v>1.2932765948860558E-2</v>
      </c>
      <c r="BN942" s="20">
        <f>Table1347456[[#This Row],[lnrr]]-(1.96*Table1347456[[#This Row],[se]])</f>
        <v>3.6393156134857108E-3</v>
      </c>
      <c r="BO942" s="20">
        <f>Table1347456[[#This Row],[lnrr]]+(1.96 * Table1347456[[#This Row],[se]])</f>
        <v>5.4335758133019101E-2</v>
      </c>
    </row>
    <row r="943" spans="1:67">
      <c r="A943" s="13" t="s">
        <v>312</v>
      </c>
      <c r="B943" s="13" t="s">
        <v>313</v>
      </c>
      <c r="C943" s="13" t="s">
        <v>43</v>
      </c>
      <c r="D943" s="13" t="s">
        <v>314</v>
      </c>
      <c r="E943" s="13" t="s">
        <v>151</v>
      </c>
      <c r="F943" s="13" t="s">
        <v>587</v>
      </c>
      <c r="G943" s="13" t="s">
        <v>315</v>
      </c>
      <c r="H943" s="13">
        <v>31.3</v>
      </c>
      <c r="I943" s="13">
        <v>800</v>
      </c>
      <c r="K943" s="13" t="s">
        <v>902</v>
      </c>
      <c r="L943" s="13" t="s">
        <v>903</v>
      </c>
      <c r="N943" s="13" t="s">
        <v>86</v>
      </c>
      <c r="O943" s="13" t="s">
        <v>644</v>
      </c>
      <c r="P943" s="13" t="s">
        <v>71</v>
      </c>
      <c r="Q943" s="13" t="s">
        <v>48</v>
      </c>
      <c r="R943" s="4">
        <v>3</v>
      </c>
      <c r="S943" s="13" t="s">
        <v>595</v>
      </c>
      <c r="T943" s="13">
        <v>365</v>
      </c>
      <c r="U943" s="4" t="s">
        <v>275</v>
      </c>
      <c r="V943" s="4">
        <v>380</v>
      </c>
      <c r="W943" s="4" t="s">
        <v>42</v>
      </c>
      <c r="X943" s="4">
        <v>430</v>
      </c>
      <c r="Y943" s="4">
        <v>20</v>
      </c>
      <c r="AA943" s="4" t="s">
        <v>50</v>
      </c>
      <c r="AB943" s="4">
        <v>90</v>
      </c>
      <c r="AC943" s="4" t="s">
        <v>49</v>
      </c>
      <c r="AD943" s="4">
        <v>0</v>
      </c>
      <c r="AE943" s="4" t="s">
        <v>49</v>
      </c>
      <c r="AF943" s="4">
        <v>0</v>
      </c>
      <c r="AG943" s="4" t="s">
        <v>708</v>
      </c>
      <c r="AH943" s="4" t="s">
        <v>682</v>
      </c>
      <c r="AI943" s="4" t="s">
        <v>297</v>
      </c>
      <c r="AJ943" s="13">
        <v>0</v>
      </c>
      <c r="AK943" s="13">
        <v>15</v>
      </c>
      <c r="AM943" s="13">
        <v>1.52</v>
      </c>
      <c r="AN943" s="13" t="s">
        <v>531</v>
      </c>
      <c r="AO943" s="13" t="s">
        <v>532</v>
      </c>
      <c r="AP943" s="13" t="s">
        <v>49</v>
      </c>
      <c r="AQ943" s="13" t="s">
        <v>49</v>
      </c>
      <c r="AR943" s="13" t="s">
        <v>49</v>
      </c>
      <c r="AS943" s="13" t="s">
        <v>49</v>
      </c>
      <c r="AT943" s="13" t="s">
        <v>992</v>
      </c>
      <c r="AU943" s="4" t="s">
        <v>1000</v>
      </c>
      <c r="AV943" s="14">
        <f>(146*1.5)/1.52/1000</f>
        <v>0.14407894736842103</v>
      </c>
      <c r="AW943" s="14">
        <f>(136*1.5)/1.52/1000</f>
        <v>0.13421052631578947</v>
      </c>
      <c r="AX943" s="14">
        <f>Table1347456[[#This Row],[treatment_mean]]/Table1347456[[#This Row],[control_mean]]</f>
        <v>1.0735294117647056</v>
      </c>
      <c r="AY943" s="14">
        <f>LN(Table1347456[[#This Row],[rr]])</f>
        <v>7.0951735972284186E-2</v>
      </c>
      <c r="AZ943" s="13">
        <v>3</v>
      </c>
      <c r="BA943" s="13">
        <v>3</v>
      </c>
      <c r="BB943" s="14" t="s">
        <v>46</v>
      </c>
      <c r="BC943" s="14" t="s">
        <v>46</v>
      </c>
      <c r="BD943" s="15" t="s">
        <v>46</v>
      </c>
      <c r="BE943" s="14" t="s">
        <v>46</v>
      </c>
      <c r="BF94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43" s="17" t="s">
        <v>46</v>
      </c>
      <c r="BH943" s="13" t="s">
        <v>50</v>
      </c>
      <c r="BI943" s="13">
        <v>2.5000000000000001E-2</v>
      </c>
      <c r="BJ943" s="18">
        <f>ABS(_xlfn.NORM.S.INV(Table1347456[[#This Row],[p_value]]/2))</f>
        <v>2.2414027276049446</v>
      </c>
      <c r="BK943" s="19">
        <f>(Table1347456[[#This Row],[lnrr]]/Table1347456[[#This Row],[z_from_p]])^2</f>
        <v>1.0020427712299201E-3</v>
      </c>
      <c r="BL943" s="16">
        <f>Table1347456[[#This Row],[v_from_z_from_p]]</f>
        <v>1.0020427712299201E-3</v>
      </c>
      <c r="BM943" s="20">
        <f>SQRT(Table1347456[[#This Row],[v]])</f>
        <v>3.1655059172743936E-2</v>
      </c>
      <c r="BN943" s="20">
        <f>Table1347456[[#This Row],[lnrr]]-(1.96*Table1347456[[#This Row],[se]])</f>
        <v>8.9078199937060731E-3</v>
      </c>
      <c r="BO943" s="20">
        <f>Table1347456[[#This Row],[lnrr]]+(1.96 * Table1347456[[#This Row],[se]])</f>
        <v>0.1329956519508623</v>
      </c>
    </row>
    <row r="944" spans="1:67">
      <c r="A944" s="13" t="s">
        <v>312</v>
      </c>
      <c r="B944" s="13" t="s">
        <v>313</v>
      </c>
      <c r="C944" s="13" t="s">
        <v>43</v>
      </c>
      <c r="D944" s="13" t="s">
        <v>314</v>
      </c>
      <c r="E944" s="13" t="s">
        <v>151</v>
      </c>
      <c r="F944" s="13" t="s">
        <v>587</v>
      </c>
      <c r="G944" s="13" t="s">
        <v>315</v>
      </c>
      <c r="H944" s="13">
        <v>31.3</v>
      </c>
      <c r="I944" s="13">
        <v>800</v>
      </c>
      <c r="K944" s="13" t="s">
        <v>902</v>
      </c>
      <c r="L944" s="13" t="s">
        <v>903</v>
      </c>
      <c r="N944" s="13" t="s">
        <v>86</v>
      </c>
      <c r="O944" s="13" t="s">
        <v>644</v>
      </c>
      <c r="P944" s="13" t="s">
        <v>71</v>
      </c>
      <c r="Q944" s="13" t="s">
        <v>48</v>
      </c>
      <c r="R944" s="4">
        <v>3</v>
      </c>
      <c r="S944" s="13" t="s">
        <v>595</v>
      </c>
      <c r="T944" s="13">
        <v>365</v>
      </c>
      <c r="U944" s="4" t="s">
        <v>275</v>
      </c>
      <c r="V944" s="4">
        <v>380</v>
      </c>
      <c r="W944" s="4" t="s">
        <v>42</v>
      </c>
      <c r="X944" s="4">
        <v>430</v>
      </c>
      <c r="Y944" s="4">
        <v>40</v>
      </c>
      <c r="AA944" s="4" t="s">
        <v>50</v>
      </c>
      <c r="AB944" s="4">
        <v>90</v>
      </c>
      <c r="AC944" s="4" t="s">
        <v>49</v>
      </c>
      <c r="AD944" s="4">
        <v>0</v>
      </c>
      <c r="AE944" s="4" t="s">
        <v>49</v>
      </c>
      <c r="AF944" s="4">
        <v>0</v>
      </c>
      <c r="AG944" s="4" t="s">
        <v>708</v>
      </c>
      <c r="AH944" s="4" t="s">
        <v>682</v>
      </c>
      <c r="AI944" s="4" t="s">
        <v>297</v>
      </c>
      <c r="AJ944" s="13">
        <v>0</v>
      </c>
      <c r="AK944" s="13">
        <v>15</v>
      </c>
      <c r="AM944" s="13">
        <v>1.52</v>
      </c>
      <c r="AN944" s="13" t="s">
        <v>531</v>
      </c>
      <c r="AO944" s="13" t="s">
        <v>532</v>
      </c>
      <c r="AP944" s="13" t="s">
        <v>49</v>
      </c>
      <c r="AQ944" s="13" t="s">
        <v>49</v>
      </c>
      <c r="AR944" s="13" t="s">
        <v>49</v>
      </c>
      <c r="AS944" s="13" t="s">
        <v>49</v>
      </c>
      <c r="AT944" s="13" t="s">
        <v>992</v>
      </c>
      <c r="AU944" s="4" t="s">
        <v>1000</v>
      </c>
      <c r="AV944" s="14">
        <f>(222*1.5)/1.52/1000</f>
        <v>0.21907894736842104</v>
      </c>
      <c r="AW944" s="14">
        <f>(136*1.5)/1.52/1000</f>
        <v>0.13421052631578947</v>
      </c>
      <c r="AX944" s="14">
        <f>Table1347456[[#This Row],[treatment_mean]]/Table1347456[[#This Row],[control_mean]]</f>
        <v>1.6323529411764706</v>
      </c>
      <c r="AY944" s="14">
        <f>LN(Table1347456[[#This Row],[rr]])</f>
        <v>0.49002249613622745</v>
      </c>
      <c r="AZ944" s="13">
        <v>3</v>
      </c>
      <c r="BA944" s="13">
        <v>3</v>
      </c>
      <c r="BB944" s="14" t="s">
        <v>46</v>
      </c>
      <c r="BC944" s="14" t="s">
        <v>46</v>
      </c>
      <c r="BD944" s="15" t="s">
        <v>46</v>
      </c>
      <c r="BE944" s="14" t="s">
        <v>46</v>
      </c>
      <c r="BF94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44" s="17" t="s">
        <v>46</v>
      </c>
      <c r="BH944" s="13" t="s">
        <v>50</v>
      </c>
      <c r="BI944" s="13">
        <v>2.5000000000000001E-2</v>
      </c>
      <c r="BJ944" s="18">
        <f>ABS(_xlfn.NORM.S.INV(Table1347456[[#This Row],[p_value]]/2))</f>
        <v>2.2414027276049446</v>
      </c>
      <c r="BK944" s="19">
        <f>(Table1347456[[#This Row],[lnrr]]/Table1347456[[#This Row],[z_from_p]])^2</f>
        <v>4.7796076138404121E-2</v>
      </c>
      <c r="BL944" s="16">
        <f>Table1347456[[#This Row],[v_from_z_from_p]]</f>
        <v>4.7796076138404121E-2</v>
      </c>
      <c r="BM944" s="20">
        <f>SQRT(Table1347456[[#This Row],[v]])</f>
        <v>0.21862313724398916</v>
      </c>
      <c r="BN944" s="20">
        <f>Table1347456[[#This Row],[lnrr]]-(1.96*Table1347456[[#This Row],[se]])</f>
        <v>6.1521147138008714E-2</v>
      </c>
      <c r="BO944" s="20">
        <f>Table1347456[[#This Row],[lnrr]]+(1.96 * Table1347456[[#This Row],[se]])</f>
        <v>0.91852384513444618</v>
      </c>
    </row>
    <row r="945" spans="1:67">
      <c r="A945" s="13" t="s">
        <v>312</v>
      </c>
      <c r="B945" s="13" t="s">
        <v>313</v>
      </c>
      <c r="C945" s="13" t="s">
        <v>43</v>
      </c>
      <c r="D945" s="13" t="s">
        <v>314</v>
      </c>
      <c r="E945" s="13" t="s">
        <v>151</v>
      </c>
      <c r="F945" s="13" t="s">
        <v>587</v>
      </c>
      <c r="G945" s="13" t="s">
        <v>315</v>
      </c>
      <c r="H945" s="13">
        <v>31.3</v>
      </c>
      <c r="I945" s="13">
        <v>800</v>
      </c>
      <c r="K945" s="13" t="s">
        <v>902</v>
      </c>
      <c r="L945" s="13" t="s">
        <v>903</v>
      </c>
      <c r="N945" s="13" t="s">
        <v>86</v>
      </c>
      <c r="O945" s="13" t="s">
        <v>644</v>
      </c>
      <c r="P945" s="13" t="s">
        <v>71</v>
      </c>
      <c r="Q945" s="13" t="s">
        <v>48</v>
      </c>
      <c r="R945" s="4">
        <v>3</v>
      </c>
      <c r="S945" s="13" t="s">
        <v>595</v>
      </c>
      <c r="T945" s="13">
        <v>365</v>
      </c>
      <c r="U945" s="4" t="s">
        <v>275</v>
      </c>
      <c r="V945" s="4">
        <v>380</v>
      </c>
      <c r="W945" s="4" t="s">
        <v>42</v>
      </c>
      <c r="X945" s="4">
        <v>430</v>
      </c>
      <c r="Y945" s="4">
        <v>10</v>
      </c>
      <c r="AA945" s="4" t="s">
        <v>50</v>
      </c>
      <c r="AB945" s="4">
        <v>90</v>
      </c>
      <c r="AC945" s="4" t="s">
        <v>49</v>
      </c>
      <c r="AD945" s="4">
        <v>0</v>
      </c>
      <c r="AE945" s="4" t="s">
        <v>49</v>
      </c>
      <c r="AF945" s="4">
        <v>0</v>
      </c>
      <c r="AG945" s="4" t="s">
        <v>708</v>
      </c>
      <c r="AH945" s="4" t="s">
        <v>775</v>
      </c>
      <c r="AI945" s="4" t="s">
        <v>52</v>
      </c>
      <c r="AJ945" s="13">
        <v>0</v>
      </c>
      <c r="AK945" s="13">
        <v>15</v>
      </c>
      <c r="AM945" s="13" t="s">
        <v>533</v>
      </c>
      <c r="AN945" s="13" t="s">
        <v>531</v>
      </c>
      <c r="AO945" s="13" t="s">
        <v>532</v>
      </c>
      <c r="AP945" s="13" t="s">
        <v>49</v>
      </c>
      <c r="AQ945" s="13" t="s">
        <v>49</v>
      </c>
      <c r="AR945" s="13" t="s">
        <v>49</v>
      </c>
      <c r="AS945" s="13" t="s">
        <v>49</v>
      </c>
      <c r="AT945" s="13" t="s">
        <v>992</v>
      </c>
      <c r="AU945" s="4" t="s">
        <v>1000</v>
      </c>
      <c r="AV945" s="14">
        <f>(179*1.5)/1.37/1000</f>
        <v>0.19598540145985399</v>
      </c>
      <c r="AW945" s="14">
        <f>(146*1.5)/1.37/1000</f>
        <v>0.15985401459854015</v>
      </c>
      <c r="AX945" s="14">
        <f>Table1347456[[#This Row],[treatment_mean]]/Table1347456[[#This Row],[control_mean]]</f>
        <v>1.2260273972602738</v>
      </c>
      <c r="AY945" s="14">
        <f>LN(Table1347456[[#This Row],[rr]])</f>
        <v>0.20377918413241838</v>
      </c>
      <c r="AZ945" s="13">
        <v>3</v>
      </c>
      <c r="BA945" s="13">
        <v>3</v>
      </c>
      <c r="BB945" s="14" t="s">
        <v>46</v>
      </c>
      <c r="BC945" s="14" t="s">
        <v>46</v>
      </c>
      <c r="BD945" s="15" t="s">
        <v>46</v>
      </c>
      <c r="BE945" s="14" t="s">
        <v>46</v>
      </c>
      <c r="BF94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45" s="17" t="s">
        <v>46</v>
      </c>
      <c r="BH945" s="13" t="s">
        <v>50</v>
      </c>
      <c r="BI945" s="13">
        <v>2.5000000000000001E-2</v>
      </c>
      <c r="BJ945" s="18">
        <f>ABS(_xlfn.NORM.S.INV(Table1347456[[#This Row],[p_value]]/2))</f>
        <v>2.2414027276049446</v>
      </c>
      <c r="BK945" s="19">
        <f>(Table1347456[[#This Row],[lnrr]]/Table1347456[[#This Row],[z_from_p]])^2</f>
        <v>8.2657039465833197E-3</v>
      </c>
      <c r="BL945" s="16">
        <f>Table1347456[[#This Row],[v_from_z_from_p]]</f>
        <v>8.2657039465833197E-3</v>
      </c>
      <c r="BM945" s="20">
        <f>SQRT(Table1347456[[#This Row],[v]])</f>
        <v>9.0915916904485541E-2</v>
      </c>
      <c r="BN945" s="20">
        <f>Table1347456[[#This Row],[lnrr]]-(1.96*Table1347456[[#This Row],[se]])</f>
        <v>2.5583986999626718E-2</v>
      </c>
      <c r="BO945" s="20">
        <f>Table1347456[[#This Row],[lnrr]]+(1.96 * Table1347456[[#This Row],[se]])</f>
        <v>0.38197438126521005</v>
      </c>
    </row>
    <row r="946" spans="1:67">
      <c r="A946" s="13" t="s">
        <v>312</v>
      </c>
      <c r="B946" s="13" t="s">
        <v>313</v>
      </c>
      <c r="C946" s="13" t="s">
        <v>43</v>
      </c>
      <c r="D946" s="13" t="s">
        <v>314</v>
      </c>
      <c r="E946" s="13" t="s">
        <v>151</v>
      </c>
      <c r="F946" s="13" t="s">
        <v>587</v>
      </c>
      <c r="G946" s="13" t="s">
        <v>315</v>
      </c>
      <c r="H946" s="13">
        <v>31.3</v>
      </c>
      <c r="I946" s="13">
        <v>800</v>
      </c>
      <c r="K946" s="13" t="s">
        <v>902</v>
      </c>
      <c r="L946" s="13" t="s">
        <v>903</v>
      </c>
      <c r="N946" s="13" t="s">
        <v>86</v>
      </c>
      <c r="O946" s="13" t="s">
        <v>644</v>
      </c>
      <c r="P946" s="13" t="s">
        <v>71</v>
      </c>
      <c r="Q946" s="13" t="s">
        <v>48</v>
      </c>
      <c r="R946" s="4">
        <v>3</v>
      </c>
      <c r="S946" s="13" t="s">
        <v>595</v>
      </c>
      <c r="T946" s="13">
        <v>365</v>
      </c>
      <c r="U946" s="4" t="s">
        <v>275</v>
      </c>
      <c r="V946" s="4">
        <v>380</v>
      </c>
      <c r="W946" s="4" t="s">
        <v>42</v>
      </c>
      <c r="X946" s="4">
        <v>430</v>
      </c>
      <c r="Y946" s="4">
        <v>20</v>
      </c>
      <c r="AA946" s="4" t="s">
        <v>50</v>
      </c>
      <c r="AB946" s="4">
        <v>90</v>
      </c>
      <c r="AC946" s="4" t="s">
        <v>49</v>
      </c>
      <c r="AD946" s="4">
        <v>0</v>
      </c>
      <c r="AE946" s="4" t="s">
        <v>49</v>
      </c>
      <c r="AF946" s="4">
        <v>0</v>
      </c>
      <c r="AG946" s="4" t="s">
        <v>708</v>
      </c>
      <c r="AH946" s="4" t="s">
        <v>775</v>
      </c>
      <c r="AI946" s="4" t="s">
        <v>52</v>
      </c>
      <c r="AJ946" s="13">
        <v>0</v>
      </c>
      <c r="AK946" s="13">
        <v>15</v>
      </c>
      <c r="AM946" s="13" t="s">
        <v>533</v>
      </c>
      <c r="AN946" s="13" t="s">
        <v>531</v>
      </c>
      <c r="AO946" s="13" t="s">
        <v>532</v>
      </c>
      <c r="AP946" s="13" t="s">
        <v>49</v>
      </c>
      <c r="AQ946" s="13" t="s">
        <v>49</v>
      </c>
      <c r="AR946" s="13" t="s">
        <v>49</v>
      </c>
      <c r="AS946" s="13" t="s">
        <v>49</v>
      </c>
      <c r="AT946" s="13" t="s">
        <v>992</v>
      </c>
      <c r="AU946" s="4" t="s">
        <v>1000</v>
      </c>
      <c r="AV946" s="14">
        <f>(291*1.5)/1.37/1000</f>
        <v>0.31861313868613139</v>
      </c>
      <c r="AW946" s="14">
        <f>(146*1.5)/1.37/1000</f>
        <v>0.15985401459854015</v>
      </c>
      <c r="AX946" s="14">
        <f>Table1347456[[#This Row],[treatment_mean]]/Table1347456[[#This Row],[control_mean]]</f>
        <v>1.9931506849315068</v>
      </c>
      <c r="AY946" s="14">
        <f>LN(Table1347456[[#This Row],[rr]])</f>
        <v>0.68971664546315603</v>
      </c>
      <c r="AZ946" s="13">
        <v>3</v>
      </c>
      <c r="BA946" s="13">
        <v>3</v>
      </c>
      <c r="BB946" s="14" t="s">
        <v>46</v>
      </c>
      <c r="BC946" s="14" t="s">
        <v>46</v>
      </c>
      <c r="BD946" s="15" t="s">
        <v>46</v>
      </c>
      <c r="BE946" s="14" t="s">
        <v>46</v>
      </c>
      <c r="BF94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46" s="17" t="s">
        <v>46</v>
      </c>
      <c r="BH946" s="13" t="s">
        <v>50</v>
      </c>
      <c r="BI946" s="13">
        <v>2.5000000000000001E-2</v>
      </c>
      <c r="BJ946" s="18">
        <f>ABS(_xlfn.NORM.S.INV(Table1347456[[#This Row],[p_value]]/2))</f>
        <v>2.2414027276049446</v>
      </c>
      <c r="BK946" s="19">
        <f>(Table1347456[[#This Row],[lnrr]]/Table1347456[[#This Row],[z_from_p]])^2</f>
        <v>9.4689456188337892E-2</v>
      </c>
      <c r="BL946" s="16">
        <f>Table1347456[[#This Row],[v_from_z_from_p]]</f>
        <v>9.4689456188337892E-2</v>
      </c>
      <c r="BM946" s="20">
        <f>SQRT(Table1347456[[#This Row],[v]])</f>
        <v>0.30771651919963267</v>
      </c>
      <c r="BN946" s="20">
        <f>Table1347456[[#This Row],[lnrr]]-(1.96*Table1347456[[#This Row],[se]])</f>
        <v>8.6592267831876013E-2</v>
      </c>
      <c r="BO946" s="20">
        <f>Table1347456[[#This Row],[lnrr]]+(1.96 * Table1347456[[#This Row],[se]])</f>
        <v>1.292841023094436</v>
      </c>
    </row>
    <row r="947" spans="1:67">
      <c r="A947" s="13" t="s">
        <v>312</v>
      </c>
      <c r="B947" s="13" t="s">
        <v>313</v>
      </c>
      <c r="C947" s="13" t="s">
        <v>43</v>
      </c>
      <c r="D947" s="13" t="s">
        <v>314</v>
      </c>
      <c r="E947" s="13" t="s">
        <v>151</v>
      </c>
      <c r="F947" s="13" t="s">
        <v>587</v>
      </c>
      <c r="G947" s="13" t="s">
        <v>315</v>
      </c>
      <c r="H947" s="13">
        <v>31.3</v>
      </c>
      <c r="I947" s="13">
        <v>800</v>
      </c>
      <c r="K947" s="13" t="s">
        <v>902</v>
      </c>
      <c r="L947" s="13" t="s">
        <v>903</v>
      </c>
      <c r="N947" s="13" t="s">
        <v>86</v>
      </c>
      <c r="O947" s="13" t="s">
        <v>644</v>
      </c>
      <c r="P947" s="13" t="s">
        <v>71</v>
      </c>
      <c r="Q947" s="13" t="s">
        <v>48</v>
      </c>
      <c r="R947" s="4">
        <v>3</v>
      </c>
      <c r="S947" s="13" t="s">
        <v>595</v>
      </c>
      <c r="T947" s="13">
        <v>365</v>
      </c>
      <c r="U947" s="4" t="s">
        <v>275</v>
      </c>
      <c r="V947" s="4">
        <v>380</v>
      </c>
      <c r="W947" s="4" t="s">
        <v>42</v>
      </c>
      <c r="X947" s="4">
        <v>430</v>
      </c>
      <c r="Y947" s="4">
        <v>40</v>
      </c>
      <c r="AA947" s="4" t="s">
        <v>50</v>
      </c>
      <c r="AB947" s="4">
        <v>90</v>
      </c>
      <c r="AC947" s="4" t="s">
        <v>49</v>
      </c>
      <c r="AD947" s="4">
        <v>0</v>
      </c>
      <c r="AE947" s="4" t="s">
        <v>49</v>
      </c>
      <c r="AF947" s="4">
        <v>0</v>
      </c>
      <c r="AG947" s="4" t="s">
        <v>708</v>
      </c>
      <c r="AH947" s="4" t="s">
        <v>775</v>
      </c>
      <c r="AI947" s="4" t="s">
        <v>52</v>
      </c>
      <c r="AJ947" s="13">
        <v>0</v>
      </c>
      <c r="AK947" s="13">
        <v>15</v>
      </c>
      <c r="AM947" s="13" t="s">
        <v>533</v>
      </c>
      <c r="AN947" s="13" t="s">
        <v>531</v>
      </c>
      <c r="AO947" s="13" t="s">
        <v>532</v>
      </c>
      <c r="AP947" s="13" t="s">
        <v>49</v>
      </c>
      <c r="AQ947" s="13" t="s">
        <v>49</v>
      </c>
      <c r="AR947" s="13" t="s">
        <v>49</v>
      </c>
      <c r="AS947" s="13" t="s">
        <v>49</v>
      </c>
      <c r="AT947" s="13" t="s">
        <v>992</v>
      </c>
      <c r="AU947" s="4" t="s">
        <v>1000</v>
      </c>
      <c r="AV947" s="14">
        <f>(282*1.5)/1.37/1000</f>
        <v>0.30875912408759121</v>
      </c>
      <c r="AW947" s="14">
        <f>(146*1.5)/1.37/1000</f>
        <v>0.15985401459854015</v>
      </c>
      <c r="AX947" s="14">
        <f>Table1347456[[#This Row],[treatment_mean]]/Table1347456[[#This Row],[control_mean]]</f>
        <v>1.9315068493150682</v>
      </c>
      <c r="AY947" s="14">
        <f>LN(Table1347456[[#This Row],[rr]])</f>
        <v>0.65830044922977704</v>
      </c>
      <c r="AZ947" s="13">
        <v>3</v>
      </c>
      <c r="BA947" s="13">
        <v>3</v>
      </c>
      <c r="BB947" s="14" t="s">
        <v>46</v>
      </c>
      <c r="BC947" s="14" t="s">
        <v>46</v>
      </c>
      <c r="BD947" s="15" t="s">
        <v>46</v>
      </c>
      <c r="BE947" s="14" t="s">
        <v>46</v>
      </c>
      <c r="BF94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47" s="17" t="s">
        <v>46</v>
      </c>
      <c r="BH947" s="13" t="s">
        <v>50</v>
      </c>
      <c r="BI947" s="13">
        <v>2.5000000000000001E-2</v>
      </c>
      <c r="BJ947" s="18">
        <f>ABS(_xlfn.NORM.S.INV(Table1347456[[#This Row],[p_value]]/2))</f>
        <v>2.2414027276049446</v>
      </c>
      <c r="BK947" s="19">
        <f>(Table1347456[[#This Row],[lnrr]]/Table1347456[[#This Row],[z_from_p]])^2</f>
        <v>8.6259812682528872E-2</v>
      </c>
      <c r="BL947" s="16">
        <f>Table1347456[[#This Row],[v_from_z_from_p]]</f>
        <v>8.6259812682528872E-2</v>
      </c>
      <c r="BM947" s="20">
        <f>SQRT(Table1347456[[#This Row],[v]])</f>
        <v>0.29370020885680159</v>
      </c>
      <c r="BN947" s="20">
        <f>Table1347456[[#This Row],[lnrr]]-(1.96*Table1347456[[#This Row],[se]])</f>
        <v>8.2648039870445889E-2</v>
      </c>
      <c r="BO947" s="20">
        <f>Table1347456[[#This Row],[lnrr]]+(1.96 * Table1347456[[#This Row],[se]])</f>
        <v>1.2339528585891082</v>
      </c>
    </row>
    <row r="948" spans="1:67">
      <c r="A948" s="13" t="s">
        <v>312</v>
      </c>
      <c r="B948" s="13" t="s">
        <v>313</v>
      </c>
      <c r="C948" s="13" t="s">
        <v>43</v>
      </c>
      <c r="D948" s="13" t="s">
        <v>314</v>
      </c>
      <c r="E948" s="13" t="s">
        <v>151</v>
      </c>
      <c r="F948" s="13" t="s">
        <v>587</v>
      </c>
      <c r="G948" s="13" t="s">
        <v>315</v>
      </c>
      <c r="H948" s="13">
        <v>31.3</v>
      </c>
      <c r="I948" s="13">
        <v>800</v>
      </c>
      <c r="K948" s="13" t="s">
        <v>902</v>
      </c>
      <c r="L948" s="13" t="s">
        <v>903</v>
      </c>
      <c r="N948" s="13" t="s">
        <v>86</v>
      </c>
      <c r="O948" s="13" t="s">
        <v>644</v>
      </c>
      <c r="P948" s="13" t="s">
        <v>71</v>
      </c>
      <c r="Q948" s="13" t="s">
        <v>48</v>
      </c>
      <c r="R948" s="4">
        <v>3</v>
      </c>
      <c r="S948" s="13" t="s">
        <v>595</v>
      </c>
      <c r="T948" s="13">
        <v>365</v>
      </c>
      <c r="U948" s="4" t="s">
        <v>275</v>
      </c>
      <c r="V948" s="4">
        <v>380</v>
      </c>
      <c r="W948" s="4" t="s">
        <v>42</v>
      </c>
      <c r="X948" s="4">
        <v>430</v>
      </c>
      <c r="Y948" s="4">
        <v>10</v>
      </c>
      <c r="AA948" s="4" t="s">
        <v>50</v>
      </c>
      <c r="AB948" s="4">
        <v>120</v>
      </c>
      <c r="AC948" s="4" t="s">
        <v>49</v>
      </c>
      <c r="AD948" s="4">
        <v>0</v>
      </c>
      <c r="AE948" s="4" t="s">
        <v>49</v>
      </c>
      <c r="AF948" s="4">
        <v>0</v>
      </c>
      <c r="AG948" s="4" t="s">
        <v>708</v>
      </c>
      <c r="AH948" s="4" t="s">
        <v>682</v>
      </c>
      <c r="AI948" s="4" t="s">
        <v>297</v>
      </c>
      <c r="AJ948" s="13">
        <v>0</v>
      </c>
      <c r="AK948" s="13">
        <v>15</v>
      </c>
      <c r="AM948" s="13">
        <v>1.52</v>
      </c>
      <c r="AN948" s="13" t="s">
        <v>531</v>
      </c>
      <c r="AO948" s="13" t="s">
        <v>532</v>
      </c>
      <c r="AP948" s="13" t="s">
        <v>49</v>
      </c>
      <c r="AQ948" s="13" t="s">
        <v>49</v>
      </c>
      <c r="AR948" s="13" t="s">
        <v>49</v>
      </c>
      <c r="AS948" s="13" t="s">
        <v>49</v>
      </c>
      <c r="AT948" s="13" t="s">
        <v>992</v>
      </c>
      <c r="AU948" s="4" t="s">
        <v>1000</v>
      </c>
      <c r="AV948" s="14">
        <f>(139*1.5)/1.52/1000</f>
        <v>0.13717105263157897</v>
      </c>
      <c r="AW948" s="14">
        <f>(132*1.5)/1.52/1000</f>
        <v>0.13026315789473686</v>
      </c>
      <c r="AX948" s="14">
        <f>Table1347456[[#This Row],[treatment_mean]]/Table1347456[[#This Row],[control_mean]]</f>
        <v>1.053030303030303</v>
      </c>
      <c r="AY948" s="14">
        <f>LN(Table1347456[[#This Row],[rr]])</f>
        <v>5.1672010544320857E-2</v>
      </c>
      <c r="AZ948" s="13">
        <v>3</v>
      </c>
      <c r="BA948" s="13">
        <v>3</v>
      </c>
      <c r="BB948" s="14" t="s">
        <v>46</v>
      </c>
      <c r="BC948" s="14" t="s">
        <v>46</v>
      </c>
      <c r="BD948" s="15" t="s">
        <v>46</v>
      </c>
      <c r="BE948" s="14" t="s">
        <v>46</v>
      </c>
      <c r="BF94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48" s="17" t="s">
        <v>46</v>
      </c>
      <c r="BH948" s="13" t="s">
        <v>50</v>
      </c>
      <c r="BI948" s="13">
        <v>2.5000000000000001E-2</v>
      </c>
      <c r="BJ948" s="18">
        <f>ABS(_xlfn.NORM.S.INV(Table1347456[[#This Row],[p_value]]/2))</f>
        <v>2.2414027276049446</v>
      </c>
      <c r="BK948" s="19">
        <f>(Table1347456[[#This Row],[lnrr]]/Table1347456[[#This Row],[z_from_p]])^2</f>
        <v>5.3146042209993572E-4</v>
      </c>
      <c r="BL948" s="16">
        <f>Table1347456[[#This Row],[v_from_z_from_p]]</f>
        <v>5.3146042209993572E-4</v>
      </c>
      <c r="BM948" s="20">
        <f>SQRT(Table1347456[[#This Row],[v]])</f>
        <v>2.3053425387563033E-2</v>
      </c>
      <c r="BN948" s="20">
        <f>Table1347456[[#This Row],[lnrr]]-(1.96*Table1347456[[#This Row],[se]])</f>
        <v>6.4872967846973106E-3</v>
      </c>
      <c r="BO948" s="20">
        <f>Table1347456[[#This Row],[lnrr]]+(1.96 * Table1347456[[#This Row],[se]])</f>
        <v>9.6856724303944403E-2</v>
      </c>
    </row>
    <row r="949" spans="1:67">
      <c r="A949" s="13" t="s">
        <v>312</v>
      </c>
      <c r="B949" s="13" t="s">
        <v>313</v>
      </c>
      <c r="C949" s="13" t="s">
        <v>43</v>
      </c>
      <c r="D949" s="13" t="s">
        <v>314</v>
      </c>
      <c r="E949" s="13" t="s">
        <v>151</v>
      </c>
      <c r="F949" s="13" t="s">
        <v>587</v>
      </c>
      <c r="G949" s="13" t="s">
        <v>315</v>
      </c>
      <c r="H949" s="13">
        <v>31.3</v>
      </c>
      <c r="I949" s="13">
        <v>800</v>
      </c>
      <c r="K949" s="13" t="s">
        <v>902</v>
      </c>
      <c r="L949" s="13" t="s">
        <v>903</v>
      </c>
      <c r="N949" s="13" t="s">
        <v>86</v>
      </c>
      <c r="O949" s="13" t="s">
        <v>644</v>
      </c>
      <c r="P949" s="13" t="s">
        <v>71</v>
      </c>
      <c r="Q949" s="13" t="s">
        <v>48</v>
      </c>
      <c r="R949" s="4">
        <v>3</v>
      </c>
      <c r="S949" s="13" t="s">
        <v>595</v>
      </c>
      <c r="T949" s="13">
        <v>365</v>
      </c>
      <c r="U949" s="4" t="s">
        <v>275</v>
      </c>
      <c r="V949" s="4">
        <v>380</v>
      </c>
      <c r="W949" s="4" t="s">
        <v>42</v>
      </c>
      <c r="X949" s="4">
        <v>430</v>
      </c>
      <c r="Y949" s="4">
        <v>20</v>
      </c>
      <c r="AA949" s="4" t="s">
        <v>50</v>
      </c>
      <c r="AB949" s="4">
        <v>120</v>
      </c>
      <c r="AC949" s="4" t="s">
        <v>49</v>
      </c>
      <c r="AD949" s="4">
        <v>0</v>
      </c>
      <c r="AE949" s="4" t="s">
        <v>49</v>
      </c>
      <c r="AF949" s="4">
        <v>0</v>
      </c>
      <c r="AG949" s="4" t="s">
        <v>708</v>
      </c>
      <c r="AH949" s="4" t="s">
        <v>682</v>
      </c>
      <c r="AI949" s="4" t="s">
        <v>297</v>
      </c>
      <c r="AJ949" s="13">
        <v>0</v>
      </c>
      <c r="AK949" s="13">
        <v>15</v>
      </c>
      <c r="AM949" s="13">
        <v>1.52</v>
      </c>
      <c r="AN949" s="13" t="s">
        <v>531</v>
      </c>
      <c r="AO949" s="13" t="s">
        <v>532</v>
      </c>
      <c r="AP949" s="13" t="s">
        <v>49</v>
      </c>
      <c r="AQ949" s="13" t="s">
        <v>49</v>
      </c>
      <c r="AR949" s="13" t="s">
        <v>49</v>
      </c>
      <c r="AS949" s="13" t="s">
        <v>49</v>
      </c>
      <c r="AT949" s="13" t="s">
        <v>992</v>
      </c>
      <c r="AU949" s="4" t="s">
        <v>1000</v>
      </c>
      <c r="AV949" s="14">
        <f>(157*1.5)/1.52/1000</f>
        <v>0.15493421052631579</v>
      </c>
      <c r="AW949" s="14">
        <f>(132*1.5)/1.52/1000</f>
        <v>0.13026315789473686</v>
      </c>
      <c r="AX949" s="14">
        <f>Table1347456[[#This Row],[treatment_mean]]/Table1347456[[#This Row],[control_mean]]</f>
        <v>1.1893939393939392</v>
      </c>
      <c r="AY949" s="14">
        <f>LN(Table1347456[[#This Row],[rr]])</f>
        <v>0.17344388276193706</v>
      </c>
      <c r="AZ949" s="13">
        <v>3</v>
      </c>
      <c r="BA949" s="13">
        <v>3</v>
      </c>
      <c r="BB949" s="14" t="s">
        <v>46</v>
      </c>
      <c r="BC949" s="14" t="s">
        <v>46</v>
      </c>
      <c r="BD949" s="15" t="s">
        <v>46</v>
      </c>
      <c r="BE949" s="14" t="s">
        <v>46</v>
      </c>
      <c r="BF94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49" s="17" t="s">
        <v>46</v>
      </c>
      <c r="BH949" s="13" t="s">
        <v>50</v>
      </c>
      <c r="BI949" s="13">
        <v>2.5000000000000001E-2</v>
      </c>
      <c r="BJ949" s="18">
        <f>ABS(_xlfn.NORM.S.INV(Table1347456[[#This Row],[p_value]]/2))</f>
        <v>2.2414027276049446</v>
      </c>
      <c r="BK949" s="19">
        <f>(Table1347456[[#This Row],[lnrr]]/Table1347456[[#This Row],[z_from_p]])^2</f>
        <v>5.9879502333262244E-3</v>
      </c>
      <c r="BL949" s="16">
        <f>Table1347456[[#This Row],[v_from_z_from_p]]</f>
        <v>5.9879502333262244E-3</v>
      </c>
      <c r="BM949" s="20">
        <f>SQRT(Table1347456[[#This Row],[v]])</f>
        <v>7.7381846923721229E-2</v>
      </c>
      <c r="BN949" s="20">
        <f>Table1347456[[#This Row],[lnrr]]-(1.96*Table1347456[[#This Row],[se]])</f>
        <v>2.1775462791443462E-2</v>
      </c>
      <c r="BO949" s="20">
        <f>Table1347456[[#This Row],[lnrr]]+(1.96 * Table1347456[[#This Row],[se]])</f>
        <v>0.32511230273243064</v>
      </c>
    </row>
    <row r="950" spans="1:67">
      <c r="A950" s="13" t="s">
        <v>312</v>
      </c>
      <c r="B950" s="13" t="s">
        <v>313</v>
      </c>
      <c r="C950" s="13" t="s">
        <v>43</v>
      </c>
      <c r="D950" s="13" t="s">
        <v>314</v>
      </c>
      <c r="E950" s="13" t="s">
        <v>151</v>
      </c>
      <c r="F950" s="13" t="s">
        <v>587</v>
      </c>
      <c r="G950" s="13" t="s">
        <v>315</v>
      </c>
      <c r="H950" s="13">
        <v>31.3</v>
      </c>
      <c r="I950" s="13">
        <v>800</v>
      </c>
      <c r="K950" s="13" t="s">
        <v>902</v>
      </c>
      <c r="L950" s="13" t="s">
        <v>903</v>
      </c>
      <c r="N950" s="13" t="s">
        <v>86</v>
      </c>
      <c r="O950" s="13" t="s">
        <v>644</v>
      </c>
      <c r="P950" s="13" t="s">
        <v>71</v>
      </c>
      <c r="Q950" s="13" t="s">
        <v>48</v>
      </c>
      <c r="R950" s="4">
        <v>3</v>
      </c>
      <c r="S950" s="13" t="s">
        <v>595</v>
      </c>
      <c r="T950" s="13">
        <v>365</v>
      </c>
      <c r="U950" s="4" t="s">
        <v>275</v>
      </c>
      <c r="V950" s="4">
        <v>380</v>
      </c>
      <c r="W950" s="4" t="s">
        <v>42</v>
      </c>
      <c r="X950" s="4">
        <v>430</v>
      </c>
      <c r="Y950" s="4">
        <v>40</v>
      </c>
      <c r="AA950" s="4" t="s">
        <v>50</v>
      </c>
      <c r="AB950" s="4">
        <v>120</v>
      </c>
      <c r="AC950" s="4" t="s">
        <v>49</v>
      </c>
      <c r="AD950" s="4">
        <v>0</v>
      </c>
      <c r="AE950" s="4" t="s">
        <v>49</v>
      </c>
      <c r="AF950" s="4">
        <v>0</v>
      </c>
      <c r="AG950" s="4" t="s">
        <v>708</v>
      </c>
      <c r="AH950" s="4" t="s">
        <v>682</v>
      </c>
      <c r="AI950" s="4" t="s">
        <v>297</v>
      </c>
      <c r="AJ950" s="13">
        <v>0</v>
      </c>
      <c r="AK950" s="13">
        <v>15</v>
      </c>
      <c r="AM950" s="13">
        <v>1.52</v>
      </c>
      <c r="AN950" s="13" t="s">
        <v>531</v>
      </c>
      <c r="AO950" s="13" t="s">
        <v>532</v>
      </c>
      <c r="AP950" s="13" t="s">
        <v>49</v>
      </c>
      <c r="AQ950" s="13" t="s">
        <v>49</v>
      </c>
      <c r="AR950" s="13" t="s">
        <v>49</v>
      </c>
      <c r="AS950" s="13" t="s">
        <v>49</v>
      </c>
      <c r="AT950" s="13" t="s">
        <v>992</v>
      </c>
      <c r="AU950" s="4" t="s">
        <v>1000</v>
      </c>
      <c r="AV950" s="14">
        <f>(193*1.5)/1.52/1000</f>
        <v>0.19046052631578947</v>
      </c>
      <c r="AW950" s="14">
        <f>(132*1.5)/1.52/1000</f>
        <v>0.13026315789473686</v>
      </c>
      <c r="AX950" s="14">
        <f>Table1347456[[#This Row],[treatment_mean]]/Table1347456[[#This Row],[control_mean]]</f>
        <v>1.4621212121212119</v>
      </c>
      <c r="AY950" s="14">
        <f>LN(Table1347456[[#This Row],[rr]])</f>
        <v>0.37988826631851458</v>
      </c>
      <c r="AZ950" s="13">
        <v>3</v>
      </c>
      <c r="BA950" s="13">
        <v>3</v>
      </c>
      <c r="BB950" s="14" t="s">
        <v>46</v>
      </c>
      <c r="BC950" s="14" t="s">
        <v>46</v>
      </c>
      <c r="BD950" s="15" t="s">
        <v>46</v>
      </c>
      <c r="BE950" s="14" t="s">
        <v>46</v>
      </c>
      <c r="BF95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50" s="17" t="s">
        <v>46</v>
      </c>
      <c r="BH950" s="13" t="s">
        <v>50</v>
      </c>
      <c r="BI950" s="13">
        <v>2.5000000000000001E-2</v>
      </c>
      <c r="BJ950" s="18">
        <f>ABS(_xlfn.NORM.S.INV(Table1347456[[#This Row],[p_value]]/2))</f>
        <v>2.2414027276049446</v>
      </c>
      <c r="BK950" s="19">
        <f>(Table1347456[[#This Row],[lnrr]]/Table1347456[[#This Row],[z_from_p]])^2</f>
        <v>2.8725789061638494E-2</v>
      </c>
      <c r="BL950" s="16">
        <f>Table1347456[[#This Row],[v_from_z_from_p]]</f>
        <v>2.8725789061638494E-2</v>
      </c>
      <c r="BM950" s="20">
        <f>SQRT(Table1347456[[#This Row],[v]])</f>
        <v>0.16948684037894651</v>
      </c>
      <c r="BN950" s="20">
        <f>Table1347456[[#This Row],[lnrr]]-(1.96*Table1347456[[#This Row],[se]])</f>
        <v>4.7694059175779402E-2</v>
      </c>
      <c r="BO950" s="20">
        <f>Table1347456[[#This Row],[lnrr]]+(1.96 * Table1347456[[#This Row],[se]])</f>
        <v>0.71208247346124975</v>
      </c>
    </row>
    <row r="951" spans="1:67">
      <c r="A951" s="13" t="s">
        <v>312</v>
      </c>
      <c r="B951" s="13" t="s">
        <v>313</v>
      </c>
      <c r="C951" s="13" t="s">
        <v>43</v>
      </c>
      <c r="D951" s="13" t="s">
        <v>314</v>
      </c>
      <c r="E951" s="13" t="s">
        <v>151</v>
      </c>
      <c r="F951" s="13" t="s">
        <v>587</v>
      </c>
      <c r="G951" s="13" t="s">
        <v>315</v>
      </c>
      <c r="H951" s="13">
        <v>31.3</v>
      </c>
      <c r="I951" s="13">
        <v>800</v>
      </c>
      <c r="K951" s="13" t="s">
        <v>902</v>
      </c>
      <c r="L951" s="13" t="s">
        <v>903</v>
      </c>
      <c r="N951" s="13" t="s">
        <v>86</v>
      </c>
      <c r="O951" s="13" t="s">
        <v>644</v>
      </c>
      <c r="P951" s="13" t="s">
        <v>71</v>
      </c>
      <c r="Q951" s="13" t="s">
        <v>48</v>
      </c>
      <c r="R951" s="4">
        <v>3</v>
      </c>
      <c r="S951" s="13" t="s">
        <v>595</v>
      </c>
      <c r="T951" s="13">
        <v>365</v>
      </c>
      <c r="U951" s="4" t="s">
        <v>275</v>
      </c>
      <c r="V951" s="4">
        <v>380</v>
      </c>
      <c r="W951" s="4" t="s">
        <v>42</v>
      </c>
      <c r="X951" s="4">
        <v>430</v>
      </c>
      <c r="Y951" s="4">
        <v>10</v>
      </c>
      <c r="AA951" s="4" t="s">
        <v>50</v>
      </c>
      <c r="AB951" s="4">
        <v>120</v>
      </c>
      <c r="AC951" s="4" t="s">
        <v>49</v>
      </c>
      <c r="AD951" s="4">
        <v>0</v>
      </c>
      <c r="AE951" s="4" t="s">
        <v>49</v>
      </c>
      <c r="AF951" s="4">
        <v>0</v>
      </c>
      <c r="AG951" s="4" t="s">
        <v>708</v>
      </c>
      <c r="AH951" s="4" t="s">
        <v>775</v>
      </c>
      <c r="AI951" s="4" t="s">
        <v>52</v>
      </c>
      <c r="AJ951" s="13">
        <v>0</v>
      </c>
      <c r="AK951" s="13">
        <v>15</v>
      </c>
      <c r="AM951" s="13" t="s">
        <v>533</v>
      </c>
      <c r="AN951" s="13" t="s">
        <v>531</v>
      </c>
      <c r="AO951" s="13" t="s">
        <v>532</v>
      </c>
      <c r="AP951" s="13" t="s">
        <v>49</v>
      </c>
      <c r="AQ951" s="13" t="s">
        <v>49</v>
      </c>
      <c r="AR951" s="13" t="s">
        <v>49</v>
      </c>
      <c r="AS951" s="13" t="s">
        <v>49</v>
      </c>
      <c r="AT951" s="13" t="s">
        <v>992</v>
      </c>
      <c r="AU951" s="4" t="s">
        <v>1000</v>
      </c>
      <c r="AV951" s="14">
        <f>(134*1.5)/1.37/1000</f>
        <v>0.14671532846715329</v>
      </c>
      <c r="AW951" s="14">
        <f>(119*1.5)/1.37/1000</f>
        <v>0.13029197080291971</v>
      </c>
      <c r="AX951" s="14">
        <f>Table1347456[[#This Row],[treatment_mean]]/Table1347456[[#This Row],[control_mean]]</f>
        <v>1.1260504201680672</v>
      </c>
      <c r="AY951" s="14">
        <f>LN(Table1347456[[#This Row],[rr]])</f>
        <v>0.11871630683938197</v>
      </c>
      <c r="AZ951" s="13">
        <v>3</v>
      </c>
      <c r="BA951" s="13">
        <v>3</v>
      </c>
      <c r="BB951" s="14" t="s">
        <v>46</v>
      </c>
      <c r="BC951" s="14" t="s">
        <v>46</v>
      </c>
      <c r="BD951" s="15" t="s">
        <v>46</v>
      </c>
      <c r="BE951" s="14" t="s">
        <v>46</v>
      </c>
      <c r="BF95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51" s="17" t="s">
        <v>46</v>
      </c>
      <c r="BH951" s="13" t="s">
        <v>50</v>
      </c>
      <c r="BI951" s="13">
        <v>2.5000000000000001E-2</v>
      </c>
      <c r="BJ951" s="18">
        <f>ABS(_xlfn.NORM.S.INV(Table1347456[[#This Row],[p_value]]/2))</f>
        <v>2.2414027276049446</v>
      </c>
      <c r="BK951" s="19">
        <f>(Table1347456[[#This Row],[lnrr]]/Table1347456[[#This Row],[z_from_p]])^2</f>
        <v>2.8053106667041902E-3</v>
      </c>
      <c r="BL951" s="16">
        <f>Table1347456[[#This Row],[v_from_z_from_p]]</f>
        <v>2.8053106667041902E-3</v>
      </c>
      <c r="BM951" s="20">
        <f>SQRT(Table1347456[[#This Row],[v]])</f>
        <v>5.2965183533187063E-2</v>
      </c>
      <c r="BN951" s="20">
        <f>Table1347456[[#This Row],[lnrr]]-(1.96*Table1347456[[#This Row],[se]])</f>
        <v>1.4904547114335337E-2</v>
      </c>
      <c r="BO951" s="20">
        <f>Table1347456[[#This Row],[lnrr]]+(1.96 * Table1347456[[#This Row],[se]])</f>
        <v>0.22252806656442861</v>
      </c>
    </row>
    <row r="952" spans="1:67">
      <c r="A952" s="13" t="s">
        <v>312</v>
      </c>
      <c r="B952" s="13" t="s">
        <v>313</v>
      </c>
      <c r="C952" s="13" t="s">
        <v>43</v>
      </c>
      <c r="D952" s="13" t="s">
        <v>314</v>
      </c>
      <c r="E952" s="13" t="s">
        <v>151</v>
      </c>
      <c r="F952" s="13" t="s">
        <v>587</v>
      </c>
      <c r="G952" s="13" t="s">
        <v>315</v>
      </c>
      <c r="H952" s="13">
        <v>31.3</v>
      </c>
      <c r="I952" s="13">
        <v>800</v>
      </c>
      <c r="K952" s="13" t="s">
        <v>902</v>
      </c>
      <c r="L952" s="13" t="s">
        <v>903</v>
      </c>
      <c r="N952" s="13" t="s">
        <v>86</v>
      </c>
      <c r="O952" s="13" t="s">
        <v>644</v>
      </c>
      <c r="P952" s="13" t="s">
        <v>71</v>
      </c>
      <c r="Q952" s="13" t="s">
        <v>48</v>
      </c>
      <c r="R952" s="4">
        <v>3</v>
      </c>
      <c r="S952" s="13" t="s">
        <v>595</v>
      </c>
      <c r="T952" s="13">
        <v>365</v>
      </c>
      <c r="U952" s="4" t="s">
        <v>275</v>
      </c>
      <c r="V952" s="4">
        <v>380</v>
      </c>
      <c r="W952" s="4" t="s">
        <v>42</v>
      </c>
      <c r="X952" s="4">
        <v>430</v>
      </c>
      <c r="Y952" s="4">
        <v>20</v>
      </c>
      <c r="AA952" s="4" t="s">
        <v>50</v>
      </c>
      <c r="AB952" s="4">
        <v>120</v>
      </c>
      <c r="AC952" s="4" t="s">
        <v>49</v>
      </c>
      <c r="AD952" s="4">
        <v>0</v>
      </c>
      <c r="AE952" s="4" t="s">
        <v>49</v>
      </c>
      <c r="AF952" s="4">
        <v>0</v>
      </c>
      <c r="AG952" s="4" t="s">
        <v>708</v>
      </c>
      <c r="AH952" s="4" t="s">
        <v>775</v>
      </c>
      <c r="AI952" s="4" t="s">
        <v>52</v>
      </c>
      <c r="AJ952" s="13">
        <v>0</v>
      </c>
      <c r="AK952" s="13">
        <v>15</v>
      </c>
      <c r="AM952" s="13" t="s">
        <v>533</v>
      </c>
      <c r="AN952" s="13" t="s">
        <v>531</v>
      </c>
      <c r="AO952" s="13" t="s">
        <v>532</v>
      </c>
      <c r="AP952" s="13" t="s">
        <v>49</v>
      </c>
      <c r="AQ952" s="13" t="s">
        <v>49</v>
      </c>
      <c r="AR952" s="13" t="s">
        <v>49</v>
      </c>
      <c r="AS952" s="13" t="s">
        <v>49</v>
      </c>
      <c r="AT952" s="13" t="s">
        <v>992</v>
      </c>
      <c r="AU952" s="4" t="s">
        <v>1000</v>
      </c>
      <c r="AV952" s="14">
        <f>(175*1.5)/1.37/1000</f>
        <v>0.19160583941605838</v>
      </c>
      <c r="AW952" s="14">
        <f>(119*1.5)/1.37/1000</f>
        <v>0.13029197080291971</v>
      </c>
      <c r="AX952" s="14">
        <f>Table1347456[[#This Row],[treatment_mean]]/Table1347456[[#This Row],[control_mean]]</f>
        <v>1.4705882352941175</v>
      </c>
      <c r="AY952" s="14">
        <f>LN(Table1347456[[#This Row],[rr]])</f>
        <v>0.38566248081198456</v>
      </c>
      <c r="AZ952" s="13">
        <v>3</v>
      </c>
      <c r="BA952" s="13">
        <v>3</v>
      </c>
      <c r="BB952" s="14" t="s">
        <v>46</v>
      </c>
      <c r="BC952" s="14" t="s">
        <v>46</v>
      </c>
      <c r="BD952" s="15" t="s">
        <v>46</v>
      </c>
      <c r="BE952" s="14" t="s">
        <v>46</v>
      </c>
      <c r="BF95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52" s="17" t="s">
        <v>46</v>
      </c>
      <c r="BH952" s="13" t="s">
        <v>50</v>
      </c>
      <c r="BI952" s="13">
        <v>2.5000000000000001E-2</v>
      </c>
      <c r="BJ952" s="18">
        <f>ABS(_xlfn.NORM.S.INV(Table1347456[[#This Row],[p_value]]/2))</f>
        <v>2.2414027276049446</v>
      </c>
      <c r="BK952" s="19">
        <f>(Table1347456[[#This Row],[lnrr]]/Table1347456[[#This Row],[z_from_p]])^2</f>
        <v>2.9605676474440394E-2</v>
      </c>
      <c r="BL952" s="16">
        <f>Table1347456[[#This Row],[v_from_z_from_p]]</f>
        <v>2.9605676474440394E-2</v>
      </c>
      <c r="BM952" s="20">
        <f>SQRT(Table1347456[[#This Row],[v]])</f>
        <v>0.17206300146876549</v>
      </c>
      <c r="BN952" s="20">
        <f>Table1347456[[#This Row],[lnrr]]-(1.96*Table1347456[[#This Row],[se]])</f>
        <v>4.84189979332042E-2</v>
      </c>
      <c r="BO952" s="20">
        <f>Table1347456[[#This Row],[lnrr]]+(1.96 * Table1347456[[#This Row],[se]])</f>
        <v>0.72290596369076487</v>
      </c>
    </row>
    <row r="953" spans="1:67">
      <c r="A953" s="13" t="s">
        <v>312</v>
      </c>
      <c r="B953" s="13" t="s">
        <v>313</v>
      </c>
      <c r="C953" s="13" t="s">
        <v>43</v>
      </c>
      <c r="D953" s="13" t="s">
        <v>314</v>
      </c>
      <c r="E953" s="13" t="s">
        <v>151</v>
      </c>
      <c r="F953" s="13" t="s">
        <v>587</v>
      </c>
      <c r="G953" s="13" t="s">
        <v>315</v>
      </c>
      <c r="H953" s="13">
        <v>31.3</v>
      </c>
      <c r="I953" s="13">
        <v>800</v>
      </c>
      <c r="K953" s="13" t="s">
        <v>902</v>
      </c>
      <c r="L953" s="13" t="s">
        <v>903</v>
      </c>
      <c r="N953" s="13" t="s">
        <v>86</v>
      </c>
      <c r="O953" s="13" t="s">
        <v>644</v>
      </c>
      <c r="P953" s="13" t="s">
        <v>71</v>
      </c>
      <c r="Q953" s="13" t="s">
        <v>48</v>
      </c>
      <c r="R953" s="4">
        <v>3</v>
      </c>
      <c r="S953" s="13" t="s">
        <v>595</v>
      </c>
      <c r="T953" s="13">
        <v>365</v>
      </c>
      <c r="U953" s="4" t="s">
        <v>275</v>
      </c>
      <c r="V953" s="4">
        <v>380</v>
      </c>
      <c r="W953" s="4" t="s">
        <v>42</v>
      </c>
      <c r="X953" s="4">
        <v>430</v>
      </c>
      <c r="Y953" s="4">
        <v>40</v>
      </c>
      <c r="AA953" s="4" t="s">
        <v>50</v>
      </c>
      <c r="AB953" s="4">
        <v>120</v>
      </c>
      <c r="AC953" s="4" t="s">
        <v>49</v>
      </c>
      <c r="AD953" s="4">
        <v>0</v>
      </c>
      <c r="AE953" s="4" t="s">
        <v>49</v>
      </c>
      <c r="AF953" s="4">
        <v>0</v>
      </c>
      <c r="AG953" s="4" t="s">
        <v>708</v>
      </c>
      <c r="AH953" s="4" t="s">
        <v>775</v>
      </c>
      <c r="AI953" s="4" t="s">
        <v>52</v>
      </c>
      <c r="AJ953" s="13">
        <v>0</v>
      </c>
      <c r="AK953" s="13">
        <v>15</v>
      </c>
      <c r="AM953" s="13" t="s">
        <v>533</v>
      </c>
      <c r="AN953" s="13" t="s">
        <v>531</v>
      </c>
      <c r="AO953" s="13" t="s">
        <v>532</v>
      </c>
      <c r="AP953" s="13" t="s">
        <v>49</v>
      </c>
      <c r="AQ953" s="13" t="s">
        <v>49</v>
      </c>
      <c r="AR953" s="13" t="s">
        <v>49</v>
      </c>
      <c r="AS953" s="13" t="s">
        <v>49</v>
      </c>
      <c r="AT953" s="13" t="s">
        <v>992</v>
      </c>
      <c r="AU953" s="4" t="s">
        <v>1000</v>
      </c>
      <c r="AV953" s="14">
        <f>(433*1.5)/1.37/1000</f>
        <v>0.47408759124087591</v>
      </c>
      <c r="AW953" s="14">
        <f>(119*1.5)/1.37/1000</f>
        <v>0.13029197080291971</v>
      </c>
      <c r="AX953" s="14">
        <f>Table1347456[[#This Row],[treatment_mean]]/Table1347456[[#This Row],[control_mean]]</f>
        <v>3.6386554621848739</v>
      </c>
      <c r="AY953" s="14">
        <f>LN(Table1347456[[#This Row],[rr]])</f>
        <v>1.2916142348909605</v>
      </c>
      <c r="AZ953" s="13">
        <v>3</v>
      </c>
      <c r="BA953" s="13">
        <v>3</v>
      </c>
      <c r="BB953" s="14" t="s">
        <v>46</v>
      </c>
      <c r="BC953" s="14" t="s">
        <v>46</v>
      </c>
      <c r="BD953" s="15" t="s">
        <v>46</v>
      </c>
      <c r="BE953" s="14" t="s">
        <v>46</v>
      </c>
      <c r="BF95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53" s="17" t="s">
        <v>46</v>
      </c>
      <c r="BH953" s="13" t="s">
        <v>50</v>
      </c>
      <c r="BI953" s="13">
        <v>2.5000000000000001E-2</v>
      </c>
      <c r="BJ953" s="18">
        <f>ABS(_xlfn.NORM.S.INV(Table1347456[[#This Row],[p_value]]/2))</f>
        <v>2.2414027276049446</v>
      </c>
      <c r="BK953" s="19">
        <f>(Table1347456[[#This Row],[lnrr]]/Table1347456[[#This Row],[z_from_p]])^2</f>
        <v>0.33206710295015646</v>
      </c>
      <c r="BL953" s="16">
        <f>Table1347456[[#This Row],[v_from_z_from_p]]</f>
        <v>0.33206710295015646</v>
      </c>
      <c r="BM953" s="20">
        <f>SQRT(Table1347456[[#This Row],[v]])</f>
        <v>0.57625263812858718</v>
      </c>
      <c r="BN953" s="20">
        <f>Table1347456[[#This Row],[lnrr]]-(1.96*Table1347456[[#This Row],[se]])</f>
        <v>0.16215906415892967</v>
      </c>
      <c r="BO953" s="20">
        <f>Table1347456[[#This Row],[lnrr]]+(1.96 * Table1347456[[#This Row],[se]])</f>
        <v>2.4210694056229913</v>
      </c>
    </row>
    <row r="954" spans="1:67">
      <c r="A954" s="13" t="s">
        <v>312</v>
      </c>
      <c r="B954" s="13" t="s">
        <v>313</v>
      </c>
      <c r="C954" s="13" t="s">
        <v>43</v>
      </c>
      <c r="D954" s="13" t="s">
        <v>314</v>
      </c>
      <c r="E954" s="13" t="s">
        <v>151</v>
      </c>
      <c r="F954" s="13" t="s">
        <v>587</v>
      </c>
      <c r="G954" s="13" t="s">
        <v>315</v>
      </c>
      <c r="H954" s="13">
        <v>31.3</v>
      </c>
      <c r="I954" s="13">
        <v>800</v>
      </c>
      <c r="K954" s="13" t="s">
        <v>902</v>
      </c>
      <c r="L954" s="13" t="s">
        <v>903</v>
      </c>
      <c r="N954" s="13" t="s">
        <v>86</v>
      </c>
      <c r="O954" s="13" t="s">
        <v>644</v>
      </c>
      <c r="P954" s="13" t="s">
        <v>71</v>
      </c>
      <c r="Q954" s="13" t="s">
        <v>48</v>
      </c>
      <c r="R954" s="4">
        <v>3</v>
      </c>
      <c r="S954" s="13" t="s">
        <v>595</v>
      </c>
      <c r="T954" s="13">
        <v>365</v>
      </c>
      <c r="U954" s="4" t="s">
        <v>275</v>
      </c>
      <c r="V954" s="4">
        <v>380</v>
      </c>
      <c r="W954" s="4" t="s">
        <v>42</v>
      </c>
      <c r="X954" s="4">
        <v>430</v>
      </c>
      <c r="Y954" s="4">
        <v>10</v>
      </c>
      <c r="AA954" s="4" t="s">
        <v>50</v>
      </c>
      <c r="AB954" s="4">
        <v>150</v>
      </c>
      <c r="AC954" s="4" t="s">
        <v>49</v>
      </c>
      <c r="AD954" s="4">
        <v>0</v>
      </c>
      <c r="AE954" s="4" t="s">
        <v>49</v>
      </c>
      <c r="AF954" s="4">
        <v>0</v>
      </c>
      <c r="AG954" s="4" t="s">
        <v>708</v>
      </c>
      <c r="AH954" s="4" t="s">
        <v>682</v>
      </c>
      <c r="AI954" s="4" t="s">
        <v>297</v>
      </c>
      <c r="AJ954" s="13">
        <v>0</v>
      </c>
      <c r="AK954" s="13">
        <v>15</v>
      </c>
      <c r="AM954" s="13">
        <v>1.52</v>
      </c>
      <c r="AN954" s="13" t="s">
        <v>531</v>
      </c>
      <c r="AO954" s="13" t="s">
        <v>532</v>
      </c>
      <c r="AP954" s="13" t="s">
        <v>49</v>
      </c>
      <c r="AQ954" s="13" t="s">
        <v>49</v>
      </c>
      <c r="AR954" s="13" t="s">
        <v>49</v>
      </c>
      <c r="AS954" s="13" t="s">
        <v>49</v>
      </c>
      <c r="AT954" s="13" t="s">
        <v>992</v>
      </c>
      <c r="AU954" s="4" t="s">
        <v>1000</v>
      </c>
      <c r="AV954" s="14">
        <f>(151*1.5)/1.52/1000</f>
        <v>0.14901315789473685</v>
      </c>
      <c r="AW954" s="14">
        <f>(127*1.5)/1.52/1000</f>
        <v>0.12532894736842107</v>
      </c>
      <c r="AX954" s="14">
        <f>Table1347456[[#This Row],[treatment_mean]]/Table1347456[[#This Row],[control_mean]]</f>
        <v>1.1889763779527558</v>
      </c>
      <c r="AY954" s="14">
        <f>LN(Table1347456[[#This Row],[rr]])</f>
        <v>0.17309275035633295</v>
      </c>
      <c r="AZ954" s="13">
        <v>3</v>
      </c>
      <c r="BA954" s="13">
        <v>3</v>
      </c>
      <c r="BB954" s="14" t="s">
        <v>46</v>
      </c>
      <c r="BC954" s="14" t="s">
        <v>46</v>
      </c>
      <c r="BD954" s="15" t="s">
        <v>46</v>
      </c>
      <c r="BE954" s="14" t="s">
        <v>46</v>
      </c>
      <c r="BF95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54" s="17" t="s">
        <v>46</v>
      </c>
      <c r="BH954" s="13" t="s">
        <v>50</v>
      </c>
      <c r="BI954" s="13">
        <v>2.5000000000000001E-2</v>
      </c>
      <c r="BJ954" s="18">
        <f>ABS(_xlfn.NORM.S.INV(Table1347456[[#This Row],[p_value]]/2))</f>
        <v>2.2414027276049446</v>
      </c>
      <c r="BK954" s="19">
        <f>(Table1347456[[#This Row],[lnrr]]/Table1347456[[#This Row],[z_from_p]])^2</f>
        <v>5.9637298913280323E-3</v>
      </c>
      <c r="BL954" s="16">
        <f>Table1347456[[#This Row],[v_from_z_from_p]]</f>
        <v>5.9637298913280323E-3</v>
      </c>
      <c r="BM954" s="20">
        <f>SQRT(Table1347456[[#This Row],[v]])</f>
        <v>7.7225189487161713E-2</v>
      </c>
      <c r="BN954" s="20">
        <f>Table1347456[[#This Row],[lnrr]]-(1.96*Table1347456[[#This Row],[se]])</f>
        <v>2.173137896149599E-2</v>
      </c>
      <c r="BO954" s="20">
        <f>Table1347456[[#This Row],[lnrr]]+(1.96 * Table1347456[[#This Row],[se]])</f>
        <v>0.32445412175116994</v>
      </c>
    </row>
    <row r="955" spans="1:67">
      <c r="A955" s="13" t="s">
        <v>312</v>
      </c>
      <c r="B955" s="13" t="s">
        <v>313</v>
      </c>
      <c r="C955" s="13" t="s">
        <v>43</v>
      </c>
      <c r="D955" s="13" t="s">
        <v>314</v>
      </c>
      <c r="E955" s="13" t="s">
        <v>151</v>
      </c>
      <c r="F955" s="13" t="s">
        <v>587</v>
      </c>
      <c r="G955" s="13" t="s">
        <v>315</v>
      </c>
      <c r="H955" s="13">
        <v>31.3</v>
      </c>
      <c r="I955" s="13">
        <v>800</v>
      </c>
      <c r="K955" s="13" t="s">
        <v>902</v>
      </c>
      <c r="L955" s="13" t="s">
        <v>903</v>
      </c>
      <c r="N955" s="13" t="s">
        <v>86</v>
      </c>
      <c r="O955" s="13" t="s">
        <v>644</v>
      </c>
      <c r="P955" s="13" t="s">
        <v>71</v>
      </c>
      <c r="Q955" s="13" t="s">
        <v>48</v>
      </c>
      <c r="R955" s="4">
        <v>3</v>
      </c>
      <c r="S955" s="13" t="s">
        <v>595</v>
      </c>
      <c r="T955" s="13">
        <v>365</v>
      </c>
      <c r="U955" s="4" t="s">
        <v>275</v>
      </c>
      <c r="V955" s="4">
        <v>380</v>
      </c>
      <c r="W955" s="4" t="s">
        <v>42</v>
      </c>
      <c r="X955" s="4">
        <v>430</v>
      </c>
      <c r="Y955" s="4">
        <v>20</v>
      </c>
      <c r="AA955" s="4" t="s">
        <v>50</v>
      </c>
      <c r="AB955" s="4">
        <v>150</v>
      </c>
      <c r="AC955" s="4" t="s">
        <v>49</v>
      </c>
      <c r="AD955" s="4">
        <v>0</v>
      </c>
      <c r="AE955" s="4" t="s">
        <v>49</v>
      </c>
      <c r="AF955" s="4">
        <v>0</v>
      </c>
      <c r="AG955" s="4" t="s">
        <v>708</v>
      </c>
      <c r="AH955" s="4" t="s">
        <v>682</v>
      </c>
      <c r="AI955" s="4" t="s">
        <v>297</v>
      </c>
      <c r="AJ955" s="13">
        <v>0</v>
      </c>
      <c r="AK955" s="13">
        <v>15</v>
      </c>
      <c r="AM955" s="13">
        <v>1.52</v>
      </c>
      <c r="AN955" s="13" t="s">
        <v>531</v>
      </c>
      <c r="AO955" s="13" t="s">
        <v>532</v>
      </c>
      <c r="AP955" s="13" t="s">
        <v>49</v>
      </c>
      <c r="AQ955" s="13" t="s">
        <v>49</v>
      </c>
      <c r="AR955" s="13" t="s">
        <v>49</v>
      </c>
      <c r="AS955" s="13" t="s">
        <v>49</v>
      </c>
      <c r="AT955" s="13" t="s">
        <v>992</v>
      </c>
      <c r="AU955" s="4" t="s">
        <v>1000</v>
      </c>
      <c r="AV955" s="14">
        <f>(174*1.5)/1.52/1000</f>
        <v>0.17171052631578948</v>
      </c>
      <c r="AW955" s="14">
        <f>(127*1.5)/1.52/1000</f>
        <v>0.12532894736842107</v>
      </c>
      <c r="AX955" s="14">
        <f>Table1347456[[#This Row],[treatment_mean]]/Table1347456[[#This Row],[control_mean]]</f>
        <v>1.3700787401574801</v>
      </c>
      <c r="AY955" s="14">
        <f>LN(Table1347456[[#This Row],[rr]])</f>
        <v>0.31486821275593763</v>
      </c>
      <c r="AZ955" s="13">
        <v>3</v>
      </c>
      <c r="BA955" s="13">
        <v>3</v>
      </c>
      <c r="BB955" s="14" t="s">
        <v>46</v>
      </c>
      <c r="BC955" s="14" t="s">
        <v>46</v>
      </c>
      <c r="BD955" s="15" t="s">
        <v>46</v>
      </c>
      <c r="BE955" s="14" t="s">
        <v>46</v>
      </c>
      <c r="BF95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55" s="17" t="s">
        <v>46</v>
      </c>
      <c r="BH955" s="13" t="s">
        <v>50</v>
      </c>
      <c r="BI955" s="13">
        <v>2.5000000000000001E-2</v>
      </c>
      <c r="BJ955" s="18">
        <f>ABS(_xlfn.NORM.S.INV(Table1347456[[#This Row],[p_value]]/2))</f>
        <v>2.2414027276049446</v>
      </c>
      <c r="BK955" s="19">
        <f>(Table1347456[[#This Row],[lnrr]]/Table1347456[[#This Row],[z_from_p]])^2</f>
        <v>1.97341236858526E-2</v>
      </c>
      <c r="BL955" s="16">
        <f>Table1347456[[#This Row],[v_from_z_from_p]]</f>
        <v>1.97341236858526E-2</v>
      </c>
      <c r="BM955" s="20">
        <f>SQRT(Table1347456[[#This Row],[v]])</f>
        <v>0.14047819647850196</v>
      </c>
      <c r="BN955" s="20">
        <f>Table1347456[[#This Row],[lnrr]]-(1.96*Table1347456[[#This Row],[se]])</f>
        <v>3.9530947658073801E-2</v>
      </c>
      <c r="BO955" s="20">
        <f>Table1347456[[#This Row],[lnrr]]+(1.96 * Table1347456[[#This Row],[se]])</f>
        <v>0.59020547785380151</v>
      </c>
    </row>
    <row r="956" spans="1:67">
      <c r="A956" s="13" t="s">
        <v>312</v>
      </c>
      <c r="B956" s="13" t="s">
        <v>313</v>
      </c>
      <c r="C956" s="13" t="s">
        <v>43</v>
      </c>
      <c r="D956" s="13" t="s">
        <v>314</v>
      </c>
      <c r="E956" s="13" t="s">
        <v>151</v>
      </c>
      <c r="F956" s="13" t="s">
        <v>587</v>
      </c>
      <c r="G956" s="13" t="s">
        <v>315</v>
      </c>
      <c r="H956" s="13">
        <v>31.3</v>
      </c>
      <c r="I956" s="13">
        <v>800</v>
      </c>
      <c r="K956" s="13" t="s">
        <v>902</v>
      </c>
      <c r="L956" s="13" t="s">
        <v>903</v>
      </c>
      <c r="N956" s="13" t="s">
        <v>86</v>
      </c>
      <c r="O956" s="13" t="s">
        <v>644</v>
      </c>
      <c r="P956" s="13" t="s">
        <v>71</v>
      </c>
      <c r="Q956" s="13" t="s">
        <v>48</v>
      </c>
      <c r="R956" s="4">
        <v>3</v>
      </c>
      <c r="S956" s="13" t="s">
        <v>595</v>
      </c>
      <c r="T956" s="13">
        <v>365</v>
      </c>
      <c r="U956" s="4" t="s">
        <v>275</v>
      </c>
      <c r="V956" s="4">
        <v>380</v>
      </c>
      <c r="W956" s="4" t="s">
        <v>42</v>
      </c>
      <c r="X956" s="4">
        <v>430</v>
      </c>
      <c r="Y956" s="4">
        <v>40</v>
      </c>
      <c r="AA956" s="4" t="s">
        <v>50</v>
      </c>
      <c r="AB956" s="4">
        <v>150</v>
      </c>
      <c r="AC956" s="4" t="s">
        <v>49</v>
      </c>
      <c r="AD956" s="4">
        <v>0</v>
      </c>
      <c r="AE956" s="4" t="s">
        <v>49</v>
      </c>
      <c r="AF956" s="4">
        <v>0</v>
      </c>
      <c r="AG956" s="4" t="s">
        <v>708</v>
      </c>
      <c r="AH956" s="4" t="s">
        <v>682</v>
      </c>
      <c r="AI956" s="4" t="s">
        <v>297</v>
      </c>
      <c r="AJ956" s="13">
        <v>0</v>
      </c>
      <c r="AK956" s="13">
        <v>15</v>
      </c>
      <c r="AM956" s="13">
        <v>1.52</v>
      </c>
      <c r="AN956" s="13" t="s">
        <v>531</v>
      </c>
      <c r="AO956" s="13" t="s">
        <v>532</v>
      </c>
      <c r="AP956" s="13" t="s">
        <v>49</v>
      </c>
      <c r="AQ956" s="13" t="s">
        <v>49</v>
      </c>
      <c r="AR956" s="13" t="s">
        <v>49</v>
      </c>
      <c r="AS956" s="13" t="s">
        <v>49</v>
      </c>
      <c r="AT956" s="13" t="s">
        <v>992</v>
      </c>
      <c r="AU956" s="4" t="s">
        <v>1000</v>
      </c>
      <c r="AV956" s="14">
        <f>(245*1.5)/1.52/1000</f>
        <v>0.24177631578947367</v>
      </c>
      <c r="AW956" s="14">
        <f>(127*1.5)/1.52/1000</f>
        <v>0.12532894736842107</v>
      </c>
      <c r="AX956" s="14">
        <f>Table1347456[[#This Row],[treatment_mean]]/Table1347456[[#This Row],[control_mean]]</f>
        <v>1.9291338582677162</v>
      </c>
      <c r="AY956" s="14">
        <f>LN(Table1347456[[#This Row],[rr]])</f>
        <v>0.65707112408613555</v>
      </c>
      <c r="AZ956" s="13">
        <v>3</v>
      </c>
      <c r="BA956" s="13">
        <v>3</v>
      </c>
      <c r="BB956" s="14" t="s">
        <v>46</v>
      </c>
      <c r="BC956" s="14" t="s">
        <v>46</v>
      </c>
      <c r="BD956" s="15" t="s">
        <v>46</v>
      </c>
      <c r="BE956" s="14" t="s">
        <v>46</v>
      </c>
      <c r="BF95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56" s="17" t="s">
        <v>46</v>
      </c>
      <c r="BH956" s="13" t="s">
        <v>50</v>
      </c>
      <c r="BI956" s="13">
        <v>2.5000000000000001E-2</v>
      </c>
      <c r="BJ956" s="18">
        <f>ABS(_xlfn.NORM.S.INV(Table1347456[[#This Row],[p_value]]/2))</f>
        <v>2.2414027276049446</v>
      </c>
      <c r="BK956" s="19">
        <f>(Table1347456[[#This Row],[lnrr]]/Table1347456[[#This Row],[z_from_p]])^2</f>
        <v>8.593794644431843E-2</v>
      </c>
      <c r="BL956" s="16">
        <f>Table1347456[[#This Row],[v_from_z_from_p]]</f>
        <v>8.593794644431843E-2</v>
      </c>
      <c r="BM956" s="20">
        <f>SQRT(Table1347456[[#This Row],[v]])</f>
        <v>0.29315174644596342</v>
      </c>
      <c r="BN956" s="20">
        <f>Table1347456[[#This Row],[lnrr]]-(1.96*Table1347456[[#This Row],[se]])</f>
        <v>8.249370105204723E-2</v>
      </c>
      <c r="BO956" s="20">
        <f>Table1347456[[#This Row],[lnrr]]+(1.96 * Table1347456[[#This Row],[se]])</f>
        <v>1.2316485471202239</v>
      </c>
    </row>
    <row r="957" spans="1:67">
      <c r="A957" s="13" t="s">
        <v>312</v>
      </c>
      <c r="B957" s="13" t="s">
        <v>313</v>
      </c>
      <c r="C957" s="13" t="s">
        <v>43</v>
      </c>
      <c r="D957" s="13" t="s">
        <v>314</v>
      </c>
      <c r="E957" s="13" t="s">
        <v>151</v>
      </c>
      <c r="F957" s="13" t="s">
        <v>587</v>
      </c>
      <c r="G957" s="13" t="s">
        <v>315</v>
      </c>
      <c r="H957" s="13">
        <v>31.3</v>
      </c>
      <c r="I957" s="13">
        <v>800</v>
      </c>
      <c r="K957" s="13" t="s">
        <v>902</v>
      </c>
      <c r="L957" s="13" t="s">
        <v>903</v>
      </c>
      <c r="N957" s="13" t="s">
        <v>86</v>
      </c>
      <c r="O957" s="13" t="s">
        <v>644</v>
      </c>
      <c r="P957" s="13" t="s">
        <v>71</v>
      </c>
      <c r="Q957" s="13" t="s">
        <v>48</v>
      </c>
      <c r="R957" s="4">
        <v>3</v>
      </c>
      <c r="S957" s="13" t="s">
        <v>595</v>
      </c>
      <c r="T957" s="13">
        <v>365</v>
      </c>
      <c r="U957" s="4" t="s">
        <v>275</v>
      </c>
      <c r="V957" s="4">
        <v>380</v>
      </c>
      <c r="W957" s="4" t="s">
        <v>42</v>
      </c>
      <c r="X957" s="4">
        <v>430</v>
      </c>
      <c r="Y957" s="4">
        <v>10</v>
      </c>
      <c r="AA957" s="4" t="s">
        <v>50</v>
      </c>
      <c r="AB957" s="4">
        <v>150</v>
      </c>
      <c r="AC957" s="4" t="s">
        <v>49</v>
      </c>
      <c r="AD957" s="4">
        <v>0</v>
      </c>
      <c r="AE957" s="4" t="s">
        <v>49</v>
      </c>
      <c r="AF957" s="4">
        <v>0</v>
      </c>
      <c r="AG957" s="4" t="s">
        <v>708</v>
      </c>
      <c r="AH957" s="4" t="s">
        <v>775</v>
      </c>
      <c r="AI957" s="4" t="s">
        <v>52</v>
      </c>
      <c r="AJ957" s="13">
        <v>0</v>
      </c>
      <c r="AK957" s="13">
        <v>15</v>
      </c>
      <c r="AM957" s="13" t="s">
        <v>533</v>
      </c>
      <c r="AN957" s="13" t="s">
        <v>531</v>
      </c>
      <c r="AO957" s="13" t="s">
        <v>532</v>
      </c>
      <c r="AP957" s="13" t="s">
        <v>49</v>
      </c>
      <c r="AQ957" s="13" t="s">
        <v>49</v>
      </c>
      <c r="AR957" s="13" t="s">
        <v>49</v>
      </c>
      <c r="AS957" s="13" t="s">
        <v>49</v>
      </c>
      <c r="AT957" s="13" t="s">
        <v>992</v>
      </c>
      <c r="AU957" s="4" t="s">
        <v>1000</v>
      </c>
      <c r="AV957" s="14">
        <f>(187*1.5)/1.37/1000</f>
        <v>0.20474452554744524</v>
      </c>
      <c r="AW957" s="14">
        <f>(134*1.5)/1.37/1000</f>
        <v>0.14671532846715329</v>
      </c>
      <c r="AX957" s="14">
        <f>Table1347456[[#This Row],[treatment_mean]]/Table1347456[[#This Row],[control_mean]]</f>
        <v>1.3955223880597012</v>
      </c>
      <c r="AY957" s="14">
        <f>LN(Table1347456[[#This Row],[rr]])</f>
        <v>0.33326881690367505</v>
      </c>
      <c r="AZ957" s="13">
        <v>3</v>
      </c>
      <c r="BA957" s="13">
        <v>3</v>
      </c>
      <c r="BB957" s="14" t="s">
        <v>46</v>
      </c>
      <c r="BC957" s="14" t="s">
        <v>46</v>
      </c>
      <c r="BD957" s="15" t="s">
        <v>46</v>
      </c>
      <c r="BE957" s="14" t="s">
        <v>46</v>
      </c>
      <c r="BF95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57" s="17" t="s">
        <v>46</v>
      </c>
      <c r="BH957" s="13" t="s">
        <v>50</v>
      </c>
      <c r="BI957" s="13">
        <v>2.5000000000000001E-2</v>
      </c>
      <c r="BJ957" s="18">
        <f>ABS(_xlfn.NORM.S.INV(Table1347456[[#This Row],[p_value]]/2))</f>
        <v>2.2414027276049446</v>
      </c>
      <c r="BK957" s="19">
        <f>(Table1347456[[#This Row],[lnrr]]/Table1347456[[#This Row],[z_from_p]])^2</f>
        <v>2.2108005671151121E-2</v>
      </c>
      <c r="BL957" s="16">
        <f>Table1347456[[#This Row],[v_from_z_from_p]]</f>
        <v>2.2108005671151121E-2</v>
      </c>
      <c r="BM957" s="20">
        <f>SQRT(Table1347456[[#This Row],[v]])</f>
        <v>0.14868761102106362</v>
      </c>
      <c r="BN957" s="20">
        <f>Table1347456[[#This Row],[lnrr]]-(1.96*Table1347456[[#This Row],[se]])</f>
        <v>4.1841099302390383E-2</v>
      </c>
      <c r="BO957" s="20">
        <f>Table1347456[[#This Row],[lnrr]]+(1.96 * Table1347456[[#This Row],[se]])</f>
        <v>0.62469653450495977</v>
      </c>
    </row>
    <row r="958" spans="1:67">
      <c r="A958" s="13" t="s">
        <v>312</v>
      </c>
      <c r="B958" s="13" t="s">
        <v>313</v>
      </c>
      <c r="C958" s="13" t="s">
        <v>43</v>
      </c>
      <c r="D958" s="13" t="s">
        <v>314</v>
      </c>
      <c r="E958" s="13" t="s">
        <v>151</v>
      </c>
      <c r="F958" s="13" t="s">
        <v>587</v>
      </c>
      <c r="G958" s="13" t="s">
        <v>315</v>
      </c>
      <c r="H958" s="13">
        <v>31.3</v>
      </c>
      <c r="I958" s="13">
        <v>800</v>
      </c>
      <c r="K958" s="13" t="s">
        <v>902</v>
      </c>
      <c r="L958" s="13" t="s">
        <v>903</v>
      </c>
      <c r="N958" s="13" t="s">
        <v>86</v>
      </c>
      <c r="O958" s="13" t="s">
        <v>644</v>
      </c>
      <c r="P958" s="13" t="s">
        <v>71</v>
      </c>
      <c r="Q958" s="13" t="s">
        <v>48</v>
      </c>
      <c r="R958" s="4">
        <v>3</v>
      </c>
      <c r="S958" s="13" t="s">
        <v>595</v>
      </c>
      <c r="T958" s="13">
        <v>365</v>
      </c>
      <c r="U958" s="4" t="s">
        <v>275</v>
      </c>
      <c r="V958" s="4">
        <v>380</v>
      </c>
      <c r="W958" s="4" t="s">
        <v>42</v>
      </c>
      <c r="X958" s="4">
        <v>430</v>
      </c>
      <c r="Y958" s="4">
        <v>20</v>
      </c>
      <c r="AA958" s="4" t="s">
        <v>50</v>
      </c>
      <c r="AB958" s="4">
        <v>150</v>
      </c>
      <c r="AC958" s="4" t="s">
        <v>49</v>
      </c>
      <c r="AD958" s="4">
        <v>0</v>
      </c>
      <c r="AE958" s="4" t="s">
        <v>49</v>
      </c>
      <c r="AF958" s="4">
        <v>0</v>
      </c>
      <c r="AG958" s="4" t="s">
        <v>708</v>
      </c>
      <c r="AH958" s="4" t="s">
        <v>775</v>
      </c>
      <c r="AI958" s="4" t="s">
        <v>52</v>
      </c>
      <c r="AJ958" s="13">
        <v>0</v>
      </c>
      <c r="AK958" s="13">
        <v>15</v>
      </c>
      <c r="AM958" s="13" t="s">
        <v>533</v>
      </c>
      <c r="AN958" s="13" t="s">
        <v>531</v>
      </c>
      <c r="AO958" s="13" t="s">
        <v>532</v>
      </c>
      <c r="AP958" s="13" t="s">
        <v>49</v>
      </c>
      <c r="AQ958" s="13" t="s">
        <v>49</v>
      </c>
      <c r="AR958" s="13" t="s">
        <v>49</v>
      </c>
      <c r="AS958" s="13" t="s">
        <v>49</v>
      </c>
      <c r="AT958" s="13" t="s">
        <v>992</v>
      </c>
      <c r="AU958" s="4" t="s">
        <v>1000</v>
      </c>
      <c r="AV958" s="14">
        <f>(203*1.5)/1.37/1000</f>
        <v>0.2222627737226277</v>
      </c>
      <c r="AW958" s="14">
        <f>(134*1.5)/1.37/1000</f>
        <v>0.14671532846715329</v>
      </c>
      <c r="AX958" s="14">
        <f>Table1347456[[#This Row],[treatment_mean]]/Table1347456[[#This Row],[control_mean]]</f>
        <v>1.514925373134328</v>
      </c>
      <c r="AY958" s="14">
        <f>LN(Table1347456[[#This Row],[rr]])</f>
        <v>0.4153661790908757</v>
      </c>
      <c r="AZ958" s="13">
        <v>3</v>
      </c>
      <c r="BA958" s="13">
        <v>3</v>
      </c>
      <c r="BB958" s="14" t="s">
        <v>46</v>
      </c>
      <c r="BC958" s="14" t="s">
        <v>46</v>
      </c>
      <c r="BD958" s="15" t="s">
        <v>46</v>
      </c>
      <c r="BE958" s="14" t="s">
        <v>46</v>
      </c>
      <c r="BF95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58" s="17" t="s">
        <v>46</v>
      </c>
      <c r="BH958" s="13" t="s">
        <v>50</v>
      </c>
      <c r="BI958" s="13">
        <v>2.5000000000000001E-2</v>
      </c>
      <c r="BJ958" s="18">
        <f>ABS(_xlfn.NORM.S.INV(Table1347456[[#This Row],[p_value]]/2))</f>
        <v>2.2414027276049446</v>
      </c>
      <c r="BK958" s="19">
        <f>(Table1347456[[#This Row],[lnrr]]/Table1347456[[#This Row],[z_from_p]])^2</f>
        <v>3.4341753833552702E-2</v>
      </c>
      <c r="BL958" s="16">
        <f>Table1347456[[#This Row],[v_from_z_from_p]]</f>
        <v>3.4341753833552702E-2</v>
      </c>
      <c r="BM958" s="20">
        <f>SQRT(Table1347456[[#This Row],[v]])</f>
        <v>0.18531528224502344</v>
      </c>
      <c r="BN958" s="20">
        <f>Table1347456[[#This Row],[lnrr]]-(1.96*Table1347456[[#This Row],[se]])</f>
        <v>5.2148225890629729E-2</v>
      </c>
      <c r="BO958" s="20">
        <f>Table1347456[[#This Row],[lnrr]]+(1.96 * Table1347456[[#This Row],[se]])</f>
        <v>0.77858413229112167</v>
      </c>
    </row>
    <row r="959" spans="1:67">
      <c r="A959" s="13" t="s">
        <v>312</v>
      </c>
      <c r="B959" s="13" t="s">
        <v>313</v>
      </c>
      <c r="C959" s="13" t="s">
        <v>43</v>
      </c>
      <c r="D959" s="13" t="s">
        <v>314</v>
      </c>
      <c r="E959" s="13" t="s">
        <v>151</v>
      </c>
      <c r="F959" s="13" t="s">
        <v>587</v>
      </c>
      <c r="G959" s="13" t="s">
        <v>315</v>
      </c>
      <c r="H959" s="13">
        <v>31.3</v>
      </c>
      <c r="I959" s="13">
        <v>800</v>
      </c>
      <c r="K959" s="13" t="s">
        <v>902</v>
      </c>
      <c r="L959" s="13" t="s">
        <v>903</v>
      </c>
      <c r="N959" s="13" t="s">
        <v>86</v>
      </c>
      <c r="O959" s="13" t="s">
        <v>644</v>
      </c>
      <c r="P959" s="13" t="s">
        <v>71</v>
      </c>
      <c r="Q959" s="13" t="s">
        <v>48</v>
      </c>
      <c r="R959" s="4">
        <v>3</v>
      </c>
      <c r="S959" s="13" t="s">
        <v>595</v>
      </c>
      <c r="T959" s="13">
        <v>365</v>
      </c>
      <c r="U959" s="4" t="s">
        <v>275</v>
      </c>
      <c r="V959" s="4">
        <v>380</v>
      </c>
      <c r="W959" s="4" t="s">
        <v>42</v>
      </c>
      <c r="X959" s="4">
        <v>430</v>
      </c>
      <c r="Y959" s="4">
        <v>40</v>
      </c>
      <c r="AA959" s="4" t="s">
        <v>50</v>
      </c>
      <c r="AB959" s="4">
        <v>150</v>
      </c>
      <c r="AC959" s="4" t="s">
        <v>49</v>
      </c>
      <c r="AD959" s="4">
        <v>0</v>
      </c>
      <c r="AE959" s="4" t="s">
        <v>49</v>
      </c>
      <c r="AF959" s="4">
        <v>0</v>
      </c>
      <c r="AG959" s="4" t="s">
        <v>708</v>
      </c>
      <c r="AH959" s="4" t="s">
        <v>775</v>
      </c>
      <c r="AI959" s="4" t="s">
        <v>52</v>
      </c>
      <c r="AJ959" s="13">
        <v>0</v>
      </c>
      <c r="AK959" s="13">
        <v>15</v>
      </c>
      <c r="AM959" s="13" t="s">
        <v>533</v>
      </c>
      <c r="AN959" s="13" t="s">
        <v>531</v>
      </c>
      <c r="AO959" s="13" t="s">
        <v>532</v>
      </c>
      <c r="AP959" s="13" t="s">
        <v>49</v>
      </c>
      <c r="AQ959" s="13" t="s">
        <v>49</v>
      </c>
      <c r="AR959" s="13" t="s">
        <v>49</v>
      </c>
      <c r="AS959" s="13" t="s">
        <v>49</v>
      </c>
      <c r="AT959" s="13" t="s">
        <v>992</v>
      </c>
      <c r="AU959" s="4" t="s">
        <v>1000</v>
      </c>
      <c r="AV959" s="14">
        <f>(358*1.5)/1.37/1000</f>
        <v>0.39197080291970798</v>
      </c>
      <c r="AW959" s="14">
        <f>(134*1.5)/1.37/1000</f>
        <v>0.14671532846715329</v>
      </c>
      <c r="AX959" s="14">
        <f>Table1347456[[#This Row],[treatment_mean]]/Table1347456[[#This Row],[control_mean]]</f>
        <v>2.6716417910447756</v>
      </c>
      <c r="AY959" s="14">
        <f>LN(Table1347456[[#This Row],[rr]])</f>
        <v>0.98269318644978876</v>
      </c>
      <c r="AZ959" s="13">
        <v>3</v>
      </c>
      <c r="BA959" s="13">
        <v>3</v>
      </c>
      <c r="BB959" s="14" t="s">
        <v>46</v>
      </c>
      <c r="BC959" s="14" t="s">
        <v>46</v>
      </c>
      <c r="BD959" s="15" t="s">
        <v>46</v>
      </c>
      <c r="BE959" s="14" t="s">
        <v>46</v>
      </c>
      <c r="BF95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59" s="17" t="s">
        <v>46</v>
      </c>
      <c r="BH959" s="13" t="s">
        <v>50</v>
      </c>
      <c r="BI959" s="13">
        <v>2.5000000000000001E-2</v>
      </c>
      <c r="BJ959" s="18">
        <f>ABS(_xlfn.NORM.S.INV(Table1347456[[#This Row],[p_value]]/2))</f>
        <v>2.2414027276049446</v>
      </c>
      <c r="BK959" s="19">
        <f>(Table1347456[[#This Row],[lnrr]]/Table1347456[[#This Row],[z_from_p]])^2</f>
        <v>0.1922189043878339</v>
      </c>
      <c r="BL959" s="16">
        <f>Table1347456[[#This Row],[v_from_z_from_p]]</f>
        <v>0.1922189043878339</v>
      </c>
      <c r="BM959" s="20">
        <f>SQRT(Table1347456[[#This Row],[v]])</f>
        <v>0.43842776416170759</v>
      </c>
      <c r="BN959" s="20">
        <f>Table1347456[[#This Row],[lnrr]]-(1.96*Table1347456[[#This Row],[se]])</f>
        <v>0.12337476869284192</v>
      </c>
      <c r="BO959" s="20">
        <f>Table1347456[[#This Row],[lnrr]]+(1.96 * Table1347456[[#This Row],[se]])</f>
        <v>1.8420116042067356</v>
      </c>
    </row>
    <row r="960" spans="1:67">
      <c r="A960" s="13" t="s">
        <v>318</v>
      </c>
      <c r="B960" s="13" t="s">
        <v>319</v>
      </c>
      <c r="C960" s="13" t="s">
        <v>43</v>
      </c>
      <c r="D960" s="13" t="s">
        <v>320</v>
      </c>
      <c r="E960" s="13" t="s">
        <v>267</v>
      </c>
      <c r="F960" s="13" t="s">
        <v>587</v>
      </c>
      <c r="G960" s="13" t="s">
        <v>46</v>
      </c>
      <c r="H960" s="13">
        <v>21.5</v>
      </c>
      <c r="I960" s="13" t="s">
        <v>46</v>
      </c>
      <c r="K960" s="13" t="s">
        <v>904</v>
      </c>
      <c r="L960" s="13" t="s">
        <v>905</v>
      </c>
      <c r="N960" s="13" t="s">
        <v>47</v>
      </c>
      <c r="O960" s="13" t="s">
        <v>645</v>
      </c>
      <c r="P960" s="13" t="s">
        <v>422</v>
      </c>
      <c r="Q960" s="13" t="s">
        <v>48</v>
      </c>
      <c r="R960" s="4">
        <v>3</v>
      </c>
      <c r="S960" s="13" t="s">
        <v>596</v>
      </c>
      <c r="T960" s="13">
        <v>160</v>
      </c>
      <c r="U960" s="4" t="s">
        <v>321</v>
      </c>
      <c r="V960" s="4">
        <v>400</v>
      </c>
      <c r="W960" s="4" t="s">
        <v>42</v>
      </c>
      <c r="X960" s="4" t="s">
        <v>46</v>
      </c>
      <c r="Y960" s="4">
        <v>70</v>
      </c>
      <c r="Z960" s="4" t="s">
        <v>534</v>
      </c>
      <c r="AA960" s="4" t="s">
        <v>49</v>
      </c>
      <c r="AB960" s="4">
        <v>0</v>
      </c>
      <c r="AC960" s="4" t="s">
        <v>49</v>
      </c>
      <c r="AD960" s="4">
        <v>0</v>
      </c>
      <c r="AE960" s="4" t="s">
        <v>49</v>
      </c>
      <c r="AF960" s="4">
        <v>0</v>
      </c>
      <c r="AG960" s="4" t="s">
        <v>46</v>
      </c>
      <c r="AH960" s="4" t="s">
        <v>725</v>
      </c>
      <c r="AI960" s="4" t="s">
        <v>271</v>
      </c>
      <c r="AJ960" s="13">
        <v>0</v>
      </c>
      <c r="AK960" s="13">
        <v>20</v>
      </c>
      <c r="AL960" s="13" t="s">
        <v>479</v>
      </c>
      <c r="AO960" s="13" t="s">
        <v>535</v>
      </c>
      <c r="AP960" s="13" t="s">
        <v>49</v>
      </c>
      <c r="AQ960" s="13" t="s">
        <v>49</v>
      </c>
      <c r="AR960" s="13" t="s">
        <v>50</v>
      </c>
      <c r="AS960" s="13" t="s">
        <v>49</v>
      </c>
      <c r="AT960" s="13" t="s">
        <v>990</v>
      </c>
      <c r="AU960" s="13" t="s">
        <v>998</v>
      </c>
      <c r="AV960" s="14">
        <f>0.084*10</f>
        <v>0.84000000000000008</v>
      </c>
      <c r="AW960" s="14">
        <f>0.057*10</f>
        <v>0.57000000000000006</v>
      </c>
      <c r="AX960" s="14">
        <f>Table1347456[[#This Row],[treatment_mean]]/Table1347456[[#This Row],[control_mean]]</f>
        <v>1.4736842105263157</v>
      </c>
      <c r="AY960" s="14">
        <f>LN(Table1347456[[#This Row],[rr]])</f>
        <v>0.38776553100876343</v>
      </c>
      <c r="AZ960" s="13">
        <v>3</v>
      </c>
      <c r="BA960" s="13">
        <v>3</v>
      </c>
      <c r="BB960" s="14">
        <f>Table1347456[[#This Row],[treatment_sd]]/SQRT(Table1347456[[#This Row],[treatment_n]])</f>
        <v>1.7320508075688773E-2</v>
      </c>
      <c r="BC960" s="14">
        <f>Table1347456[[#This Row],[control_sd]]/SQRT(Table1347456[[#This Row],[control_n]])</f>
        <v>1.1547005383792516E-2</v>
      </c>
      <c r="BD960" s="15">
        <f>0.003*10</f>
        <v>0.03</v>
      </c>
      <c r="BE960" s="14">
        <f>0.002*10</f>
        <v>0.02</v>
      </c>
      <c r="BF96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8.3555274987803666E-4</v>
      </c>
      <c r="BG960" s="17">
        <f>SQRT(Table1347456[[#This Row],[v_from_sd_and_n]])</f>
        <v>2.8905929320435914E-2</v>
      </c>
      <c r="BH960" s="13" t="s">
        <v>50</v>
      </c>
      <c r="BI960" s="13">
        <v>5.0000000000000001E-3</v>
      </c>
      <c r="BJ960" s="18">
        <f>ABS(_xlfn.NORM.S.INV(Table1347456[[#This Row],[p_value]]/2))</f>
        <v>2.8070337683438042</v>
      </c>
      <c r="BK960" s="19">
        <f>(Table1347456[[#This Row],[lnrr]]/Table1347456[[#This Row],[z_from_p]])^2</f>
        <v>1.9082845253038591E-2</v>
      </c>
      <c r="BL960" s="16">
        <f>Table1347456[[#This Row],[v_from_sd_and_n]]</f>
        <v>8.3555274987803666E-4</v>
      </c>
      <c r="BM960" s="20">
        <f>SQRT(Table1347456[[#This Row],[v]])</f>
        <v>2.8905929320435914E-2</v>
      </c>
      <c r="BN960" s="20">
        <f>Table1347456[[#This Row],[lnrr]]-(1.96*Table1347456[[#This Row],[se]])</f>
        <v>0.33110990954070907</v>
      </c>
      <c r="BO960" s="20">
        <f>Table1347456[[#This Row],[lnrr]]+(1.96 * Table1347456[[#This Row],[se]])</f>
        <v>0.44442115247681779</v>
      </c>
    </row>
    <row r="961" spans="1:67">
      <c r="A961" s="13" t="s">
        <v>318</v>
      </c>
      <c r="B961" s="13" t="s">
        <v>319</v>
      </c>
      <c r="C961" s="13" t="s">
        <v>43</v>
      </c>
      <c r="D961" s="13" t="s">
        <v>320</v>
      </c>
      <c r="E961" s="13" t="s">
        <v>267</v>
      </c>
      <c r="F961" s="13" t="s">
        <v>587</v>
      </c>
      <c r="G961" s="13" t="s">
        <v>46</v>
      </c>
      <c r="H961" s="13">
        <v>21.5</v>
      </c>
      <c r="I961" s="13" t="s">
        <v>46</v>
      </c>
      <c r="K961" s="13" t="s">
        <v>904</v>
      </c>
      <c r="L961" s="13" t="s">
        <v>905</v>
      </c>
      <c r="N961" s="13" t="s">
        <v>47</v>
      </c>
      <c r="O961" s="13" t="s">
        <v>645</v>
      </c>
      <c r="P961" s="13" t="s">
        <v>422</v>
      </c>
      <c r="Q961" s="13" t="s">
        <v>48</v>
      </c>
      <c r="R961" s="4">
        <v>3</v>
      </c>
      <c r="S961" s="13" t="s">
        <v>596</v>
      </c>
      <c r="T961" s="13">
        <v>160</v>
      </c>
      <c r="U961" s="4" t="s">
        <v>321</v>
      </c>
      <c r="V961" s="4">
        <v>400</v>
      </c>
      <c r="W961" s="4" t="s">
        <v>42</v>
      </c>
      <c r="X961" s="4" t="s">
        <v>46</v>
      </c>
      <c r="Y961" s="4">
        <v>140</v>
      </c>
      <c r="Z961" s="4" t="s">
        <v>536</v>
      </c>
      <c r="AA961" s="4" t="s">
        <v>49</v>
      </c>
      <c r="AB961" s="4">
        <v>0</v>
      </c>
      <c r="AC961" s="4" t="s">
        <v>49</v>
      </c>
      <c r="AD961" s="4">
        <v>0</v>
      </c>
      <c r="AE961" s="4" t="s">
        <v>49</v>
      </c>
      <c r="AF961" s="4">
        <v>0</v>
      </c>
      <c r="AG961" s="4" t="s">
        <v>46</v>
      </c>
      <c r="AH961" s="4" t="s">
        <v>725</v>
      </c>
      <c r="AI961" s="4" t="s">
        <v>271</v>
      </c>
      <c r="AJ961" s="13">
        <v>0</v>
      </c>
      <c r="AK961" s="13">
        <v>20</v>
      </c>
      <c r="AL961" s="13" t="s">
        <v>479</v>
      </c>
      <c r="AO961" s="13" t="s">
        <v>535</v>
      </c>
      <c r="AP961" s="13" t="s">
        <v>49</v>
      </c>
      <c r="AQ961" s="13" t="s">
        <v>49</v>
      </c>
      <c r="AR961" s="13" t="s">
        <v>50</v>
      </c>
      <c r="AS961" s="13" t="s">
        <v>49</v>
      </c>
      <c r="AT961" s="13" t="s">
        <v>990</v>
      </c>
      <c r="AU961" s="13" t="s">
        <v>998</v>
      </c>
      <c r="AV961" s="14">
        <f>0.12*10</f>
        <v>1.2</v>
      </c>
      <c r="AW961" s="14">
        <f>0.057*10</f>
        <v>0.57000000000000006</v>
      </c>
      <c r="AX961" s="14">
        <f>Table1347456[[#This Row],[treatment_mean]]/Table1347456[[#This Row],[control_mean]]</f>
        <v>2.1052631578947367</v>
      </c>
      <c r="AY961" s="14">
        <f>LN(Table1347456[[#This Row],[rr]])</f>
        <v>0.74444047494749577</v>
      </c>
      <c r="AZ961" s="13">
        <v>3</v>
      </c>
      <c r="BA961" s="13">
        <v>3</v>
      </c>
      <c r="BB961" s="14">
        <f>Table1347456[[#This Row],[treatment_sd]]/SQRT(Table1347456[[#This Row],[treatment_n]])</f>
        <v>5.7735026918962581E-2</v>
      </c>
      <c r="BC961" s="14">
        <f>Table1347456[[#This Row],[control_sd]]/SQRT(Table1347456[[#This Row],[control_n]])</f>
        <v>1.1547005383792516E-2</v>
      </c>
      <c r="BD961" s="15">
        <f>0.01*10</f>
        <v>0.1</v>
      </c>
      <c r="BE961" s="14">
        <f>0.002*10</f>
        <v>0.02</v>
      </c>
      <c r="BF96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2.7251974966656409E-3</v>
      </c>
      <c r="BG961" s="17">
        <f>SQRT(Table1347456[[#This Row],[v_from_sd_and_n]])</f>
        <v>5.2203424185254754E-2</v>
      </c>
      <c r="BH961" s="13" t="s">
        <v>50</v>
      </c>
      <c r="BI961" s="13">
        <v>5.0000000000000001E-3</v>
      </c>
      <c r="BJ961" s="18">
        <f>ABS(_xlfn.NORM.S.INV(Table1347456[[#This Row],[p_value]]/2))</f>
        <v>2.8070337683438042</v>
      </c>
      <c r="BK961" s="19">
        <f>(Table1347456[[#This Row],[lnrr]]/Table1347456[[#This Row],[z_from_p]])^2</f>
        <v>7.0333896933252274E-2</v>
      </c>
      <c r="BL961" s="16">
        <f>Table1347456[[#This Row],[v_from_sd_and_n]]</f>
        <v>2.7251974966656409E-3</v>
      </c>
      <c r="BM961" s="20">
        <f>SQRT(Table1347456[[#This Row],[v]])</f>
        <v>5.2203424185254754E-2</v>
      </c>
      <c r="BN961" s="20">
        <f>Table1347456[[#This Row],[lnrr]]-(1.96*Table1347456[[#This Row],[se]])</f>
        <v>0.64212176354439643</v>
      </c>
      <c r="BO961" s="20">
        <f>Table1347456[[#This Row],[lnrr]]+(1.96 * Table1347456[[#This Row],[se]])</f>
        <v>0.84675918635059511</v>
      </c>
    </row>
    <row r="962" spans="1:67">
      <c r="A962" s="13" t="s">
        <v>318</v>
      </c>
      <c r="B962" s="13" t="s">
        <v>319</v>
      </c>
      <c r="C962" s="13" t="s">
        <v>43</v>
      </c>
      <c r="D962" s="13" t="s">
        <v>320</v>
      </c>
      <c r="E962" s="13" t="s">
        <v>267</v>
      </c>
      <c r="F962" s="13" t="s">
        <v>587</v>
      </c>
      <c r="G962" s="13" t="s">
        <v>46</v>
      </c>
      <c r="H962" s="13">
        <v>21.5</v>
      </c>
      <c r="I962" s="13" t="s">
        <v>46</v>
      </c>
      <c r="J962" s="13" t="s">
        <v>656</v>
      </c>
      <c r="K962" s="13" t="s">
        <v>904</v>
      </c>
      <c r="L962" s="13" t="s">
        <v>905</v>
      </c>
      <c r="M962" s="13" t="s">
        <v>803</v>
      </c>
      <c r="N962" s="13" t="s">
        <v>317</v>
      </c>
      <c r="O962" s="13" t="s">
        <v>644</v>
      </c>
      <c r="P962" s="13" t="s">
        <v>85</v>
      </c>
      <c r="Q962" s="13" t="s">
        <v>48</v>
      </c>
      <c r="R962" s="4">
        <v>3</v>
      </c>
      <c r="S962" s="13" t="s">
        <v>596</v>
      </c>
      <c r="T962" s="13">
        <v>160</v>
      </c>
      <c r="U962" s="4" t="s">
        <v>321</v>
      </c>
      <c r="V962" s="4">
        <v>400</v>
      </c>
      <c r="W962" s="4" t="s">
        <v>42</v>
      </c>
      <c r="X962" s="4" t="s">
        <v>46</v>
      </c>
      <c r="Y962" s="4">
        <v>70</v>
      </c>
      <c r="Z962" s="4" t="s">
        <v>534</v>
      </c>
      <c r="AA962" s="4" t="s">
        <v>49</v>
      </c>
      <c r="AB962" s="4">
        <v>0</v>
      </c>
      <c r="AC962" s="4" t="s">
        <v>49</v>
      </c>
      <c r="AD962" s="4">
        <v>0</v>
      </c>
      <c r="AE962" s="4" t="s">
        <v>49</v>
      </c>
      <c r="AF962" s="4">
        <v>0</v>
      </c>
      <c r="AG962" s="4" t="s">
        <v>46</v>
      </c>
      <c r="AH962" s="4" t="s">
        <v>725</v>
      </c>
      <c r="AI962" s="4" t="s">
        <v>271</v>
      </c>
      <c r="AJ962" s="13">
        <v>0</v>
      </c>
      <c r="AK962" s="13">
        <v>20</v>
      </c>
      <c r="AL962" s="13" t="s">
        <v>479</v>
      </c>
      <c r="AO962" s="13" t="s">
        <v>535</v>
      </c>
      <c r="AP962" s="13" t="s">
        <v>49</v>
      </c>
      <c r="AQ962" s="13" t="s">
        <v>49</v>
      </c>
      <c r="AR962" s="13" t="s">
        <v>50</v>
      </c>
      <c r="AS962" s="13" t="s">
        <v>49</v>
      </c>
      <c r="AT962" s="13" t="s">
        <v>990</v>
      </c>
      <c r="AU962" s="13" t="s">
        <v>998</v>
      </c>
      <c r="AV962" s="23">
        <f>42.59/1000</f>
        <v>4.2590000000000003E-2</v>
      </c>
      <c r="AW962" s="23">
        <f>24.03/1000</f>
        <v>2.4030000000000003E-2</v>
      </c>
      <c r="AX962" s="14">
        <f>Table1347456[[#This Row],[treatment_mean]]/Table1347456[[#This Row],[control_mean]]</f>
        <v>1.772367873491469</v>
      </c>
      <c r="AY962" s="14">
        <f>LN(Table1347456[[#This Row],[rr]])</f>
        <v>0.5723164341867446</v>
      </c>
      <c r="AZ962" s="13">
        <v>3</v>
      </c>
      <c r="BA962" s="13">
        <v>3</v>
      </c>
      <c r="BB962" s="14">
        <f>Table1347456[[#This Row],[treatment_sd]]/SQRT(Table1347456[[#This Row],[treatment_n]])</f>
        <v>8.7179890647633498E-4</v>
      </c>
      <c r="BC962" s="14">
        <f>Table1347456[[#This Row],[control_sd]]/SQRT(Table1347456[[#This Row],[control_n]])</f>
        <v>7.0436732841134349E-4</v>
      </c>
      <c r="BD962" s="15">
        <f>1.51/1000</f>
        <v>1.5100000000000001E-3</v>
      </c>
      <c r="BE962" s="14">
        <f>1.22/1000</f>
        <v>1.2199999999999999E-3</v>
      </c>
      <c r="BF96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1.2781964861911111E-3</v>
      </c>
      <c r="BG962" s="17">
        <f>SQRT(Table1347456[[#This Row],[v_from_sd_and_n]])</f>
        <v>3.5751873883631768E-2</v>
      </c>
      <c r="BH962" s="13" t="s">
        <v>50</v>
      </c>
      <c r="BI962" s="13">
        <v>5.0000000000000001E-3</v>
      </c>
      <c r="BJ962" s="18">
        <f>ABS(_xlfn.NORM.S.INV(Table1347456[[#This Row],[p_value]]/2))</f>
        <v>2.8070337683438042</v>
      </c>
      <c r="BK962" s="19">
        <f>(Table1347456[[#This Row],[lnrr]]/Table1347456[[#This Row],[z_from_p]])^2</f>
        <v>4.1569725768537624E-2</v>
      </c>
      <c r="BL962" s="16">
        <f>Table1347456[[#This Row],[v_from_sd_and_n]]</f>
        <v>1.2781964861911111E-3</v>
      </c>
      <c r="BM962" s="20">
        <f>SQRT(Table1347456[[#This Row],[v]])</f>
        <v>3.5751873883631768E-2</v>
      </c>
      <c r="BN962" s="20">
        <f>Table1347456[[#This Row],[lnrr]]-(1.96*Table1347456[[#This Row],[se]])</f>
        <v>0.50224276137482637</v>
      </c>
      <c r="BO962" s="20">
        <f>Table1347456[[#This Row],[lnrr]]+(1.96 * Table1347456[[#This Row],[se]])</f>
        <v>0.64239010699866284</v>
      </c>
    </row>
    <row r="963" spans="1:67">
      <c r="A963" s="13" t="s">
        <v>318</v>
      </c>
      <c r="B963" s="13" t="s">
        <v>319</v>
      </c>
      <c r="C963" s="13" t="s">
        <v>43</v>
      </c>
      <c r="D963" s="13" t="s">
        <v>320</v>
      </c>
      <c r="E963" s="13" t="s">
        <v>267</v>
      </c>
      <c r="F963" s="13" t="s">
        <v>587</v>
      </c>
      <c r="G963" s="13" t="s">
        <v>46</v>
      </c>
      <c r="H963" s="13">
        <v>21.5</v>
      </c>
      <c r="I963" s="13" t="s">
        <v>46</v>
      </c>
      <c r="J963" s="13" t="s">
        <v>656</v>
      </c>
      <c r="K963" s="13" t="s">
        <v>904</v>
      </c>
      <c r="L963" s="13" t="s">
        <v>905</v>
      </c>
      <c r="M963" s="13" t="s">
        <v>803</v>
      </c>
      <c r="N963" s="13" t="s">
        <v>317</v>
      </c>
      <c r="O963" s="13" t="s">
        <v>644</v>
      </c>
      <c r="P963" s="13" t="s">
        <v>85</v>
      </c>
      <c r="Q963" s="13" t="s">
        <v>48</v>
      </c>
      <c r="R963" s="4">
        <v>3</v>
      </c>
      <c r="S963" s="13" t="s">
        <v>596</v>
      </c>
      <c r="T963" s="13">
        <v>160</v>
      </c>
      <c r="U963" s="4" t="s">
        <v>321</v>
      </c>
      <c r="V963" s="4">
        <v>400</v>
      </c>
      <c r="W963" s="4" t="s">
        <v>42</v>
      </c>
      <c r="X963" s="4" t="s">
        <v>46</v>
      </c>
      <c r="Y963" s="4">
        <v>140</v>
      </c>
      <c r="Z963" s="4" t="s">
        <v>536</v>
      </c>
      <c r="AA963" s="4" t="s">
        <v>49</v>
      </c>
      <c r="AB963" s="4">
        <v>0</v>
      </c>
      <c r="AC963" s="4" t="s">
        <v>49</v>
      </c>
      <c r="AD963" s="4">
        <v>0</v>
      </c>
      <c r="AE963" s="4" t="s">
        <v>49</v>
      </c>
      <c r="AF963" s="4">
        <v>0</v>
      </c>
      <c r="AG963" s="4" t="s">
        <v>46</v>
      </c>
      <c r="AH963" s="4" t="s">
        <v>725</v>
      </c>
      <c r="AI963" s="4" t="s">
        <v>271</v>
      </c>
      <c r="AJ963" s="13">
        <v>0</v>
      </c>
      <c r="AK963" s="13">
        <v>20</v>
      </c>
      <c r="AL963" s="13" t="s">
        <v>479</v>
      </c>
      <c r="AO963" s="13" t="s">
        <v>535</v>
      </c>
      <c r="AP963" s="13" t="s">
        <v>49</v>
      </c>
      <c r="AQ963" s="13" t="s">
        <v>49</v>
      </c>
      <c r="AR963" s="13" t="s">
        <v>50</v>
      </c>
      <c r="AS963" s="13" t="s">
        <v>49</v>
      </c>
      <c r="AT963" s="13" t="s">
        <v>990</v>
      </c>
      <c r="AU963" s="13" t="s">
        <v>998</v>
      </c>
      <c r="AV963" s="23">
        <f>48.82/1000</f>
        <v>4.8820000000000002E-2</v>
      </c>
      <c r="AW963" s="23">
        <f>24.03/1000</f>
        <v>2.4030000000000003E-2</v>
      </c>
      <c r="AX963" s="14">
        <f>Table1347456[[#This Row],[treatment_mean]]/Table1347456[[#This Row],[control_mean]]</f>
        <v>2.031627132750728</v>
      </c>
      <c r="AY963" s="14">
        <f>LN(Table1347456[[#This Row],[rr]])</f>
        <v>0.70883701521643638</v>
      </c>
      <c r="AZ963" s="13">
        <v>3</v>
      </c>
      <c r="BA963" s="13">
        <v>3</v>
      </c>
      <c r="BB963" s="14">
        <f>Table1347456[[#This Row],[treatment_sd]]/SQRT(Table1347456[[#This Row],[treatment_n]])</f>
        <v>9.3530743608719383E-4</v>
      </c>
      <c r="BC963" s="14">
        <f>Table1347456[[#This Row],[control_sd]]/SQRT(Table1347456[[#This Row],[control_n]])</f>
        <v>7.0436732841134349E-4</v>
      </c>
      <c r="BD963" s="15">
        <f>1.62/1000</f>
        <v>1.6200000000000001E-3</v>
      </c>
      <c r="BE963" s="14">
        <f>1.22/1000</f>
        <v>1.2199999999999999E-3</v>
      </c>
      <c r="BF96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1.2262331215564391E-3</v>
      </c>
      <c r="BG963" s="17">
        <f>SQRT(Table1347456[[#This Row],[v_from_sd_and_n]])</f>
        <v>3.5017611591261322E-2</v>
      </c>
      <c r="BH963" s="13" t="s">
        <v>50</v>
      </c>
      <c r="BI963" s="13">
        <v>5.0000000000000001E-3</v>
      </c>
      <c r="BJ963" s="18">
        <f>ABS(_xlfn.NORM.S.INV(Table1347456[[#This Row],[p_value]]/2))</f>
        <v>2.8070337683438042</v>
      </c>
      <c r="BK963" s="19">
        <f>(Table1347456[[#This Row],[lnrr]]/Table1347456[[#This Row],[z_from_p]])^2</f>
        <v>6.3767222658689157E-2</v>
      </c>
      <c r="BL963" s="16">
        <f>Table1347456[[#This Row],[v_from_sd_and_n]]</f>
        <v>1.2262331215564391E-3</v>
      </c>
      <c r="BM963" s="20">
        <f>SQRT(Table1347456[[#This Row],[v]])</f>
        <v>3.5017611591261322E-2</v>
      </c>
      <c r="BN963" s="20">
        <f>Table1347456[[#This Row],[lnrr]]-(1.96*Table1347456[[#This Row],[se]])</f>
        <v>0.64020249649756422</v>
      </c>
      <c r="BO963" s="20">
        <f>Table1347456[[#This Row],[lnrr]]+(1.96 * Table1347456[[#This Row],[se]])</f>
        <v>0.77747153393530855</v>
      </c>
    </row>
    <row r="964" spans="1:67">
      <c r="A964" s="13" t="s">
        <v>318</v>
      </c>
      <c r="B964" s="13" t="s">
        <v>319</v>
      </c>
      <c r="C964" s="13" t="s">
        <v>43</v>
      </c>
      <c r="D964" s="13" t="s">
        <v>320</v>
      </c>
      <c r="E964" s="13" t="s">
        <v>267</v>
      </c>
      <c r="F964" s="13" t="s">
        <v>587</v>
      </c>
      <c r="G964" s="13" t="s">
        <v>46</v>
      </c>
      <c r="H964" s="13">
        <v>21.5</v>
      </c>
      <c r="I964" s="13" t="s">
        <v>46</v>
      </c>
      <c r="K964" s="13" t="s">
        <v>904</v>
      </c>
      <c r="L964" s="13" t="s">
        <v>905</v>
      </c>
      <c r="N964" s="13" t="s">
        <v>86</v>
      </c>
      <c r="O964" s="13" t="s">
        <v>644</v>
      </c>
      <c r="P964" s="13" t="s">
        <v>85</v>
      </c>
      <c r="Q964" s="13" t="s">
        <v>48</v>
      </c>
      <c r="R964" s="4">
        <v>3</v>
      </c>
      <c r="S964" s="13" t="s">
        <v>596</v>
      </c>
      <c r="T964" s="13">
        <v>160</v>
      </c>
      <c r="U964" s="4" t="s">
        <v>321</v>
      </c>
      <c r="V964" s="4">
        <v>400</v>
      </c>
      <c r="W964" s="4" t="s">
        <v>42</v>
      </c>
      <c r="X964" s="4" t="s">
        <v>46</v>
      </c>
      <c r="Y964" s="4">
        <v>70</v>
      </c>
      <c r="Z964" s="4" t="s">
        <v>534</v>
      </c>
      <c r="AA964" s="4" t="s">
        <v>49</v>
      </c>
      <c r="AB964" s="4">
        <v>0</v>
      </c>
      <c r="AC964" s="4" t="s">
        <v>49</v>
      </c>
      <c r="AD964" s="4">
        <v>0</v>
      </c>
      <c r="AE964" s="4" t="s">
        <v>49</v>
      </c>
      <c r="AF964" s="4">
        <v>0</v>
      </c>
      <c r="AG964" s="4" t="s">
        <v>46</v>
      </c>
      <c r="AH964" s="4" t="s">
        <v>725</v>
      </c>
      <c r="AI964" s="4" t="s">
        <v>271</v>
      </c>
      <c r="AJ964" s="13">
        <v>0</v>
      </c>
      <c r="AK964" s="13">
        <v>20</v>
      </c>
      <c r="AL964" s="13" t="s">
        <v>479</v>
      </c>
      <c r="AO964" s="13" t="s">
        <v>535</v>
      </c>
      <c r="AP964" s="13" t="s">
        <v>49</v>
      </c>
      <c r="AQ964" s="13" t="s">
        <v>49</v>
      </c>
      <c r="AR964" s="13" t="s">
        <v>50</v>
      </c>
      <c r="AS964" s="13" t="s">
        <v>49</v>
      </c>
      <c r="AT964" s="13" t="s">
        <v>990</v>
      </c>
      <c r="AU964" s="13" t="s">
        <v>998</v>
      </c>
      <c r="AV964" s="14">
        <f>184.67/1000</f>
        <v>0.18467</v>
      </c>
      <c r="AW964" s="14">
        <f>103.19/1000</f>
        <v>0.10319</v>
      </c>
      <c r="AX964" s="14">
        <f>Table1347456[[#This Row],[treatment_mean]]/Table1347456[[#This Row],[control_mean]]</f>
        <v>1.7896113964531446</v>
      </c>
      <c r="AY964" s="14">
        <f>LN(Table1347456[[#This Row],[rr]])</f>
        <v>0.58199849933015824</v>
      </c>
      <c r="AZ964" s="13">
        <v>3</v>
      </c>
      <c r="BA964" s="13">
        <v>3</v>
      </c>
      <c r="BB964" s="14">
        <f>Table1347456[[#This Row],[treatment_sd]]/SQRT(Table1347456[[#This Row],[treatment_n]])</f>
        <v>9.3819418743314193E-3</v>
      </c>
      <c r="BC964" s="14">
        <f>Table1347456[[#This Row],[control_sd]]/SQRT(Table1347456[[#This Row],[control_n]])</f>
        <v>3.4871956259053399E-3</v>
      </c>
      <c r="BD964" s="15">
        <f>16.25/1000</f>
        <v>1.6250000000000001E-2</v>
      </c>
      <c r="BE964" s="14">
        <f>6.04/1000</f>
        <v>6.0400000000000002E-3</v>
      </c>
      <c r="BF96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3.7230580636714319E-3</v>
      </c>
      <c r="BG964" s="17">
        <f>SQRT(Table1347456[[#This Row],[v_from_sd_and_n]])</f>
        <v>6.1016867042412395E-2</v>
      </c>
      <c r="BH964" s="13" t="s">
        <v>50</v>
      </c>
      <c r="BI964" s="13">
        <v>5.0000000000000001E-3</v>
      </c>
      <c r="BJ964" s="18">
        <f>ABS(_xlfn.NORM.S.INV(Table1347456[[#This Row],[p_value]]/2))</f>
        <v>2.8070337683438042</v>
      </c>
      <c r="BK964" s="19">
        <f>(Table1347456[[#This Row],[lnrr]]/Table1347456[[#This Row],[z_from_p]])^2</f>
        <v>4.2988120273887848E-2</v>
      </c>
      <c r="BL964" s="16">
        <f>Table1347456[[#This Row],[v_from_sd_and_n]]</f>
        <v>3.7230580636714319E-3</v>
      </c>
      <c r="BM964" s="20">
        <f>SQRT(Table1347456[[#This Row],[v]])</f>
        <v>6.1016867042412395E-2</v>
      </c>
      <c r="BN964" s="20">
        <f>Table1347456[[#This Row],[lnrr]]-(1.96*Table1347456[[#This Row],[se]])</f>
        <v>0.46240543992702993</v>
      </c>
      <c r="BO964" s="20">
        <f>Table1347456[[#This Row],[lnrr]]+(1.96 * Table1347456[[#This Row],[se]])</f>
        <v>0.70159155873328649</v>
      </c>
    </row>
    <row r="965" spans="1:67">
      <c r="A965" s="13" t="s">
        <v>318</v>
      </c>
      <c r="B965" s="13" t="s">
        <v>319</v>
      </c>
      <c r="C965" s="13" t="s">
        <v>43</v>
      </c>
      <c r="D965" s="13" t="s">
        <v>320</v>
      </c>
      <c r="E965" s="13" t="s">
        <v>267</v>
      </c>
      <c r="F965" s="13" t="s">
        <v>587</v>
      </c>
      <c r="G965" s="13" t="s">
        <v>46</v>
      </c>
      <c r="H965" s="13">
        <v>21.5</v>
      </c>
      <c r="I965" s="13" t="s">
        <v>46</v>
      </c>
      <c r="K965" s="13" t="s">
        <v>904</v>
      </c>
      <c r="L965" s="13" t="s">
        <v>905</v>
      </c>
      <c r="N965" s="13" t="s">
        <v>86</v>
      </c>
      <c r="O965" s="13" t="s">
        <v>644</v>
      </c>
      <c r="P965" s="13" t="s">
        <v>85</v>
      </c>
      <c r="Q965" s="13" t="s">
        <v>48</v>
      </c>
      <c r="R965" s="4">
        <v>3</v>
      </c>
      <c r="S965" s="13" t="s">
        <v>596</v>
      </c>
      <c r="T965" s="13">
        <v>160</v>
      </c>
      <c r="U965" s="4" t="s">
        <v>321</v>
      </c>
      <c r="V965" s="4">
        <v>400</v>
      </c>
      <c r="W965" s="4" t="s">
        <v>42</v>
      </c>
      <c r="X965" s="4" t="s">
        <v>46</v>
      </c>
      <c r="Y965" s="4">
        <v>140</v>
      </c>
      <c r="Z965" s="4" t="s">
        <v>536</v>
      </c>
      <c r="AA965" s="4" t="s">
        <v>49</v>
      </c>
      <c r="AB965" s="4">
        <v>0</v>
      </c>
      <c r="AC965" s="4" t="s">
        <v>49</v>
      </c>
      <c r="AD965" s="4">
        <v>0</v>
      </c>
      <c r="AE965" s="4" t="s">
        <v>49</v>
      </c>
      <c r="AF965" s="4">
        <v>0</v>
      </c>
      <c r="AG965" s="4" t="s">
        <v>46</v>
      </c>
      <c r="AH965" s="4" t="s">
        <v>725</v>
      </c>
      <c r="AI965" s="4" t="s">
        <v>271</v>
      </c>
      <c r="AJ965" s="13">
        <v>0</v>
      </c>
      <c r="AK965" s="13">
        <v>20</v>
      </c>
      <c r="AL965" s="13" t="s">
        <v>479</v>
      </c>
      <c r="AO965" s="13" t="s">
        <v>535</v>
      </c>
      <c r="AP965" s="13" t="s">
        <v>49</v>
      </c>
      <c r="AQ965" s="13" t="s">
        <v>49</v>
      </c>
      <c r="AR965" s="13" t="s">
        <v>50</v>
      </c>
      <c r="AS965" s="13" t="s">
        <v>49</v>
      </c>
      <c r="AT965" s="13" t="s">
        <v>990</v>
      </c>
      <c r="AU965" s="13" t="s">
        <v>998</v>
      </c>
      <c r="AV965" s="14">
        <f>228.47/1000</f>
        <v>0.22847000000000001</v>
      </c>
      <c r="AW965" s="14">
        <f>103.19/1000</f>
        <v>0.10319</v>
      </c>
      <c r="AX965" s="14">
        <f>Table1347456[[#This Row],[treatment_mean]]/Table1347456[[#This Row],[control_mean]]</f>
        <v>2.2140711309235392</v>
      </c>
      <c r="AY965" s="14">
        <f>LN(Table1347456[[#This Row],[rr]])</f>
        <v>0.79483296155876859</v>
      </c>
      <c r="AZ965" s="13">
        <v>3</v>
      </c>
      <c r="BA965" s="13">
        <v>3</v>
      </c>
      <c r="BB965" s="14">
        <f>Table1347456[[#This Row],[treatment_sd]]/SQRT(Table1347456[[#This Row],[treatment_n]])</f>
        <v>9.0817197343528149E-3</v>
      </c>
      <c r="BC965" s="14">
        <f>Table1347456[[#This Row],[control_sd]]/SQRT(Table1347456[[#This Row],[control_n]])</f>
        <v>3.4871956259053399E-3</v>
      </c>
      <c r="BD965" s="15">
        <f>15.73/1000</f>
        <v>1.5730000000000001E-2</v>
      </c>
      <c r="BE965" s="14">
        <f>6.04/1000</f>
        <v>6.0400000000000002E-3</v>
      </c>
      <c r="BF96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2.7221051541238307E-3</v>
      </c>
      <c r="BG965" s="17">
        <f>SQRT(Table1347456[[#This Row],[v_from_sd_and_n]])</f>
        <v>5.2173797581964748E-2</v>
      </c>
      <c r="BH965" s="13" t="s">
        <v>50</v>
      </c>
      <c r="BI965" s="13">
        <v>5.0000000000000001E-3</v>
      </c>
      <c r="BJ965" s="18">
        <f>ABS(_xlfn.NORM.S.INV(Table1347456[[#This Row],[p_value]]/2))</f>
        <v>2.8070337683438042</v>
      </c>
      <c r="BK965" s="19">
        <f>(Table1347456[[#This Row],[lnrr]]/Table1347456[[#This Row],[z_from_p]])^2</f>
        <v>8.0178229785895672E-2</v>
      </c>
      <c r="BL965" s="16">
        <f>Table1347456[[#This Row],[v_from_sd_and_n]]</f>
        <v>2.7221051541238307E-3</v>
      </c>
      <c r="BM965" s="20">
        <f>SQRT(Table1347456[[#This Row],[v]])</f>
        <v>5.2173797581964748E-2</v>
      </c>
      <c r="BN965" s="20">
        <f>Table1347456[[#This Row],[lnrr]]-(1.96*Table1347456[[#This Row],[se]])</f>
        <v>0.69257231829811772</v>
      </c>
      <c r="BO965" s="20">
        <f>Table1347456[[#This Row],[lnrr]]+(1.96 * Table1347456[[#This Row],[se]])</f>
        <v>0.89709360481941947</v>
      </c>
    </row>
    <row r="966" spans="1:67">
      <c r="A966" s="13" t="s">
        <v>322</v>
      </c>
      <c r="B966" s="13" t="s">
        <v>323</v>
      </c>
      <c r="C966" s="13" t="s">
        <v>43</v>
      </c>
      <c r="D966" s="13" t="s">
        <v>324</v>
      </c>
      <c r="E966" s="13" t="s">
        <v>91</v>
      </c>
      <c r="F966" s="13" t="s">
        <v>587</v>
      </c>
      <c r="G966" s="13" t="s">
        <v>325</v>
      </c>
      <c r="H966" s="13">
        <v>8.3000000000000007</v>
      </c>
      <c r="I966" s="13">
        <v>365.5</v>
      </c>
      <c r="K966" s="13" t="s">
        <v>906</v>
      </c>
      <c r="L966" s="13" t="s">
        <v>907</v>
      </c>
      <c r="N966" s="13" t="s">
        <v>316</v>
      </c>
      <c r="O966" s="13" t="s">
        <v>644</v>
      </c>
      <c r="P966" s="13" t="s">
        <v>85</v>
      </c>
      <c r="Q966" s="13" t="s">
        <v>48</v>
      </c>
      <c r="R966" s="4">
        <v>4</v>
      </c>
      <c r="S966" s="13" t="s">
        <v>594</v>
      </c>
      <c r="T966" s="13">
        <v>730</v>
      </c>
      <c r="U966" s="4" t="s">
        <v>326</v>
      </c>
      <c r="V966" s="4" t="s">
        <v>46</v>
      </c>
      <c r="W966" s="4" t="s">
        <v>46</v>
      </c>
      <c r="X966" s="4">
        <v>585</v>
      </c>
      <c r="Y966" s="4">
        <v>4.5</v>
      </c>
      <c r="AA966" s="4" t="s">
        <v>49</v>
      </c>
      <c r="AB966" s="4">
        <v>0</v>
      </c>
      <c r="AC966" s="4" t="s">
        <v>49</v>
      </c>
      <c r="AD966" s="4">
        <v>0</v>
      </c>
      <c r="AE966" s="4" t="s">
        <v>49</v>
      </c>
      <c r="AF966" s="4">
        <v>0</v>
      </c>
      <c r="AG966" s="4" t="s">
        <v>755</v>
      </c>
      <c r="AH966" s="4" t="s">
        <v>754</v>
      </c>
      <c r="AI966" s="4" t="s">
        <v>271</v>
      </c>
      <c r="AJ966" s="13">
        <v>0</v>
      </c>
      <c r="AK966" s="13">
        <v>20</v>
      </c>
      <c r="AM966" s="13" t="s">
        <v>509</v>
      </c>
      <c r="AP966" s="13" t="s">
        <v>50</v>
      </c>
      <c r="AQ966" s="13" t="s">
        <v>49</v>
      </c>
      <c r="AR966" s="13" t="s">
        <v>50</v>
      </c>
      <c r="AS966" s="13" t="s">
        <v>50</v>
      </c>
      <c r="AT966" s="13" t="s">
        <v>990</v>
      </c>
      <c r="AU966" s="13" t="s">
        <v>998</v>
      </c>
      <c r="AV966" s="14">
        <f>14.348/1000</f>
        <v>1.4348000000000001E-2</v>
      </c>
      <c r="AW966" s="14">
        <f>15.05/1000</f>
        <v>1.5050000000000001E-2</v>
      </c>
      <c r="AX966" s="14">
        <f>Table1347456[[#This Row],[treatment_mean]]/Table1347456[[#This Row],[control_mean]]</f>
        <v>0.95335548172757478</v>
      </c>
      <c r="AY966" s="14">
        <f>LN(Table1347456[[#This Row],[rr]])</f>
        <v>-4.776743152484856E-2</v>
      </c>
      <c r="AZ966" s="13">
        <v>4</v>
      </c>
      <c r="BA966" s="13">
        <v>4</v>
      </c>
      <c r="BB966" s="14">
        <f>SQRT(0.0612505)/1000</f>
        <v>2.4748838356577465E-4</v>
      </c>
      <c r="BC966" s="14">
        <f>SQRT(0.0612505)/1000</f>
        <v>2.4748838356577465E-4</v>
      </c>
      <c r="BD966" s="15">
        <f>Table1347456[[#This Row],[treatment_se]]*SQRT(Table1347456[[#This Row],[treatment_n]])</f>
        <v>4.9497676713154931E-4</v>
      </c>
      <c r="BE966" s="14">
        <f>Table1347456[[#This Row],[control_se]]*SQRT(Table1347456[[#This Row],[control_n]])</f>
        <v>4.9497676713154931E-4</v>
      </c>
      <c r="BF96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5.6794600438408072E-4</v>
      </c>
      <c r="BG966" s="17">
        <f>SQRT(Table1347456[[#This Row],[v_from_sd_and_n]])</f>
        <v>2.3831617745845135E-2</v>
      </c>
      <c r="BH966" s="13" t="s">
        <v>50</v>
      </c>
      <c r="BI966" s="13">
        <v>0.05</v>
      </c>
      <c r="BJ966" s="18">
        <f>ABS(_xlfn.NORM.S.INV(Table1347456[[#This Row],[p_value]]/2))</f>
        <v>1.9599639845400538</v>
      </c>
      <c r="BK966" s="19">
        <f>(Table1347456[[#This Row],[lnrr]]/Table1347456[[#This Row],[z_from_p]])^2</f>
        <v>5.9397422202974543E-4</v>
      </c>
      <c r="BL966" s="16">
        <f>Table1347456[[#This Row],[v_from_sd_and_n]]</f>
        <v>5.6794600438408072E-4</v>
      </c>
      <c r="BM966" s="20">
        <f>SQRT(Table1347456[[#This Row],[v]])</f>
        <v>2.3831617745845135E-2</v>
      </c>
      <c r="BN966" s="20">
        <f>Table1347456[[#This Row],[lnrr]]-(1.96*Table1347456[[#This Row],[se]])</f>
        <v>-9.4477402306705024E-2</v>
      </c>
      <c r="BO966" s="20">
        <f>Table1347456[[#This Row],[lnrr]]+(1.96 * Table1347456[[#This Row],[se]])</f>
        <v>-1.0574607429920946E-3</v>
      </c>
    </row>
    <row r="967" spans="1:67">
      <c r="A967" s="13" t="s">
        <v>322</v>
      </c>
      <c r="B967" s="13" t="s">
        <v>323</v>
      </c>
      <c r="C967" s="13" t="s">
        <v>43</v>
      </c>
      <c r="D967" s="13" t="s">
        <v>324</v>
      </c>
      <c r="E967" s="13" t="s">
        <v>91</v>
      </c>
      <c r="F967" s="13" t="s">
        <v>587</v>
      </c>
      <c r="G967" s="13" t="s">
        <v>325</v>
      </c>
      <c r="H967" s="13">
        <v>8.3000000000000007</v>
      </c>
      <c r="I967" s="13">
        <v>365.5</v>
      </c>
      <c r="J967" s="13" t="s">
        <v>656</v>
      </c>
      <c r="K967" s="13" t="s">
        <v>906</v>
      </c>
      <c r="L967" s="13" t="s">
        <v>907</v>
      </c>
      <c r="M967" s="13" t="s">
        <v>803</v>
      </c>
      <c r="N967" s="13" t="s">
        <v>317</v>
      </c>
      <c r="O967" s="13" t="s">
        <v>644</v>
      </c>
      <c r="P967" s="13" t="s">
        <v>85</v>
      </c>
      <c r="Q967" s="13" t="s">
        <v>48</v>
      </c>
      <c r="R967" s="4">
        <v>4</v>
      </c>
      <c r="S967" s="13" t="s">
        <v>594</v>
      </c>
      <c r="T967" s="13">
        <v>730</v>
      </c>
      <c r="U967" s="4" t="s">
        <v>326</v>
      </c>
      <c r="V967" s="4" t="s">
        <v>46</v>
      </c>
      <c r="W967" s="4" t="s">
        <v>46</v>
      </c>
      <c r="X967" s="4">
        <v>585</v>
      </c>
      <c r="Y967" s="4">
        <v>4.5</v>
      </c>
      <c r="AA967" s="4" t="s">
        <v>49</v>
      </c>
      <c r="AB967" s="4">
        <v>0</v>
      </c>
      <c r="AC967" s="4" t="s">
        <v>49</v>
      </c>
      <c r="AD967" s="4">
        <v>0</v>
      </c>
      <c r="AE967" s="4" t="s">
        <v>49</v>
      </c>
      <c r="AF967" s="4">
        <v>0</v>
      </c>
      <c r="AG967" s="4" t="s">
        <v>755</v>
      </c>
      <c r="AH967" s="4" t="s">
        <v>754</v>
      </c>
      <c r="AI967" s="4" t="s">
        <v>271</v>
      </c>
      <c r="AJ967" s="13">
        <v>0</v>
      </c>
      <c r="AK967" s="13">
        <v>20</v>
      </c>
      <c r="AM967" s="13" t="s">
        <v>509</v>
      </c>
      <c r="AP967" s="13" t="s">
        <v>50</v>
      </c>
      <c r="AQ967" s="13" t="s">
        <v>49</v>
      </c>
      <c r="AR967" s="13" t="s">
        <v>50</v>
      </c>
      <c r="AS967" s="13" t="s">
        <v>50</v>
      </c>
      <c r="AT967" s="13" t="s">
        <v>990</v>
      </c>
      <c r="AU967" s="13" t="s">
        <v>998</v>
      </c>
      <c r="AV967" s="23">
        <f>0.078/1000</f>
        <v>7.7999999999999999E-5</v>
      </c>
      <c r="AW967" s="23">
        <f>0.078/1000</f>
        <v>7.7999999999999999E-5</v>
      </c>
      <c r="AX967" s="14">
        <f>Table1347456[[#This Row],[treatment_mean]]/Table1347456[[#This Row],[control_mean]]</f>
        <v>1</v>
      </c>
      <c r="AY967" s="14">
        <f>LN(Table1347456[[#This Row],[rr]])</f>
        <v>0</v>
      </c>
      <c r="AZ967" s="13">
        <v>4</v>
      </c>
      <c r="BA967" s="13">
        <v>4</v>
      </c>
      <c r="BB967" s="14">
        <f>SQRT(0.000002)/1000</f>
        <v>1.4142135623730949E-6</v>
      </c>
      <c r="BC967" s="14">
        <f>SQRT(0.000013)/1000</f>
        <v>3.6055512754639892E-6</v>
      </c>
      <c r="BD967" s="15">
        <f>Table1347456[[#This Row],[treatment_se]]*SQRT(Table1347456[[#This Row],[treatment_n]])</f>
        <v>2.8284271247461899E-6</v>
      </c>
      <c r="BE967" s="14">
        <f>Table1347456[[#This Row],[control_se]]*SQRT(Table1347456[[#This Row],[control_n]])</f>
        <v>7.2111025509279784E-6</v>
      </c>
      <c r="BF96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2.4654832347140035E-3</v>
      </c>
      <c r="BG967" s="17">
        <f>SQRT(Table1347456[[#This Row],[v_from_sd_and_n]])</f>
        <v>4.9653632643684831E-2</v>
      </c>
      <c r="BH967" s="13" t="s">
        <v>50</v>
      </c>
      <c r="BI967" s="13">
        <v>0.05</v>
      </c>
      <c r="BJ967" s="18">
        <f>ABS(_xlfn.NORM.S.INV(Table1347456[[#This Row],[p_value]]/2))</f>
        <v>1.9599639845400538</v>
      </c>
      <c r="BK967" s="19">
        <f>(Table1347456[[#This Row],[lnrr]]/Table1347456[[#This Row],[z_from_p]])^2</f>
        <v>0</v>
      </c>
      <c r="BL967" s="16">
        <f>Table1347456[[#This Row],[v_from_sd_and_n]]</f>
        <v>2.4654832347140035E-3</v>
      </c>
      <c r="BM967" s="20">
        <f>SQRT(Table1347456[[#This Row],[v]])</f>
        <v>4.9653632643684831E-2</v>
      </c>
      <c r="BN967" s="20">
        <f>Table1347456[[#This Row],[lnrr]]-(1.96*Table1347456[[#This Row],[se]])</f>
        <v>-9.7321119981622267E-2</v>
      </c>
      <c r="BO967" s="20">
        <f>Table1347456[[#This Row],[lnrr]]+(1.96 * Table1347456[[#This Row],[se]])</f>
        <v>9.7321119981622267E-2</v>
      </c>
    </row>
    <row r="968" spans="1:67">
      <c r="A968" s="13" t="s">
        <v>322</v>
      </c>
      <c r="B968" s="13" t="s">
        <v>323</v>
      </c>
      <c r="C968" s="13" t="s">
        <v>43</v>
      </c>
      <c r="D968" s="13" t="s">
        <v>324</v>
      </c>
      <c r="E968" s="13" t="s">
        <v>91</v>
      </c>
      <c r="F968" s="13" t="s">
        <v>587</v>
      </c>
      <c r="G968" s="13" t="s">
        <v>325</v>
      </c>
      <c r="H968" s="13">
        <v>8.3000000000000007</v>
      </c>
      <c r="I968" s="13">
        <v>365.5</v>
      </c>
      <c r="K968" s="13" t="s">
        <v>906</v>
      </c>
      <c r="L968" s="13" t="s">
        <v>907</v>
      </c>
      <c r="N968" s="13" t="s">
        <v>81</v>
      </c>
      <c r="O968" s="13" t="s">
        <v>82</v>
      </c>
      <c r="P968" s="13" t="s">
        <v>537</v>
      </c>
      <c r="Q968" s="13" t="s">
        <v>83</v>
      </c>
      <c r="R968" s="4">
        <v>4</v>
      </c>
      <c r="S968" s="13" t="s">
        <v>594</v>
      </c>
      <c r="T968" s="13">
        <v>730</v>
      </c>
      <c r="U968" s="4" t="s">
        <v>326</v>
      </c>
      <c r="V968" s="4" t="s">
        <v>46</v>
      </c>
      <c r="W968" s="4" t="s">
        <v>46</v>
      </c>
      <c r="X968" s="4">
        <v>585</v>
      </c>
      <c r="Y968" s="4">
        <v>4.5</v>
      </c>
      <c r="AA968" s="4" t="s">
        <v>49</v>
      </c>
      <c r="AB968" s="4">
        <v>0</v>
      </c>
      <c r="AC968" s="4" t="s">
        <v>49</v>
      </c>
      <c r="AD968" s="4">
        <v>0</v>
      </c>
      <c r="AE968" s="4" t="s">
        <v>49</v>
      </c>
      <c r="AF968" s="4">
        <v>0</v>
      </c>
      <c r="AG968" s="4" t="s">
        <v>755</v>
      </c>
      <c r="AH968" s="4" t="s">
        <v>754</v>
      </c>
      <c r="AI968" s="4" t="s">
        <v>271</v>
      </c>
      <c r="AJ968" s="13">
        <v>0</v>
      </c>
      <c r="AK968" s="13">
        <v>20</v>
      </c>
      <c r="AM968" s="13" t="s">
        <v>509</v>
      </c>
      <c r="AP968" s="13" t="s">
        <v>50</v>
      </c>
      <c r="AQ968" s="13" t="s">
        <v>49</v>
      </c>
      <c r="AR968" s="13" t="s">
        <v>50</v>
      </c>
      <c r="AS968" s="13" t="s">
        <v>50</v>
      </c>
      <c r="AT968" s="13" t="s">
        <v>990</v>
      </c>
      <c r="AU968" s="13" t="s">
        <v>998</v>
      </c>
      <c r="AV968" s="14">
        <f>6796/1000</f>
        <v>6.7960000000000003</v>
      </c>
      <c r="AW968" s="14">
        <f>4831.7/1000</f>
        <v>4.8316999999999997</v>
      </c>
      <c r="AX968" s="14">
        <f>Table1347456[[#This Row],[treatment_mean]]/Table1347456[[#This Row],[control_mean]]</f>
        <v>1.4065442804809902</v>
      </c>
      <c r="AY968" s="14">
        <f>LN(Table1347456[[#This Row],[rr]])</f>
        <v>0.34113583119730828</v>
      </c>
      <c r="AZ968" s="13">
        <v>4</v>
      </c>
      <c r="BA968" s="13">
        <v>4</v>
      </c>
      <c r="BB968" s="14">
        <f>SQRT(29394.545)/1000</f>
        <v>0.17144837415385425</v>
      </c>
      <c r="BC968" s="14">
        <f>SQRT(4615.685)/1000</f>
        <v>6.7938832783614997E-2</v>
      </c>
      <c r="BD968" s="15">
        <f>Table1347456[[#This Row],[treatment_se]]*SQRT(Table1347456[[#This Row],[treatment_n]])</f>
        <v>0.3428967483077085</v>
      </c>
      <c r="BE968" s="14">
        <f>Table1347456[[#This Row],[control_se]]*SQRT(Table1347456[[#This Row],[control_n]])</f>
        <v>0.13587766556722999</v>
      </c>
      <c r="BF96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8.3415717618768128E-4</v>
      </c>
      <c r="BG968" s="17">
        <f>SQRT(Table1347456[[#This Row],[v_from_sd_and_n]])</f>
        <v>2.8881779311318082E-2</v>
      </c>
      <c r="BH968" s="13" t="s">
        <v>50</v>
      </c>
      <c r="BI968" s="13">
        <v>0.05</v>
      </c>
      <c r="BJ968" s="18">
        <f>ABS(_xlfn.NORM.S.INV(Table1347456[[#This Row],[p_value]]/2))</f>
        <v>1.9599639845400538</v>
      </c>
      <c r="BK968" s="19">
        <f>(Table1347456[[#This Row],[lnrr]]/Table1347456[[#This Row],[z_from_p]])^2</f>
        <v>3.0294130630730151E-2</v>
      </c>
      <c r="BL968" s="16">
        <f>Table1347456[[#This Row],[v_from_sd_and_n]]</f>
        <v>8.3415717618768128E-4</v>
      </c>
      <c r="BM968" s="20">
        <f>SQRT(Table1347456[[#This Row],[v]])</f>
        <v>2.8881779311318082E-2</v>
      </c>
      <c r="BN968" s="20">
        <f>Table1347456[[#This Row],[lnrr]]-(1.96*Table1347456[[#This Row],[se]])</f>
        <v>0.28452754374712486</v>
      </c>
      <c r="BO968" s="20">
        <f>Table1347456[[#This Row],[lnrr]]+(1.96 * Table1347456[[#This Row],[se]])</f>
        <v>0.39774411864749171</v>
      </c>
    </row>
    <row r="969" spans="1:67">
      <c r="A969" s="13" t="s">
        <v>322</v>
      </c>
      <c r="B969" s="13" t="s">
        <v>323</v>
      </c>
      <c r="C969" s="13" t="s">
        <v>43</v>
      </c>
      <c r="D969" s="13" t="s">
        <v>324</v>
      </c>
      <c r="E969" s="13" t="s">
        <v>91</v>
      </c>
      <c r="F969" s="13" t="s">
        <v>587</v>
      </c>
      <c r="G969" s="13" t="s">
        <v>325</v>
      </c>
      <c r="H969" s="13">
        <v>8.3000000000000007</v>
      </c>
      <c r="I969" s="13">
        <v>365.5</v>
      </c>
      <c r="K969" s="13" t="s">
        <v>906</v>
      </c>
      <c r="L969" s="13" t="s">
        <v>907</v>
      </c>
      <c r="N969" s="13" t="s">
        <v>66</v>
      </c>
      <c r="O969" s="13" t="s">
        <v>67</v>
      </c>
      <c r="P969" s="13" t="s">
        <v>537</v>
      </c>
      <c r="Q969" s="13" t="s">
        <v>48</v>
      </c>
      <c r="R969" s="4">
        <v>4</v>
      </c>
      <c r="S969" s="13" t="s">
        <v>594</v>
      </c>
      <c r="T969" s="13">
        <v>730</v>
      </c>
      <c r="U969" s="4" t="s">
        <v>326</v>
      </c>
      <c r="V969" s="4" t="s">
        <v>46</v>
      </c>
      <c r="W969" s="4" t="s">
        <v>46</v>
      </c>
      <c r="X969" s="4">
        <v>585</v>
      </c>
      <c r="Y969" s="4">
        <v>4.5</v>
      </c>
      <c r="AA969" s="4" t="s">
        <v>49</v>
      </c>
      <c r="AB969" s="4">
        <v>0</v>
      </c>
      <c r="AC969" s="4" t="s">
        <v>49</v>
      </c>
      <c r="AD969" s="4">
        <v>0</v>
      </c>
      <c r="AE969" s="4" t="s">
        <v>49</v>
      </c>
      <c r="AF969" s="4">
        <v>0</v>
      </c>
      <c r="AG969" s="4" t="s">
        <v>755</v>
      </c>
      <c r="AH969" s="4" t="s">
        <v>754</v>
      </c>
      <c r="AI969" s="4" t="s">
        <v>271</v>
      </c>
      <c r="AJ969" s="13">
        <v>0</v>
      </c>
      <c r="AK969" s="13">
        <v>20</v>
      </c>
      <c r="AM969" s="13" t="s">
        <v>509</v>
      </c>
      <c r="AP969" s="13" t="s">
        <v>50</v>
      </c>
      <c r="AQ969" s="13" t="s">
        <v>49</v>
      </c>
      <c r="AR969" s="13" t="s">
        <v>50</v>
      </c>
      <c r="AS969" s="13" t="s">
        <v>50</v>
      </c>
      <c r="AT969" s="13" t="s">
        <v>990</v>
      </c>
      <c r="AU969" s="13" t="s">
        <v>998</v>
      </c>
      <c r="AV969" s="14">
        <f>(23112.5*2)/1.57/1000</f>
        <v>29.442675159235666</v>
      </c>
      <c r="AW969" s="14">
        <f>(17118.8*2)/1.57/1000</f>
        <v>21.807388535031844</v>
      </c>
      <c r="AX969" s="14">
        <f>Table1347456[[#This Row],[treatment_mean]]/Table1347456[[#This Row],[control_mean]]</f>
        <v>1.3501238404561069</v>
      </c>
      <c r="AY969" s="14">
        <f>LN(Table1347456[[#This Row],[rr]])</f>
        <v>0.30019632191425244</v>
      </c>
      <c r="AZ969" s="13">
        <v>4</v>
      </c>
      <c r="BA969" s="13">
        <v>4</v>
      </c>
      <c r="BB969" s="14">
        <f>(SQRT(466420.1)*2)/1.52/1000</f>
        <v>0.89861784065625261</v>
      </c>
      <c r="BC969" s="14">
        <f>(SQRT(89458.72)*2)/1.52/1000</f>
        <v>0.39354803442738989</v>
      </c>
      <c r="BD969" s="15">
        <f>Table1347456[[#This Row],[treatment_se]]*SQRT(Table1347456[[#This Row],[treatment_n]])</f>
        <v>1.7972356813125052</v>
      </c>
      <c r="BE969" s="14">
        <f>Table1347456[[#This Row],[control_se]]*SQRT(Table1347456[[#This Row],[control_n]])</f>
        <v>0.78709606885477978</v>
      </c>
      <c r="BF96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1.2572050079906552E-3</v>
      </c>
      <c r="BG969" s="17">
        <f>SQRT(Table1347456[[#This Row],[v_from_sd_and_n]])</f>
        <v>3.5457086851441354E-2</v>
      </c>
      <c r="BH969" s="13" t="s">
        <v>50</v>
      </c>
      <c r="BI969" s="13">
        <v>0.05</v>
      </c>
      <c r="BJ969" s="18">
        <f>ABS(_xlfn.NORM.S.INV(Table1347456[[#This Row],[p_value]]/2))</f>
        <v>1.9599639845400538</v>
      </c>
      <c r="BK969" s="19">
        <f>(Table1347456[[#This Row],[lnrr]]/Table1347456[[#This Row],[z_from_p]])^2</f>
        <v>2.3459273129618458E-2</v>
      </c>
      <c r="BL969" s="16">
        <f>Table1347456[[#This Row],[v_from_sd_and_n]]</f>
        <v>1.2572050079906552E-3</v>
      </c>
      <c r="BM969" s="20">
        <f>SQRT(Table1347456[[#This Row],[v]])</f>
        <v>3.5457086851441354E-2</v>
      </c>
      <c r="BN969" s="20">
        <f>Table1347456[[#This Row],[lnrr]]-(1.96*Table1347456[[#This Row],[se]])</f>
        <v>0.23070043168542739</v>
      </c>
      <c r="BO969" s="20">
        <f>Table1347456[[#This Row],[lnrr]]+(1.96 * Table1347456[[#This Row],[se]])</f>
        <v>0.36969221214307746</v>
      </c>
    </row>
    <row r="970" spans="1:67">
      <c r="A970" s="13" t="s">
        <v>327</v>
      </c>
      <c r="B970" s="13" t="s">
        <v>328</v>
      </c>
      <c r="C970" s="13" t="s">
        <v>43</v>
      </c>
      <c r="D970" s="13" t="s">
        <v>329</v>
      </c>
      <c r="E970" s="13" t="s">
        <v>91</v>
      </c>
      <c r="F970" s="13" t="s">
        <v>587</v>
      </c>
      <c r="G970" s="13" t="s">
        <v>46</v>
      </c>
      <c r="H970" s="13">
        <v>15</v>
      </c>
      <c r="I970" s="13">
        <v>1150</v>
      </c>
      <c r="K970" s="13" t="s">
        <v>908</v>
      </c>
      <c r="L970" s="13" t="s">
        <v>909</v>
      </c>
      <c r="N970" s="13" t="s">
        <v>255</v>
      </c>
      <c r="O970" s="13" t="s">
        <v>645</v>
      </c>
      <c r="P970" s="13" t="s">
        <v>48</v>
      </c>
      <c r="Q970" s="13" t="s">
        <v>48</v>
      </c>
      <c r="R970" s="4">
        <v>3</v>
      </c>
      <c r="S970" s="13" t="s">
        <v>596</v>
      </c>
      <c r="T970" s="13">
        <v>117</v>
      </c>
      <c r="U970" s="4" t="s">
        <v>200</v>
      </c>
      <c r="V970" s="4">
        <v>400</v>
      </c>
      <c r="W970" s="4" t="s">
        <v>42</v>
      </c>
      <c r="X970" s="4">
        <v>632.70000000000005</v>
      </c>
      <c r="Y970" s="4">
        <v>12</v>
      </c>
      <c r="AA970" s="4" t="s">
        <v>49</v>
      </c>
      <c r="AB970" s="4">
        <v>0</v>
      </c>
      <c r="AC970" s="4" t="s">
        <v>49</v>
      </c>
      <c r="AD970" s="4">
        <v>0</v>
      </c>
      <c r="AE970" s="4" t="s">
        <v>49</v>
      </c>
      <c r="AF970" s="4">
        <v>0</v>
      </c>
      <c r="AG970" s="4" t="s">
        <v>766</v>
      </c>
      <c r="AH970" s="4" t="s">
        <v>716</v>
      </c>
      <c r="AI970" s="4" t="s">
        <v>64</v>
      </c>
      <c r="AJ970" s="13">
        <v>0</v>
      </c>
      <c r="AK970" s="13">
        <v>15</v>
      </c>
      <c r="AL970" s="13" t="s">
        <v>538</v>
      </c>
      <c r="AM970" s="13" t="s">
        <v>539</v>
      </c>
      <c r="AO970" s="13" t="s">
        <v>540</v>
      </c>
      <c r="AP970" s="13" t="s">
        <v>50</v>
      </c>
      <c r="AQ970" s="13" t="s">
        <v>49</v>
      </c>
      <c r="AR970" s="13" t="s">
        <v>50</v>
      </c>
      <c r="AS970" s="13" t="s">
        <v>49</v>
      </c>
      <c r="AT970" s="13" t="s">
        <v>990</v>
      </c>
      <c r="AU970" s="13" t="s">
        <v>998</v>
      </c>
      <c r="AV970" s="14">
        <v>1.67</v>
      </c>
      <c r="AW970" s="14">
        <v>1.66</v>
      </c>
      <c r="AX970" s="14">
        <f>Table1347456[[#This Row],[treatment_mean]]/Table1347456[[#This Row],[control_mean]]</f>
        <v>1.0060240963855422</v>
      </c>
      <c r="AY970" s="14">
        <f>LN(Table1347456[[#This Row],[rr]])</f>
        <v>6.0060240602119487E-3</v>
      </c>
      <c r="AZ970" s="13">
        <v>3</v>
      </c>
      <c r="BA970" s="13">
        <v>3</v>
      </c>
      <c r="BB970" s="14">
        <v>0.02</v>
      </c>
      <c r="BC970" s="14">
        <v>0.04</v>
      </c>
      <c r="BD970" s="15">
        <f>Table1347456[[#This Row],[treatment_se]]*SQRT(Table1347456[[#This Row],[treatment_n]])</f>
        <v>3.4641016151377546E-2</v>
      </c>
      <c r="BE970" s="14">
        <f>Table1347456[[#This Row],[control_se]]*SQRT(Table1347456[[#This Row],[control_n]])</f>
        <v>6.9282032302755092E-2</v>
      </c>
      <c r="BF97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7.2406151960032806E-4</v>
      </c>
      <c r="BG970" s="17">
        <f>SQRT(Table1347456[[#This Row],[v_from_sd_and_n]])</f>
        <v>2.6908391248834033E-2</v>
      </c>
      <c r="BH970" s="13" t="s">
        <v>50</v>
      </c>
      <c r="BI970" s="13">
        <v>0.05</v>
      </c>
      <c r="BJ970" s="18">
        <f>ABS(_xlfn.NORM.S.INV(Table1347456[[#This Row],[p_value]]/2))</f>
        <v>1.9599639845400538</v>
      </c>
      <c r="BK970" s="19">
        <f>(Table1347456[[#This Row],[lnrr]]/Table1347456[[#This Row],[z_from_p]])^2</f>
        <v>9.3902672644885487E-6</v>
      </c>
      <c r="BL970" s="16">
        <f>Table1347456[[#This Row],[v_from_sd_and_n]]</f>
        <v>7.2406151960032806E-4</v>
      </c>
      <c r="BM970" s="20">
        <f>SQRT(Table1347456[[#This Row],[v]])</f>
        <v>2.6908391248834033E-2</v>
      </c>
      <c r="BN970" s="20">
        <f>Table1347456[[#This Row],[lnrr]]-(1.96*Table1347456[[#This Row],[se]])</f>
        <v>-4.6734422787502755E-2</v>
      </c>
      <c r="BO970" s="20">
        <f>Table1347456[[#This Row],[lnrr]]+(1.96 * Table1347456[[#This Row],[se]])</f>
        <v>5.8746470907926659E-2</v>
      </c>
    </row>
    <row r="971" spans="1:67">
      <c r="A971" s="13" t="s">
        <v>327</v>
      </c>
      <c r="B971" s="13" t="s">
        <v>328</v>
      </c>
      <c r="C971" s="13" t="s">
        <v>43</v>
      </c>
      <c r="D971" s="13" t="s">
        <v>329</v>
      </c>
      <c r="E971" s="13" t="s">
        <v>91</v>
      </c>
      <c r="F971" s="13" t="s">
        <v>587</v>
      </c>
      <c r="G971" s="13" t="s">
        <v>46</v>
      </c>
      <c r="H971" s="13">
        <v>15</v>
      </c>
      <c r="I971" s="13">
        <v>1150</v>
      </c>
      <c r="K971" s="13" t="s">
        <v>908</v>
      </c>
      <c r="L971" s="13" t="s">
        <v>909</v>
      </c>
      <c r="N971" s="13" t="s">
        <v>255</v>
      </c>
      <c r="O971" s="13" t="s">
        <v>645</v>
      </c>
      <c r="P971" s="13" t="s">
        <v>48</v>
      </c>
      <c r="Q971" s="13" t="s">
        <v>48</v>
      </c>
      <c r="R971" s="4">
        <v>3</v>
      </c>
      <c r="S971" s="13" t="s">
        <v>596</v>
      </c>
      <c r="T971" s="13">
        <v>117</v>
      </c>
      <c r="U971" s="4" t="s">
        <v>200</v>
      </c>
      <c r="V971" s="4">
        <v>400</v>
      </c>
      <c r="W971" s="4" t="s">
        <v>42</v>
      </c>
      <c r="X971" s="4">
        <v>632.70000000000005</v>
      </c>
      <c r="Y971" s="4">
        <v>12</v>
      </c>
      <c r="AA971" s="4" t="s">
        <v>49</v>
      </c>
      <c r="AB971" s="4">
        <v>0</v>
      </c>
      <c r="AC971" s="4" t="s">
        <v>49</v>
      </c>
      <c r="AD971" s="4">
        <v>0</v>
      </c>
      <c r="AE971" s="4" t="s">
        <v>49</v>
      </c>
      <c r="AF971" s="4">
        <v>0</v>
      </c>
      <c r="AG971" s="4" t="s">
        <v>766</v>
      </c>
      <c r="AH971" s="4" t="s">
        <v>716</v>
      </c>
      <c r="AI971" s="4" t="s">
        <v>64</v>
      </c>
      <c r="AJ971" s="13">
        <v>0</v>
      </c>
      <c r="AK971" s="13">
        <v>15</v>
      </c>
      <c r="AL971" s="13" t="s">
        <v>538</v>
      </c>
      <c r="AM971" s="13" t="s">
        <v>539</v>
      </c>
      <c r="AO971" s="13" t="s">
        <v>540</v>
      </c>
      <c r="AP971" s="13" t="s">
        <v>50</v>
      </c>
      <c r="AQ971" s="13" t="s">
        <v>49</v>
      </c>
      <c r="AR971" s="13" t="s">
        <v>50</v>
      </c>
      <c r="AS971" s="13" t="s">
        <v>49</v>
      </c>
      <c r="AT971" s="13" t="s">
        <v>990</v>
      </c>
      <c r="AU971" s="13" t="s">
        <v>998</v>
      </c>
      <c r="AV971" s="14">
        <v>1.94</v>
      </c>
      <c r="AW971" s="14">
        <v>1.66</v>
      </c>
      <c r="AX971" s="14">
        <f>Table1347456[[#This Row],[treatment_mean]]/Table1347456[[#This Row],[control_mean]]</f>
        <v>1.1686746987951808</v>
      </c>
      <c r="AY971" s="14">
        <f>LN(Table1347456[[#This Row],[rr]])</f>
        <v>0.15587037070678497</v>
      </c>
      <c r="AZ971" s="13">
        <v>3</v>
      </c>
      <c r="BA971" s="13">
        <v>3</v>
      </c>
      <c r="BB971" s="14">
        <v>1E-3</v>
      </c>
      <c r="BC971" s="14">
        <v>0.04</v>
      </c>
      <c r="BD971" s="15">
        <f>Table1347456[[#This Row],[treatment_se]]*SQRT(Table1347456[[#This Row],[treatment_n]])</f>
        <v>1.7320508075688772E-3</v>
      </c>
      <c r="BE971" s="14">
        <f>Table1347456[[#This Row],[control_se]]*SQRT(Table1347456[[#This Row],[control_n]])</f>
        <v>6.9282032302755092E-2</v>
      </c>
      <c r="BF97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5.8090149924710664E-4</v>
      </c>
      <c r="BG971" s="17">
        <f>SQRT(Table1347456[[#This Row],[v_from_sd_and_n]])</f>
        <v>2.4101898249870416E-2</v>
      </c>
      <c r="BH971" s="13" t="s">
        <v>50</v>
      </c>
      <c r="BI971" s="13">
        <v>0.05</v>
      </c>
      <c r="BJ971" s="18">
        <f>ABS(_xlfn.NORM.S.INV(Table1347456[[#This Row],[p_value]]/2))</f>
        <v>1.9599639845400538</v>
      </c>
      <c r="BK971" s="19">
        <f>(Table1347456[[#This Row],[lnrr]]/Table1347456[[#This Row],[z_from_p]])^2</f>
        <v>6.3245692843013554E-3</v>
      </c>
      <c r="BL971" s="16">
        <f>Table1347456[[#This Row],[v_from_sd_and_n]]</f>
        <v>5.8090149924710664E-4</v>
      </c>
      <c r="BM971" s="20">
        <f>SQRT(Table1347456[[#This Row],[v]])</f>
        <v>2.4101898249870416E-2</v>
      </c>
      <c r="BN971" s="20">
        <f>Table1347456[[#This Row],[lnrr]]-(1.96*Table1347456[[#This Row],[se]])</f>
        <v>0.10863065013703896</v>
      </c>
      <c r="BO971" s="20">
        <f>Table1347456[[#This Row],[lnrr]]+(1.96 * Table1347456[[#This Row],[se]])</f>
        <v>0.20311009127653099</v>
      </c>
    </row>
    <row r="972" spans="1:67">
      <c r="A972" s="13" t="s">
        <v>327</v>
      </c>
      <c r="B972" s="13" t="s">
        <v>328</v>
      </c>
      <c r="C972" s="13" t="s">
        <v>43</v>
      </c>
      <c r="D972" s="13" t="s">
        <v>329</v>
      </c>
      <c r="E972" s="13" t="s">
        <v>91</v>
      </c>
      <c r="F972" s="13" t="s">
        <v>587</v>
      </c>
      <c r="G972" s="13" t="s">
        <v>46</v>
      </c>
      <c r="H972" s="13">
        <v>15</v>
      </c>
      <c r="I972" s="13">
        <v>1150</v>
      </c>
      <c r="K972" s="13" t="s">
        <v>908</v>
      </c>
      <c r="L972" s="13" t="s">
        <v>909</v>
      </c>
      <c r="N972" s="13" t="s">
        <v>255</v>
      </c>
      <c r="O972" s="13" t="s">
        <v>645</v>
      </c>
      <c r="P972" s="13" t="s">
        <v>48</v>
      </c>
      <c r="Q972" s="13" t="s">
        <v>48</v>
      </c>
      <c r="R972" s="4">
        <v>3</v>
      </c>
      <c r="S972" s="13" t="s">
        <v>596</v>
      </c>
      <c r="T972" s="13">
        <v>117</v>
      </c>
      <c r="U972" s="4" t="s">
        <v>200</v>
      </c>
      <c r="V972" s="4">
        <v>400</v>
      </c>
      <c r="W972" s="4" t="s">
        <v>42</v>
      </c>
      <c r="X972" s="4">
        <v>632.70000000000005</v>
      </c>
      <c r="Y972" s="4">
        <v>12</v>
      </c>
      <c r="AA972" s="4" t="s">
        <v>50</v>
      </c>
      <c r="AB972" s="4">
        <v>250</v>
      </c>
      <c r="AC972" s="4" t="s">
        <v>49</v>
      </c>
      <c r="AD972" s="4">
        <v>0</v>
      </c>
      <c r="AE972" s="4" t="s">
        <v>49</v>
      </c>
      <c r="AF972" s="4">
        <v>0</v>
      </c>
      <c r="AG972" s="4" t="s">
        <v>766</v>
      </c>
      <c r="AH972" s="4" t="s">
        <v>716</v>
      </c>
      <c r="AI972" s="4" t="s">
        <v>64</v>
      </c>
      <c r="AJ972" s="13">
        <v>0</v>
      </c>
      <c r="AK972" s="13">
        <v>15</v>
      </c>
      <c r="AL972" s="13" t="s">
        <v>538</v>
      </c>
      <c r="AM972" s="13" t="s">
        <v>539</v>
      </c>
      <c r="AO972" s="13" t="s">
        <v>540</v>
      </c>
      <c r="AP972" s="13" t="s">
        <v>50</v>
      </c>
      <c r="AQ972" s="13" t="s">
        <v>49</v>
      </c>
      <c r="AR972" s="13" t="s">
        <v>50</v>
      </c>
      <c r="AS972" s="13" t="s">
        <v>49</v>
      </c>
      <c r="AT972" s="13" t="s">
        <v>992</v>
      </c>
      <c r="AU972" s="4" t="s">
        <v>1000</v>
      </c>
      <c r="AV972" s="14">
        <v>1.96</v>
      </c>
      <c r="AW972" s="14">
        <v>1.9</v>
      </c>
      <c r="AX972" s="14">
        <f>Table1347456[[#This Row],[treatment_mean]]/Table1347456[[#This Row],[control_mean]]</f>
        <v>1.0315789473684212</v>
      </c>
      <c r="AY972" s="14">
        <f>LN(Table1347456[[#This Row],[rr]])</f>
        <v>3.1090587070031182E-2</v>
      </c>
      <c r="AZ972" s="13">
        <v>3</v>
      </c>
      <c r="BA972" s="13">
        <v>3</v>
      </c>
      <c r="BB972" s="14">
        <v>0.02</v>
      </c>
      <c r="BC972" s="14">
        <v>0.03</v>
      </c>
      <c r="BD972" s="15">
        <f>Table1347456[[#This Row],[treatment_se]]*SQRT(Table1347456[[#This Row],[treatment_n]])</f>
        <v>3.4641016151377546E-2</v>
      </c>
      <c r="BE972" s="14">
        <f>Table1347456[[#This Row],[control_se]]*SQRT(Table1347456[[#This Row],[control_n]])</f>
        <v>5.1961524227066312E-2</v>
      </c>
      <c r="BF97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3.534307611902242E-4</v>
      </c>
      <c r="BG972" s="17">
        <f>SQRT(Table1347456[[#This Row],[v_from_sd_and_n]])</f>
        <v>1.8799754285368311E-2</v>
      </c>
      <c r="BH972" s="13" t="s">
        <v>50</v>
      </c>
      <c r="BI972" s="13">
        <v>0.05</v>
      </c>
      <c r="BJ972" s="18">
        <f>ABS(_xlfn.NORM.S.INV(Table1347456[[#This Row],[p_value]]/2))</f>
        <v>1.9599639845400538</v>
      </c>
      <c r="BK972" s="19">
        <f>(Table1347456[[#This Row],[lnrr]]/Table1347456[[#This Row],[z_from_p]])^2</f>
        <v>2.516295630066205E-4</v>
      </c>
      <c r="BL972" s="16">
        <f>Table1347456[[#This Row],[v_from_sd_and_n]]</f>
        <v>3.534307611902242E-4</v>
      </c>
      <c r="BM972" s="20">
        <f>SQRT(Table1347456[[#This Row],[v]])</f>
        <v>1.8799754285368311E-2</v>
      </c>
      <c r="BN972" s="20">
        <f>Table1347456[[#This Row],[lnrr]]-(1.96*Table1347456[[#This Row],[se]])</f>
        <v>-5.7569313292907091E-3</v>
      </c>
      <c r="BO972" s="20">
        <f>Table1347456[[#This Row],[lnrr]]+(1.96 * Table1347456[[#This Row],[se]])</f>
        <v>6.7938105469353069E-2</v>
      </c>
    </row>
    <row r="973" spans="1:67">
      <c r="A973" s="13" t="s">
        <v>327</v>
      </c>
      <c r="B973" s="13" t="s">
        <v>328</v>
      </c>
      <c r="C973" s="13" t="s">
        <v>43</v>
      </c>
      <c r="D973" s="13" t="s">
        <v>329</v>
      </c>
      <c r="E973" s="13" t="s">
        <v>91</v>
      </c>
      <c r="F973" s="13" t="s">
        <v>587</v>
      </c>
      <c r="G973" s="13" t="s">
        <v>46</v>
      </c>
      <c r="H973" s="13">
        <v>15</v>
      </c>
      <c r="I973" s="13">
        <v>1150</v>
      </c>
      <c r="K973" s="13" t="s">
        <v>908</v>
      </c>
      <c r="L973" s="13" t="s">
        <v>909</v>
      </c>
      <c r="N973" s="13" t="s">
        <v>81</v>
      </c>
      <c r="O973" s="13" t="s">
        <v>82</v>
      </c>
      <c r="P973" s="13" t="s">
        <v>541</v>
      </c>
      <c r="Q973" s="13" t="s">
        <v>83</v>
      </c>
      <c r="R973" s="4">
        <v>3</v>
      </c>
      <c r="S973" s="13" t="s">
        <v>596</v>
      </c>
      <c r="T973" s="13">
        <v>117</v>
      </c>
      <c r="U973" s="4" t="s">
        <v>200</v>
      </c>
      <c r="V973" s="4">
        <v>400</v>
      </c>
      <c r="W973" s="4" t="s">
        <v>42</v>
      </c>
      <c r="X973" s="4">
        <v>632.70000000000005</v>
      </c>
      <c r="Y973" s="4">
        <v>12</v>
      </c>
      <c r="AA973" s="4" t="s">
        <v>49</v>
      </c>
      <c r="AB973" s="4">
        <v>0</v>
      </c>
      <c r="AC973" s="4" t="s">
        <v>49</v>
      </c>
      <c r="AD973" s="4">
        <v>0</v>
      </c>
      <c r="AE973" s="4" t="s">
        <v>49</v>
      </c>
      <c r="AF973" s="4">
        <v>0</v>
      </c>
      <c r="AG973" s="4" t="s">
        <v>766</v>
      </c>
      <c r="AH973" s="4" t="s">
        <v>716</v>
      </c>
      <c r="AI973" s="4" t="s">
        <v>64</v>
      </c>
      <c r="AJ973" s="13">
        <v>0</v>
      </c>
      <c r="AK973" s="13">
        <v>15</v>
      </c>
      <c r="AL973" s="13" t="s">
        <v>538</v>
      </c>
      <c r="AM973" s="13" t="s">
        <v>539</v>
      </c>
      <c r="AO973" s="13" t="s">
        <v>540</v>
      </c>
      <c r="AP973" s="13" t="s">
        <v>50</v>
      </c>
      <c r="AQ973" s="13" t="s">
        <v>49</v>
      </c>
      <c r="AR973" s="13" t="s">
        <v>50</v>
      </c>
      <c r="AS973" s="13" t="s">
        <v>49</v>
      </c>
      <c r="AT973" s="13" t="s">
        <v>990</v>
      </c>
      <c r="AU973" s="13" t="s">
        <v>998</v>
      </c>
      <c r="AV973" s="14">
        <f>0.6*10</f>
        <v>6</v>
      </c>
      <c r="AW973" s="14">
        <f>0.96*10</f>
        <v>9.6</v>
      </c>
      <c r="AX973" s="14">
        <f>Table1347456[[#This Row],[treatment_mean]]/Table1347456[[#This Row],[control_mean]]</f>
        <v>0.625</v>
      </c>
      <c r="AY973" s="14">
        <f>LN(Table1347456[[#This Row],[rr]])</f>
        <v>-0.47000362924573558</v>
      </c>
      <c r="AZ973" s="13">
        <v>3</v>
      </c>
      <c r="BA973" s="13">
        <v>3</v>
      </c>
      <c r="BB973" s="14">
        <f>0.16*10</f>
        <v>1.6</v>
      </c>
      <c r="BC973" s="14">
        <f>0.33*10</f>
        <v>3.3000000000000003</v>
      </c>
      <c r="BD973" s="15">
        <f>Table1347456[[#This Row],[treatment_se]]*SQRT(Table1347456[[#This Row],[treatment_n]])</f>
        <v>2.7712812921102037</v>
      </c>
      <c r="BE973" s="14">
        <f>Table1347456[[#This Row],[control_se]]*SQRT(Table1347456[[#This Row],[control_n]])</f>
        <v>5.715767664977295</v>
      </c>
      <c r="BF97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0.18927517361111112</v>
      </c>
      <c r="BG973" s="17">
        <f>SQRT(Table1347456[[#This Row],[v_from_sd_and_n]])</f>
        <v>0.43505766699497567</v>
      </c>
      <c r="BH973" s="13" t="s">
        <v>50</v>
      </c>
      <c r="BI973" s="13">
        <v>0.05</v>
      </c>
      <c r="BJ973" s="18">
        <f>ABS(_xlfn.NORM.S.INV(Table1347456[[#This Row],[p_value]]/2))</f>
        <v>1.9599639845400538</v>
      </c>
      <c r="BK973" s="19">
        <f>(Table1347456[[#This Row],[lnrr]]/Table1347456[[#This Row],[z_from_p]])^2</f>
        <v>5.7505083827567152E-2</v>
      </c>
      <c r="BL973" s="16">
        <f>Table1347456[[#This Row],[v_from_sd_and_n]]</f>
        <v>0.18927517361111112</v>
      </c>
      <c r="BM973" s="20">
        <f>SQRT(Table1347456[[#This Row],[v]])</f>
        <v>0.43505766699497567</v>
      </c>
      <c r="BN973" s="20">
        <f>Table1347456[[#This Row],[lnrr]]-(1.96*Table1347456[[#This Row],[se]])</f>
        <v>-1.3227166565558879</v>
      </c>
      <c r="BO973" s="20">
        <f>Table1347456[[#This Row],[lnrr]]+(1.96 * Table1347456[[#This Row],[se]])</f>
        <v>0.38270939806441673</v>
      </c>
    </row>
    <row r="974" spans="1:67">
      <c r="A974" s="13" t="s">
        <v>327</v>
      </c>
      <c r="B974" s="13" t="s">
        <v>328</v>
      </c>
      <c r="C974" s="13" t="s">
        <v>43</v>
      </c>
      <c r="D974" s="13" t="s">
        <v>329</v>
      </c>
      <c r="E974" s="13" t="s">
        <v>91</v>
      </c>
      <c r="F974" s="13" t="s">
        <v>587</v>
      </c>
      <c r="G974" s="13" t="s">
        <v>46</v>
      </c>
      <c r="H974" s="13">
        <v>15</v>
      </c>
      <c r="I974" s="13">
        <v>1150</v>
      </c>
      <c r="K974" s="13" t="s">
        <v>908</v>
      </c>
      <c r="L974" s="13" t="s">
        <v>909</v>
      </c>
      <c r="N974" s="13" t="s">
        <v>81</v>
      </c>
      <c r="O974" s="13" t="s">
        <v>82</v>
      </c>
      <c r="P974" s="13" t="s">
        <v>541</v>
      </c>
      <c r="Q974" s="13" t="s">
        <v>83</v>
      </c>
      <c r="R974" s="4">
        <v>3</v>
      </c>
      <c r="S974" s="13" t="s">
        <v>596</v>
      </c>
      <c r="T974" s="13">
        <v>117</v>
      </c>
      <c r="U974" s="4" t="s">
        <v>200</v>
      </c>
      <c r="V974" s="4">
        <v>400</v>
      </c>
      <c r="W974" s="4" t="s">
        <v>42</v>
      </c>
      <c r="X974" s="4">
        <v>632.70000000000005</v>
      </c>
      <c r="Y974" s="4">
        <v>12</v>
      </c>
      <c r="AA974" s="4" t="s">
        <v>49</v>
      </c>
      <c r="AB974" s="4">
        <v>0</v>
      </c>
      <c r="AC974" s="4" t="s">
        <v>49</v>
      </c>
      <c r="AD974" s="4">
        <v>0</v>
      </c>
      <c r="AE974" s="4" t="s">
        <v>49</v>
      </c>
      <c r="AF974" s="4">
        <v>0</v>
      </c>
      <c r="AG974" s="4" t="s">
        <v>766</v>
      </c>
      <c r="AH974" s="4" t="s">
        <v>716</v>
      </c>
      <c r="AI974" s="4" t="s">
        <v>64</v>
      </c>
      <c r="AJ974" s="13">
        <v>0</v>
      </c>
      <c r="AK974" s="13">
        <v>15</v>
      </c>
      <c r="AL974" s="13" t="s">
        <v>538</v>
      </c>
      <c r="AM974" s="13" t="s">
        <v>539</v>
      </c>
      <c r="AO974" s="13" t="s">
        <v>540</v>
      </c>
      <c r="AP974" s="13" t="s">
        <v>50</v>
      </c>
      <c r="AQ974" s="13" t="s">
        <v>49</v>
      </c>
      <c r="AR974" s="13" t="s">
        <v>50</v>
      </c>
      <c r="AS974" s="13" t="s">
        <v>49</v>
      </c>
      <c r="AT974" s="13" t="s">
        <v>990</v>
      </c>
      <c r="AU974" s="13" t="s">
        <v>998</v>
      </c>
      <c r="AV974" s="14">
        <f>1.05*10</f>
        <v>10.5</v>
      </c>
      <c r="AW974" s="14">
        <f>0.96*10</f>
        <v>9.6</v>
      </c>
      <c r="AX974" s="14">
        <f>Table1347456[[#This Row],[treatment_mean]]/Table1347456[[#This Row],[control_mean]]</f>
        <v>1.09375</v>
      </c>
      <c r="AY974" s="14">
        <f>LN(Table1347456[[#This Row],[rr]])</f>
        <v>8.9612158689687138E-2</v>
      </c>
      <c r="AZ974" s="13">
        <v>3</v>
      </c>
      <c r="BA974" s="13">
        <v>3</v>
      </c>
      <c r="BB974" s="14">
        <f>0.12*10</f>
        <v>1.2</v>
      </c>
      <c r="BC974" s="14">
        <f>0.33*10</f>
        <v>3.3000000000000003</v>
      </c>
      <c r="BD974" s="15">
        <f>Table1347456[[#This Row],[treatment_se]]*SQRT(Table1347456[[#This Row],[treatment_n]])</f>
        <v>2.0784609690826525</v>
      </c>
      <c r="BE974" s="14">
        <f>Table1347456[[#This Row],[control_se]]*SQRT(Table1347456[[#This Row],[control_n]])</f>
        <v>5.715767664977295</v>
      </c>
      <c r="BF97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0.13122528698979591</v>
      </c>
      <c r="BG974" s="17">
        <f>SQRT(Table1347456[[#This Row],[v_from_sd_and_n]])</f>
        <v>0.36225030985465823</v>
      </c>
      <c r="BH974" s="13" t="s">
        <v>50</v>
      </c>
      <c r="BI974" s="13">
        <v>0.05</v>
      </c>
      <c r="BJ974" s="18">
        <f>ABS(_xlfn.NORM.S.INV(Table1347456[[#This Row],[p_value]]/2))</f>
        <v>1.9599639845400538</v>
      </c>
      <c r="BK974" s="19">
        <f>(Table1347456[[#This Row],[lnrr]]/Table1347456[[#This Row],[z_from_p]])^2</f>
        <v>2.0904399499913537E-3</v>
      </c>
      <c r="BL974" s="16">
        <f>Table1347456[[#This Row],[v_from_sd_and_n]]</f>
        <v>0.13122528698979591</v>
      </c>
      <c r="BM974" s="20">
        <f>SQRT(Table1347456[[#This Row],[v]])</f>
        <v>0.36225030985465823</v>
      </c>
      <c r="BN974" s="20">
        <f>Table1347456[[#This Row],[lnrr]]-(1.96*Table1347456[[#This Row],[se]])</f>
        <v>-0.62039844862544302</v>
      </c>
      <c r="BO974" s="20">
        <f>Table1347456[[#This Row],[lnrr]]+(1.96 * Table1347456[[#This Row],[se]])</f>
        <v>0.79962276600481719</v>
      </c>
    </row>
    <row r="975" spans="1:67">
      <c r="A975" s="13" t="s">
        <v>327</v>
      </c>
      <c r="B975" s="13" t="s">
        <v>328</v>
      </c>
      <c r="C975" s="13" t="s">
        <v>43</v>
      </c>
      <c r="D975" s="13" t="s">
        <v>329</v>
      </c>
      <c r="E975" s="13" t="s">
        <v>91</v>
      </c>
      <c r="F975" s="13" t="s">
        <v>587</v>
      </c>
      <c r="G975" s="13" t="s">
        <v>46</v>
      </c>
      <c r="H975" s="13">
        <v>15</v>
      </c>
      <c r="I975" s="13">
        <v>1150</v>
      </c>
      <c r="K975" s="13" t="s">
        <v>908</v>
      </c>
      <c r="L975" s="13" t="s">
        <v>909</v>
      </c>
      <c r="N975" s="13" t="s">
        <v>81</v>
      </c>
      <c r="O975" s="13" t="s">
        <v>82</v>
      </c>
      <c r="P975" s="13" t="s">
        <v>541</v>
      </c>
      <c r="Q975" s="13" t="s">
        <v>83</v>
      </c>
      <c r="R975" s="4">
        <v>3</v>
      </c>
      <c r="S975" s="13" t="s">
        <v>596</v>
      </c>
      <c r="T975" s="13">
        <v>117</v>
      </c>
      <c r="U975" s="4" t="s">
        <v>200</v>
      </c>
      <c r="V975" s="4">
        <v>400</v>
      </c>
      <c r="W975" s="4" t="s">
        <v>42</v>
      </c>
      <c r="X975" s="4">
        <v>632.70000000000005</v>
      </c>
      <c r="Y975" s="4">
        <v>12</v>
      </c>
      <c r="AA975" s="4" t="s">
        <v>50</v>
      </c>
      <c r="AB975" s="4">
        <v>250</v>
      </c>
      <c r="AC975" s="4" t="s">
        <v>49</v>
      </c>
      <c r="AD975" s="4">
        <v>0</v>
      </c>
      <c r="AE975" s="4" t="s">
        <v>49</v>
      </c>
      <c r="AF975" s="4">
        <v>0</v>
      </c>
      <c r="AG975" s="4" t="s">
        <v>766</v>
      </c>
      <c r="AH975" s="4" t="s">
        <v>716</v>
      </c>
      <c r="AI975" s="4" t="s">
        <v>64</v>
      </c>
      <c r="AJ975" s="13">
        <v>0</v>
      </c>
      <c r="AK975" s="13">
        <v>15</v>
      </c>
      <c r="AL975" s="13" t="s">
        <v>538</v>
      </c>
      <c r="AM975" s="13" t="s">
        <v>539</v>
      </c>
      <c r="AO975" s="13" t="s">
        <v>540</v>
      </c>
      <c r="AP975" s="13" t="s">
        <v>50</v>
      </c>
      <c r="AQ975" s="13" t="s">
        <v>49</v>
      </c>
      <c r="AR975" s="13" t="s">
        <v>50</v>
      </c>
      <c r="AS975" s="13" t="s">
        <v>49</v>
      </c>
      <c r="AT975" s="13" t="s">
        <v>992</v>
      </c>
      <c r="AU975" s="4" t="s">
        <v>1000</v>
      </c>
      <c r="AV975" s="14">
        <f>1.35*10</f>
        <v>13.5</v>
      </c>
      <c r="AW975" s="14">
        <f>1.73*10</f>
        <v>17.3</v>
      </c>
      <c r="AX975" s="14">
        <f>Table1347456[[#This Row],[treatment_mean]]/Table1347456[[#This Row],[control_mean]]</f>
        <v>0.78034682080924855</v>
      </c>
      <c r="AY975" s="14">
        <f>LN(Table1347456[[#This Row],[rr]])</f>
        <v>-0.2480168160593495</v>
      </c>
      <c r="AZ975" s="13">
        <v>3</v>
      </c>
      <c r="BA975" s="13">
        <v>3</v>
      </c>
      <c r="BB975" s="14">
        <f>0.42*10</f>
        <v>4.2</v>
      </c>
      <c r="BC975" s="14">
        <f>0.37*10</f>
        <v>3.7</v>
      </c>
      <c r="BD975" s="15">
        <f>Table1347456[[#This Row],[treatment_se]]*SQRT(Table1347456[[#This Row],[treatment_n]])</f>
        <v>7.2746133917892841</v>
      </c>
      <c r="BE975" s="14">
        <f>Table1347456[[#This Row],[control_se]]*SQRT(Table1347456[[#This Row],[control_n]])</f>
        <v>6.4085879880048457</v>
      </c>
      <c r="BF97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0.1425317118827315</v>
      </c>
      <c r="BG975" s="17">
        <f>SQRT(Table1347456[[#This Row],[v_from_sd_and_n]])</f>
        <v>0.37753372284172376</v>
      </c>
      <c r="BH975" s="13" t="s">
        <v>50</v>
      </c>
      <c r="BI975" s="13">
        <v>0.05</v>
      </c>
      <c r="BJ975" s="18">
        <f>ABS(_xlfn.NORM.S.INV(Table1347456[[#This Row],[p_value]]/2))</f>
        <v>1.9599639845400538</v>
      </c>
      <c r="BK975" s="19">
        <f>(Table1347456[[#This Row],[lnrr]]/Table1347456[[#This Row],[z_from_p]])^2</f>
        <v>1.6012755549232299E-2</v>
      </c>
      <c r="BL975" s="16">
        <f>Table1347456[[#This Row],[v_from_sd_and_n]]</f>
        <v>0.1425317118827315</v>
      </c>
      <c r="BM975" s="20">
        <f>SQRT(Table1347456[[#This Row],[v]])</f>
        <v>0.37753372284172376</v>
      </c>
      <c r="BN975" s="20">
        <f>Table1347456[[#This Row],[lnrr]]-(1.96*Table1347456[[#This Row],[se]])</f>
        <v>-0.98798291282912798</v>
      </c>
      <c r="BO975" s="20">
        <f>Table1347456[[#This Row],[lnrr]]+(1.96 * Table1347456[[#This Row],[se]])</f>
        <v>0.49194928071042904</v>
      </c>
    </row>
    <row r="976" spans="1:67">
      <c r="A976" s="13" t="s">
        <v>327</v>
      </c>
      <c r="B976" s="13" t="s">
        <v>328</v>
      </c>
      <c r="C976" s="13" t="s">
        <v>43</v>
      </c>
      <c r="D976" s="13" t="s">
        <v>329</v>
      </c>
      <c r="E976" s="13" t="s">
        <v>91</v>
      </c>
      <c r="F976" s="13" t="s">
        <v>587</v>
      </c>
      <c r="G976" s="13" t="s">
        <v>46</v>
      </c>
      <c r="H976" s="13">
        <v>15</v>
      </c>
      <c r="I976" s="13">
        <v>1150</v>
      </c>
      <c r="K976" s="13" t="s">
        <v>908</v>
      </c>
      <c r="L976" s="13" t="s">
        <v>909</v>
      </c>
      <c r="N976" s="13" t="s">
        <v>66</v>
      </c>
      <c r="O976" s="13" t="s">
        <v>67</v>
      </c>
      <c r="P976" s="13" t="s">
        <v>541</v>
      </c>
      <c r="Q976" s="13" t="s">
        <v>48</v>
      </c>
      <c r="R976" s="4">
        <v>3</v>
      </c>
      <c r="S976" s="13" t="s">
        <v>596</v>
      </c>
      <c r="T976" s="13">
        <v>117</v>
      </c>
      <c r="U976" s="4" t="s">
        <v>200</v>
      </c>
      <c r="V976" s="4">
        <v>400</v>
      </c>
      <c r="W976" s="4" t="s">
        <v>42</v>
      </c>
      <c r="X976" s="4">
        <v>632.70000000000005</v>
      </c>
      <c r="Y976" s="4">
        <v>12</v>
      </c>
      <c r="AA976" s="4" t="s">
        <v>49</v>
      </c>
      <c r="AB976" s="4">
        <v>0</v>
      </c>
      <c r="AC976" s="4" t="s">
        <v>49</v>
      </c>
      <c r="AD976" s="4">
        <v>0</v>
      </c>
      <c r="AE976" s="4" t="s">
        <v>49</v>
      </c>
      <c r="AF976" s="4">
        <v>0</v>
      </c>
      <c r="AG976" s="4" t="s">
        <v>766</v>
      </c>
      <c r="AH976" s="4" t="s">
        <v>716</v>
      </c>
      <c r="AI976" s="4" t="s">
        <v>64</v>
      </c>
      <c r="AJ976" s="13">
        <v>0</v>
      </c>
      <c r="AK976" s="13">
        <v>15</v>
      </c>
      <c r="AL976" s="13" t="s">
        <v>538</v>
      </c>
      <c r="AM976" s="13" t="s">
        <v>539</v>
      </c>
      <c r="AO976" s="13" t="s">
        <v>540</v>
      </c>
      <c r="AP976" s="13" t="s">
        <v>50</v>
      </c>
      <c r="AQ976" s="13" t="s">
        <v>49</v>
      </c>
      <c r="AR976" s="13" t="s">
        <v>50</v>
      </c>
      <c r="AS976" s="13" t="s">
        <v>49</v>
      </c>
      <c r="AT976" s="13" t="s">
        <v>990</v>
      </c>
      <c r="AU976" s="13" t="s">
        <v>998</v>
      </c>
      <c r="AV976" s="14">
        <v>2.06</v>
      </c>
      <c r="AW976" s="14">
        <v>2.98</v>
      </c>
      <c r="AX976" s="14">
        <f>Table1347456[[#This Row],[treatment_mean]]/Table1347456[[#This Row],[control_mean]]</f>
        <v>0.6912751677852349</v>
      </c>
      <c r="AY976" s="14">
        <f>LN(Table1347456[[#This Row],[rr]])</f>
        <v>-0.36921731771582339</v>
      </c>
      <c r="AZ976" s="13">
        <v>3</v>
      </c>
      <c r="BA976" s="13">
        <v>3</v>
      </c>
      <c r="BB976" s="14">
        <v>0.25</v>
      </c>
      <c r="BC976" s="14">
        <v>0.48</v>
      </c>
      <c r="BD976" s="15">
        <f>Table1347456[[#This Row],[treatment_se]]*SQRT(Table1347456[[#This Row],[treatment_n]])</f>
        <v>0.4330127018922193</v>
      </c>
      <c r="BE976" s="14">
        <f>Table1347456[[#This Row],[control_se]]*SQRT(Table1347456[[#This Row],[control_n]])</f>
        <v>0.83138438763306099</v>
      </c>
      <c r="BF97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4.0672838342500392E-2</v>
      </c>
      <c r="BG976" s="17">
        <f>SQRT(Table1347456[[#This Row],[v_from_sd_and_n]])</f>
        <v>0.20167508111440141</v>
      </c>
      <c r="BH976" s="13" t="s">
        <v>50</v>
      </c>
      <c r="BI976" s="13">
        <v>0.05</v>
      </c>
      <c r="BJ976" s="18">
        <f>ABS(_xlfn.NORM.S.INV(Table1347456[[#This Row],[p_value]]/2))</f>
        <v>1.9599639845400538</v>
      </c>
      <c r="BK976" s="19">
        <f>(Table1347456[[#This Row],[lnrr]]/Table1347456[[#This Row],[z_from_p]])^2</f>
        <v>3.5486890284205874E-2</v>
      </c>
      <c r="BL976" s="16">
        <f>Table1347456[[#This Row],[v_from_sd_and_n]]</f>
        <v>4.0672838342500392E-2</v>
      </c>
      <c r="BM976" s="20">
        <f>SQRT(Table1347456[[#This Row],[v]])</f>
        <v>0.20167508111440141</v>
      </c>
      <c r="BN976" s="20">
        <f>Table1347456[[#This Row],[lnrr]]-(1.96*Table1347456[[#This Row],[se]])</f>
        <v>-0.76450047670005017</v>
      </c>
      <c r="BO976" s="20">
        <f>Table1347456[[#This Row],[lnrr]]+(1.96 * Table1347456[[#This Row],[se]])</f>
        <v>2.6065841268403389E-2</v>
      </c>
    </row>
    <row r="977" spans="1:67">
      <c r="A977" s="13" t="s">
        <v>327</v>
      </c>
      <c r="B977" s="13" t="s">
        <v>328</v>
      </c>
      <c r="C977" s="13" t="s">
        <v>43</v>
      </c>
      <c r="D977" s="13" t="s">
        <v>329</v>
      </c>
      <c r="E977" s="13" t="s">
        <v>91</v>
      </c>
      <c r="F977" s="13" t="s">
        <v>587</v>
      </c>
      <c r="G977" s="13" t="s">
        <v>46</v>
      </c>
      <c r="H977" s="13">
        <v>15</v>
      </c>
      <c r="I977" s="13">
        <v>1150</v>
      </c>
      <c r="K977" s="13" t="s">
        <v>908</v>
      </c>
      <c r="L977" s="13" t="s">
        <v>909</v>
      </c>
      <c r="N977" s="13" t="s">
        <v>66</v>
      </c>
      <c r="O977" s="13" t="s">
        <v>67</v>
      </c>
      <c r="P977" s="13" t="s">
        <v>541</v>
      </c>
      <c r="Q977" s="13" t="s">
        <v>48</v>
      </c>
      <c r="R977" s="4">
        <v>3</v>
      </c>
      <c r="S977" s="13" t="s">
        <v>596</v>
      </c>
      <c r="T977" s="13">
        <v>117</v>
      </c>
      <c r="U977" s="4" t="s">
        <v>200</v>
      </c>
      <c r="V977" s="4">
        <v>400</v>
      </c>
      <c r="W977" s="4" t="s">
        <v>42</v>
      </c>
      <c r="X977" s="4">
        <v>632.70000000000005</v>
      </c>
      <c r="Y977" s="4">
        <v>12</v>
      </c>
      <c r="AA977" s="4" t="s">
        <v>49</v>
      </c>
      <c r="AB977" s="4">
        <v>0</v>
      </c>
      <c r="AC977" s="4" t="s">
        <v>49</v>
      </c>
      <c r="AD977" s="4">
        <v>0</v>
      </c>
      <c r="AE977" s="4" t="s">
        <v>49</v>
      </c>
      <c r="AF977" s="4">
        <v>0</v>
      </c>
      <c r="AG977" s="4" t="s">
        <v>766</v>
      </c>
      <c r="AH977" s="4" t="s">
        <v>716</v>
      </c>
      <c r="AI977" s="4" t="s">
        <v>64</v>
      </c>
      <c r="AJ977" s="13">
        <v>0</v>
      </c>
      <c r="AK977" s="13">
        <v>15</v>
      </c>
      <c r="AL977" s="13" t="s">
        <v>538</v>
      </c>
      <c r="AM977" s="13" t="s">
        <v>539</v>
      </c>
      <c r="AO977" s="13" t="s">
        <v>540</v>
      </c>
      <c r="AP977" s="13" t="s">
        <v>50</v>
      </c>
      <c r="AQ977" s="13" t="s">
        <v>49</v>
      </c>
      <c r="AR977" s="13" t="s">
        <v>50</v>
      </c>
      <c r="AS977" s="13" t="s">
        <v>49</v>
      </c>
      <c r="AT977" s="13" t="s">
        <v>990</v>
      </c>
      <c r="AU977" s="13" t="s">
        <v>998</v>
      </c>
      <c r="AV977" s="14">
        <v>2.74</v>
      </c>
      <c r="AW977" s="14">
        <v>2.98</v>
      </c>
      <c r="AX977" s="14">
        <f>Table1347456[[#This Row],[treatment_mean]]/Table1347456[[#This Row],[control_mean]]</f>
        <v>0.91946308724832226</v>
      </c>
      <c r="AY977" s="14">
        <f>LN(Table1347456[[#This Row],[rr]])</f>
        <v>-8.3965380117334093E-2</v>
      </c>
      <c r="AZ977" s="13">
        <v>3</v>
      </c>
      <c r="BA977" s="13">
        <v>3</v>
      </c>
      <c r="BB977" s="14">
        <v>0.18</v>
      </c>
      <c r="BC977" s="14">
        <v>0.48</v>
      </c>
      <c r="BD977" s="15">
        <f>Table1347456[[#This Row],[treatment_se]]*SQRT(Table1347456[[#This Row],[treatment_n]])</f>
        <v>0.31176914536239786</v>
      </c>
      <c r="BE977" s="14">
        <f>Table1347456[[#This Row],[control_se]]*SQRT(Table1347456[[#This Row],[control_n]])</f>
        <v>0.83138438763306099</v>
      </c>
      <c r="BF97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3.0260404093762912E-2</v>
      </c>
      <c r="BG977" s="17">
        <f>SQRT(Table1347456[[#This Row],[v_from_sd_and_n]])</f>
        <v>0.17395517840456176</v>
      </c>
      <c r="BH977" s="13" t="s">
        <v>50</v>
      </c>
      <c r="BI977" s="13">
        <v>0.05</v>
      </c>
      <c r="BJ977" s="18">
        <f>ABS(_xlfn.NORM.S.INV(Table1347456[[#This Row],[p_value]]/2))</f>
        <v>1.9599639845400538</v>
      </c>
      <c r="BK977" s="19">
        <f>(Table1347456[[#This Row],[lnrr]]/Table1347456[[#This Row],[z_from_p]])^2</f>
        <v>1.8352884639212365E-3</v>
      </c>
      <c r="BL977" s="16">
        <f>Table1347456[[#This Row],[v_from_sd_and_n]]</f>
        <v>3.0260404093762912E-2</v>
      </c>
      <c r="BM977" s="20">
        <f>SQRT(Table1347456[[#This Row],[v]])</f>
        <v>0.17395517840456176</v>
      </c>
      <c r="BN977" s="20">
        <f>Table1347456[[#This Row],[lnrr]]-(1.96*Table1347456[[#This Row],[se]])</f>
        <v>-0.42491752979027508</v>
      </c>
      <c r="BO977" s="20">
        <f>Table1347456[[#This Row],[lnrr]]+(1.96 * Table1347456[[#This Row],[se]])</f>
        <v>0.25698676955560695</v>
      </c>
    </row>
    <row r="978" spans="1:67">
      <c r="A978" s="13" t="s">
        <v>327</v>
      </c>
      <c r="B978" s="13" t="s">
        <v>328</v>
      </c>
      <c r="C978" s="13" t="s">
        <v>43</v>
      </c>
      <c r="D978" s="13" t="s">
        <v>329</v>
      </c>
      <c r="E978" s="13" t="s">
        <v>91</v>
      </c>
      <c r="F978" s="13" t="s">
        <v>587</v>
      </c>
      <c r="G978" s="13" t="s">
        <v>46</v>
      </c>
      <c r="H978" s="13">
        <v>15</v>
      </c>
      <c r="I978" s="13">
        <v>1150</v>
      </c>
      <c r="K978" s="13" t="s">
        <v>908</v>
      </c>
      <c r="L978" s="13" t="s">
        <v>909</v>
      </c>
      <c r="N978" s="13" t="s">
        <v>66</v>
      </c>
      <c r="O978" s="13" t="s">
        <v>67</v>
      </c>
      <c r="P978" s="13" t="s">
        <v>542</v>
      </c>
      <c r="Q978" s="13" t="s">
        <v>48</v>
      </c>
      <c r="R978" s="4">
        <v>3</v>
      </c>
      <c r="S978" s="13" t="s">
        <v>596</v>
      </c>
      <c r="T978" s="13">
        <v>117</v>
      </c>
      <c r="U978" s="4" t="s">
        <v>200</v>
      </c>
      <c r="V978" s="4">
        <v>400</v>
      </c>
      <c r="W978" s="4" t="s">
        <v>42</v>
      </c>
      <c r="X978" s="4">
        <v>632.70000000000005</v>
      </c>
      <c r="Y978" s="4">
        <v>12</v>
      </c>
      <c r="AA978" s="4" t="s">
        <v>50</v>
      </c>
      <c r="AB978" s="4">
        <v>250</v>
      </c>
      <c r="AC978" s="4" t="s">
        <v>49</v>
      </c>
      <c r="AD978" s="4">
        <v>0</v>
      </c>
      <c r="AE978" s="4" t="s">
        <v>49</v>
      </c>
      <c r="AF978" s="4">
        <v>0</v>
      </c>
      <c r="AG978" s="4" t="s">
        <v>766</v>
      </c>
      <c r="AH978" s="4" t="s">
        <v>716</v>
      </c>
      <c r="AI978" s="4" t="s">
        <v>64</v>
      </c>
      <c r="AJ978" s="13">
        <v>0</v>
      </c>
      <c r="AK978" s="13">
        <v>15</v>
      </c>
      <c r="AL978" s="13" t="s">
        <v>538</v>
      </c>
      <c r="AM978" s="13" t="s">
        <v>539</v>
      </c>
      <c r="AO978" s="13" t="s">
        <v>540</v>
      </c>
      <c r="AP978" s="13" t="s">
        <v>50</v>
      </c>
      <c r="AQ978" s="13" t="s">
        <v>49</v>
      </c>
      <c r="AR978" s="13" t="s">
        <v>50</v>
      </c>
      <c r="AS978" s="13" t="s">
        <v>49</v>
      </c>
      <c r="AT978" s="13" t="s">
        <v>992</v>
      </c>
      <c r="AU978" s="4" t="s">
        <v>1000</v>
      </c>
      <c r="AV978" s="14">
        <v>3.82</v>
      </c>
      <c r="AW978" s="14">
        <v>3.74</v>
      </c>
      <c r="AX978" s="14">
        <f>Table1347456[[#This Row],[treatment_mean]]/Table1347456[[#This Row],[control_mean]]</f>
        <v>1.0213903743315507</v>
      </c>
      <c r="AY978" s="14">
        <f>LN(Table1347456[[#This Row],[rr]])</f>
        <v>2.1164811192043116E-2</v>
      </c>
      <c r="AZ978" s="13">
        <v>3</v>
      </c>
      <c r="BA978" s="13">
        <v>3</v>
      </c>
      <c r="BB978" s="14">
        <v>0.5</v>
      </c>
      <c r="BC978" s="14">
        <v>0.41</v>
      </c>
      <c r="BD978" s="15">
        <f>Table1347456[[#This Row],[treatment_se]]*SQRT(Table1347456[[#This Row],[treatment_n]])</f>
        <v>0.8660254037844386</v>
      </c>
      <c r="BE978" s="14">
        <f>Table1347456[[#This Row],[control_se]]*SQRT(Table1347456[[#This Row],[control_n]])</f>
        <v>0.71014083110323956</v>
      </c>
      <c r="BF97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2.9149992988695347E-2</v>
      </c>
      <c r="BG978" s="17">
        <f>SQRT(Table1347456[[#This Row],[v_from_sd_and_n]])</f>
        <v>0.17073369025677196</v>
      </c>
      <c r="BH978" s="13" t="s">
        <v>50</v>
      </c>
      <c r="BI978" s="13">
        <v>0.05</v>
      </c>
      <c r="BJ978" s="18">
        <f>ABS(_xlfn.NORM.S.INV(Table1347456[[#This Row],[p_value]]/2))</f>
        <v>1.9599639845400538</v>
      </c>
      <c r="BK978" s="19">
        <f>(Table1347456[[#This Row],[lnrr]]/Table1347456[[#This Row],[z_from_p]])^2</f>
        <v>1.1660914608317792E-4</v>
      </c>
      <c r="BL978" s="16">
        <f>Table1347456[[#This Row],[v_from_sd_and_n]]</f>
        <v>2.9149992988695347E-2</v>
      </c>
      <c r="BM978" s="20">
        <f>SQRT(Table1347456[[#This Row],[v]])</f>
        <v>0.17073369025677196</v>
      </c>
      <c r="BN978" s="20">
        <f>Table1347456[[#This Row],[lnrr]]-(1.96*Table1347456[[#This Row],[se]])</f>
        <v>-0.31347322171122993</v>
      </c>
      <c r="BO978" s="20">
        <f>Table1347456[[#This Row],[lnrr]]+(1.96 * Table1347456[[#This Row],[se]])</f>
        <v>0.35580284409531615</v>
      </c>
    </row>
    <row r="979" spans="1:67">
      <c r="A979" s="13" t="s">
        <v>330</v>
      </c>
      <c r="B979" s="13" t="s">
        <v>661</v>
      </c>
      <c r="C979" s="13" t="s">
        <v>43</v>
      </c>
      <c r="D979" s="13" t="s">
        <v>332</v>
      </c>
      <c r="E979" s="13" t="s">
        <v>157</v>
      </c>
      <c r="F979" s="13" t="s">
        <v>585</v>
      </c>
      <c r="G979" s="13" t="s">
        <v>46</v>
      </c>
      <c r="H979" s="13">
        <v>30</v>
      </c>
      <c r="I979" s="13" t="s">
        <v>46</v>
      </c>
      <c r="K979" s="13" t="s">
        <v>910</v>
      </c>
      <c r="L979" s="13" t="s">
        <v>911</v>
      </c>
      <c r="N979" s="13" t="s">
        <v>47</v>
      </c>
      <c r="O979" s="13" t="s">
        <v>645</v>
      </c>
      <c r="P979" s="13" t="s">
        <v>422</v>
      </c>
      <c r="Q979" s="13" t="s">
        <v>48</v>
      </c>
      <c r="R979" s="4">
        <v>4</v>
      </c>
      <c r="S979" s="13" t="s">
        <v>596</v>
      </c>
      <c r="T979" s="13">
        <v>180</v>
      </c>
      <c r="U979" s="4" t="s">
        <v>333</v>
      </c>
      <c r="V979" s="4">
        <v>550</v>
      </c>
      <c r="W979" s="4" t="s">
        <v>601</v>
      </c>
      <c r="X979" s="4">
        <v>674</v>
      </c>
      <c r="Y979" s="4">
        <v>5.3</v>
      </c>
      <c r="AA979" s="4" t="s">
        <v>49</v>
      </c>
      <c r="AB979" s="4">
        <v>0</v>
      </c>
      <c r="AC979" s="4" t="s">
        <v>49</v>
      </c>
      <c r="AD979" s="4">
        <v>0</v>
      </c>
      <c r="AE979" s="4" t="s">
        <v>49</v>
      </c>
      <c r="AF979" s="4">
        <v>0</v>
      </c>
      <c r="AG979" s="4" t="s">
        <v>679</v>
      </c>
      <c r="AH979" s="4" t="s">
        <v>678</v>
      </c>
      <c r="AI979" s="4" t="s">
        <v>64</v>
      </c>
      <c r="AJ979" s="13">
        <v>0</v>
      </c>
      <c r="AK979" s="13">
        <v>20</v>
      </c>
      <c r="AL979" s="13" t="s">
        <v>543</v>
      </c>
      <c r="AO979" s="13" t="s">
        <v>544</v>
      </c>
      <c r="AP979" s="13" t="s">
        <v>49</v>
      </c>
      <c r="AQ979" s="13" t="s">
        <v>49</v>
      </c>
      <c r="AR979" s="13" t="s">
        <v>50</v>
      </c>
      <c r="AS979" s="13" t="s">
        <v>49</v>
      </c>
      <c r="AT979" s="13" t="s">
        <v>990</v>
      </c>
      <c r="AU979" s="13" t="s">
        <v>998</v>
      </c>
      <c r="AV979" s="14">
        <f>0.255*10</f>
        <v>2.5499999999999998</v>
      </c>
      <c r="AW979" s="14">
        <f>0.25*10</f>
        <v>2.5</v>
      </c>
      <c r="AX979" s="14">
        <f>Table1347456[[#This Row],[treatment_mean]]/Table1347456[[#This Row],[control_mean]]</f>
        <v>1.02</v>
      </c>
      <c r="AY979" s="14">
        <f>LN(Table1347456[[#This Row],[rr]])</f>
        <v>1.980262729617973E-2</v>
      </c>
      <c r="AZ979" s="13">
        <v>4</v>
      </c>
      <c r="BA979" s="13">
        <v>4</v>
      </c>
      <c r="BB979" s="14">
        <f>0.001*10</f>
        <v>0.01</v>
      </c>
      <c r="BC979" s="14">
        <f>0.002*10</f>
        <v>0.02</v>
      </c>
      <c r="BD979" s="15">
        <f>Table1347456[[#This Row],[treatment_se]]*SQRT(Table1347456[[#This Row],[treatment_n]])</f>
        <v>0.02</v>
      </c>
      <c r="BE979" s="14">
        <f>Table1347456[[#This Row],[control_se]]*SQRT(Table1347456[[#This Row],[control_n]])</f>
        <v>0.04</v>
      </c>
      <c r="BF97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7.9378700499807762E-5</v>
      </c>
      <c r="BG979" s="17">
        <f>SQRT(Table1347456[[#This Row],[v_from_sd_and_n]])</f>
        <v>8.9094725152394829E-3</v>
      </c>
      <c r="BH979" s="13" t="s">
        <v>50</v>
      </c>
      <c r="BI979" s="13">
        <v>0.05</v>
      </c>
      <c r="BJ979" s="18">
        <f>ABS(_xlfn.NORM.S.INV(Table1347456[[#This Row],[p_value]]/2))</f>
        <v>1.9599639845400538</v>
      </c>
      <c r="BK979" s="19">
        <f>(Table1347456[[#This Row],[lnrr]]/Table1347456[[#This Row],[z_from_p]])^2</f>
        <v>1.0208206468826468E-4</v>
      </c>
      <c r="BL979" s="16">
        <f>Table1347456[[#This Row],[v_from_sd_and_n]]</f>
        <v>7.9378700499807762E-5</v>
      </c>
      <c r="BM979" s="20">
        <f>SQRT(Table1347456[[#This Row],[v]])</f>
        <v>8.9094725152394829E-3</v>
      </c>
      <c r="BN979" s="20">
        <f>Table1347456[[#This Row],[lnrr]]-(1.96*Table1347456[[#This Row],[se]])</f>
        <v>2.3400611663103449E-3</v>
      </c>
      <c r="BO979" s="20">
        <f>Table1347456[[#This Row],[lnrr]]+(1.96 * Table1347456[[#This Row],[se]])</f>
        <v>3.7265193426049115E-2</v>
      </c>
    </row>
    <row r="980" spans="1:67">
      <c r="A980" s="13" t="s">
        <v>330</v>
      </c>
      <c r="B980" s="13" t="s">
        <v>331</v>
      </c>
      <c r="C980" s="13" t="s">
        <v>43</v>
      </c>
      <c r="D980" s="13" t="s">
        <v>332</v>
      </c>
      <c r="E980" s="13" t="s">
        <v>157</v>
      </c>
      <c r="F980" s="13" t="s">
        <v>585</v>
      </c>
      <c r="G980" s="13" t="s">
        <v>46</v>
      </c>
      <c r="H980" s="13">
        <v>30</v>
      </c>
      <c r="I980" s="13" t="s">
        <v>46</v>
      </c>
      <c r="K980" s="13" t="s">
        <v>910</v>
      </c>
      <c r="L980" s="13" t="s">
        <v>911</v>
      </c>
      <c r="N980" s="13" t="s">
        <v>47</v>
      </c>
      <c r="O980" s="13" t="s">
        <v>645</v>
      </c>
      <c r="P980" s="13" t="s">
        <v>422</v>
      </c>
      <c r="Q980" s="13" t="s">
        <v>48</v>
      </c>
      <c r="R980" s="4">
        <v>4</v>
      </c>
      <c r="S980" s="13" t="s">
        <v>596</v>
      </c>
      <c r="T980" s="13">
        <v>180</v>
      </c>
      <c r="U980" s="4" t="s">
        <v>333</v>
      </c>
      <c r="V980" s="4">
        <v>550</v>
      </c>
      <c r="W980" s="4" t="s">
        <v>601</v>
      </c>
      <c r="X980" s="4">
        <v>674</v>
      </c>
      <c r="Y980" s="4">
        <v>10.62</v>
      </c>
      <c r="AA980" s="4" t="s">
        <v>49</v>
      </c>
      <c r="AB980" s="4">
        <v>0</v>
      </c>
      <c r="AC980" s="4" t="s">
        <v>49</v>
      </c>
      <c r="AD980" s="4">
        <v>0</v>
      </c>
      <c r="AE980" s="4" t="s">
        <v>49</v>
      </c>
      <c r="AF980" s="4">
        <v>0</v>
      </c>
      <c r="AG980" s="4" t="s">
        <v>679</v>
      </c>
      <c r="AH980" s="4" t="s">
        <v>678</v>
      </c>
      <c r="AI980" s="4" t="s">
        <v>64</v>
      </c>
      <c r="AJ980" s="13">
        <v>0</v>
      </c>
      <c r="AK980" s="13">
        <v>20</v>
      </c>
      <c r="AL980" s="13" t="s">
        <v>543</v>
      </c>
      <c r="AO980" s="13" t="s">
        <v>544</v>
      </c>
      <c r="AP980" s="13" t="s">
        <v>49</v>
      </c>
      <c r="AQ980" s="13" t="s">
        <v>49</v>
      </c>
      <c r="AR980" s="13" t="s">
        <v>50</v>
      </c>
      <c r="AS980" s="13" t="s">
        <v>49</v>
      </c>
      <c r="AT980" s="13" t="s">
        <v>990</v>
      </c>
      <c r="AU980" s="13" t="s">
        <v>998</v>
      </c>
      <c r="AV980" s="14">
        <f>0.26*10</f>
        <v>2.6</v>
      </c>
      <c r="AW980" s="14">
        <f>0.25*10</f>
        <v>2.5</v>
      </c>
      <c r="AX980" s="14">
        <f>Table1347456[[#This Row],[treatment_mean]]/Table1347456[[#This Row],[control_mean]]</f>
        <v>1.04</v>
      </c>
      <c r="AY980" s="14">
        <f>LN(Table1347456[[#This Row],[rr]])</f>
        <v>3.9220713153281329E-2</v>
      </c>
      <c r="AZ980" s="13">
        <v>4</v>
      </c>
      <c r="BA980" s="13">
        <v>4</v>
      </c>
      <c r="BB980" s="14">
        <f>0.002*10</f>
        <v>0.02</v>
      </c>
      <c r="BC980" s="14">
        <f>0.002*10</f>
        <v>0.02</v>
      </c>
      <c r="BD980" s="15">
        <f>Table1347456[[#This Row],[treatment_se]]*SQRT(Table1347456[[#This Row],[treatment_n]])</f>
        <v>0.04</v>
      </c>
      <c r="BE980" s="14">
        <f>Table1347456[[#This Row],[control_se]]*SQRT(Table1347456[[#This Row],[control_n]])</f>
        <v>0.04</v>
      </c>
      <c r="BF98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1.2317159763313608E-4</v>
      </c>
      <c r="BG980" s="17">
        <f>SQRT(Table1347456[[#This Row],[v_from_sd_and_n]])</f>
        <v>1.1098270028843959E-2</v>
      </c>
      <c r="BH980" s="13" t="s">
        <v>50</v>
      </c>
      <c r="BI980" s="13">
        <v>0.05</v>
      </c>
      <c r="BJ980" s="18">
        <f>ABS(_xlfn.NORM.S.INV(Table1347456[[#This Row],[p_value]]/2))</f>
        <v>1.9599639845400538</v>
      </c>
      <c r="BK980" s="19">
        <f>(Table1347456[[#This Row],[lnrr]]/Table1347456[[#This Row],[z_from_p]])^2</f>
        <v>4.0043754522768035E-4</v>
      </c>
      <c r="BL980" s="16">
        <f>Table1347456[[#This Row],[v_from_sd_and_n]]</f>
        <v>1.2317159763313608E-4</v>
      </c>
      <c r="BM980" s="20">
        <f>SQRT(Table1347456[[#This Row],[v]])</f>
        <v>1.1098270028843959E-2</v>
      </c>
      <c r="BN980" s="20">
        <f>Table1347456[[#This Row],[lnrr]]-(1.96*Table1347456[[#This Row],[se]])</f>
        <v>1.7468103896747172E-2</v>
      </c>
      <c r="BO980" s="20">
        <f>Table1347456[[#This Row],[lnrr]]+(1.96 * Table1347456[[#This Row],[se]])</f>
        <v>6.0973322409815484E-2</v>
      </c>
    </row>
    <row r="981" spans="1:67">
      <c r="A981" s="13" t="s">
        <v>330</v>
      </c>
      <c r="B981" s="13" t="s">
        <v>331</v>
      </c>
      <c r="C981" s="13" t="s">
        <v>43</v>
      </c>
      <c r="D981" s="13" t="s">
        <v>332</v>
      </c>
      <c r="E981" s="13" t="s">
        <v>157</v>
      </c>
      <c r="F981" s="13" t="s">
        <v>585</v>
      </c>
      <c r="G981" s="13" t="s">
        <v>46</v>
      </c>
      <c r="H981" s="13">
        <v>30</v>
      </c>
      <c r="I981" s="13" t="s">
        <v>46</v>
      </c>
      <c r="K981" s="13" t="s">
        <v>910</v>
      </c>
      <c r="L981" s="13" t="s">
        <v>911</v>
      </c>
      <c r="N981" s="13" t="s">
        <v>47</v>
      </c>
      <c r="O981" s="13" t="s">
        <v>645</v>
      </c>
      <c r="P981" s="13" t="s">
        <v>422</v>
      </c>
      <c r="Q981" s="13" t="s">
        <v>48</v>
      </c>
      <c r="R981" s="4">
        <v>4</v>
      </c>
      <c r="S981" s="13" t="s">
        <v>596</v>
      </c>
      <c r="T981" s="13">
        <v>180</v>
      </c>
      <c r="U981" s="4" t="s">
        <v>333</v>
      </c>
      <c r="V981" s="4">
        <v>550</v>
      </c>
      <c r="W981" s="4" t="s">
        <v>601</v>
      </c>
      <c r="X981" s="4">
        <v>674</v>
      </c>
      <c r="Y981" s="4">
        <v>21.25</v>
      </c>
      <c r="AA981" s="4" t="s">
        <v>49</v>
      </c>
      <c r="AB981" s="4">
        <v>0</v>
      </c>
      <c r="AC981" s="4" t="s">
        <v>49</v>
      </c>
      <c r="AD981" s="4">
        <v>0</v>
      </c>
      <c r="AE981" s="4" t="s">
        <v>49</v>
      </c>
      <c r="AF981" s="4">
        <v>0</v>
      </c>
      <c r="AG981" s="4" t="s">
        <v>679</v>
      </c>
      <c r="AH981" s="4" t="s">
        <v>678</v>
      </c>
      <c r="AI981" s="4" t="s">
        <v>64</v>
      </c>
      <c r="AJ981" s="13">
        <v>0</v>
      </c>
      <c r="AK981" s="13">
        <v>20</v>
      </c>
      <c r="AL981" s="13" t="s">
        <v>543</v>
      </c>
      <c r="AO981" s="13" t="s">
        <v>544</v>
      </c>
      <c r="AP981" s="13" t="s">
        <v>49</v>
      </c>
      <c r="AQ981" s="13" t="s">
        <v>49</v>
      </c>
      <c r="AR981" s="13" t="s">
        <v>50</v>
      </c>
      <c r="AS981" s="13" t="s">
        <v>49</v>
      </c>
      <c r="AT981" s="13" t="s">
        <v>990</v>
      </c>
      <c r="AU981" s="13" t="s">
        <v>998</v>
      </c>
      <c r="AV981" s="14">
        <f>0.277*10</f>
        <v>2.7700000000000005</v>
      </c>
      <c r="AW981" s="14">
        <f>0.25*10</f>
        <v>2.5</v>
      </c>
      <c r="AX981" s="14">
        <f>Table1347456[[#This Row],[treatment_mean]]/Table1347456[[#This Row],[control_mean]]</f>
        <v>1.1080000000000001</v>
      </c>
      <c r="AY981" s="14">
        <f>LN(Table1347456[[#This Row],[rr]])</f>
        <v>0.10255658832509215</v>
      </c>
      <c r="AZ981" s="13">
        <v>4</v>
      </c>
      <c r="BA981" s="13">
        <v>4</v>
      </c>
      <c r="BB981" s="14">
        <f>0.002*10</f>
        <v>0.02</v>
      </c>
      <c r="BC981" s="14">
        <f>0.002*10</f>
        <v>0.02</v>
      </c>
      <c r="BD981" s="15">
        <f>Table1347456[[#This Row],[treatment_se]]*SQRT(Table1347456[[#This Row],[treatment_n]])</f>
        <v>0.04</v>
      </c>
      <c r="BE981" s="14">
        <f>Table1347456[[#This Row],[control_se]]*SQRT(Table1347456[[#This Row],[control_n]])</f>
        <v>0.04</v>
      </c>
      <c r="BF98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1.1613152784475229E-4</v>
      </c>
      <c r="BG981" s="17">
        <f>SQRT(Table1347456[[#This Row],[v_from_sd_and_n]])</f>
        <v>1.0776433911306295E-2</v>
      </c>
      <c r="BH981" s="13" t="s">
        <v>50</v>
      </c>
      <c r="BI981" s="13">
        <v>0.05</v>
      </c>
      <c r="BJ981" s="18">
        <f>ABS(_xlfn.NORM.S.INV(Table1347456[[#This Row],[p_value]]/2))</f>
        <v>1.9599639845400538</v>
      </c>
      <c r="BK981" s="19">
        <f>(Table1347456[[#This Row],[lnrr]]/Table1347456[[#This Row],[z_from_p]])^2</f>
        <v>2.7379842658268884E-3</v>
      </c>
      <c r="BL981" s="16">
        <f>Table1347456[[#This Row],[v_from_sd_and_n]]</f>
        <v>1.1613152784475229E-4</v>
      </c>
      <c r="BM981" s="20">
        <f>SQRT(Table1347456[[#This Row],[v]])</f>
        <v>1.0776433911306295E-2</v>
      </c>
      <c r="BN981" s="20">
        <f>Table1347456[[#This Row],[lnrr]]-(1.96*Table1347456[[#This Row],[se]])</f>
        <v>8.1434777858931814E-2</v>
      </c>
      <c r="BO981" s="20">
        <f>Table1347456[[#This Row],[lnrr]]+(1.96 * Table1347456[[#This Row],[se]])</f>
        <v>0.12367839879125249</v>
      </c>
    </row>
    <row r="982" spans="1:67">
      <c r="A982" s="13" t="s">
        <v>330</v>
      </c>
      <c r="B982" s="13" t="s">
        <v>331</v>
      </c>
      <c r="C982" s="13" t="s">
        <v>43</v>
      </c>
      <c r="D982" s="13" t="s">
        <v>332</v>
      </c>
      <c r="E982" s="13" t="s">
        <v>157</v>
      </c>
      <c r="F982" s="13" t="s">
        <v>585</v>
      </c>
      <c r="G982" s="13" t="s">
        <v>46</v>
      </c>
      <c r="H982" s="13">
        <v>30</v>
      </c>
      <c r="I982" s="13" t="s">
        <v>46</v>
      </c>
      <c r="K982" s="13" t="s">
        <v>910</v>
      </c>
      <c r="L982" s="13" t="s">
        <v>911</v>
      </c>
      <c r="N982" s="13" t="s">
        <v>47</v>
      </c>
      <c r="O982" s="13" t="s">
        <v>645</v>
      </c>
      <c r="P982" s="13" t="s">
        <v>422</v>
      </c>
      <c r="Q982" s="13" t="s">
        <v>48</v>
      </c>
      <c r="R982" s="4">
        <v>4</v>
      </c>
      <c r="S982" s="13" t="s">
        <v>596</v>
      </c>
      <c r="T982" s="13">
        <v>180</v>
      </c>
      <c r="U982" s="4" t="s">
        <v>333</v>
      </c>
      <c r="V982" s="4">
        <v>550</v>
      </c>
      <c r="W982" s="4" t="s">
        <v>601</v>
      </c>
      <c r="X982" s="4">
        <v>674</v>
      </c>
      <c r="Y982" s="4">
        <v>42.5</v>
      </c>
      <c r="AA982" s="4" t="s">
        <v>49</v>
      </c>
      <c r="AB982" s="4">
        <v>0</v>
      </c>
      <c r="AC982" s="4" t="s">
        <v>49</v>
      </c>
      <c r="AD982" s="4">
        <v>0</v>
      </c>
      <c r="AE982" s="4" t="s">
        <v>49</v>
      </c>
      <c r="AF982" s="4">
        <v>0</v>
      </c>
      <c r="AG982" s="4" t="s">
        <v>679</v>
      </c>
      <c r="AH982" s="4" t="s">
        <v>678</v>
      </c>
      <c r="AI982" s="4" t="s">
        <v>64</v>
      </c>
      <c r="AJ982" s="13">
        <v>0</v>
      </c>
      <c r="AK982" s="13">
        <v>20</v>
      </c>
      <c r="AL982" s="13" t="s">
        <v>543</v>
      </c>
      <c r="AO982" s="13" t="s">
        <v>544</v>
      </c>
      <c r="AP982" s="13" t="s">
        <v>49</v>
      </c>
      <c r="AQ982" s="13" t="s">
        <v>49</v>
      </c>
      <c r="AR982" s="13" t="s">
        <v>50</v>
      </c>
      <c r="AS982" s="13" t="s">
        <v>49</v>
      </c>
      <c r="AT982" s="13" t="s">
        <v>990</v>
      </c>
      <c r="AU982" s="13" t="s">
        <v>998</v>
      </c>
      <c r="AV982" s="14">
        <f>0.319*10</f>
        <v>3.19</v>
      </c>
      <c r="AW982" s="14">
        <f>0.25*10</f>
        <v>2.5</v>
      </c>
      <c r="AX982" s="14">
        <f>Table1347456[[#This Row],[treatment_mean]]/Table1347456[[#This Row],[control_mean]]</f>
        <v>1.276</v>
      </c>
      <c r="AY982" s="14">
        <f>LN(Table1347456[[#This Row],[rr]])</f>
        <v>0.24373018492259815</v>
      </c>
      <c r="AZ982" s="13">
        <v>4</v>
      </c>
      <c r="BA982" s="13">
        <v>4</v>
      </c>
      <c r="BB982" s="14">
        <f>0.005*10</f>
        <v>0.05</v>
      </c>
      <c r="BC982" s="14">
        <f>0.002*10</f>
        <v>0.02</v>
      </c>
      <c r="BD982" s="15">
        <f>Table1347456[[#This Row],[treatment_se]]*SQRT(Table1347456[[#This Row],[treatment_n]])</f>
        <v>0.1</v>
      </c>
      <c r="BE982" s="14">
        <f>Table1347456[[#This Row],[control_se]]*SQRT(Table1347456[[#This Row],[control_n]])</f>
        <v>0.04</v>
      </c>
      <c r="BF98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3.0967368638279896E-4</v>
      </c>
      <c r="BG982" s="17">
        <f>SQRT(Table1347456[[#This Row],[v_from_sd_and_n]])</f>
        <v>1.7597547737761617E-2</v>
      </c>
      <c r="BH982" s="13" t="s">
        <v>50</v>
      </c>
      <c r="BI982" s="13">
        <v>0.05</v>
      </c>
      <c r="BJ982" s="18">
        <f>ABS(_xlfn.NORM.S.INV(Table1347456[[#This Row],[p_value]]/2))</f>
        <v>1.9599639845400538</v>
      </c>
      <c r="BK982" s="19">
        <f>(Table1347456[[#This Row],[lnrr]]/Table1347456[[#This Row],[z_from_p]])^2</f>
        <v>1.5464021824831102E-2</v>
      </c>
      <c r="BL982" s="16">
        <f>Table1347456[[#This Row],[v_from_sd_and_n]]</f>
        <v>3.0967368638279896E-4</v>
      </c>
      <c r="BM982" s="20">
        <f>SQRT(Table1347456[[#This Row],[v]])</f>
        <v>1.7597547737761617E-2</v>
      </c>
      <c r="BN982" s="20">
        <f>Table1347456[[#This Row],[lnrr]]-(1.96*Table1347456[[#This Row],[se]])</f>
        <v>0.20923899135658539</v>
      </c>
      <c r="BO982" s="20">
        <f>Table1347456[[#This Row],[lnrr]]+(1.96 * Table1347456[[#This Row],[se]])</f>
        <v>0.27822137848861095</v>
      </c>
    </row>
    <row r="983" spans="1:67">
      <c r="A983" s="13" t="s">
        <v>330</v>
      </c>
      <c r="B983" s="13" t="s">
        <v>331</v>
      </c>
      <c r="C983" s="13" t="s">
        <v>43</v>
      </c>
      <c r="D983" s="13" t="s">
        <v>332</v>
      </c>
      <c r="E983" s="13" t="s">
        <v>157</v>
      </c>
      <c r="F983" s="13" t="s">
        <v>585</v>
      </c>
      <c r="G983" s="13" t="s">
        <v>46</v>
      </c>
      <c r="H983" s="13">
        <v>30</v>
      </c>
      <c r="I983" s="13" t="s">
        <v>46</v>
      </c>
      <c r="K983" s="13" t="s">
        <v>910</v>
      </c>
      <c r="L983" s="13" t="s">
        <v>911</v>
      </c>
      <c r="N983" s="13" t="s">
        <v>47</v>
      </c>
      <c r="O983" s="13" t="s">
        <v>645</v>
      </c>
      <c r="P983" s="13" t="s">
        <v>422</v>
      </c>
      <c r="Q983" s="13" t="s">
        <v>48</v>
      </c>
      <c r="R983" s="4">
        <v>4</v>
      </c>
      <c r="S983" s="13" t="s">
        <v>596</v>
      </c>
      <c r="T983" s="13">
        <v>180</v>
      </c>
      <c r="U983" s="4" t="s">
        <v>333</v>
      </c>
      <c r="V983" s="4">
        <v>550</v>
      </c>
      <c r="W983" s="4" t="s">
        <v>601</v>
      </c>
      <c r="X983" s="4">
        <v>674</v>
      </c>
      <c r="Y983" s="4">
        <v>85</v>
      </c>
      <c r="AA983" s="4" t="s">
        <v>49</v>
      </c>
      <c r="AB983" s="4">
        <v>0</v>
      </c>
      <c r="AC983" s="4" t="s">
        <v>49</v>
      </c>
      <c r="AD983" s="4">
        <v>0</v>
      </c>
      <c r="AE983" s="4" t="s">
        <v>49</v>
      </c>
      <c r="AF983" s="4">
        <v>0</v>
      </c>
      <c r="AG983" s="4" t="s">
        <v>679</v>
      </c>
      <c r="AH983" s="4" t="s">
        <v>678</v>
      </c>
      <c r="AI983" s="4" t="s">
        <v>64</v>
      </c>
      <c r="AJ983" s="13">
        <v>0</v>
      </c>
      <c r="AK983" s="13">
        <v>20</v>
      </c>
      <c r="AL983" s="13" t="s">
        <v>543</v>
      </c>
      <c r="AO983" s="13" t="s">
        <v>544</v>
      </c>
      <c r="AP983" s="13" t="s">
        <v>49</v>
      </c>
      <c r="AQ983" s="13" t="s">
        <v>49</v>
      </c>
      <c r="AR983" s="13" t="s">
        <v>50</v>
      </c>
      <c r="AS983" s="13" t="s">
        <v>49</v>
      </c>
      <c r="AT983" s="13" t="s">
        <v>990</v>
      </c>
      <c r="AU983" s="13" t="s">
        <v>998</v>
      </c>
      <c r="AV983" s="14">
        <f>0.385*10</f>
        <v>3.85</v>
      </c>
      <c r="AW983" s="14">
        <f>0.25*10</f>
        <v>2.5</v>
      </c>
      <c r="AX983" s="14">
        <f>Table1347456[[#This Row],[treatment_mean]]/Table1347456[[#This Row],[control_mean]]</f>
        <v>1.54</v>
      </c>
      <c r="AY983" s="14">
        <f>LN(Table1347456[[#This Row],[rr]])</f>
        <v>0.43178241642553783</v>
      </c>
      <c r="AZ983" s="13">
        <v>4</v>
      </c>
      <c r="BA983" s="13">
        <v>4</v>
      </c>
      <c r="BB983" s="14">
        <f>0.006*10</f>
        <v>0.06</v>
      </c>
      <c r="BC983" s="14">
        <f>0.002*10</f>
        <v>0.02</v>
      </c>
      <c r="BD983" s="15">
        <f>Table1347456[[#This Row],[treatment_se]]*SQRT(Table1347456[[#This Row],[treatment_n]])</f>
        <v>0.12</v>
      </c>
      <c r="BE983" s="14">
        <f>Table1347456[[#This Row],[control_se]]*SQRT(Table1347456[[#This Row],[control_n]])</f>
        <v>0.04</v>
      </c>
      <c r="BF98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3.068740091077753E-4</v>
      </c>
      <c r="BG983" s="17">
        <f>SQRT(Table1347456[[#This Row],[v_from_sd_and_n]])</f>
        <v>1.7517819758970442E-2</v>
      </c>
      <c r="BH983" s="13" t="s">
        <v>50</v>
      </c>
      <c r="BI983" s="13">
        <v>0.05</v>
      </c>
      <c r="BJ983" s="18">
        <f>ABS(_xlfn.NORM.S.INV(Table1347456[[#This Row],[p_value]]/2))</f>
        <v>1.9599639845400538</v>
      </c>
      <c r="BK983" s="19">
        <f>(Table1347456[[#This Row],[lnrr]]/Table1347456[[#This Row],[z_from_p]])^2</f>
        <v>4.8532618423484462E-2</v>
      </c>
      <c r="BL983" s="16">
        <f>Table1347456[[#This Row],[v_from_sd_and_n]]</f>
        <v>3.068740091077753E-4</v>
      </c>
      <c r="BM983" s="20">
        <f>SQRT(Table1347456[[#This Row],[v]])</f>
        <v>1.7517819758970442E-2</v>
      </c>
      <c r="BN983" s="20">
        <f>Table1347456[[#This Row],[lnrr]]-(1.96*Table1347456[[#This Row],[se]])</f>
        <v>0.39744748969795574</v>
      </c>
      <c r="BO983" s="20">
        <f>Table1347456[[#This Row],[lnrr]]+(1.96 * Table1347456[[#This Row],[se]])</f>
        <v>0.46611734315311992</v>
      </c>
    </row>
    <row r="984" spans="1:67">
      <c r="A984" s="13" t="s">
        <v>330</v>
      </c>
      <c r="B984" s="13" t="s">
        <v>331</v>
      </c>
      <c r="C984" s="13" t="s">
        <v>43</v>
      </c>
      <c r="D984" s="13" t="s">
        <v>332</v>
      </c>
      <c r="E984" s="13" t="s">
        <v>157</v>
      </c>
      <c r="F984" s="13" t="s">
        <v>585</v>
      </c>
      <c r="G984" s="13" t="s">
        <v>46</v>
      </c>
      <c r="H984" s="13">
        <v>30</v>
      </c>
      <c r="I984" s="13" t="s">
        <v>46</v>
      </c>
      <c r="K984" s="13" t="s">
        <v>910</v>
      </c>
      <c r="L984" s="13" t="s">
        <v>911</v>
      </c>
      <c r="N984" s="13" t="s">
        <v>86</v>
      </c>
      <c r="O984" s="13" t="s">
        <v>644</v>
      </c>
      <c r="P984" s="13" t="s">
        <v>85</v>
      </c>
      <c r="Q984" s="13" t="s">
        <v>48</v>
      </c>
      <c r="R984" s="4">
        <v>4</v>
      </c>
      <c r="S984" s="13" t="s">
        <v>596</v>
      </c>
      <c r="T984" s="13">
        <v>180</v>
      </c>
      <c r="U984" s="4" t="s">
        <v>333</v>
      </c>
      <c r="V984" s="4">
        <v>550</v>
      </c>
      <c r="W984" s="4" t="s">
        <v>601</v>
      </c>
      <c r="X984" s="4">
        <v>674</v>
      </c>
      <c r="Y984" s="4">
        <v>5.3</v>
      </c>
      <c r="AA984" s="4" t="s">
        <v>49</v>
      </c>
      <c r="AB984" s="4">
        <v>0</v>
      </c>
      <c r="AC984" s="4" t="s">
        <v>49</v>
      </c>
      <c r="AD984" s="4">
        <v>0</v>
      </c>
      <c r="AE984" s="4" t="s">
        <v>49</v>
      </c>
      <c r="AF984" s="4">
        <v>0</v>
      </c>
      <c r="AG984" s="4" t="s">
        <v>679</v>
      </c>
      <c r="AH984" s="4" t="s">
        <v>678</v>
      </c>
      <c r="AI984" s="4" t="s">
        <v>64</v>
      </c>
      <c r="AJ984" s="13">
        <v>0</v>
      </c>
      <c r="AK984" s="13">
        <v>20</v>
      </c>
      <c r="AL984" s="13" t="s">
        <v>543</v>
      </c>
      <c r="AO984" s="13" t="s">
        <v>544</v>
      </c>
      <c r="AP984" s="13" t="s">
        <v>49</v>
      </c>
      <c r="AQ984" s="13" t="s">
        <v>49</v>
      </c>
      <c r="AR984" s="13" t="s">
        <v>50</v>
      </c>
      <c r="AS984" s="13" t="s">
        <v>49</v>
      </c>
      <c r="AT984" s="13" t="s">
        <v>990</v>
      </c>
      <c r="AU984" s="13" t="s">
        <v>998</v>
      </c>
      <c r="AV984" s="14">
        <f>134/1000</f>
        <v>0.13400000000000001</v>
      </c>
      <c r="AW984" s="14">
        <f>148/1000</f>
        <v>0.14799999999999999</v>
      </c>
      <c r="AX984" s="14">
        <f>Table1347456[[#This Row],[treatment_mean]]/Table1347456[[#This Row],[control_mean]]</f>
        <v>0.90540540540540548</v>
      </c>
      <c r="AY984" s="14">
        <f>LN(Table1347456[[#This Row],[rr]])</f>
        <v>-9.9372473813203605E-2</v>
      </c>
      <c r="AZ984" s="13">
        <v>4</v>
      </c>
      <c r="BA984" s="13">
        <v>4</v>
      </c>
      <c r="BB984" s="14">
        <f>5/1000</f>
        <v>5.0000000000000001E-3</v>
      </c>
      <c r="BC984" s="14">
        <f>4/1000</f>
        <v>4.0000000000000001E-3</v>
      </c>
      <c r="BD984" s="15">
        <f>Table1347456[[#This Row],[treatment_se]]*SQRT(Table1347456[[#This Row],[treatment_n]])</f>
        <v>0.01</v>
      </c>
      <c r="BE984" s="14">
        <f>Table1347456[[#This Row],[control_se]]*SQRT(Table1347456[[#This Row],[control_n]])</f>
        <v>8.0000000000000002E-3</v>
      </c>
      <c r="BF98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2.1227524599129665E-3</v>
      </c>
      <c r="BG984" s="17">
        <f>SQRT(Table1347456[[#This Row],[v_from_sd_and_n]])</f>
        <v>4.6073337842107411E-2</v>
      </c>
      <c r="BH984" s="13" t="s">
        <v>50</v>
      </c>
      <c r="BI984" s="13">
        <v>0.05</v>
      </c>
      <c r="BJ984" s="18">
        <f>ABS(_xlfn.NORM.S.INV(Table1347456[[#This Row],[p_value]]/2))</f>
        <v>1.9599639845400538</v>
      </c>
      <c r="BK984" s="19">
        <f>(Table1347456[[#This Row],[lnrr]]/Table1347456[[#This Row],[z_from_p]])^2</f>
        <v>2.5706089828581098E-3</v>
      </c>
      <c r="BL984" s="16">
        <f>Table1347456[[#This Row],[v_from_sd_and_n]]</f>
        <v>2.1227524599129665E-3</v>
      </c>
      <c r="BM984" s="20">
        <f>SQRT(Table1347456[[#This Row],[v]])</f>
        <v>4.6073337842107411E-2</v>
      </c>
      <c r="BN984" s="20">
        <f>Table1347456[[#This Row],[lnrr]]-(1.96*Table1347456[[#This Row],[se]])</f>
        <v>-0.18967621598373413</v>
      </c>
      <c r="BO984" s="20">
        <f>Table1347456[[#This Row],[lnrr]]+(1.96 * Table1347456[[#This Row],[se]])</f>
        <v>-9.068731642673078E-3</v>
      </c>
    </row>
    <row r="985" spans="1:67">
      <c r="A985" s="13" t="s">
        <v>330</v>
      </c>
      <c r="B985" s="13" t="s">
        <v>331</v>
      </c>
      <c r="C985" s="13" t="s">
        <v>43</v>
      </c>
      <c r="D985" s="13" t="s">
        <v>332</v>
      </c>
      <c r="E985" s="13" t="s">
        <v>157</v>
      </c>
      <c r="F985" s="13" t="s">
        <v>585</v>
      </c>
      <c r="G985" s="13" t="s">
        <v>46</v>
      </c>
      <c r="H985" s="13">
        <v>30</v>
      </c>
      <c r="I985" s="13" t="s">
        <v>46</v>
      </c>
      <c r="K985" s="13" t="s">
        <v>910</v>
      </c>
      <c r="L985" s="13" t="s">
        <v>911</v>
      </c>
      <c r="N985" s="13" t="s">
        <v>86</v>
      </c>
      <c r="O985" s="13" t="s">
        <v>644</v>
      </c>
      <c r="P985" s="13" t="s">
        <v>85</v>
      </c>
      <c r="Q985" s="13" t="s">
        <v>48</v>
      </c>
      <c r="R985" s="4">
        <v>4</v>
      </c>
      <c r="S985" s="13" t="s">
        <v>596</v>
      </c>
      <c r="T985" s="13">
        <v>180</v>
      </c>
      <c r="U985" s="4" t="s">
        <v>333</v>
      </c>
      <c r="V985" s="4">
        <v>550</v>
      </c>
      <c r="W985" s="4" t="s">
        <v>601</v>
      </c>
      <c r="X985" s="4">
        <v>674</v>
      </c>
      <c r="Y985" s="4">
        <v>10.62</v>
      </c>
      <c r="AA985" s="4" t="s">
        <v>49</v>
      </c>
      <c r="AB985" s="4">
        <v>0</v>
      </c>
      <c r="AC985" s="4" t="s">
        <v>49</v>
      </c>
      <c r="AD985" s="4">
        <v>0</v>
      </c>
      <c r="AE985" s="4" t="s">
        <v>49</v>
      </c>
      <c r="AF985" s="4">
        <v>0</v>
      </c>
      <c r="AG985" s="4" t="s">
        <v>679</v>
      </c>
      <c r="AH985" s="4" t="s">
        <v>678</v>
      </c>
      <c r="AI985" s="4" t="s">
        <v>64</v>
      </c>
      <c r="AJ985" s="13">
        <v>0</v>
      </c>
      <c r="AK985" s="13">
        <v>20</v>
      </c>
      <c r="AL985" s="13" t="s">
        <v>543</v>
      </c>
      <c r="AO985" s="13" t="s">
        <v>544</v>
      </c>
      <c r="AP985" s="13" t="s">
        <v>49</v>
      </c>
      <c r="AQ985" s="13" t="s">
        <v>49</v>
      </c>
      <c r="AR985" s="13" t="s">
        <v>50</v>
      </c>
      <c r="AS985" s="13" t="s">
        <v>49</v>
      </c>
      <c r="AT985" s="13" t="s">
        <v>990</v>
      </c>
      <c r="AU985" s="13" t="s">
        <v>998</v>
      </c>
      <c r="AV985" s="14">
        <f>154/1000</f>
        <v>0.154</v>
      </c>
      <c r="AW985" s="14">
        <f>148/1000</f>
        <v>0.14799999999999999</v>
      </c>
      <c r="AX985" s="14">
        <f>Table1347456[[#This Row],[treatment_mean]]/Table1347456[[#This Row],[control_mean]]</f>
        <v>1.0405405405405406</v>
      </c>
      <c r="AY985" s="14">
        <f>LN(Table1347456[[#This Row],[rr]])</f>
        <v>3.9740328649514121E-2</v>
      </c>
      <c r="AZ985" s="13">
        <v>4</v>
      </c>
      <c r="BA985" s="13">
        <v>4</v>
      </c>
      <c r="BB985" s="14">
        <f>14/1000</f>
        <v>1.4E-2</v>
      </c>
      <c r="BC985" s="14">
        <f>4/1000</f>
        <v>4.0000000000000001E-3</v>
      </c>
      <c r="BD985" s="15">
        <f>Table1347456[[#This Row],[treatment_se]]*SQRT(Table1347456[[#This Row],[treatment_n]])</f>
        <v>2.8000000000000001E-2</v>
      </c>
      <c r="BE985" s="14">
        <f>Table1347456[[#This Row],[control_se]]*SQRT(Table1347456[[#This Row],[control_n]])</f>
        <v>8.0000000000000002E-3</v>
      </c>
      <c r="BF98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8.9949229998370055E-3</v>
      </c>
      <c r="BG985" s="17">
        <f>SQRT(Table1347456[[#This Row],[v_from_sd_and_n]])</f>
        <v>9.4841567890018588E-2</v>
      </c>
      <c r="BH985" s="13" t="s">
        <v>50</v>
      </c>
      <c r="BI985" s="13">
        <v>0.05</v>
      </c>
      <c r="BJ985" s="18">
        <f>ABS(_xlfn.NORM.S.INV(Table1347456[[#This Row],[p_value]]/2))</f>
        <v>1.9599639845400538</v>
      </c>
      <c r="BK985" s="19">
        <f>(Table1347456[[#This Row],[lnrr]]/Table1347456[[#This Row],[z_from_p]])^2</f>
        <v>4.1111822223985876E-4</v>
      </c>
      <c r="BL985" s="16">
        <f>Table1347456[[#This Row],[v_from_sd_and_n]]</f>
        <v>8.9949229998370055E-3</v>
      </c>
      <c r="BM985" s="20">
        <f>SQRT(Table1347456[[#This Row],[v]])</f>
        <v>9.4841567890018588E-2</v>
      </c>
      <c r="BN985" s="20">
        <f>Table1347456[[#This Row],[lnrr]]-(1.96*Table1347456[[#This Row],[se]])</f>
        <v>-0.1461491444149223</v>
      </c>
      <c r="BO985" s="20">
        <f>Table1347456[[#This Row],[lnrr]]+(1.96 * Table1347456[[#This Row],[se]])</f>
        <v>0.22562980171395056</v>
      </c>
    </row>
    <row r="986" spans="1:67">
      <c r="A986" s="13" t="s">
        <v>330</v>
      </c>
      <c r="B986" s="13" t="s">
        <v>331</v>
      </c>
      <c r="C986" s="13" t="s">
        <v>43</v>
      </c>
      <c r="D986" s="13" t="s">
        <v>332</v>
      </c>
      <c r="E986" s="13" t="s">
        <v>157</v>
      </c>
      <c r="F986" s="13" t="s">
        <v>585</v>
      </c>
      <c r="G986" s="13" t="s">
        <v>46</v>
      </c>
      <c r="H986" s="13">
        <v>30</v>
      </c>
      <c r="I986" s="13" t="s">
        <v>46</v>
      </c>
      <c r="K986" s="13" t="s">
        <v>910</v>
      </c>
      <c r="L986" s="13" t="s">
        <v>911</v>
      </c>
      <c r="N986" s="13" t="s">
        <v>86</v>
      </c>
      <c r="O986" s="13" t="s">
        <v>644</v>
      </c>
      <c r="P986" s="13" t="s">
        <v>85</v>
      </c>
      <c r="Q986" s="13" t="s">
        <v>48</v>
      </c>
      <c r="R986" s="4">
        <v>4</v>
      </c>
      <c r="S986" s="13" t="s">
        <v>596</v>
      </c>
      <c r="T986" s="13">
        <v>180</v>
      </c>
      <c r="U986" s="4" t="s">
        <v>333</v>
      </c>
      <c r="V986" s="4">
        <v>550</v>
      </c>
      <c r="W986" s="4" t="s">
        <v>601</v>
      </c>
      <c r="X986" s="4">
        <v>674</v>
      </c>
      <c r="Y986" s="4">
        <v>21.25</v>
      </c>
      <c r="AA986" s="4" t="s">
        <v>49</v>
      </c>
      <c r="AB986" s="4">
        <v>0</v>
      </c>
      <c r="AC986" s="4" t="s">
        <v>49</v>
      </c>
      <c r="AD986" s="4">
        <v>0</v>
      </c>
      <c r="AE986" s="4" t="s">
        <v>49</v>
      </c>
      <c r="AF986" s="4">
        <v>0</v>
      </c>
      <c r="AG986" s="4" t="s">
        <v>679</v>
      </c>
      <c r="AH986" s="4" t="s">
        <v>678</v>
      </c>
      <c r="AI986" s="4" t="s">
        <v>64</v>
      </c>
      <c r="AJ986" s="13">
        <v>0</v>
      </c>
      <c r="AK986" s="13">
        <v>20</v>
      </c>
      <c r="AL986" s="13" t="s">
        <v>543</v>
      </c>
      <c r="AO986" s="13" t="s">
        <v>544</v>
      </c>
      <c r="AP986" s="13" t="s">
        <v>49</v>
      </c>
      <c r="AQ986" s="13" t="s">
        <v>49</v>
      </c>
      <c r="AR986" s="13" t="s">
        <v>50</v>
      </c>
      <c r="AS986" s="13" t="s">
        <v>49</v>
      </c>
      <c r="AT986" s="13" t="s">
        <v>990</v>
      </c>
      <c r="AU986" s="13" t="s">
        <v>998</v>
      </c>
      <c r="AV986" s="14">
        <f>134/1000</f>
        <v>0.13400000000000001</v>
      </c>
      <c r="AW986" s="14">
        <f>148/1000</f>
        <v>0.14799999999999999</v>
      </c>
      <c r="AX986" s="14">
        <f>Table1347456[[#This Row],[treatment_mean]]/Table1347456[[#This Row],[control_mean]]</f>
        <v>0.90540540540540548</v>
      </c>
      <c r="AY986" s="14">
        <f>LN(Table1347456[[#This Row],[rr]])</f>
        <v>-9.9372473813203605E-2</v>
      </c>
      <c r="AZ986" s="13">
        <v>4</v>
      </c>
      <c r="BA986" s="13">
        <v>4</v>
      </c>
      <c r="BB986" s="14">
        <f>9/1000</f>
        <v>8.9999999999999993E-3</v>
      </c>
      <c r="BC986" s="14">
        <f>4/1000</f>
        <v>4.0000000000000001E-3</v>
      </c>
      <c r="BD986" s="15">
        <f>Table1347456[[#This Row],[treatment_se]]*SQRT(Table1347456[[#This Row],[treatment_n]])</f>
        <v>1.7999999999999999E-2</v>
      </c>
      <c r="BE986" s="14">
        <f>Table1347456[[#This Row],[control_se]]*SQRT(Table1347456[[#This Row],[control_n]])</f>
        <v>8.0000000000000002E-3</v>
      </c>
      <c r="BF98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5.2414871446979944E-3</v>
      </c>
      <c r="BG986" s="17">
        <f>SQRT(Table1347456[[#This Row],[v_from_sd_and_n]])</f>
        <v>7.2398115615656705E-2</v>
      </c>
      <c r="BH986" s="13" t="s">
        <v>50</v>
      </c>
      <c r="BI986" s="13">
        <v>0.05</v>
      </c>
      <c r="BJ986" s="18">
        <f>ABS(_xlfn.NORM.S.INV(Table1347456[[#This Row],[p_value]]/2))</f>
        <v>1.9599639845400538</v>
      </c>
      <c r="BK986" s="19">
        <f>(Table1347456[[#This Row],[lnrr]]/Table1347456[[#This Row],[z_from_p]])^2</f>
        <v>2.5706089828581098E-3</v>
      </c>
      <c r="BL986" s="16">
        <f>Table1347456[[#This Row],[v_from_sd_and_n]]</f>
        <v>5.2414871446979944E-3</v>
      </c>
      <c r="BM986" s="20">
        <f>SQRT(Table1347456[[#This Row],[v]])</f>
        <v>7.2398115615656705E-2</v>
      </c>
      <c r="BN986" s="20">
        <f>Table1347456[[#This Row],[lnrr]]-(1.96*Table1347456[[#This Row],[se]])</f>
        <v>-0.24127278041989075</v>
      </c>
      <c r="BO986" s="20">
        <f>Table1347456[[#This Row],[lnrr]]+(1.96 * Table1347456[[#This Row],[se]])</f>
        <v>4.2527832793483544E-2</v>
      </c>
    </row>
    <row r="987" spans="1:67">
      <c r="A987" s="13" t="s">
        <v>330</v>
      </c>
      <c r="B987" s="13" t="s">
        <v>331</v>
      </c>
      <c r="C987" s="13" t="s">
        <v>43</v>
      </c>
      <c r="D987" s="13" t="s">
        <v>332</v>
      </c>
      <c r="E987" s="13" t="s">
        <v>157</v>
      </c>
      <c r="F987" s="13" t="s">
        <v>585</v>
      </c>
      <c r="G987" s="13" t="s">
        <v>46</v>
      </c>
      <c r="H987" s="13">
        <v>30</v>
      </c>
      <c r="I987" s="13" t="s">
        <v>46</v>
      </c>
      <c r="K987" s="13" t="s">
        <v>910</v>
      </c>
      <c r="L987" s="13" t="s">
        <v>911</v>
      </c>
      <c r="N987" s="13" t="s">
        <v>86</v>
      </c>
      <c r="O987" s="13" t="s">
        <v>644</v>
      </c>
      <c r="P987" s="13" t="s">
        <v>85</v>
      </c>
      <c r="Q987" s="13" t="s">
        <v>48</v>
      </c>
      <c r="R987" s="4">
        <v>4</v>
      </c>
      <c r="S987" s="13" t="s">
        <v>596</v>
      </c>
      <c r="T987" s="13">
        <v>180</v>
      </c>
      <c r="U987" s="4" t="s">
        <v>333</v>
      </c>
      <c r="V987" s="4">
        <v>550</v>
      </c>
      <c r="W987" s="4" t="s">
        <v>601</v>
      </c>
      <c r="X987" s="4">
        <v>674</v>
      </c>
      <c r="Y987" s="4">
        <v>42.5</v>
      </c>
      <c r="AA987" s="4" t="s">
        <v>49</v>
      </c>
      <c r="AB987" s="4">
        <v>0</v>
      </c>
      <c r="AC987" s="4" t="s">
        <v>49</v>
      </c>
      <c r="AD987" s="4">
        <v>0</v>
      </c>
      <c r="AE987" s="4" t="s">
        <v>49</v>
      </c>
      <c r="AF987" s="4">
        <v>0</v>
      </c>
      <c r="AG987" s="4" t="s">
        <v>679</v>
      </c>
      <c r="AH987" s="4" t="s">
        <v>678</v>
      </c>
      <c r="AI987" s="4" t="s">
        <v>64</v>
      </c>
      <c r="AJ987" s="13">
        <v>0</v>
      </c>
      <c r="AK987" s="13">
        <v>20</v>
      </c>
      <c r="AL987" s="13" t="s">
        <v>543</v>
      </c>
      <c r="AO987" s="13" t="s">
        <v>544</v>
      </c>
      <c r="AP987" s="13" t="s">
        <v>49</v>
      </c>
      <c r="AQ987" s="13" t="s">
        <v>49</v>
      </c>
      <c r="AR987" s="13" t="s">
        <v>50</v>
      </c>
      <c r="AS987" s="13" t="s">
        <v>49</v>
      </c>
      <c r="AT987" s="13" t="s">
        <v>990</v>
      </c>
      <c r="AU987" s="13" t="s">
        <v>998</v>
      </c>
      <c r="AV987" s="14">
        <f>151/1000</f>
        <v>0.151</v>
      </c>
      <c r="AW987" s="14">
        <f>148/1000</f>
        <v>0.14799999999999999</v>
      </c>
      <c r="AX987" s="14">
        <f>Table1347456[[#This Row],[treatment_mean]]/Table1347456[[#This Row],[control_mean]]</f>
        <v>1.0202702702702704</v>
      </c>
      <c r="AY987" s="14">
        <f>LN(Table1347456[[#This Row],[rr]])</f>
        <v>2.0067563050809388E-2</v>
      </c>
      <c r="AZ987" s="13">
        <v>4</v>
      </c>
      <c r="BA987" s="13">
        <v>4</v>
      </c>
      <c r="BB987" s="14">
        <f>9/1000</f>
        <v>8.9999999999999993E-3</v>
      </c>
      <c r="BC987" s="14">
        <f>4/1000</f>
        <v>4.0000000000000001E-3</v>
      </c>
      <c r="BD987" s="15">
        <f>Table1347456[[#This Row],[treatment_se]]*SQRT(Table1347456[[#This Row],[treatment_n]])</f>
        <v>1.7999999999999999E-2</v>
      </c>
      <c r="BE987" s="14">
        <f>Table1347456[[#This Row],[control_se]]*SQRT(Table1347456[[#This Row],[control_n]])</f>
        <v>8.0000000000000002E-3</v>
      </c>
      <c r="BF98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4.2829359585262895E-3</v>
      </c>
      <c r="BG987" s="17">
        <f>SQRT(Table1347456[[#This Row],[v_from_sd_and_n]])</f>
        <v>6.544414380619773E-2</v>
      </c>
      <c r="BH987" s="13" t="s">
        <v>50</v>
      </c>
      <c r="BI987" s="13">
        <v>0.05</v>
      </c>
      <c r="BJ987" s="18">
        <f>ABS(_xlfn.NORM.S.INV(Table1347456[[#This Row],[p_value]]/2))</f>
        <v>1.9599639845400538</v>
      </c>
      <c r="BK987" s="19">
        <f>(Table1347456[[#This Row],[lnrr]]/Table1347456[[#This Row],[z_from_p]])^2</f>
        <v>1.0483181145371328E-4</v>
      </c>
      <c r="BL987" s="16">
        <f>Table1347456[[#This Row],[v_from_sd_and_n]]</f>
        <v>4.2829359585262895E-3</v>
      </c>
      <c r="BM987" s="20">
        <f>SQRT(Table1347456[[#This Row],[v]])</f>
        <v>6.544414380619773E-2</v>
      </c>
      <c r="BN987" s="20">
        <f>Table1347456[[#This Row],[lnrr]]-(1.96*Table1347456[[#This Row],[se]])</f>
        <v>-0.10820295880933814</v>
      </c>
      <c r="BO987" s="20">
        <f>Table1347456[[#This Row],[lnrr]]+(1.96 * Table1347456[[#This Row],[se]])</f>
        <v>0.14833808491095693</v>
      </c>
    </row>
    <row r="988" spans="1:67">
      <c r="A988" s="13" t="s">
        <v>330</v>
      </c>
      <c r="B988" s="13" t="s">
        <v>331</v>
      </c>
      <c r="C988" s="13" t="s">
        <v>43</v>
      </c>
      <c r="D988" s="13" t="s">
        <v>332</v>
      </c>
      <c r="E988" s="13" t="s">
        <v>157</v>
      </c>
      <c r="F988" s="13" t="s">
        <v>585</v>
      </c>
      <c r="G988" s="13" t="s">
        <v>46</v>
      </c>
      <c r="H988" s="13">
        <v>30</v>
      </c>
      <c r="I988" s="13" t="s">
        <v>46</v>
      </c>
      <c r="K988" s="13" t="s">
        <v>910</v>
      </c>
      <c r="L988" s="13" t="s">
        <v>911</v>
      </c>
      <c r="N988" s="13" t="s">
        <v>86</v>
      </c>
      <c r="O988" s="13" t="s">
        <v>644</v>
      </c>
      <c r="P988" s="13" t="s">
        <v>85</v>
      </c>
      <c r="Q988" s="13" t="s">
        <v>48</v>
      </c>
      <c r="R988" s="4">
        <v>4</v>
      </c>
      <c r="S988" s="13" t="s">
        <v>596</v>
      </c>
      <c r="T988" s="13">
        <v>180</v>
      </c>
      <c r="U988" s="4" t="s">
        <v>333</v>
      </c>
      <c r="V988" s="4">
        <v>550</v>
      </c>
      <c r="W988" s="4" t="s">
        <v>601</v>
      </c>
      <c r="X988" s="4">
        <v>674</v>
      </c>
      <c r="Y988" s="4">
        <v>85</v>
      </c>
      <c r="AA988" s="4" t="s">
        <v>49</v>
      </c>
      <c r="AB988" s="4">
        <v>0</v>
      </c>
      <c r="AC988" s="4" t="s">
        <v>49</v>
      </c>
      <c r="AD988" s="4">
        <v>0</v>
      </c>
      <c r="AE988" s="4" t="s">
        <v>49</v>
      </c>
      <c r="AF988" s="4">
        <v>0</v>
      </c>
      <c r="AG988" s="4" t="s">
        <v>679</v>
      </c>
      <c r="AH988" s="4" t="s">
        <v>678</v>
      </c>
      <c r="AI988" s="4" t="s">
        <v>64</v>
      </c>
      <c r="AJ988" s="13">
        <v>0</v>
      </c>
      <c r="AK988" s="13">
        <v>20</v>
      </c>
      <c r="AL988" s="13" t="s">
        <v>543</v>
      </c>
      <c r="AO988" s="13" t="s">
        <v>544</v>
      </c>
      <c r="AP988" s="13" t="s">
        <v>49</v>
      </c>
      <c r="AQ988" s="13" t="s">
        <v>49</v>
      </c>
      <c r="AR988" s="13" t="s">
        <v>50</v>
      </c>
      <c r="AS988" s="13" t="s">
        <v>49</v>
      </c>
      <c r="AT988" s="13" t="s">
        <v>990</v>
      </c>
      <c r="AU988" s="13" t="s">
        <v>998</v>
      </c>
      <c r="AV988" s="14">
        <f>244/1000</f>
        <v>0.24399999999999999</v>
      </c>
      <c r="AW988" s="14">
        <f>148/1000</f>
        <v>0.14799999999999999</v>
      </c>
      <c r="AX988" s="14">
        <f>Table1347456[[#This Row],[treatment_mean]]/Table1347456[[#This Row],[control_mean]]</f>
        <v>1.6486486486486487</v>
      </c>
      <c r="AY988" s="14">
        <f>LN(Table1347456[[#This Row],[rr]])</f>
        <v>0.49995595152908684</v>
      </c>
      <c r="AZ988" s="13">
        <v>4</v>
      </c>
      <c r="BA988" s="13">
        <v>4</v>
      </c>
      <c r="BB988" s="14">
        <f>24/1000</f>
        <v>2.4E-2</v>
      </c>
      <c r="BC988" s="14">
        <f>4/1000</f>
        <v>4.0000000000000001E-3</v>
      </c>
      <c r="BD988" s="15">
        <f>Table1347456[[#This Row],[treatment_se]]*SQRT(Table1347456[[#This Row],[treatment_n]])</f>
        <v>4.8000000000000001E-2</v>
      </c>
      <c r="BE988" s="14">
        <f>Table1347456[[#This Row],[control_se]]*SQRT(Table1347456[[#This Row],[control_n]])</f>
        <v>8.0000000000000002E-3</v>
      </c>
      <c r="BF98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1.0405278787070954E-2</v>
      </c>
      <c r="BG988" s="17">
        <f>SQRT(Table1347456[[#This Row],[v_from_sd_and_n]])</f>
        <v>0.10200626837146311</v>
      </c>
      <c r="BH988" s="13" t="s">
        <v>50</v>
      </c>
      <c r="BI988" s="13">
        <v>0.05</v>
      </c>
      <c r="BJ988" s="18">
        <f>ABS(_xlfn.NORM.S.INV(Table1347456[[#This Row],[p_value]]/2))</f>
        <v>1.9599639845400538</v>
      </c>
      <c r="BK988" s="19">
        <f>(Table1347456[[#This Row],[lnrr]]/Table1347456[[#This Row],[z_from_p]])^2</f>
        <v>6.5067976812045944E-2</v>
      </c>
      <c r="BL988" s="16">
        <f>Table1347456[[#This Row],[v_from_sd_and_n]]</f>
        <v>1.0405278787070954E-2</v>
      </c>
      <c r="BM988" s="20">
        <f>SQRT(Table1347456[[#This Row],[v]])</f>
        <v>0.10200626837146311</v>
      </c>
      <c r="BN988" s="20">
        <f>Table1347456[[#This Row],[lnrr]]-(1.96*Table1347456[[#This Row],[se]])</f>
        <v>0.30002366552101911</v>
      </c>
      <c r="BO988" s="20">
        <f>Table1347456[[#This Row],[lnrr]]+(1.96 * Table1347456[[#This Row],[se]])</f>
        <v>0.69988823753715457</v>
      </c>
    </row>
    <row r="989" spans="1:67">
      <c r="A989" s="13" t="s">
        <v>330</v>
      </c>
      <c r="B989" s="13" t="s">
        <v>661</v>
      </c>
      <c r="C989" s="13" t="s">
        <v>43</v>
      </c>
      <c r="D989" s="13" t="s">
        <v>332</v>
      </c>
      <c r="E989" s="13" t="s">
        <v>157</v>
      </c>
      <c r="F989" s="13" t="s">
        <v>585</v>
      </c>
      <c r="G989" s="13" t="s">
        <v>46</v>
      </c>
      <c r="H989" s="13">
        <v>30</v>
      </c>
      <c r="I989" s="13" t="s">
        <v>46</v>
      </c>
      <c r="J989" s="13" t="s">
        <v>651</v>
      </c>
      <c r="K989" s="13" t="s">
        <v>910</v>
      </c>
      <c r="L989" s="13" t="s">
        <v>911</v>
      </c>
      <c r="M989" s="13" t="s">
        <v>659</v>
      </c>
      <c r="N989" s="13" t="s">
        <v>84</v>
      </c>
      <c r="O989" s="13" t="s">
        <v>644</v>
      </c>
      <c r="P989" s="13" t="s">
        <v>85</v>
      </c>
      <c r="Q989" s="13" t="s">
        <v>48</v>
      </c>
      <c r="R989" s="4">
        <v>4</v>
      </c>
      <c r="S989" s="13" t="s">
        <v>596</v>
      </c>
      <c r="T989" s="13">
        <v>180</v>
      </c>
      <c r="U989" s="4" t="s">
        <v>333</v>
      </c>
      <c r="V989" s="4">
        <v>550</v>
      </c>
      <c r="W989" s="4" t="s">
        <v>601</v>
      </c>
      <c r="X989" s="4">
        <v>674</v>
      </c>
      <c r="Y989" s="4">
        <v>5.3</v>
      </c>
      <c r="AA989" s="4" t="s">
        <v>49</v>
      </c>
      <c r="AB989" s="4">
        <v>0</v>
      </c>
      <c r="AC989" s="4" t="s">
        <v>49</v>
      </c>
      <c r="AD989" s="4">
        <v>0</v>
      </c>
      <c r="AE989" s="4" t="s">
        <v>49</v>
      </c>
      <c r="AF989" s="4">
        <v>0</v>
      </c>
      <c r="AG989" s="4" t="s">
        <v>679</v>
      </c>
      <c r="AH989" s="4" t="s">
        <v>678</v>
      </c>
      <c r="AI989" s="4" t="s">
        <v>64</v>
      </c>
      <c r="AJ989" s="13">
        <v>0</v>
      </c>
      <c r="AK989" s="13">
        <v>20</v>
      </c>
      <c r="AL989" s="13" t="s">
        <v>543</v>
      </c>
      <c r="AO989" s="13" t="s">
        <v>544</v>
      </c>
      <c r="AP989" s="13" t="s">
        <v>49</v>
      </c>
      <c r="AQ989" s="13" t="s">
        <v>49</v>
      </c>
      <c r="AR989" s="13" t="s">
        <v>50</v>
      </c>
      <c r="AS989" s="13" t="s">
        <v>49</v>
      </c>
      <c r="AT989" s="13" t="s">
        <v>990</v>
      </c>
      <c r="AU989" s="13" t="s">
        <v>998</v>
      </c>
      <c r="AV989" s="23">
        <f>3.52/1000</f>
        <v>3.5200000000000001E-3</v>
      </c>
      <c r="AW989" s="23">
        <f>3.57/1000</f>
        <v>3.5699999999999998E-3</v>
      </c>
      <c r="AX989" s="14">
        <f>Table1347456[[#This Row],[treatment_mean]]/Table1347456[[#This Row],[control_mean]]</f>
        <v>0.98599439775910369</v>
      </c>
      <c r="AY989" s="14">
        <f>LN(Table1347456[[#This Row],[rr]])</f>
        <v>-1.4104606181541935E-2</v>
      </c>
      <c r="AZ989" s="13">
        <v>4</v>
      </c>
      <c r="BA989" s="13">
        <v>4</v>
      </c>
      <c r="BB989" s="14">
        <f>0.48/1000</f>
        <v>4.7999999999999996E-4</v>
      </c>
      <c r="BC989" s="14">
        <f>0.35/1000</f>
        <v>3.5E-4</v>
      </c>
      <c r="BD989" s="15">
        <f>Table1347456[[#This Row],[treatment_se]]*SQRT(Table1347456[[#This Row],[treatment_n]])</f>
        <v>9.5999999999999992E-4</v>
      </c>
      <c r="BE989" s="14">
        <f>Table1347456[[#This Row],[control_se]]*SQRT(Table1347456[[#This Row],[control_n]])</f>
        <v>6.9999999999999999E-4</v>
      </c>
      <c r="BF98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2.8206729134693902E-2</v>
      </c>
      <c r="BG989" s="17">
        <f>SQRT(Table1347456[[#This Row],[v_from_sd_and_n]])</f>
        <v>0.16794859074935373</v>
      </c>
      <c r="BH989" s="13" t="s">
        <v>50</v>
      </c>
      <c r="BI989" s="13">
        <v>0.05</v>
      </c>
      <c r="BJ989" s="18">
        <f>ABS(_xlfn.NORM.S.INV(Table1347456[[#This Row],[p_value]]/2))</f>
        <v>1.9599639845400538</v>
      </c>
      <c r="BK989" s="19">
        <f>(Table1347456[[#This Row],[lnrr]]/Table1347456[[#This Row],[z_from_p]])^2</f>
        <v>5.1787595500098042E-5</v>
      </c>
      <c r="BL989" s="16">
        <f>Table1347456[[#This Row],[v_from_sd_and_n]]</f>
        <v>2.8206729134693902E-2</v>
      </c>
      <c r="BM989" s="20">
        <f>SQRT(Table1347456[[#This Row],[v]])</f>
        <v>0.16794859074935373</v>
      </c>
      <c r="BN989" s="20">
        <f>Table1347456[[#This Row],[lnrr]]-(1.96*Table1347456[[#This Row],[se]])</f>
        <v>-0.34328384405027523</v>
      </c>
      <c r="BO989" s="20">
        <f>Table1347456[[#This Row],[lnrr]]+(1.96 * Table1347456[[#This Row],[se]])</f>
        <v>0.31507463168719141</v>
      </c>
    </row>
    <row r="990" spans="1:67">
      <c r="A990" s="13" t="s">
        <v>330</v>
      </c>
      <c r="B990" s="13" t="s">
        <v>331</v>
      </c>
      <c r="C990" s="13" t="s">
        <v>43</v>
      </c>
      <c r="D990" s="13" t="s">
        <v>332</v>
      </c>
      <c r="E990" s="13" t="s">
        <v>157</v>
      </c>
      <c r="F990" s="13" t="s">
        <v>585</v>
      </c>
      <c r="G990" s="13" t="s">
        <v>46</v>
      </c>
      <c r="H990" s="13">
        <v>30</v>
      </c>
      <c r="I990" s="13" t="s">
        <v>46</v>
      </c>
      <c r="J990" s="13" t="s">
        <v>651</v>
      </c>
      <c r="K990" s="13" t="s">
        <v>910</v>
      </c>
      <c r="L990" s="13" t="s">
        <v>911</v>
      </c>
      <c r="M990" s="13" t="s">
        <v>659</v>
      </c>
      <c r="N990" s="13" t="s">
        <v>84</v>
      </c>
      <c r="O990" s="13" t="s">
        <v>644</v>
      </c>
      <c r="P990" s="13" t="s">
        <v>85</v>
      </c>
      <c r="Q990" s="13" t="s">
        <v>48</v>
      </c>
      <c r="R990" s="4">
        <v>4</v>
      </c>
      <c r="S990" s="13" t="s">
        <v>596</v>
      </c>
      <c r="T990" s="13">
        <v>180</v>
      </c>
      <c r="U990" s="4" t="s">
        <v>333</v>
      </c>
      <c r="V990" s="4">
        <v>550</v>
      </c>
      <c r="W990" s="4" t="s">
        <v>601</v>
      </c>
      <c r="X990" s="4">
        <v>674</v>
      </c>
      <c r="Y990" s="4">
        <v>10.62</v>
      </c>
      <c r="AA990" s="4" t="s">
        <v>49</v>
      </c>
      <c r="AB990" s="4">
        <v>0</v>
      </c>
      <c r="AC990" s="4" t="s">
        <v>49</v>
      </c>
      <c r="AD990" s="4">
        <v>0</v>
      </c>
      <c r="AE990" s="4" t="s">
        <v>49</v>
      </c>
      <c r="AF990" s="4">
        <v>0</v>
      </c>
      <c r="AG990" s="4" t="s">
        <v>679</v>
      </c>
      <c r="AH990" s="4" t="s">
        <v>678</v>
      </c>
      <c r="AI990" s="4" t="s">
        <v>64</v>
      </c>
      <c r="AJ990" s="13">
        <v>0</v>
      </c>
      <c r="AK990" s="13">
        <v>20</v>
      </c>
      <c r="AL990" s="13" t="s">
        <v>543</v>
      </c>
      <c r="AO990" s="13" t="s">
        <v>544</v>
      </c>
      <c r="AP990" s="13" t="s">
        <v>49</v>
      </c>
      <c r="AQ990" s="13" t="s">
        <v>49</v>
      </c>
      <c r="AR990" s="13" t="s">
        <v>50</v>
      </c>
      <c r="AS990" s="13" t="s">
        <v>49</v>
      </c>
      <c r="AT990" s="13" t="s">
        <v>990</v>
      </c>
      <c r="AU990" s="13" t="s">
        <v>998</v>
      </c>
      <c r="AV990" s="23">
        <f>2.99/1000</f>
        <v>2.99E-3</v>
      </c>
      <c r="AW990" s="23">
        <f>3.57/1000</f>
        <v>3.5699999999999998E-3</v>
      </c>
      <c r="AX990" s="14">
        <f>Table1347456[[#This Row],[treatment_mean]]/Table1347456[[#This Row],[control_mean]]</f>
        <v>0.83753501400560226</v>
      </c>
      <c r="AY990" s="14">
        <f>LN(Table1347456[[#This Row],[rr]])</f>
        <v>-0.17729220838895263</v>
      </c>
      <c r="AZ990" s="13">
        <v>4</v>
      </c>
      <c r="BA990" s="13">
        <v>4</v>
      </c>
      <c r="BB990" s="14">
        <f>0.08/1000</f>
        <v>8.0000000000000007E-5</v>
      </c>
      <c r="BC990" s="14">
        <f>0.35/1000</f>
        <v>3.5E-4</v>
      </c>
      <c r="BD990" s="15">
        <f>Table1347456[[#This Row],[treatment_se]]*SQRT(Table1347456[[#This Row],[treatment_n]])</f>
        <v>1.6000000000000001E-4</v>
      </c>
      <c r="BE990" s="14">
        <f>Table1347456[[#This Row],[control_se]]*SQRT(Table1347456[[#This Row],[control_n]])</f>
        <v>6.9999999999999999E-4</v>
      </c>
      <c r="BF99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1.0327563473725923E-2</v>
      </c>
      <c r="BG990" s="17">
        <f>SQRT(Table1347456[[#This Row],[v_from_sd_and_n]])</f>
        <v>0.10162462041122675</v>
      </c>
      <c r="BH990" s="13" t="s">
        <v>50</v>
      </c>
      <c r="BI990" s="13">
        <v>0.05</v>
      </c>
      <c r="BJ990" s="18">
        <f>ABS(_xlfn.NORM.S.INV(Table1347456[[#This Row],[p_value]]/2))</f>
        <v>1.9599639845400538</v>
      </c>
      <c r="BK990" s="19">
        <f>(Table1347456[[#This Row],[lnrr]]/Table1347456[[#This Row],[z_from_p]])^2</f>
        <v>8.182445425707353E-3</v>
      </c>
      <c r="BL990" s="16">
        <f>Table1347456[[#This Row],[v_from_sd_and_n]]</f>
        <v>1.0327563473725923E-2</v>
      </c>
      <c r="BM990" s="20">
        <f>SQRT(Table1347456[[#This Row],[v]])</f>
        <v>0.10162462041122675</v>
      </c>
      <c r="BN990" s="20">
        <f>Table1347456[[#This Row],[lnrr]]-(1.96*Table1347456[[#This Row],[se]])</f>
        <v>-0.37647646439495708</v>
      </c>
      <c r="BO990" s="20">
        <f>Table1347456[[#This Row],[lnrr]]+(1.96 * Table1347456[[#This Row],[se]])</f>
        <v>2.1892047617051796E-2</v>
      </c>
    </row>
    <row r="991" spans="1:67">
      <c r="A991" s="13" t="s">
        <v>330</v>
      </c>
      <c r="B991" s="13" t="s">
        <v>331</v>
      </c>
      <c r="C991" s="13" t="s">
        <v>43</v>
      </c>
      <c r="D991" s="13" t="s">
        <v>332</v>
      </c>
      <c r="E991" s="13" t="s">
        <v>157</v>
      </c>
      <c r="F991" s="13" t="s">
        <v>585</v>
      </c>
      <c r="G991" s="13" t="s">
        <v>46</v>
      </c>
      <c r="H991" s="13">
        <v>30</v>
      </c>
      <c r="I991" s="13" t="s">
        <v>46</v>
      </c>
      <c r="J991" s="13" t="s">
        <v>651</v>
      </c>
      <c r="K991" s="13" t="s">
        <v>910</v>
      </c>
      <c r="L991" s="13" t="s">
        <v>911</v>
      </c>
      <c r="M991" s="13" t="s">
        <v>659</v>
      </c>
      <c r="N991" s="13" t="s">
        <v>84</v>
      </c>
      <c r="O991" s="13" t="s">
        <v>644</v>
      </c>
      <c r="P991" s="13" t="s">
        <v>85</v>
      </c>
      <c r="Q991" s="13" t="s">
        <v>48</v>
      </c>
      <c r="R991" s="4">
        <v>4</v>
      </c>
      <c r="S991" s="13" t="s">
        <v>596</v>
      </c>
      <c r="T991" s="13">
        <v>180</v>
      </c>
      <c r="U991" s="4" t="s">
        <v>333</v>
      </c>
      <c r="V991" s="4">
        <v>550</v>
      </c>
      <c r="W991" s="4" t="s">
        <v>601</v>
      </c>
      <c r="X991" s="4">
        <v>674</v>
      </c>
      <c r="Y991" s="4">
        <v>21.25</v>
      </c>
      <c r="AA991" s="4" t="s">
        <v>49</v>
      </c>
      <c r="AB991" s="4">
        <v>0</v>
      </c>
      <c r="AC991" s="4" t="s">
        <v>49</v>
      </c>
      <c r="AD991" s="4">
        <v>0</v>
      </c>
      <c r="AE991" s="4" t="s">
        <v>49</v>
      </c>
      <c r="AF991" s="4">
        <v>0</v>
      </c>
      <c r="AG991" s="4" t="s">
        <v>679</v>
      </c>
      <c r="AH991" s="4" t="s">
        <v>678</v>
      </c>
      <c r="AI991" s="4" t="s">
        <v>64</v>
      </c>
      <c r="AJ991" s="13">
        <v>0</v>
      </c>
      <c r="AK991" s="13">
        <v>20</v>
      </c>
      <c r="AL991" s="13" t="s">
        <v>543</v>
      </c>
      <c r="AO991" s="13" t="s">
        <v>544</v>
      </c>
      <c r="AP991" s="13" t="s">
        <v>49</v>
      </c>
      <c r="AQ991" s="13" t="s">
        <v>49</v>
      </c>
      <c r="AR991" s="13" t="s">
        <v>50</v>
      </c>
      <c r="AS991" s="13" t="s">
        <v>49</v>
      </c>
      <c r="AT991" s="13" t="s">
        <v>990</v>
      </c>
      <c r="AU991" s="13" t="s">
        <v>998</v>
      </c>
      <c r="AV991" s="23">
        <f>4.35/1000</f>
        <v>4.3499999999999997E-3</v>
      </c>
      <c r="AW991" s="23">
        <f>3.57/1000</f>
        <v>3.5699999999999998E-3</v>
      </c>
      <c r="AX991" s="14">
        <f>Table1347456[[#This Row],[treatment_mean]]/Table1347456[[#This Row],[control_mean]]</f>
        <v>1.2184873949579831</v>
      </c>
      <c r="AY991" s="14">
        <f>LN(Table1347456[[#This Row],[rr]])</f>
        <v>0.19761024930904492</v>
      </c>
      <c r="AZ991" s="13">
        <v>4</v>
      </c>
      <c r="BA991" s="13">
        <v>4</v>
      </c>
      <c r="BB991" s="14">
        <f>0.27/1000</f>
        <v>2.7E-4</v>
      </c>
      <c r="BC991" s="14">
        <f>0.35/1000</f>
        <v>3.5E-4</v>
      </c>
      <c r="BD991" s="15">
        <f>Table1347456[[#This Row],[treatment_se]]*SQRT(Table1347456[[#This Row],[treatment_n]])</f>
        <v>5.4000000000000001E-4</v>
      </c>
      <c r="BE991" s="14">
        <f>Table1347456[[#This Row],[control_se]]*SQRT(Table1347456[[#This Row],[control_n]])</f>
        <v>6.9999999999999999E-4</v>
      </c>
      <c r="BF99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1.3464244292760353E-2</v>
      </c>
      <c r="BG991" s="17">
        <f>SQRT(Table1347456[[#This Row],[v_from_sd_and_n]])</f>
        <v>0.11603553030326683</v>
      </c>
      <c r="BH991" s="13" t="s">
        <v>50</v>
      </c>
      <c r="BI991" s="13">
        <v>0.05</v>
      </c>
      <c r="BJ991" s="18">
        <f>ABS(_xlfn.NORM.S.INV(Table1347456[[#This Row],[p_value]]/2))</f>
        <v>1.9599639845400538</v>
      </c>
      <c r="BK991" s="19">
        <f>(Table1347456[[#This Row],[lnrr]]/Table1347456[[#This Row],[z_from_p]])^2</f>
        <v>1.0165359686174344E-2</v>
      </c>
      <c r="BL991" s="16">
        <f>Table1347456[[#This Row],[v_from_sd_and_n]]</f>
        <v>1.3464244292760353E-2</v>
      </c>
      <c r="BM991" s="20">
        <f>SQRT(Table1347456[[#This Row],[v]])</f>
        <v>0.11603553030326683</v>
      </c>
      <c r="BN991" s="20">
        <f>Table1347456[[#This Row],[lnrr]]-(1.96*Table1347456[[#This Row],[se]])</f>
        <v>-2.9819390085358055E-2</v>
      </c>
      <c r="BO991" s="20">
        <f>Table1347456[[#This Row],[lnrr]]+(1.96 * Table1347456[[#This Row],[se]])</f>
        <v>0.42503988870344789</v>
      </c>
    </row>
    <row r="992" spans="1:67">
      <c r="A992" s="13" t="s">
        <v>330</v>
      </c>
      <c r="B992" s="13" t="s">
        <v>331</v>
      </c>
      <c r="C992" s="13" t="s">
        <v>43</v>
      </c>
      <c r="D992" s="13" t="s">
        <v>332</v>
      </c>
      <c r="E992" s="13" t="s">
        <v>157</v>
      </c>
      <c r="F992" s="13" t="s">
        <v>585</v>
      </c>
      <c r="G992" s="13" t="s">
        <v>46</v>
      </c>
      <c r="H992" s="13">
        <v>30</v>
      </c>
      <c r="I992" s="13" t="s">
        <v>46</v>
      </c>
      <c r="J992" s="13" t="s">
        <v>651</v>
      </c>
      <c r="K992" s="13" t="s">
        <v>910</v>
      </c>
      <c r="L992" s="13" t="s">
        <v>911</v>
      </c>
      <c r="M992" s="13" t="s">
        <v>659</v>
      </c>
      <c r="N992" s="13" t="s">
        <v>84</v>
      </c>
      <c r="O992" s="13" t="s">
        <v>644</v>
      </c>
      <c r="P992" s="13" t="s">
        <v>85</v>
      </c>
      <c r="Q992" s="13" t="s">
        <v>48</v>
      </c>
      <c r="R992" s="4">
        <v>4</v>
      </c>
      <c r="S992" s="13" t="s">
        <v>596</v>
      </c>
      <c r="T992" s="13">
        <v>180</v>
      </c>
      <c r="U992" s="4" t="s">
        <v>333</v>
      </c>
      <c r="V992" s="4">
        <v>550</v>
      </c>
      <c r="W992" s="4" t="s">
        <v>601</v>
      </c>
      <c r="X992" s="4">
        <v>674</v>
      </c>
      <c r="Y992" s="4">
        <v>42.5</v>
      </c>
      <c r="AA992" s="4" t="s">
        <v>49</v>
      </c>
      <c r="AB992" s="4">
        <v>0</v>
      </c>
      <c r="AC992" s="4" t="s">
        <v>49</v>
      </c>
      <c r="AD992" s="4">
        <v>0</v>
      </c>
      <c r="AE992" s="4" t="s">
        <v>49</v>
      </c>
      <c r="AF992" s="4">
        <v>0</v>
      </c>
      <c r="AG992" s="4" t="s">
        <v>679</v>
      </c>
      <c r="AH992" s="4" t="s">
        <v>678</v>
      </c>
      <c r="AI992" s="4" t="s">
        <v>64</v>
      </c>
      <c r="AJ992" s="13">
        <v>0</v>
      </c>
      <c r="AK992" s="13">
        <v>20</v>
      </c>
      <c r="AL992" s="13" t="s">
        <v>543</v>
      </c>
      <c r="AO992" s="13" t="s">
        <v>544</v>
      </c>
      <c r="AP992" s="13" t="s">
        <v>49</v>
      </c>
      <c r="AQ992" s="13" t="s">
        <v>49</v>
      </c>
      <c r="AR992" s="13" t="s">
        <v>50</v>
      </c>
      <c r="AS992" s="13" t="s">
        <v>49</v>
      </c>
      <c r="AT992" s="13" t="s">
        <v>990</v>
      </c>
      <c r="AU992" s="13" t="s">
        <v>998</v>
      </c>
      <c r="AV992" s="23">
        <f>5.52/1000</f>
        <v>5.5199999999999997E-3</v>
      </c>
      <c r="AW992" s="23">
        <f>3.57/1000</f>
        <v>3.5699999999999998E-3</v>
      </c>
      <c r="AX992" s="14">
        <f>Table1347456[[#This Row],[treatment_mean]]/Table1347456[[#This Row],[control_mean]]</f>
        <v>1.546218487394958</v>
      </c>
      <c r="AY992" s="14">
        <f>LN(Table1347456[[#This Row],[rr]])</f>
        <v>0.43581226449745625</v>
      </c>
      <c r="AZ992" s="13">
        <v>4</v>
      </c>
      <c r="BA992" s="13">
        <v>4</v>
      </c>
      <c r="BB992" s="14">
        <f>0.54/1000</f>
        <v>5.4000000000000001E-4</v>
      </c>
      <c r="BC992" s="14">
        <f>0.35/1000</f>
        <v>3.5E-4</v>
      </c>
      <c r="BD992" s="15">
        <f>Table1347456[[#This Row],[treatment_se]]*SQRT(Table1347456[[#This Row],[treatment_n]])</f>
        <v>1.08E-3</v>
      </c>
      <c r="BE992" s="14">
        <f>Table1347456[[#This Row],[control_se]]*SQRT(Table1347456[[#This Row],[control_n]])</f>
        <v>6.9999999999999999E-4</v>
      </c>
      <c r="BF99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1.9181631101604806E-2</v>
      </c>
      <c r="BG992" s="17">
        <f>SQRT(Table1347456[[#This Row],[v_from_sd_and_n]])</f>
        <v>0.13849776569174249</v>
      </c>
      <c r="BH992" s="13" t="s">
        <v>50</v>
      </c>
      <c r="BI992" s="13">
        <v>0.05</v>
      </c>
      <c r="BJ992" s="18">
        <f>ABS(_xlfn.NORM.S.INV(Table1347456[[#This Row],[p_value]]/2))</f>
        <v>1.9599639845400538</v>
      </c>
      <c r="BK992" s="19">
        <f>(Table1347456[[#This Row],[lnrr]]/Table1347456[[#This Row],[z_from_p]])^2</f>
        <v>4.9442760875953201E-2</v>
      </c>
      <c r="BL992" s="16">
        <f>Table1347456[[#This Row],[v_from_sd_and_n]]</f>
        <v>1.9181631101604806E-2</v>
      </c>
      <c r="BM992" s="20">
        <f>SQRT(Table1347456[[#This Row],[v]])</f>
        <v>0.13849776569174249</v>
      </c>
      <c r="BN992" s="20">
        <f>Table1347456[[#This Row],[lnrr]]-(1.96*Table1347456[[#This Row],[se]])</f>
        <v>0.164356643741641</v>
      </c>
      <c r="BO992" s="20">
        <f>Table1347456[[#This Row],[lnrr]]+(1.96 * Table1347456[[#This Row],[se]])</f>
        <v>0.70726788525327144</v>
      </c>
    </row>
    <row r="993" spans="1:67">
      <c r="A993" s="13" t="s">
        <v>330</v>
      </c>
      <c r="B993" s="13" t="s">
        <v>331</v>
      </c>
      <c r="C993" s="13" t="s">
        <v>43</v>
      </c>
      <c r="D993" s="13" t="s">
        <v>332</v>
      </c>
      <c r="E993" s="13" t="s">
        <v>157</v>
      </c>
      <c r="F993" s="13" t="s">
        <v>585</v>
      </c>
      <c r="G993" s="13" t="s">
        <v>46</v>
      </c>
      <c r="H993" s="13">
        <v>30</v>
      </c>
      <c r="I993" s="13" t="s">
        <v>46</v>
      </c>
      <c r="J993" s="13" t="s">
        <v>651</v>
      </c>
      <c r="K993" s="13" t="s">
        <v>910</v>
      </c>
      <c r="L993" s="13" t="s">
        <v>911</v>
      </c>
      <c r="M993" s="13" t="s">
        <v>659</v>
      </c>
      <c r="N993" s="13" t="s">
        <v>84</v>
      </c>
      <c r="O993" s="13" t="s">
        <v>644</v>
      </c>
      <c r="P993" s="13" t="s">
        <v>85</v>
      </c>
      <c r="Q993" s="13" t="s">
        <v>48</v>
      </c>
      <c r="R993" s="4">
        <v>4</v>
      </c>
      <c r="S993" s="13" t="s">
        <v>596</v>
      </c>
      <c r="T993" s="13">
        <v>180</v>
      </c>
      <c r="U993" s="4" t="s">
        <v>333</v>
      </c>
      <c r="V993" s="4">
        <v>550</v>
      </c>
      <c r="W993" s="4" t="s">
        <v>601</v>
      </c>
      <c r="X993" s="4">
        <v>674</v>
      </c>
      <c r="Y993" s="4">
        <v>85</v>
      </c>
      <c r="AA993" s="4" t="s">
        <v>49</v>
      </c>
      <c r="AB993" s="4">
        <v>0</v>
      </c>
      <c r="AC993" s="4" t="s">
        <v>49</v>
      </c>
      <c r="AD993" s="4">
        <v>0</v>
      </c>
      <c r="AE993" s="4" t="s">
        <v>49</v>
      </c>
      <c r="AF993" s="4">
        <v>0</v>
      </c>
      <c r="AG993" s="4" t="s">
        <v>679</v>
      </c>
      <c r="AH993" s="4" t="s">
        <v>678</v>
      </c>
      <c r="AI993" s="4" t="s">
        <v>64</v>
      </c>
      <c r="AJ993" s="13">
        <v>0</v>
      </c>
      <c r="AK993" s="13">
        <v>20</v>
      </c>
      <c r="AL993" s="13" t="s">
        <v>543</v>
      </c>
      <c r="AO993" s="13" t="s">
        <v>544</v>
      </c>
      <c r="AP993" s="13" t="s">
        <v>49</v>
      </c>
      <c r="AQ993" s="13" t="s">
        <v>49</v>
      </c>
      <c r="AR993" s="13" t="s">
        <v>50</v>
      </c>
      <c r="AS993" s="13" t="s">
        <v>49</v>
      </c>
      <c r="AT993" s="13" t="s">
        <v>990</v>
      </c>
      <c r="AU993" s="13" t="s">
        <v>998</v>
      </c>
      <c r="AV993" s="23">
        <f>5.63/1000</f>
        <v>5.6299999999999996E-3</v>
      </c>
      <c r="AW993" s="23">
        <f>3.57/1000</f>
        <v>3.5699999999999998E-3</v>
      </c>
      <c r="AX993" s="14">
        <f>Table1347456[[#This Row],[treatment_mean]]/Table1347456[[#This Row],[control_mean]]</f>
        <v>1.5770308123249299</v>
      </c>
      <c r="AY993" s="14">
        <f>LN(Table1347456[[#This Row],[rr]])</f>
        <v>0.4555438463600513</v>
      </c>
      <c r="AZ993" s="13">
        <v>4</v>
      </c>
      <c r="BA993" s="13">
        <v>4</v>
      </c>
      <c r="BB993" s="14">
        <f>0.32/1000</f>
        <v>3.2000000000000003E-4</v>
      </c>
      <c r="BC993" s="14">
        <f>0.35/1000</f>
        <v>3.5E-4</v>
      </c>
      <c r="BD993" s="15">
        <f>Table1347456[[#This Row],[treatment_se]]*SQRT(Table1347456[[#This Row],[treatment_n]])</f>
        <v>6.4000000000000005E-4</v>
      </c>
      <c r="BE993" s="14">
        <f>Table1347456[[#This Row],[control_se]]*SQRT(Table1347456[[#This Row],[control_n]])</f>
        <v>6.9999999999999999E-4</v>
      </c>
      <c r="BF99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1.2842287650218887E-2</v>
      </c>
      <c r="BG993" s="17">
        <f>SQRT(Table1347456[[#This Row],[v_from_sd_and_n]])</f>
        <v>0.11332381766521496</v>
      </c>
      <c r="BH993" s="13" t="s">
        <v>50</v>
      </c>
      <c r="BI993" s="13">
        <v>0.05</v>
      </c>
      <c r="BJ993" s="18">
        <f>ABS(_xlfn.NORM.S.INV(Table1347456[[#This Row],[p_value]]/2))</f>
        <v>1.9599639845400538</v>
      </c>
      <c r="BK993" s="19">
        <f>(Table1347456[[#This Row],[lnrr]]/Table1347456[[#This Row],[z_from_p]])^2</f>
        <v>5.4021194978998259E-2</v>
      </c>
      <c r="BL993" s="16">
        <f>Table1347456[[#This Row],[v_from_sd_and_n]]</f>
        <v>1.2842287650218887E-2</v>
      </c>
      <c r="BM993" s="20">
        <f>SQRT(Table1347456[[#This Row],[v]])</f>
        <v>0.11332381766521496</v>
      </c>
      <c r="BN993" s="20">
        <f>Table1347456[[#This Row],[lnrr]]-(1.96*Table1347456[[#This Row],[se]])</f>
        <v>0.23342916373622999</v>
      </c>
      <c r="BO993" s="20">
        <f>Table1347456[[#This Row],[lnrr]]+(1.96 * Table1347456[[#This Row],[se]])</f>
        <v>0.67765852898387258</v>
      </c>
    </row>
    <row r="994" spans="1:67">
      <c r="A994" s="13" t="s">
        <v>330</v>
      </c>
      <c r="B994" s="13" t="s">
        <v>661</v>
      </c>
      <c r="C994" s="13" t="s">
        <v>43</v>
      </c>
      <c r="D994" s="13" t="s">
        <v>332</v>
      </c>
      <c r="E994" s="13" t="s">
        <v>157</v>
      </c>
      <c r="F994" s="13" t="s">
        <v>585</v>
      </c>
      <c r="G994" s="13" t="s">
        <v>46</v>
      </c>
      <c r="H994" s="13">
        <v>30</v>
      </c>
      <c r="I994" s="13" t="s">
        <v>46</v>
      </c>
      <c r="K994" s="13" t="s">
        <v>910</v>
      </c>
      <c r="L994" s="13" t="s">
        <v>911</v>
      </c>
      <c r="N994" s="13" t="s">
        <v>668</v>
      </c>
      <c r="O994" s="13" t="s">
        <v>668</v>
      </c>
      <c r="P994" s="13" t="s">
        <v>87</v>
      </c>
      <c r="Q994" s="13" t="s">
        <v>87</v>
      </c>
      <c r="R994" s="4">
        <v>4</v>
      </c>
      <c r="S994" s="13" t="s">
        <v>596</v>
      </c>
      <c r="T994" s="13">
        <v>180</v>
      </c>
      <c r="U994" s="4" t="s">
        <v>333</v>
      </c>
      <c r="V994" s="4">
        <v>550</v>
      </c>
      <c r="W994" s="4" t="s">
        <v>601</v>
      </c>
      <c r="X994" s="4">
        <v>674</v>
      </c>
      <c r="Y994" s="4">
        <v>5.3</v>
      </c>
      <c r="AA994" s="4" t="s">
        <v>49</v>
      </c>
      <c r="AB994" s="4">
        <v>0</v>
      </c>
      <c r="AC994" s="4" t="s">
        <v>49</v>
      </c>
      <c r="AD994" s="4">
        <v>0</v>
      </c>
      <c r="AE994" s="4" t="s">
        <v>49</v>
      </c>
      <c r="AF994" s="4">
        <v>0</v>
      </c>
      <c r="AG994" s="4" t="s">
        <v>679</v>
      </c>
      <c r="AH994" s="4" t="s">
        <v>678</v>
      </c>
      <c r="AI994" s="4" t="s">
        <v>64</v>
      </c>
      <c r="AJ994" s="13">
        <v>0</v>
      </c>
      <c r="AK994" s="13">
        <v>20</v>
      </c>
      <c r="AL994" s="13" t="s">
        <v>543</v>
      </c>
      <c r="AO994" s="13" t="s">
        <v>544</v>
      </c>
      <c r="AP994" s="13" t="s">
        <v>49</v>
      </c>
      <c r="AQ994" s="13" t="s">
        <v>49</v>
      </c>
      <c r="AR994" s="13" t="s">
        <v>50</v>
      </c>
      <c r="AS994" s="13" t="s">
        <v>49</v>
      </c>
      <c r="AT994" s="13" t="s">
        <v>990</v>
      </c>
      <c r="AU994" s="13" t="s">
        <v>998</v>
      </c>
      <c r="AV994" s="14">
        <v>13.6</v>
      </c>
      <c r="AW994" s="14">
        <v>12.9</v>
      </c>
      <c r="AX994" s="14">
        <f>Table1347456[[#This Row],[treatment_mean]]/Table1347456[[#This Row],[control_mean]]</f>
        <v>1.0542635658914727</v>
      </c>
      <c r="AY994" s="14">
        <f>LN(Table1347456[[#This Row],[rr]])</f>
        <v>5.2842481374379774E-2</v>
      </c>
      <c r="AZ994" s="13">
        <v>4</v>
      </c>
      <c r="BA994" s="13">
        <v>4</v>
      </c>
      <c r="BB994" s="14">
        <v>0.3</v>
      </c>
      <c r="BC994" s="14">
        <v>0.1</v>
      </c>
      <c r="BD994" s="15">
        <f>Table1347456[[#This Row],[treatment_se]]*SQRT(Table1347456[[#This Row],[treatment_n]])</f>
        <v>0.6</v>
      </c>
      <c r="BE994" s="14">
        <f>Table1347456[[#This Row],[control_se]]*SQRT(Table1347456[[#This Row],[control_n]])</f>
        <v>0.2</v>
      </c>
      <c r="BF99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5.4668423801720401E-4</v>
      </c>
      <c r="BG994" s="17">
        <f>SQRT(Table1347456[[#This Row],[v_from_sd_and_n]])</f>
        <v>2.3381279648838814E-2</v>
      </c>
      <c r="BH994" s="13" t="s">
        <v>50</v>
      </c>
      <c r="BI994" s="13">
        <v>0.05</v>
      </c>
      <c r="BJ994" s="18">
        <f>ABS(_xlfn.NORM.S.INV(Table1347456[[#This Row],[p_value]]/2))</f>
        <v>1.9599639845400538</v>
      </c>
      <c r="BK994" s="19">
        <f>(Table1347456[[#This Row],[lnrr]]/Table1347456[[#This Row],[z_from_p]])^2</f>
        <v>7.268925603885868E-4</v>
      </c>
      <c r="BL994" s="16">
        <f>Table1347456[[#This Row],[v_from_sd_and_n]]</f>
        <v>5.4668423801720401E-4</v>
      </c>
      <c r="BM994" s="20">
        <f>SQRT(Table1347456[[#This Row],[v]])</f>
        <v>2.3381279648838814E-2</v>
      </c>
      <c r="BN994" s="20">
        <f>Table1347456[[#This Row],[lnrr]]-(1.96*Table1347456[[#This Row],[se]])</f>
        <v>7.0151732626557023E-3</v>
      </c>
      <c r="BO994" s="20">
        <f>Table1347456[[#This Row],[lnrr]]+(1.96 * Table1347456[[#This Row],[se]])</f>
        <v>9.8669789486103845E-2</v>
      </c>
    </row>
    <row r="995" spans="1:67">
      <c r="A995" s="13" t="s">
        <v>330</v>
      </c>
      <c r="B995" s="13" t="s">
        <v>331</v>
      </c>
      <c r="C995" s="13" t="s">
        <v>43</v>
      </c>
      <c r="D995" s="13" t="s">
        <v>332</v>
      </c>
      <c r="E995" s="13" t="s">
        <v>157</v>
      </c>
      <c r="F995" s="13" t="s">
        <v>585</v>
      </c>
      <c r="G995" s="13" t="s">
        <v>46</v>
      </c>
      <c r="H995" s="13">
        <v>30</v>
      </c>
      <c r="I995" s="13" t="s">
        <v>46</v>
      </c>
      <c r="K995" s="13" t="s">
        <v>910</v>
      </c>
      <c r="L995" s="13" t="s">
        <v>911</v>
      </c>
      <c r="N995" s="13" t="s">
        <v>668</v>
      </c>
      <c r="O995" s="13" t="s">
        <v>668</v>
      </c>
      <c r="P995" s="13" t="s">
        <v>87</v>
      </c>
      <c r="Q995" s="13" t="s">
        <v>87</v>
      </c>
      <c r="R995" s="4">
        <v>4</v>
      </c>
      <c r="S995" s="13" t="s">
        <v>596</v>
      </c>
      <c r="T995" s="13">
        <v>180</v>
      </c>
      <c r="U995" s="4" t="s">
        <v>333</v>
      </c>
      <c r="V995" s="4">
        <v>550</v>
      </c>
      <c r="W995" s="4" t="s">
        <v>601</v>
      </c>
      <c r="X995" s="4">
        <v>674</v>
      </c>
      <c r="Y995" s="4">
        <v>10.62</v>
      </c>
      <c r="AA995" s="4" t="s">
        <v>49</v>
      </c>
      <c r="AB995" s="4">
        <v>0</v>
      </c>
      <c r="AC995" s="4" t="s">
        <v>49</v>
      </c>
      <c r="AD995" s="4">
        <v>0</v>
      </c>
      <c r="AE995" s="4" t="s">
        <v>49</v>
      </c>
      <c r="AF995" s="4">
        <v>0</v>
      </c>
      <c r="AG995" s="4" t="s">
        <v>679</v>
      </c>
      <c r="AH995" s="4" t="s">
        <v>678</v>
      </c>
      <c r="AI995" s="4" t="s">
        <v>64</v>
      </c>
      <c r="AJ995" s="13">
        <v>0</v>
      </c>
      <c r="AK995" s="13">
        <v>20</v>
      </c>
      <c r="AL995" s="13" t="s">
        <v>543</v>
      </c>
      <c r="AO995" s="13" t="s">
        <v>544</v>
      </c>
      <c r="AP995" s="13" t="s">
        <v>49</v>
      </c>
      <c r="AQ995" s="13" t="s">
        <v>49</v>
      </c>
      <c r="AR995" s="13" t="s">
        <v>50</v>
      </c>
      <c r="AS995" s="13" t="s">
        <v>49</v>
      </c>
      <c r="AT995" s="13" t="s">
        <v>990</v>
      </c>
      <c r="AU995" s="13" t="s">
        <v>998</v>
      </c>
      <c r="AV995" s="14">
        <v>13.6</v>
      </c>
      <c r="AW995" s="14">
        <v>12.9</v>
      </c>
      <c r="AX995" s="14">
        <f>Table1347456[[#This Row],[treatment_mean]]/Table1347456[[#This Row],[control_mean]]</f>
        <v>1.0542635658914727</v>
      </c>
      <c r="AY995" s="14">
        <f>LN(Table1347456[[#This Row],[rr]])</f>
        <v>5.2842481374379774E-2</v>
      </c>
      <c r="AZ995" s="13">
        <v>4</v>
      </c>
      <c r="BA995" s="13">
        <v>4</v>
      </c>
      <c r="BB995" s="14">
        <v>0.1</v>
      </c>
      <c r="BC995" s="14">
        <v>0.1</v>
      </c>
      <c r="BD995" s="15">
        <f>Table1347456[[#This Row],[treatment_se]]*SQRT(Table1347456[[#This Row],[treatment_n]])</f>
        <v>0.2</v>
      </c>
      <c r="BE995" s="14">
        <f>Table1347456[[#This Row],[control_se]]*SQRT(Table1347456[[#This Row],[control_n]])</f>
        <v>0.2</v>
      </c>
      <c r="BF99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1.1415828646011054E-4</v>
      </c>
      <c r="BG995" s="17">
        <f>SQRT(Table1347456[[#This Row],[v_from_sd_and_n]])</f>
        <v>1.0684488123448429E-2</v>
      </c>
      <c r="BH995" s="13" t="s">
        <v>50</v>
      </c>
      <c r="BI995" s="13">
        <v>0.05</v>
      </c>
      <c r="BJ995" s="18">
        <f>ABS(_xlfn.NORM.S.INV(Table1347456[[#This Row],[p_value]]/2))</f>
        <v>1.9599639845400538</v>
      </c>
      <c r="BK995" s="19">
        <f>(Table1347456[[#This Row],[lnrr]]/Table1347456[[#This Row],[z_from_p]])^2</f>
        <v>7.268925603885868E-4</v>
      </c>
      <c r="BL995" s="16">
        <f>Table1347456[[#This Row],[v_from_sd_and_n]]</f>
        <v>1.1415828646011054E-4</v>
      </c>
      <c r="BM995" s="20">
        <f>SQRT(Table1347456[[#This Row],[v]])</f>
        <v>1.0684488123448429E-2</v>
      </c>
      <c r="BN995" s="20">
        <f>Table1347456[[#This Row],[lnrr]]-(1.96*Table1347456[[#This Row],[se]])</f>
        <v>3.1900884652420858E-2</v>
      </c>
      <c r="BO995" s="20">
        <f>Table1347456[[#This Row],[lnrr]]+(1.96 * Table1347456[[#This Row],[se]])</f>
        <v>7.378407809633869E-2</v>
      </c>
    </row>
    <row r="996" spans="1:67">
      <c r="A996" s="13" t="s">
        <v>330</v>
      </c>
      <c r="B996" s="13" t="s">
        <v>331</v>
      </c>
      <c r="C996" s="13" t="s">
        <v>43</v>
      </c>
      <c r="D996" s="13" t="s">
        <v>332</v>
      </c>
      <c r="E996" s="13" t="s">
        <v>157</v>
      </c>
      <c r="F996" s="13" t="s">
        <v>585</v>
      </c>
      <c r="G996" s="13" t="s">
        <v>46</v>
      </c>
      <c r="H996" s="13">
        <v>30</v>
      </c>
      <c r="I996" s="13" t="s">
        <v>46</v>
      </c>
      <c r="K996" s="13" t="s">
        <v>910</v>
      </c>
      <c r="L996" s="13" t="s">
        <v>911</v>
      </c>
      <c r="N996" s="13" t="s">
        <v>668</v>
      </c>
      <c r="O996" s="13" t="s">
        <v>668</v>
      </c>
      <c r="P996" s="13" t="s">
        <v>87</v>
      </c>
      <c r="Q996" s="13" t="s">
        <v>87</v>
      </c>
      <c r="R996" s="4">
        <v>4</v>
      </c>
      <c r="S996" s="13" t="s">
        <v>596</v>
      </c>
      <c r="T996" s="13">
        <v>180</v>
      </c>
      <c r="U996" s="4" t="s">
        <v>333</v>
      </c>
      <c r="V996" s="4">
        <v>550</v>
      </c>
      <c r="W996" s="4" t="s">
        <v>601</v>
      </c>
      <c r="X996" s="4">
        <v>674</v>
      </c>
      <c r="Y996" s="4">
        <v>21.25</v>
      </c>
      <c r="AA996" s="4" t="s">
        <v>49</v>
      </c>
      <c r="AB996" s="4">
        <v>0</v>
      </c>
      <c r="AC996" s="4" t="s">
        <v>49</v>
      </c>
      <c r="AD996" s="4">
        <v>0</v>
      </c>
      <c r="AE996" s="4" t="s">
        <v>49</v>
      </c>
      <c r="AF996" s="4">
        <v>0</v>
      </c>
      <c r="AG996" s="4" t="s">
        <v>679</v>
      </c>
      <c r="AH996" s="4" t="s">
        <v>678</v>
      </c>
      <c r="AI996" s="4" t="s">
        <v>64</v>
      </c>
      <c r="AJ996" s="13">
        <v>0</v>
      </c>
      <c r="AK996" s="13">
        <v>20</v>
      </c>
      <c r="AL996" s="13" t="s">
        <v>543</v>
      </c>
      <c r="AO996" s="13" t="s">
        <v>544</v>
      </c>
      <c r="AP996" s="13" t="s">
        <v>49</v>
      </c>
      <c r="AQ996" s="13" t="s">
        <v>49</v>
      </c>
      <c r="AR996" s="13" t="s">
        <v>50</v>
      </c>
      <c r="AS996" s="13" t="s">
        <v>49</v>
      </c>
      <c r="AT996" s="13" t="s">
        <v>990</v>
      </c>
      <c r="AU996" s="13" t="s">
        <v>998</v>
      </c>
      <c r="AV996" s="14">
        <v>14</v>
      </c>
      <c r="AW996" s="14">
        <v>12.9</v>
      </c>
      <c r="AX996" s="14">
        <f>Table1347456[[#This Row],[treatment_mean]]/Table1347456[[#This Row],[control_mean]]</f>
        <v>1.0852713178294573</v>
      </c>
      <c r="AY996" s="14">
        <f>LN(Table1347456[[#This Row],[rr]])</f>
        <v>8.1830018247632114E-2</v>
      </c>
      <c r="AZ996" s="13">
        <v>4</v>
      </c>
      <c r="BA996" s="13">
        <v>4</v>
      </c>
      <c r="BB996" s="14">
        <v>0.2</v>
      </c>
      <c r="BC996" s="14">
        <v>0.1</v>
      </c>
      <c r="BD996" s="15">
        <f>Table1347456[[#This Row],[treatment_se]]*SQRT(Table1347456[[#This Row],[treatment_n]])</f>
        <v>0.4</v>
      </c>
      <c r="BE996" s="14">
        <f>Table1347456[[#This Row],[control_se]]*SQRT(Table1347456[[#This Row],[control_n]])</f>
        <v>0.2</v>
      </c>
      <c r="BF99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2.6417417516853511E-4</v>
      </c>
      <c r="BG996" s="17">
        <f>SQRT(Table1347456[[#This Row],[v_from_sd_and_n]])</f>
        <v>1.6253435795810532E-2</v>
      </c>
      <c r="BH996" s="13" t="s">
        <v>50</v>
      </c>
      <c r="BI996" s="13">
        <v>0.05</v>
      </c>
      <c r="BJ996" s="18">
        <f>ABS(_xlfn.NORM.S.INV(Table1347456[[#This Row],[p_value]]/2))</f>
        <v>1.9599639845400538</v>
      </c>
      <c r="BK996" s="19">
        <f>(Table1347456[[#This Row],[lnrr]]/Table1347456[[#This Row],[z_from_p]])^2</f>
        <v>1.7431273375456506E-3</v>
      </c>
      <c r="BL996" s="16">
        <f>Table1347456[[#This Row],[v_from_sd_and_n]]</f>
        <v>2.6417417516853511E-4</v>
      </c>
      <c r="BM996" s="20">
        <f>SQRT(Table1347456[[#This Row],[v]])</f>
        <v>1.6253435795810532E-2</v>
      </c>
      <c r="BN996" s="20">
        <f>Table1347456[[#This Row],[lnrr]]-(1.96*Table1347456[[#This Row],[se]])</f>
        <v>4.9973284087843468E-2</v>
      </c>
      <c r="BO996" s="20">
        <f>Table1347456[[#This Row],[lnrr]]+(1.96 * Table1347456[[#This Row],[se]])</f>
        <v>0.11368675240742077</v>
      </c>
    </row>
    <row r="997" spans="1:67">
      <c r="A997" s="13" t="s">
        <v>330</v>
      </c>
      <c r="B997" s="13" t="s">
        <v>331</v>
      </c>
      <c r="C997" s="13" t="s">
        <v>43</v>
      </c>
      <c r="D997" s="13" t="s">
        <v>332</v>
      </c>
      <c r="E997" s="13" t="s">
        <v>157</v>
      </c>
      <c r="F997" s="13" t="s">
        <v>585</v>
      </c>
      <c r="G997" s="13" t="s">
        <v>46</v>
      </c>
      <c r="H997" s="13">
        <v>30</v>
      </c>
      <c r="I997" s="13" t="s">
        <v>46</v>
      </c>
      <c r="K997" s="13" t="s">
        <v>910</v>
      </c>
      <c r="L997" s="13" t="s">
        <v>911</v>
      </c>
      <c r="N997" s="13" t="s">
        <v>668</v>
      </c>
      <c r="O997" s="13" t="s">
        <v>668</v>
      </c>
      <c r="P997" s="13" t="s">
        <v>87</v>
      </c>
      <c r="Q997" s="13" t="s">
        <v>87</v>
      </c>
      <c r="R997" s="4">
        <v>4</v>
      </c>
      <c r="S997" s="13" t="s">
        <v>596</v>
      </c>
      <c r="T997" s="13">
        <v>180</v>
      </c>
      <c r="U997" s="4" t="s">
        <v>333</v>
      </c>
      <c r="V997" s="4">
        <v>550</v>
      </c>
      <c r="W997" s="4" t="s">
        <v>601</v>
      </c>
      <c r="X997" s="4">
        <v>674</v>
      </c>
      <c r="Y997" s="4">
        <v>42.5</v>
      </c>
      <c r="AA997" s="4" t="s">
        <v>49</v>
      </c>
      <c r="AB997" s="4">
        <v>0</v>
      </c>
      <c r="AC997" s="4" t="s">
        <v>49</v>
      </c>
      <c r="AD997" s="4">
        <v>0</v>
      </c>
      <c r="AE997" s="4" t="s">
        <v>49</v>
      </c>
      <c r="AF997" s="4">
        <v>0</v>
      </c>
      <c r="AG997" s="4" t="s">
        <v>679</v>
      </c>
      <c r="AH997" s="4" t="s">
        <v>678</v>
      </c>
      <c r="AI997" s="4" t="s">
        <v>64</v>
      </c>
      <c r="AJ997" s="13">
        <v>0</v>
      </c>
      <c r="AK997" s="13">
        <v>20</v>
      </c>
      <c r="AL997" s="13" t="s">
        <v>543</v>
      </c>
      <c r="AO997" s="13" t="s">
        <v>544</v>
      </c>
      <c r="AP997" s="13" t="s">
        <v>49</v>
      </c>
      <c r="AQ997" s="13" t="s">
        <v>49</v>
      </c>
      <c r="AR997" s="13" t="s">
        <v>50</v>
      </c>
      <c r="AS997" s="13" t="s">
        <v>49</v>
      </c>
      <c r="AT997" s="13" t="s">
        <v>990</v>
      </c>
      <c r="AU997" s="13" t="s">
        <v>998</v>
      </c>
      <c r="AV997" s="14">
        <v>14.2</v>
      </c>
      <c r="AW997" s="14">
        <v>12.9</v>
      </c>
      <c r="AX997" s="14">
        <f>Table1347456[[#This Row],[treatment_mean]]/Table1347456[[#This Row],[control_mean]]</f>
        <v>1.1007751937984496</v>
      </c>
      <c r="AY997" s="14">
        <f>LN(Table1347456[[#This Row],[rr]])</f>
        <v>9.6014653239588577E-2</v>
      </c>
      <c r="AZ997" s="13">
        <v>4</v>
      </c>
      <c r="BA997" s="13">
        <v>4</v>
      </c>
      <c r="BB997" s="14">
        <v>0.1</v>
      </c>
      <c r="BC997" s="14">
        <v>0.1</v>
      </c>
      <c r="BD997" s="15">
        <f>Table1347456[[#This Row],[treatment_se]]*SQRT(Table1347456[[#This Row],[treatment_n]])</f>
        <v>0.2</v>
      </c>
      <c r="BE997" s="14">
        <f>Table1347456[[#This Row],[control_se]]*SQRT(Table1347456[[#This Row],[control_n]])</f>
        <v>0.2</v>
      </c>
      <c r="BF99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1.0968587717129612E-4</v>
      </c>
      <c r="BG997" s="17">
        <f>SQRT(Table1347456[[#This Row],[v_from_sd_and_n]])</f>
        <v>1.0473102557088616E-2</v>
      </c>
      <c r="BH997" s="13" t="s">
        <v>50</v>
      </c>
      <c r="BI997" s="13">
        <v>0.05</v>
      </c>
      <c r="BJ997" s="18">
        <f>ABS(_xlfn.NORM.S.INV(Table1347456[[#This Row],[p_value]]/2))</f>
        <v>1.9599639845400538</v>
      </c>
      <c r="BK997" s="19">
        <f>(Table1347456[[#This Row],[lnrr]]/Table1347456[[#This Row],[z_from_p]])^2</f>
        <v>2.3998210229551971E-3</v>
      </c>
      <c r="BL997" s="16">
        <f>Table1347456[[#This Row],[v_from_sd_and_n]]</f>
        <v>1.0968587717129612E-4</v>
      </c>
      <c r="BM997" s="20">
        <f>SQRT(Table1347456[[#This Row],[v]])</f>
        <v>1.0473102557088616E-2</v>
      </c>
      <c r="BN997" s="20">
        <f>Table1347456[[#This Row],[lnrr]]-(1.96*Table1347456[[#This Row],[se]])</f>
        <v>7.5487372227694888E-2</v>
      </c>
      <c r="BO997" s="20">
        <f>Table1347456[[#This Row],[lnrr]]+(1.96 * Table1347456[[#This Row],[se]])</f>
        <v>0.11654193425148227</v>
      </c>
    </row>
    <row r="998" spans="1:67">
      <c r="A998" s="13" t="s">
        <v>330</v>
      </c>
      <c r="B998" s="13" t="s">
        <v>331</v>
      </c>
      <c r="C998" s="13" t="s">
        <v>43</v>
      </c>
      <c r="D998" s="13" t="s">
        <v>332</v>
      </c>
      <c r="E998" s="13" t="s">
        <v>157</v>
      </c>
      <c r="F998" s="13" t="s">
        <v>585</v>
      </c>
      <c r="G998" s="13" t="s">
        <v>46</v>
      </c>
      <c r="H998" s="13">
        <v>30</v>
      </c>
      <c r="I998" s="13" t="s">
        <v>46</v>
      </c>
      <c r="K998" s="13" t="s">
        <v>910</v>
      </c>
      <c r="L998" s="13" t="s">
        <v>911</v>
      </c>
      <c r="N998" s="13" t="s">
        <v>668</v>
      </c>
      <c r="O998" s="13" t="s">
        <v>668</v>
      </c>
      <c r="P998" s="13" t="s">
        <v>87</v>
      </c>
      <c r="Q998" s="13" t="s">
        <v>87</v>
      </c>
      <c r="R998" s="4">
        <v>4</v>
      </c>
      <c r="S998" s="13" t="s">
        <v>596</v>
      </c>
      <c r="T998" s="13">
        <v>180</v>
      </c>
      <c r="U998" s="4" t="s">
        <v>333</v>
      </c>
      <c r="V998" s="4">
        <v>550</v>
      </c>
      <c r="W998" s="4" t="s">
        <v>601</v>
      </c>
      <c r="X998" s="4">
        <v>674</v>
      </c>
      <c r="Y998" s="4">
        <v>85</v>
      </c>
      <c r="AA998" s="4" t="s">
        <v>49</v>
      </c>
      <c r="AB998" s="4">
        <v>0</v>
      </c>
      <c r="AC998" s="4" t="s">
        <v>49</v>
      </c>
      <c r="AD998" s="4">
        <v>0</v>
      </c>
      <c r="AE998" s="4" t="s">
        <v>49</v>
      </c>
      <c r="AF998" s="4">
        <v>0</v>
      </c>
      <c r="AG998" s="4" t="s">
        <v>679</v>
      </c>
      <c r="AH998" s="4" t="s">
        <v>678</v>
      </c>
      <c r="AI998" s="4" t="s">
        <v>64</v>
      </c>
      <c r="AJ998" s="13">
        <v>0</v>
      </c>
      <c r="AK998" s="13">
        <v>20</v>
      </c>
      <c r="AL998" s="13" t="s">
        <v>543</v>
      </c>
      <c r="AO998" s="13" t="s">
        <v>544</v>
      </c>
      <c r="AP998" s="13" t="s">
        <v>49</v>
      </c>
      <c r="AQ998" s="13" t="s">
        <v>49</v>
      </c>
      <c r="AR998" s="13" t="s">
        <v>50</v>
      </c>
      <c r="AS998" s="13" t="s">
        <v>49</v>
      </c>
      <c r="AT998" s="13" t="s">
        <v>990</v>
      </c>
      <c r="AU998" s="13" t="s">
        <v>998</v>
      </c>
      <c r="AV998" s="14">
        <v>13.9</v>
      </c>
      <c r="AW998" s="14">
        <v>12.9</v>
      </c>
      <c r="AX998" s="14">
        <f>Table1347456[[#This Row],[treatment_mean]]/Table1347456[[#This Row],[control_mean]]</f>
        <v>1.0775193798449612</v>
      </c>
      <c r="AY998" s="14">
        <f>LN(Table1347456[[#This Row],[rr]])</f>
        <v>7.4661528769019561E-2</v>
      </c>
      <c r="AZ998" s="13">
        <v>4</v>
      </c>
      <c r="BA998" s="13">
        <v>4</v>
      </c>
      <c r="BB998" s="14">
        <v>0.3</v>
      </c>
      <c r="BC998" s="14">
        <v>0.1</v>
      </c>
      <c r="BD998" s="15">
        <f>Table1347456[[#This Row],[treatment_se]]*SQRT(Table1347456[[#This Row],[treatment_n]])</f>
        <v>0.6</v>
      </c>
      <c r="BE998" s="14">
        <f>Table1347456[[#This Row],[control_se]]*SQRT(Table1347456[[#This Row],[control_n]])</f>
        <v>0.2</v>
      </c>
      <c r="BF99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5.2590694135611353E-4</v>
      </c>
      <c r="BG998" s="17">
        <f>SQRT(Table1347456[[#This Row],[v_from_sd_and_n]])</f>
        <v>2.2932661017773612E-2</v>
      </c>
      <c r="BH998" s="13" t="s">
        <v>50</v>
      </c>
      <c r="BI998" s="13">
        <v>0.05</v>
      </c>
      <c r="BJ998" s="18">
        <f>ABS(_xlfn.NORM.S.INV(Table1347456[[#This Row],[p_value]]/2))</f>
        <v>1.9599639845400538</v>
      </c>
      <c r="BK998" s="19">
        <f>(Table1347456[[#This Row],[lnrr]]/Table1347456[[#This Row],[z_from_p]])^2</f>
        <v>1.4511007766366975E-3</v>
      </c>
      <c r="BL998" s="16">
        <f>Table1347456[[#This Row],[v_from_sd_and_n]]</f>
        <v>5.2590694135611353E-4</v>
      </c>
      <c r="BM998" s="20">
        <f>SQRT(Table1347456[[#This Row],[v]])</f>
        <v>2.2932661017773612E-2</v>
      </c>
      <c r="BN998" s="20">
        <f>Table1347456[[#This Row],[lnrr]]-(1.96*Table1347456[[#This Row],[se]])</f>
        <v>2.9713513174183283E-2</v>
      </c>
      <c r="BO998" s="20">
        <f>Table1347456[[#This Row],[lnrr]]+(1.96 * Table1347456[[#This Row],[se]])</f>
        <v>0.11960954436385585</v>
      </c>
    </row>
    <row r="999" spans="1:67">
      <c r="A999" s="13" t="s">
        <v>334</v>
      </c>
      <c r="B999" s="13" t="s">
        <v>335</v>
      </c>
      <c r="C999" s="13" t="s">
        <v>43</v>
      </c>
      <c r="D999" s="13" t="s">
        <v>336</v>
      </c>
      <c r="E999" s="13" t="s">
        <v>210</v>
      </c>
      <c r="F999" s="13" t="s">
        <v>588</v>
      </c>
      <c r="G999" s="13" t="s">
        <v>337</v>
      </c>
      <c r="H999" s="13" t="s">
        <v>46</v>
      </c>
      <c r="I999" s="13" t="s">
        <v>46</v>
      </c>
      <c r="K999" s="13" t="s">
        <v>912</v>
      </c>
      <c r="L999" s="13" t="s">
        <v>913</v>
      </c>
      <c r="N999" s="13" t="s">
        <v>47</v>
      </c>
      <c r="O999" s="13" t="s">
        <v>645</v>
      </c>
      <c r="P999" s="13" t="s">
        <v>422</v>
      </c>
      <c r="Q999" s="13" t="s">
        <v>48</v>
      </c>
      <c r="R999" s="4">
        <v>3</v>
      </c>
      <c r="S999" s="13" t="s">
        <v>594</v>
      </c>
      <c r="T999" s="13">
        <v>365</v>
      </c>
      <c r="U999" s="4" t="s">
        <v>338</v>
      </c>
      <c r="V999" s="4">
        <v>350</v>
      </c>
      <c r="W999" s="4" t="s">
        <v>42</v>
      </c>
      <c r="X999" s="4" t="s">
        <v>46</v>
      </c>
      <c r="Y999" s="4">
        <v>10</v>
      </c>
      <c r="AA999" s="4" t="s">
        <v>49</v>
      </c>
      <c r="AB999" s="4">
        <v>0</v>
      </c>
      <c r="AC999" s="4" t="s">
        <v>49</v>
      </c>
      <c r="AD999" s="4">
        <v>0</v>
      </c>
      <c r="AE999" s="4" t="s">
        <v>49</v>
      </c>
      <c r="AF999" s="4">
        <v>0</v>
      </c>
      <c r="AG999" s="4" t="s">
        <v>46</v>
      </c>
      <c r="AH999" s="4" t="s">
        <v>719</v>
      </c>
      <c r="AI999" s="4" t="s">
        <v>297</v>
      </c>
      <c r="AJ999" s="13">
        <v>0</v>
      </c>
      <c r="AK999" s="13">
        <v>30</v>
      </c>
      <c r="AP999" s="13" t="s">
        <v>49</v>
      </c>
      <c r="AQ999" s="13" t="s">
        <v>49</v>
      </c>
      <c r="AR999" s="13" t="s">
        <v>50</v>
      </c>
      <c r="AS999" s="13" t="s">
        <v>49</v>
      </c>
      <c r="AT999" s="13" t="s">
        <v>990</v>
      </c>
      <c r="AU999" s="13" t="s">
        <v>998</v>
      </c>
      <c r="AV999" s="14">
        <f>0.18*10</f>
        <v>1.7999999999999998</v>
      </c>
      <c r="AW999" s="14">
        <f>0.19*10</f>
        <v>1.9</v>
      </c>
      <c r="AX999" s="14">
        <f>Table1347456[[#This Row],[treatment_mean]]/Table1347456[[#This Row],[control_mean]]</f>
        <v>0.94736842105263153</v>
      </c>
      <c r="AY999" s="14">
        <f>LN(Table1347456[[#This Row],[rr]])</f>
        <v>-5.4067221270275821E-2</v>
      </c>
      <c r="AZ999" s="13">
        <v>3</v>
      </c>
      <c r="BA999" s="13">
        <v>3</v>
      </c>
      <c r="BB999" s="14" t="s">
        <v>46</v>
      </c>
      <c r="BC999" s="14" t="s">
        <v>46</v>
      </c>
      <c r="BD999" s="15" t="s">
        <v>46</v>
      </c>
      <c r="BE999" s="14" t="s">
        <v>46</v>
      </c>
      <c r="BF99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999" s="17" t="s">
        <v>46</v>
      </c>
      <c r="BH999" s="13" t="s">
        <v>50</v>
      </c>
      <c r="BI999" s="13">
        <v>2.5000000000000001E-2</v>
      </c>
      <c r="BJ999" s="18">
        <f>ABS(_xlfn.NORM.S.INV(Table1347456[[#This Row],[p_value]]/2))</f>
        <v>2.2414027276049446</v>
      </c>
      <c r="BK999" s="19">
        <f>(Table1347456[[#This Row],[lnrr]]/Table1347456[[#This Row],[z_from_p]])^2</f>
        <v>5.8187313702887892E-4</v>
      </c>
      <c r="BL999" s="16">
        <f>Table1347456[[#This Row],[v_from_z_from_p]]</f>
        <v>5.8187313702887892E-4</v>
      </c>
      <c r="BM999" s="20">
        <f>SQRT(Table1347456[[#This Row],[v]])</f>
        <v>2.412204670066118E-2</v>
      </c>
      <c r="BN999" s="20">
        <f>Table1347456[[#This Row],[lnrr]]-(1.96*Table1347456[[#This Row],[se]])</f>
        <v>-0.10134643280357172</v>
      </c>
      <c r="BO999" s="20">
        <f>Table1347456[[#This Row],[lnrr]]+(1.96 * Table1347456[[#This Row],[se]])</f>
        <v>-6.7880097369799122E-3</v>
      </c>
    </row>
    <row r="1000" spans="1:67">
      <c r="A1000" s="13" t="s">
        <v>334</v>
      </c>
      <c r="B1000" s="13" t="s">
        <v>335</v>
      </c>
      <c r="C1000" s="13" t="s">
        <v>43</v>
      </c>
      <c r="D1000" s="13" t="s">
        <v>336</v>
      </c>
      <c r="E1000" s="13" t="s">
        <v>210</v>
      </c>
      <c r="F1000" s="13" t="s">
        <v>588</v>
      </c>
      <c r="G1000" s="13" t="s">
        <v>337</v>
      </c>
      <c r="H1000" s="13" t="s">
        <v>46</v>
      </c>
      <c r="I1000" s="13" t="s">
        <v>46</v>
      </c>
      <c r="K1000" s="13" t="s">
        <v>912</v>
      </c>
      <c r="L1000" s="13" t="s">
        <v>913</v>
      </c>
      <c r="N1000" s="13" t="s">
        <v>47</v>
      </c>
      <c r="O1000" s="13" t="s">
        <v>645</v>
      </c>
      <c r="P1000" s="13" t="s">
        <v>422</v>
      </c>
      <c r="Q1000" s="13" t="s">
        <v>48</v>
      </c>
      <c r="R1000" s="4">
        <v>3</v>
      </c>
      <c r="S1000" s="13" t="s">
        <v>594</v>
      </c>
      <c r="T1000" s="13">
        <v>365</v>
      </c>
      <c r="U1000" s="4" t="s">
        <v>338</v>
      </c>
      <c r="V1000" s="4">
        <v>350</v>
      </c>
      <c r="W1000" s="4" t="s">
        <v>42</v>
      </c>
      <c r="X1000" s="4" t="s">
        <v>46</v>
      </c>
      <c r="Y1000" s="4">
        <v>20</v>
      </c>
      <c r="AA1000" s="4" t="s">
        <v>49</v>
      </c>
      <c r="AB1000" s="4">
        <v>0</v>
      </c>
      <c r="AC1000" s="4" t="s">
        <v>49</v>
      </c>
      <c r="AD1000" s="4">
        <v>0</v>
      </c>
      <c r="AE1000" s="4" t="s">
        <v>49</v>
      </c>
      <c r="AF1000" s="4">
        <v>0</v>
      </c>
      <c r="AG1000" s="4" t="s">
        <v>46</v>
      </c>
      <c r="AH1000" s="4" t="s">
        <v>719</v>
      </c>
      <c r="AI1000" s="4" t="s">
        <v>297</v>
      </c>
      <c r="AJ1000" s="13">
        <v>0</v>
      </c>
      <c r="AK1000" s="13">
        <v>30</v>
      </c>
      <c r="AP1000" s="13" t="s">
        <v>49</v>
      </c>
      <c r="AQ1000" s="13" t="s">
        <v>49</v>
      </c>
      <c r="AR1000" s="13" t="s">
        <v>50</v>
      </c>
      <c r="AS1000" s="13" t="s">
        <v>49</v>
      </c>
      <c r="AT1000" s="13" t="s">
        <v>990</v>
      </c>
      <c r="AU1000" s="13" t="s">
        <v>998</v>
      </c>
      <c r="AV1000" s="14">
        <f>0.2*10</f>
        <v>2</v>
      </c>
      <c r="AW1000" s="14">
        <f>0.19*10</f>
        <v>1.9</v>
      </c>
      <c r="AX1000" s="14">
        <f>Table1347456[[#This Row],[treatment_mean]]/Table1347456[[#This Row],[control_mean]]</f>
        <v>1.0526315789473684</v>
      </c>
      <c r="AY1000" s="14">
        <f>LN(Table1347456[[#This Row],[rr]])</f>
        <v>5.1293294387550481E-2</v>
      </c>
      <c r="AZ1000" s="13">
        <v>3</v>
      </c>
      <c r="BA1000" s="13">
        <v>3</v>
      </c>
      <c r="BB1000" s="14" t="s">
        <v>46</v>
      </c>
      <c r="BC1000" s="14" t="s">
        <v>46</v>
      </c>
      <c r="BD1000" s="15" t="s">
        <v>46</v>
      </c>
      <c r="BE1000" s="14" t="s">
        <v>46</v>
      </c>
      <c r="BF100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00" s="17" t="s">
        <v>46</v>
      </c>
      <c r="BH1000" s="13" t="s">
        <v>50</v>
      </c>
      <c r="BI1000" s="13">
        <v>2.5000000000000001E-2</v>
      </c>
      <c r="BJ1000" s="18">
        <f>ABS(_xlfn.NORM.S.INV(Table1347456[[#This Row],[p_value]]/2))</f>
        <v>2.2414027276049446</v>
      </c>
      <c r="BK1000" s="19">
        <f>(Table1347456[[#This Row],[lnrr]]/Table1347456[[#This Row],[z_from_p]])^2</f>
        <v>5.2369857736249957E-4</v>
      </c>
      <c r="BL1000" s="16">
        <f>Table1347456[[#This Row],[v_from_z_from_p]]</f>
        <v>5.2369857736249957E-4</v>
      </c>
      <c r="BM1000" s="20">
        <f>SQRT(Table1347456[[#This Row],[v]])</f>
        <v>2.2884461482903625E-2</v>
      </c>
      <c r="BN1000" s="20">
        <f>Table1347456[[#This Row],[lnrr]]-(1.96*Table1347456[[#This Row],[se]])</f>
        <v>6.4397498810593798E-3</v>
      </c>
      <c r="BO1000" s="20">
        <f>Table1347456[[#This Row],[lnrr]]+(1.96 * Table1347456[[#This Row],[se]])</f>
        <v>9.6146838894041575E-2</v>
      </c>
    </row>
    <row r="1001" spans="1:67">
      <c r="A1001" s="13" t="s">
        <v>334</v>
      </c>
      <c r="B1001" s="13" t="s">
        <v>335</v>
      </c>
      <c r="C1001" s="13" t="s">
        <v>43</v>
      </c>
      <c r="D1001" s="13" t="s">
        <v>336</v>
      </c>
      <c r="E1001" s="13" t="s">
        <v>210</v>
      </c>
      <c r="F1001" s="13" t="s">
        <v>588</v>
      </c>
      <c r="G1001" s="13" t="s">
        <v>337</v>
      </c>
      <c r="H1001" s="13" t="s">
        <v>46</v>
      </c>
      <c r="I1001" s="13" t="s">
        <v>46</v>
      </c>
      <c r="K1001" s="13" t="s">
        <v>912</v>
      </c>
      <c r="L1001" s="13" t="s">
        <v>913</v>
      </c>
      <c r="N1001" s="13" t="s">
        <v>47</v>
      </c>
      <c r="O1001" s="13" t="s">
        <v>645</v>
      </c>
      <c r="P1001" s="13" t="s">
        <v>422</v>
      </c>
      <c r="Q1001" s="13" t="s">
        <v>48</v>
      </c>
      <c r="R1001" s="4">
        <v>3</v>
      </c>
      <c r="S1001" s="13" t="s">
        <v>594</v>
      </c>
      <c r="T1001" s="13">
        <v>365</v>
      </c>
      <c r="U1001" s="4" t="s">
        <v>338</v>
      </c>
      <c r="V1001" s="4">
        <v>350</v>
      </c>
      <c r="W1001" s="4" t="s">
        <v>42</v>
      </c>
      <c r="X1001" s="4" t="s">
        <v>46</v>
      </c>
      <c r="Y1001" s="4">
        <v>10</v>
      </c>
      <c r="AA1001" s="4" t="s">
        <v>50</v>
      </c>
      <c r="AB1001" s="4">
        <v>60</v>
      </c>
      <c r="AC1001" s="4" t="s">
        <v>49</v>
      </c>
      <c r="AD1001" s="4">
        <v>0</v>
      </c>
      <c r="AE1001" s="4" t="s">
        <v>49</v>
      </c>
      <c r="AF1001" s="4">
        <v>0</v>
      </c>
      <c r="AG1001" s="4" t="s">
        <v>46</v>
      </c>
      <c r="AH1001" s="4" t="s">
        <v>719</v>
      </c>
      <c r="AI1001" s="4" t="s">
        <v>297</v>
      </c>
      <c r="AJ1001" s="13">
        <v>0</v>
      </c>
      <c r="AK1001" s="13">
        <v>30</v>
      </c>
      <c r="AP1001" s="13" t="s">
        <v>49</v>
      </c>
      <c r="AQ1001" s="13" t="s">
        <v>49</v>
      </c>
      <c r="AR1001" s="13" t="s">
        <v>50</v>
      </c>
      <c r="AS1001" s="13" t="s">
        <v>49</v>
      </c>
      <c r="AT1001" s="13" t="s">
        <v>992</v>
      </c>
      <c r="AU1001" s="4" t="s">
        <v>1000</v>
      </c>
      <c r="AV1001" s="14">
        <f>(0.241*10)</f>
        <v>2.41</v>
      </c>
      <c r="AW1001" s="14">
        <f>0.24*10</f>
        <v>2.4</v>
      </c>
      <c r="AX1001" s="14">
        <f>Table1347456[[#This Row],[treatment_mean]]/Table1347456[[#This Row],[control_mean]]</f>
        <v>1.0041666666666669</v>
      </c>
      <c r="AY1001" s="17">
        <f>LN(Table1347456[[#This Row],[rr]])</f>
        <v>4.1580101486638982E-3</v>
      </c>
      <c r="AZ1001" s="13">
        <v>3</v>
      </c>
      <c r="BA1001" s="13">
        <v>3</v>
      </c>
      <c r="BB1001" s="14" t="s">
        <v>46</v>
      </c>
      <c r="BC1001" s="14" t="s">
        <v>46</v>
      </c>
      <c r="BD1001" s="15" t="s">
        <v>46</v>
      </c>
      <c r="BE1001" s="14" t="s">
        <v>46</v>
      </c>
      <c r="BF100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01" s="17" t="s">
        <v>46</v>
      </c>
      <c r="BH1001" s="13" t="s">
        <v>50</v>
      </c>
      <c r="BI1001" s="13">
        <v>2.5000000000000001E-2</v>
      </c>
      <c r="BJ1001" s="18">
        <f>ABS(_xlfn.NORM.S.INV(Table1347456[[#This Row],[p_value]]/2))</f>
        <v>2.2414027276049446</v>
      </c>
      <c r="BK1001" s="19">
        <f>(Table1347456[[#This Row],[lnrr]]/Table1347456[[#This Row],[z_from_p]])^2</f>
        <v>3.441369440264419E-6</v>
      </c>
      <c r="BL1001" s="16">
        <f>Table1347456[[#This Row],[v_from_z_from_p]]</f>
        <v>3.441369440264419E-6</v>
      </c>
      <c r="BM1001" s="20">
        <f>SQRT(Table1347456[[#This Row],[v]])</f>
        <v>1.8550928387184344E-3</v>
      </c>
      <c r="BN1001" s="20">
        <f>Table1347456[[#This Row],[lnrr]]-(1.96*Table1347456[[#This Row],[se]])</f>
        <v>5.2202818477576707E-4</v>
      </c>
      <c r="BO1001" s="20">
        <f>Table1347456[[#This Row],[lnrr]]+(1.96 * Table1347456[[#This Row],[se]])</f>
        <v>7.7939921125520298E-3</v>
      </c>
    </row>
    <row r="1002" spans="1:67">
      <c r="A1002" s="13" t="s">
        <v>334</v>
      </c>
      <c r="B1002" s="13" t="s">
        <v>335</v>
      </c>
      <c r="C1002" s="13" t="s">
        <v>43</v>
      </c>
      <c r="D1002" s="13" t="s">
        <v>336</v>
      </c>
      <c r="E1002" s="13" t="s">
        <v>210</v>
      </c>
      <c r="F1002" s="13" t="s">
        <v>588</v>
      </c>
      <c r="G1002" s="13" t="s">
        <v>337</v>
      </c>
      <c r="H1002" s="13" t="s">
        <v>46</v>
      </c>
      <c r="I1002" s="13" t="s">
        <v>46</v>
      </c>
      <c r="K1002" s="13" t="s">
        <v>912</v>
      </c>
      <c r="L1002" s="13" t="s">
        <v>913</v>
      </c>
      <c r="N1002" s="13" t="s">
        <v>47</v>
      </c>
      <c r="O1002" s="13" t="s">
        <v>645</v>
      </c>
      <c r="P1002" s="13" t="s">
        <v>422</v>
      </c>
      <c r="Q1002" s="13" t="s">
        <v>48</v>
      </c>
      <c r="R1002" s="4">
        <v>3</v>
      </c>
      <c r="S1002" s="13" t="s">
        <v>594</v>
      </c>
      <c r="T1002" s="13">
        <v>365</v>
      </c>
      <c r="U1002" s="4" t="s">
        <v>338</v>
      </c>
      <c r="V1002" s="4">
        <v>350</v>
      </c>
      <c r="W1002" s="4" t="s">
        <v>42</v>
      </c>
      <c r="X1002" s="4" t="s">
        <v>46</v>
      </c>
      <c r="Y1002" s="4">
        <v>20</v>
      </c>
      <c r="AA1002" s="4" t="s">
        <v>50</v>
      </c>
      <c r="AB1002" s="4">
        <v>60</v>
      </c>
      <c r="AC1002" s="4" t="s">
        <v>49</v>
      </c>
      <c r="AD1002" s="4">
        <v>0</v>
      </c>
      <c r="AE1002" s="4" t="s">
        <v>49</v>
      </c>
      <c r="AF1002" s="4">
        <v>0</v>
      </c>
      <c r="AG1002" s="4" t="s">
        <v>46</v>
      </c>
      <c r="AH1002" s="4" t="s">
        <v>719</v>
      </c>
      <c r="AI1002" s="4" t="s">
        <v>297</v>
      </c>
      <c r="AJ1002" s="13">
        <v>0</v>
      </c>
      <c r="AK1002" s="13">
        <v>30</v>
      </c>
      <c r="AP1002" s="13" t="s">
        <v>49</v>
      </c>
      <c r="AQ1002" s="13" t="s">
        <v>49</v>
      </c>
      <c r="AR1002" s="13" t="s">
        <v>50</v>
      </c>
      <c r="AS1002" s="13" t="s">
        <v>49</v>
      </c>
      <c r="AT1002" s="13" t="s">
        <v>992</v>
      </c>
      <c r="AU1002" s="4" t="s">
        <v>1000</v>
      </c>
      <c r="AV1002" s="14">
        <f>0.22*10</f>
        <v>2.2000000000000002</v>
      </c>
      <c r="AW1002" s="14">
        <f>0.24*10</f>
        <v>2.4</v>
      </c>
      <c r="AX1002" s="14">
        <f>Table1347456[[#This Row],[treatment_mean]]/Table1347456[[#This Row],[control_mean]]</f>
        <v>0.91666666666666674</v>
      </c>
      <c r="AY1002" s="14">
        <f>LN(Table1347456[[#This Row],[rr]])</f>
        <v>-8.7011376989629685E-2</v>
      </c>
      <c r="AZ1002" s="13">
        <v>3</v>
      </c>
      <c r="BA1002" s="13">
        <v>3</v>
      </c>
      <c r="BB1002" s="14" t="s">
        <v>46</v>
      </c>
      <c r="BC1002" s="14" t="s">
        <v>46</v>
      </c>
      <c r="BD1002" s="15" t="s">
        <v>46</v>
      </c>
      <c r="BE1002" s="14" t="s">
        <v>46</v>
      </c>
      <c r="BF100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02" s="17" t="s">
        <v>46</v>
      </c>
      <c r="BH1002" s="13" t="s">
        <v>50</v>
      </c>
      <c r="BI1002" s="13">
        <v>2.5000000000000001E-2</v>
      </c>
      <c r="BJ1002" s="18">
        <f>ABS(_xlfn.NORM.S.INV(Table1347456[[#This Row],[p_value]]/2))</f>
        <v>2.2414027276049446</v>
      </c>
      <c r="BK1002" s="19">
        <f>(Table1347456[[#This Row],[lnrr]]/Table1347456[[#This Row],[z_from_p]])^2</f>
        <v>1.5069966642054678E-3</v>
      </c>
      <c r="BL1002" s="16">
        <f>Table1347456[[#This Row],[v_from_z_from_p]]</f>
        <v>1.5069966642054678E-3</v>
      </c>
      <c r="BM1002" s="20">
        <f>SQRT(Table1347456[[#This Row],[v]])</f>
        <v>3.8820054922751819E-2</v>
      </c>
      <c r="BN1002" s="20">
        <f>Table1347456[[#This Row],[lnrr]]-(1.96*Table1347456[[#This Row],[se]])</f>
        <v>-0.16309868463822325</v>
      </c>
      <c r="BO1002" s="20">
        <f>Table1347456[[#This Row],[lnrr]]+(1.96 * Table1347456[[#This Row],[se]])</f>
        <v>-1.0924069341036124E-2</v>
      </c>
    </row>
    <row r="1003" spans="1:67">
      <c r="A1003" s="13" t="s">
        <v>334</v>
      </c>
      <c r="B1003" s="13" t="s">
        <v>335</v>
      </c>
      <c r="C1003" s="13" t="s">
        <v>43</v>
      </c>
      <c r="D1003" s="13" t="s">
        <v>336</v>
      </c>
      <c r="E1003" s="13" t="s">
        <v>210</v>
      </c>
      <c r="F1003" s="13" t="s">
        <v>588</v>
      </c>
      <c r="G1003" s="13" t="s">
        <v>337</v>
      </c>
      <c r="H1003" s="13" t="s">
        <v>46</v>
      </c>
      <c r="I1003" s="13" t="s">
        <v>46</v>
      </c>
      <c r="K1003" s="13" t="s">
        <v>912</v>
      </c>
      <c r="L1003" s="13" t="s">
        <v>913</v>
      </c>
      <c r="N1003" s="13" t="s">
        <v>47</v>
      </c>
      <c r="O1003" s="13" t="s">
        <v>645</v>
      </c>
      <c r="P1003" s="13" t="s">
        <v>422</v>
      </c>
      <c r="Q1003" s="13" t="s">
        <v>48</v>
      </c>
      <c r="R1003" s="4">
        <v>3</v>
      </c>
      <c r="S1003" s="13" t="s">
        <v>594</v>
      </c>
      <c r="T1003" s="13">
        <v>365</v>
      </c>
      <c r="U1003" s="4" t="s">
        <v>338</v>
      </c>
      <c r="V1003" s="4">
        <v>350</v>
      </c>
      <c r="W1003" s="4" t="s">
        <v>42</v>
      </c>
      <c r="X1003" s="4" t="s">
        <v>46</v>
      </c>
      <c r="Y1003" s="4">
        <v>10</v>
      </c>
      <c r="AA1003" s="4" t="s">
        <v>50</v>
      </c>
      <c r="AB1003" s="4">
        <v>120</v>
      </c>
      <c r="AC1003" s="4" t="s">
        <v>49</v>
      </c>
      <c r="AD1003" s="4">
        <v>0</v>
      </c>
      <c r="AE1003" s="4" t="s">
        <v>49</v>
      </c>
      <c r="AF1003" s="4">
        <v>0</v>
      </c>
      <c r="AG1003" s="4" t="s">
        <v>46</v>
      </c>
      <c r="AH1003" s="4" t="s">
        <v>719</v>
      </c>
      <c r="AI1003" s="4" t="s">
        <v>297</v>
      </c>
      <c r="AJ1003" s="13">
        <v>0</v>
      </c>
      <c r="AK1003" s="13">
        <v>30</v>
      </c>
      <c r="AP1003" s="13" t="s">
        <v>49</v>
      </c>
      <c r="AQ1003" s="13" t="s">
        <v>49</v>
      </c>
      <c r="AR1003" s="13" t="s">
        <v>50</v>
      </c>
      <c r="AS1003" s="13" t="s">
        <v>49</v>
      </c>
      <c r="AT1003" s="13" t="s">
        <v>992</v>
      </c>
      <c r="AU1003" s="4" t="s">
        <v>1000</v>
      </c>
      <c r="AV1003" s="14">
        <f>0.23*10</f>
        <v>2.3000000000000003</v>
      </c>
      <c r="AW1003" s="14">
        <f>0.19*10</f>
        <v>1.9</v>
      </c>
      <c r="AX1003" s="14">
        <f>Table1347456[[#This Row],[treatment_mean]]/Table1347456[[#This Row],[control_mean]]</f>
        <v>1.2105263157894739</v>
      </c>
      <c r="AY1003" s="14">
        <f>LN(Table1347456[[#This Row],[rr]])</f>
        <v>0.19105523676270941</v>
      </c>
      <c r="AZ1003" s="13">
        <v>3</v>
      </c>
      <c r="BA1003" s="13">
        <v>3</v>
      </c>
      <c r="BB1003" s="14" t="s">
        <v>46</v>
      </c>
      <c r="BC1003" s="14" t="s">
        <v>46</v>
      </c>
      <c r="BD1003" s="15" t="s">
        <v>46</v>
      </c>
      <c r="BE1003" s="14" t="s">
        <v>46</v>
      </c>
      <c r="BF100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03" s="17" t="s">
        <v>46</v>
      </c>
      <c r="BH1003" s="13" t="s">
        <v>50</v>
      </c>
      <c r="BI1003" s="13">
        <v>2.5000000000000001E-2</v>
      </c>
      <c r="BJ1003" s="18">
        <f>ABS(_xlfn.NORM.S.INV(Table1347456[[#This Row],[p_value]]/2))</f>
        <v>2.2414027276049446</v>
      </c>
      <c r="BK1003" s="19">
        <f>(Table1347456[[#This Row],[lnrr]]/Table1347456[[#This Row],[z_from_p]])^2</f>
        <v>7.2657106736656032E-3</v>
      </c>
      <c r="BL1003" s="16">
        <f>Table1347456[[#This Row],[v_from_z_from_p]]</f>
        <v>7.2657106736656032E-3</v>
      </c>
      <c r="BM1003" s="20">
        <f>SQRT(Table1347456[[#This Row],[v]])</f>
        <v>8.523913815651589E-2</v>
      </c>
      <c r="BN1003" s="20">
        <f>Table1347456[[#This Row],[lnrr]]-(1.96*Table1347456[[#This Row],[se]])</f>
        <v>2.3986525975938283E-2</v>
      </c>
      <c r="BO1003" s="20">
        <f>Table1347456[[#This Row],[lnrr]]+(1.96 * Table1347456[[#This Row],[se]])</f>
        <v>0.35812394754948051</v>
      </c>
    </row>
    <row r="1004" spans="1:67">
      <c r="A1004" s="13" t="s">
        <v>334</v>
      </c>
      <c r="B1004" s="13" t="s">
        <v>335</v>
      </c>
      <c r="C1004" s="13" t="s">
        <v>43</v>
      </c>
      <c r="D1004" s="13" t="s">
        <v>336</v>
      </c>
      <c r="E1004" s="13" t="s">
        <v>210</v>
      </c>
      <c r="F1004" s="13" t="s">
        <v>588</v>
      </c>
      <c r="G1004" s="13" t="s">
        <v>337</v>
      </c>
      <c r="H1004" s="13" t="s">
        <v>46</v>
      </c>
      <c r="I1004" s="13" t="s">
        <v>46</v>
      </c>
      <c r="K1004" s="13" t="s">
        <v>912</v>
      </c>
      <c r="L1004" s="13" t="s">
        <v>913</v>
      </c>
      <c r="N1004" s="13" t="s">
        <v>47</v>
      </c>
      <c r="O1004" s="13" t="s">
        <v>645</v>
      </c>
      <c r="P1004" s="13" t="s">
        <v>422</v>
      </c>
      <c r="Q1004" s="13" t="s">
        <v>48</v>
      </c>
      <c r="R1004" s="4">
        <v>3</v>
      </c>
      <c r="S1004" s="13" t="s">
        <v>594</v>
      </c>
      <c r="T1004" s="13">
        <v>365</v>
      </c>
      <c r="U1004" s="4" t="s">
        <v>338</v>
      </c>
      <c r="V1004" s="4">
        <v>350</v>
      </c>
      <c r="W1004" s="4" t="s">
        <v>42</v>
      </c>
      <c r="X1004" s="4" t="s">
        <v>46</v>
      </c>
      <c r="Y1004" s="4">
        <v>20</v>
      </c>
      <c r="AA1004" s="4" t="s">
        <v>50</v>
      </c>
      <c r="AB1004" s="4">
        <v>120</v>
      </c>
      <c r="AC1004" s="4" t="s">
        <v>49</v>
      </c>
      <c r="AD1004" s="4">
        <v>0</v>
      </c>
      <c r="AE1004" s="4" t="s">
        <v>49</v>
      </c>
      <c r="AF1004" s="4">
        <v>0</v>
      </c>
      <c r="AG1004" s="4" t="s">
        <v>46</v>
      </c>
      <c r="AH1004" s="4" t="s">
        <v>719</v>
      </c>
      <c r="AI1004" s="4" t="s">
        <v>297</v>
      </c>
      <c r="AJ1004" s="13">
        <v>0</v>
      </c>
      <c r="AK1004" s="13">
        <v>30</v>
      </c>
      <c r="AP1004" s="13" t="s">
        <v>49</v>
      </c>
      <c r="AQ1004" s="13" t="s">
        <v>49</v>
      </c>
      <c r="AR1004" s="13" t="s">
        <v>50</v>
      </c>
      <c r="AS1004" s="13" t="s">
        <v>49</v>
      </c>
      <c r="AT1004" s="13" t="s">
        <v>992</v>
      </c>
      <c r="AU1004" s="4" t="s">
        <v>1000</v>
      </c>
      <c r="AV1004" s="14">
        <f>0.24*10</f>
        <v>2.4</v>
      </c>
      <c r="AW1004" s="14">
        <f>0.19*10</f>
        <v>1.9</v>
      </c>
      <c r="AX1004" s="14">
        <f>Table1347456[[#This Row],[treatment_mean]]/Table1347456[[#This Row],[control_mean]]</f>
        <v>1.263157894736842</v>
      </c>
      <c r="AY1004" s="14">
        <f>LN(Table1347456[[#This Row],[rr]])</f>
        <v>0.2336148511815051</v>
      </c>
      <c r="AZ1004" s="13">
        <v>3</v>
      </c>
      <c r="BA1004" s="13">
        <v>3</v>
      </c>
      <c r="BB1004" s="14" t="s">
        <v>46</v>
      </c>
      <c r="BC1004" s="14" t="s">
        <v>46</v>
      </c>
      <c r="BD1004" s="15" t="s">
        <v>46</v>
      </c>
      <c r="BE1004" s="14" t="s">
        <v>46</v>
      </c>
      <c r="BF100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04" s="17" t="s">
        <v>46</v>
      </c>
      <c r="BH1004" s="13" t="s">
        <v>50</v>
      </c>
      <c r="BI1004" s="13">
        <v>2.5000000000000001E-2</v>
      </c>
      <c r="BJ1004" s="18">
        <f>ABS(_xlfn.NORM.S.INV(Table1347456[[#This Row],[p_value]]/2))</f>
        <v>2.2414027276049446</v>
      </c>
      <c r="BK1004" s="19">
        <f>(Table1347456[[#This Row],[lnrr]]/Table1347456[[#This Row],[z_from_p]])^2</f>
        <v>1.0863283254775709E-2</v>
      </c>
      <c r="BL1004" s="16">
        <f>Table1347456[[#This Row],[v_from_z_from_p]]</f>
        <v>1.0863283254775709E-2</v>
      </c>
      <c r="BM1004" s="20">
        <f>SQRT(Table1347456[[#This Row],[v]])</f>
        <v>0.10422707544000123</v>
      </c>
      <c r="BN1004" s="20">
        <f>Table1347456[[#This Row],[lnrr]]-(1.96*Table1347456[[#This Row],[se]])</f>
        <v>2.9329783319102687E-2</v>
      </c>
      <c r="BO1004" s="20">
        <f>Table1347456[[#This Row],[lnrr]]+(1.96 * Table1347456[[#This Row],[se]])</f>
        <v>0.43789991904390752</v>
      </c>
    </row>
    <row r="1005" spans="1:67">
      <c r="A1005" s="13" t="s">
        <v>334</v>
      </c>
      <c r="B1005" s="13" t="s">
        <v>335</v>
      </c>
      <c r="C1005" s="13" t="s">
        <v>43</v>
      </c>
      <c r="D1005" s="13" t="s">
        <v>336</v>
      </c>
      <c r="E1005" s="13" t="s">
        <v>210</v>
      </c>
      <c r="F1005" s="13" t="s">
        <v>588</v>
      </c>
      <c r="G1005" s="13" t="s">
        <v>337</v>
      </c>
      <c r="H1005" s="13" t="s">
        <v>46</v>
      </c>
      <c r="I1005" s="13" t="s">
        <v>46</v>
      </c>
      <c r="K1005" s="13" t="s">
        <v>912</v>
      </c>
      <c r="L1005" s="13" t="s">
        <v>913</v>
      </c>
      <c r="N1005" s="13" t="s">
        <v>86</v>
      </c>
      <c r="O1005" s="13" t="s">
        <v>644</v>
      </c>
      <c r="P1005" s="13" t="s">
        <v>87</v>
      </c>
      <c r="Q1005" s="13" t="s">
        <v>48</v>
      </c>
      <c r="R1005" s="4">
        <v>3</v>
      </c>
      <c r="S1005" s="13" t="s">
        <v>594</v>
      </c>
      <c r="T1005" s="13">
        <v>365</v>
      </c>
      <c r="U1005" s="4" t="s">
        <v>338</v>
      </c>
      <c r="V1005" s="4">
        <v>350</v>
      </c>
      <c r="W1005" s="4" t="s">
        <v>42</v>
      </c>
      <c r="X1005" s="4" t="s">
        <v>46</v>
      </c>
      <c r="Y1005" s="4">
        <v>10</v>
      </c>
      <c r="AA1005" s="4" t="s">
        <v>49</v>
      </c>
      <c r="AB1005" s="4">
        <v>0</v>
      </c>
      <c r="AC1005" s="4" t="s">
        <v>49</v>
      </c>
      <c r="AD1005" s="4">
        <v>0</v>
      </c>
      <c r="AE1005" s="4" t="s">
        <v>49</v>
      </c>
      <c r="AF1005" s="4">
        <v>0</v>
      </c>
      <c r="AG1005" s="4" t="s">
        <v>46</v>
      </c>
      <c r="AH1005" s="4" t="s">
        <v>719</v>
      </c>
      <c r="AI1005" s="4" t="s">
        <v>297</v>
      </c>
      <c r="AJ1005" s="13">
        <v>0</v>
      </c>
      <c r="AK1005" s="13">
        <v>30</v>
      </c>
      <c r="AP1005" s="13" t="s">
        <v>49</v>
      </c>
      <c r="AQ1005" s="13" t="s">
        <v>49</v>
      </c>
      <c r="AR1005" s="13" t="s">
        <v>50</v>
      </c>
      <c r="AS1005" s="13" t="s">
        <v>49</v>
      </c>
      <c r="AT1005" s="13" t="s">
        <v>990</v>
      </c>
      <c r="AU1005" s="13" t="s">
        <v>998</v>
      </c>
      <c r="AV1005" s="14">
        <f>(1.61*39.1*10)/1000</f>
        <v>0.62951000000000013</v>
      </c>
      <c r="AW1005" s="14">
        <f>(0.09*39.1*10)/1000</f>
        <v>3.5189999999999999E-2</v>
      </c>
      <c r="AX1005" s="14">
        <f>Table1347456[[#This Row],[treatment_mean]]/Table1347456[[#This Row],[control_mean]]</f>
        <v>17.888888888888893</v>
      </c>
      <c r="AY1005" s="14">
        <f>LN(Table1347456[[#This Row],[rr]])</f>
        <v>2.884179787648244</v>
      </c>
      <c r="AZ1005" s="13">
        <v>3</v>
      </c>
      <c r="BA1005" s="13">
        <v>3</v>
      </c>
      <c r="BB1005" s="14" t="s">
        <v>46</v>
      </c>
      <c r="BC1005" s="14" t="s">
        <v>46</v>
      </c>
      <c r="BD1005" s="15" t="s">
        <v>46</v>
      </c>
      <c r="BE1005" s="14" t="s">
        <v>46</v>
      </c>
      <c r="BF100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05" s="17" t="s">
        <v>46</v>
      </c>
      <c r="BH1005" s="13" t="s">
        <v>50</v>
      </c>
      <c r="BI1005" s="13">
        <v>2.5000000000000001E-2</v>
      </c>
      <c r="BJ1005" s="18">
        <f>ABS(_xlfn.NORM.S.INV(Table1347456[[#This Row],[p_value]]/2))</f>
        <v>2.2414027276049446</v>
      </c>
      <c r="BK1005" s="19">
        <f>(Table1347456[[#This Row],[lnrr]]/Table1347456[[#This Row],[z_from_p]])^2</f>
        <v>1.6557885145731481</v>
      </c>
      <c r="BL1005" s="16">
        <f>Table1347456[[#This Row],[v_from_z_from_p]]</f>
        <v>1.6557885145731481</v>
      </c>
      <c r="BM1005" s="20">
        <f>SQRT(Table1347456[[#This Row],[v]])</f>
        <v>1.2867744614240477</v>
      </c>
      <c r="BN1005" s="20">
        <f>Table1347456[[#This Row],[lnrr]]-(1.96*Table1347456[[#This Row],[se]])</f>
        <v>0.36210184325711037</v>
      </c>
      <c r="BO1005" s="20">
        <f>Table1347456[[#This Row],[lnrr]]+(1.96 * Table1347456[[#This Row],[se]])</f>
        <v>5.4062577320393777</v>
      </c>
    </row>
    <row r="1006" spans="1:67">
      <c r="A1006" s="13" t="s">
        <v>334</v>
      </c>
      <c r="B1006" s="13" t="s">
        <v>335</v>
      </c>
      <c r="C1006" s="13" t="s">
        <v>43</v>
      </c>
      <c r="D1006" s="13" t="s">
        <v>336</v>
      </c>
      <c r="E1006" s="13" t="s">
        <v>210</v>
      </c>
      <c r="F1006" s="13" t="s">
        <v>588</v>
      </c>
      <c r="G1006" s="13" t="s">
        <v>337</v>
      </c>
      <c r="H1006" s="13" t="s">
        <v>46</v>
      </c>
      <c r="I1006" s="13" t="s">
        <v>46</v>
      </c>
      <c r="K1006" s="13" t="s">
        <v>912</v>
      </c>
      <c r="L1006" s="13" t="s">
        <v>913</v>
      </c>
      <c r="N1006" s="13" t="s">
        <v>86</v>
      </c>
      <c r="O1006" s="13" t="s">
        <v>644</v>
      </c>
      <c r="P1006" s="13" t="s">
        <v>87</v>
      </c>
      <c r="Q1006" s="13" t="s">
        <v>48</v>
      </c>
      <c r="R1006" s="4">
        <v>3</v>
      </c>
      <c r="S1006" s="13" t="s">
        <v>594</v>
      </c>
      <c r="T1006" s="13">
        <v>365</v>
      </c>
      <c r="U1006" s="4" t="s">
        <v>338</v>
      </c>
      <c r="V1006" s="4">
        <v>350</v>
      </c>
      <c r="W1006" s="4" t="s">
        <v>42</v>
      </c>
      <c r="X1006" s="4" t="s">
        <v>46</v>
      </c>
      <c r="Y1006" s="4">
        <v>20</v>
      </c>
      <c r="AA1006" s="4" t="s">
        <v>49</v>
      </c>
      <c r="AB1006" s="4">
        <v>0</v>
      </c>
      <c r="AC1006" s="4" t="s">
        <v>49</v>
      </c>
      <c r="AD1006" s="4">
        <v>0</v>
      </c>
      <c r="AE1006" s="4" t="s">
        <v>49</v>
      </c>
      <c r="AF1006" s="4">
        <v>0</v>
      </c>
      <c r="AG1006" s="4" t="s">
        <v>46</v>
      </c>
      <c r="AH1006" s="4" t="s">
        <v>719</v>
      </c>
      <c r="AI1006" s="4" t="s">
        <v>297</v>
      </c>
      <c r="AJ1006" s="13">
        <v>0</v>
      </c>
      <c r="AK1006" s="13">
        <v>30</v>
      </c>
      <c r="AP1006" s="13" t="s">
        <v>49</v>
      </c>
      <c r="AQ1006" s="13" t="s">
        <v>49</v>
      </c>
      <c r="AR1006" s="13" t="s">
        <v>50</v>
      </c>
      <c r="AS1006" s="13" t="s">
        <v>49</v>
      </c>
      <c r="AT1006" s="13" t="s">
        <v>990</v>
      </c>
      <c r="AU1006" s="13" t="s">
        <v>998</v>
      </c>
      <c r="AV1006" s="14">
        <f>(1.5*39.1*10)/1000</f>
        <v>0.58650000000000002</v>
      </c>
      <c r="AW1006" s="14">
        <f>(0.09*39.1*10)/1000</f>
        <v>3.5189999999999999E-2</v>
      </c>
      <c r="AX1006" s="14">
        <f>Table1347456[[#This Row],[treatment_mean]]/Table1347456[[#This Row],[control_mean]]</f>
        <v>16.666666666666668</v>
      </c>
      <c r="AY1006" s="14">
        <f>LN(Table1347456[[#This Row],[rr]])</f>
        <v>2.8134107167600364</v>
      </c>
      <c r="AZ1006" s="13">
        <v>3</v>
      </c>
      <c r="BA1006" s="13">
        <v>3</v>
      </c>
      <c r="BB1006" s="14" t="s">
        <v>46</v>
      </c>
      <c r="BC1006" s="14" t="s">
        <v>46</v>
      </c>
      <c r="BD1006" s="15" t="s">
        <v>46</v>
      </c>
      <c r="BE1006" s="14" t="s">
        <v>46</v>
      </c>
      <c r="BF100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06" s="17" t="s">
        <v>46</v>
      </c>
      <c r="BH1006" s="13" t="s">
        <v>50</v>
      </c>
      <c r="BI1006" s="13">
        <v>2.5000000000000001E-2</v>
      </c>
      <c r="BJ1006" s="18">
        <f>ABS(_xlfn.NORM.S.INV(Table1347456[[#This Row],[p_value]]/2))</f>
        <v>2.2414027276049446</v>
      </c>
      <c r="BK1006" s="19">
        <f>(Table1347456[[#This Row],[lnrr]]/Table1347456[[#This Row],[z_from_p]])^2</f>
        <v>1.5755292946655504</v>
      </c>
      <c r="BL1006" s="16">
        <f>Table1347456[[#This Row],[v_from_z_from_p]]</f>
        <v>1.5755292946655504</v>
      </c>
      <c r="BM1006" s="20">
        <f>SQRT(Table1347456[[#This Row],[v]])</f>
        <v>1.2552008981296781</v>
      </c>
      <c r="BN1006" s="20">
        <f>Table1347456[[#This Row],[lnrr]]-(1.96*Table1347456[[#This Row],[se]])</f>
        <v>0.35321695642586759</v>
      </c>
      <c r="BO1006" s="20">
        <f>Table1347456[[#This Row],[lnrr]]+(1.96 * Table1347456[[#This Row],[se]])</f>
        <v>5.2736044770942048</v>
      </c>
    </row>
    <row r="1007" spans="1:67">
      <c r="A1007" s="13" t="s">
        <v>334</v>
      </c>
      <c r="B1007" s="13" t="s">
        <v>335</v>
      </c>
      <c r="C1007" s="13" t="s">
        <v>43</v>
      </c>
      <c r="D1007" s="13" t="s">
        <v>336</v>
      </c>
      <c r="E1007" s="13" t="s">
        <v>210</v>
      </c>
      <c r="F1007" s="13" t="s">
        <v>588</v>
      </c>
      <c r="G1007" s="13" t="s">
        <v>337</v>
      </c>
      <c r="H1007" s="13" t="s">
        <v>46</v>
      </c>
      <c r="I1007" s="13" t="s">
        <v>46</v>
      </c>
      <c r="K1007" s="13" t="s">
        <v>912</v>
      </c>
      <c r="L1007" s="13" t="s">
        <v>913</v>
      </c>
      <c r="N1007" s="13" t="s">
        <v>86</v>
      </c>
      <c r="O1007" s="13" t="s">
        <v>644</v>
      </c>
      <c r="P1007" s="13" t="s">
        <v>87</v>
      </c>
      <c r="Q1007" s="13" t="s">
        <v>48</v>
      </c>
      <c r="R1007" s="4">
        <v>3</v>
      </c>
      <c r="S1007" s="13" t="s">
        <v>594</v>
      </c>
      <c r="T1007" s="13">
        <v>365</v>
      </c>
      <c r="U1007" s="4" t="s">
        <v>338</v>
      </c>
      <c r="V1007" s="4">
        <v>350</v>
      </c>
      <c r="W1007" s="4" t="s">
        <v>42</v>
      </c>
      <c r="X1007" s="4" t="s">
        <v>46</v>
      </c>
      <c r="Y1007" s="4">
        <v>10</v>
      </c>
      <c r="AA1007" s="4" t="s">
        <v>50</v>
      </c>
      <c r="AB1007" s="4">
        <v>60</v>
      </c>
      <c r="AC1007" s="4" t="s">
        <v>49</v>
      </c>
      <c r="AD1007" s="4">
        <v>0</v>
      </c>
      <c r="AE1007" s="4" t="s">
        <v>49</v>
      </c>
      <c r="AF1007" s="4">
        <v>0</v>
      </c>
      <c r="AG1007" s="4" t="s">
        <v>46</v>
      </c>
      <c r="AH1007" s="4" t="s">
        <v>719</v>
      </c>
      <c r="AI1007" s="4" t="s">
        <v>297</v>
      </c>
      <c r="AJ1007" s="13">
        <v>0</v>
      </c>
      <c r="AK1007" s="13">
        <v>30</v>
      </c>
      <c r="AP1007" s="13" t="s">
        <v>49</v>
      </c>
      <c r="AQ1007" s="13" t="s">
        <v>49</v>
      </c>
      <c r="AR1007" s="13" t="s">
        <v>50</v>
      </c>
      <c r="AS1007" s="13" t="s">
        <v>49</v>
      </c>
      <c r="AT1007" s="13" t="s">
        <v>992</v>
      </c>
      <c r="AU1007" s="4" t="s">
        <v>1000</v>
      </c>
      <c r="AV1007" s="14">
        <f>(2.15*39.1*10)/1000</f>
        <v>0.84065000000000001</v>
      </c>
      <c r="AW1007" s="14">
        <f>(3.37*39.1*10)/1000</f>
        <v>1.3176700000000001</v>
      </c>
      <c r="AX1007" s="14">
        <f>Table1347456[[#This Row],[treatment_mean]]/Table1347456[[#This Row],[control_mean]]</f>
        <v>0.63798219584569726</v>
      </c>
      <c r="AY1007" s="14">
        <f>LN(Table1347456[[#This Row],[rr]])</f>
        <v>-0.44944490222469902</v>
      </c>
      <c r="AZ1007" s="13">
        <v>3</v>
      </c>
      <c r="BA1007" s="13">
        <v>3</v>
      </c>
      <c r="BB1007" s="14" t="s">
        <v>46</v>
      </c>
      <c r="BC1007" s="14" t="s">
        <v>46</v>
      </c>
      <c r="BD1007" s="15" t="s">
        <v>46</v>
      </c>
      <c r="BE1007" s="14" t="s">
        <v>46</v>
      </c>
      <c r="BF100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07" s="17" t="s">
        <v>46</v>
      </c>
      <c r="BH1007" s="13" t="s">
        <v>50</v>
      </c>
      <c r="BI1007" s="13">
        <v>2.5000000000000001E-2</v>
      </c>
      <c r="BJ1007" s="18">
        <f>ABS(_xlfn.NORM.S.INV(Table1347456[[#This Row],[p_value]]/2))</f>
        <v>2.2414027276049446</v>
      </c>
      <c r="BK1007" s="19">
        <f>(Table1347456[[#This Row],[lnrr]]/Table1347456[[#This Row],[z_from_p]])^2</f>
        <v>4.0208060573866722E-2</v>
      </c>
      <c r="BL1007" s="16">
        <f>Table1347456[[#This Row],[v_from_z_from_p]]</f>
        <v>4.0208060573866722E-2</v>
      </c>
      <c r="BM1007" s="20">
        <f>SQRT(Table1347456[[#This Row],[v]])</f>
        <v>0.20051947679431723</v>
      </c>
      <c r="BN1007" s="20">
        <f>Table1347456[[#This Row],[lnrr]]-(1.96*Table1347456[[#This Row],[se]])</f>
        <v>-0.84246307674156085</v>
      </c>
      <c r="BO1007" s="20">
        <f>Table1347456[[#This Row],[lnrr]]+(1.96 * Table1347456[[#This Row],[se]])</f>
        <v>-5.6426727707837243E-2</v>
      </c>
    </row>
    <row r="1008" spans="1:67">
      <c r="A1008" s="13" t="s">
        <v>334</v>
      </c>
      <c r="B1008" s="13" t="s">
        <v>335</v>
      </c>
      <c r="C1008" s="13" t="s">
        <v>43</v>
      </c>
      <c r="D1008" s="13" t="s">
        <v>336</v>
      </c>
      <c r="E1008" s="13" t="s">
        <v>210</v>
      </c>
      <c r="F1008" s="13" t="s">
        <v>588</v>
      </c>
      <c r="G1008" s="13" t="s">
        <v>337</v>
      </c>
      <c r="H1008" s="13" t="s">
        <v>46</v>
      </c>
      <c r="I1008" s="13" t="s">
        <v>46</v>
      </c>
      <c r="K1008" s="13" t="s">
        <v>912</v>
      </c>
      <c r="L1008" s="13" t="s">
        <v>913</v>
      </c>
      <c r="N1008" s="13" t="s">
        <v>86</v>
      </c>
      <c r="O1008" s="13" t="s">
        <v>644</v>
      </c>
      <c r="P1008" s="13" t="s">
        <v>87</v>
      </c>
      <c r="Q1008" s="13" t="s">
        <v>48</v>
      </c>
      <c r="R1008" s="4">
        <v>3</v>
      </c>
      <c r="S1008" s="13" t="s">
        <v>594</v>
      </c>
      <c r="T1008" s="13">
        <v>365</v>
      </c>
      <c r="U1008" s="4" t="s">
        <v>338</v>
      </c>
      <c r="V1008" s="4">
        <v>350</v>
      </c>
      <c r="W1008" s="4" t="s">
        <v>42</v>
      </c>
      <c r="X1008" s="4" t="s">
        <v>46</v>
      </c>
      <c r="Y1008" s="4">
        <v>20</v>
      </c>
      <c r="AA1008" s="4" t="s">
        <v>50</v>
      </c>
      <c r="AB1008" s="4">
        <v>60</v>
      </c>
      <c r="AC1008" s="4" t="s">
        <v>49</v>
      </c>
      <c r="AD1008" s="4">
        <v>0</v>
      </c>
      <c r="AE1008" s="4" t="s">
        <v>49</v>
      </c>
      <c r="AF1008" s="4">
        <v>0</v>
      </c>
      <c r="AG1008" s="4" t="s">
        <v>46</v>
      </c>
      <c r="AH1008" s="4" t="s">
        <v>719</v>
      </c>
      <c r="AI1008" s="4" t="s">
        <v>297</v>
      </c>
      <c r="AJ1008" s="13">
        <v>0</v>
      </c>
      <c r="AK1008" s="13">
        <v>30</v>
      </c>
      <c r="AP1008" s="13" t="s">
        <v>49</v>
      </c>
      <c r="AQ1008" s="13" t="s">
        <v>49</v>
      </c>
      <c r="AR1008" s="13" t="s">
        <v>50</v>
      </c>
      <c r="AS1008" s="13" t="s">
        <v>49</v>
      </c>
      <c r="AT1008" s="13" t="s">
        <v>992</v>
      </c>
      <c r="AU1008" s="4" t="s">
        <v>1000</v>
      </c>
      <c r="AV1008" s="14">
        <f>(1.35*39.1*10)/1000</f>
        <v>0.52785000000000004</v>
      </c>
      <c r="AW1008" s="14">
        <f>(3.37*39.1*10)/1000</f>
        <v>1.3176700000000001</v>
      </c>
      <c r="AX1008" s="14">
        <f>Table1347456[[#This Row],[treatment_mean]]/Table1347456[[#This Row],[control_mean]]</f>
        <v>0.40059347181008903</v>
      </c>
      <c r="AY1008" s="14">
        <f>LN(Table1347456[[#This Row],[rr]])</f>
        <v>-0.91480815191393228</v>
      </c>
      <c r="AZ1008" s="13">
        <v>3</v>
      </c>
      <c r="BA1008" s="13">
        <v>3</v>
      </c>
      <c r="BB1008" s="14" t="s">
        <v>46</v>
      </c>
      <c r="BC1008" s="14" t="s">
        <v>46</v>
      </c>
      <c r="BD1008" s="15" t="s">
        <v>46</v>
      </c>
      <c r="BE1008" s="14" t="s">
        <v>46</v>
      </c>
      <c r="BF100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08" s="17" t="s">
        <v>46</v>
      </c>
      <c r="BH1008" s="13" t="s">
        <v>50</v>
      </c>
      <c r="BI1008" s="13">
        <v>2.5000000000000001E-2</v>
      </c>
      <c r="BJ1008" s="18">
        <f>ABS(_xlfn.NORM.S.INV(Table1347456[[#This Row],[p_value]]/2))</f>
        <v>2.2414027276049446</v>
      </c>
      <c r="BK1008" s="19">
        <f>(Table1347456[[#This Row],[lnrr]]/Table1347456[[#This Row],[z_from_p]])^2</f>
        <v>0.16657900350554475</v>
      </c>
      <c r="BL1008" s="16">
        <f>Table1347456[[#This Row],[v_from_z_from_p]]</f>
        <v>0.16657900350554475</v>
      </c>
      <c r="BM1008" s="20">
        <f>SQRT(Table1347456[[#This Row],[v]])</f>
        <v>0.40814091133522101</v>
      </c>
      <c r="BN1008" s="20">
        <f>Table1347456[[#This Row],[lnrr]]-(1.96*Table1347456[[#This Row],[se]])</f>
        <v>-1.7147643381309654</v>
      </c>
      <c r="BO1008" s="20">
        <f>Table1347456[[#This Row],[lnrr]]+(1.96 * Table1347456[[#This Row],[se]])</f>
        <v>-0.11485196569689915</v>
      </c>
    </row>
    <row r="1009" spans="1:67">
      <c r="A1009" s="13" t="s">
        <v>334</v>
      </c>
      <c r="B1009" s="13" t="s">
        <v>335</v>
      </c>
      <c r="C1009" s="13" t="s">
        <v>43</v>
      </c>
      <c r="D1009" s="13" t="s">
        <v>336</v>
      </c>
      <c r="E1009" s="13" t="s">
        <v>210</v>
      </c>
      <c r="F1009" s="13" t="s">
        <v>588</v>
      </c>
      <c r="G1009" s="13" t="s">
        <v>337</v>
      </c>
      <c r="H1009" s="13" t="s">
        <v>46</v>
      </c>
      <c r="I1009" s="13" t="s">
        <v>46</v>
      </c>
      <c r="K1009" s="13" t="s">
        <v>912</v>
      </c>
      <c r="L1009" s="13" t="s">
        <v>913</v>
      </c>
      <c r="N1009" s="13" t="s">
        <v>86</v>
      </c>
      <c r="O1009" s="13" t="s">
        <v>644</v>
      </c>
      <c r="P1009" s="13" t="s">
        <v>87</v>
      </c>
      <c r="Q1009" s="13" t="s">
        <v>48</v>
      </c>
      <c r="R1009" s="4">
        <v>3</v>
      </c>
      <c r="S1009" s="13" t="s">
        <v>594</v>
      </c>
      <c r="T1009" s="13">
        <v>365</v>
      </c>
      <c r="U1009" s="4" t="s">
        <v>338</v>
      </c>
      <c r="V1009" s="4">
        <v>350</v>
      </c>
      <c r="W1009" s="4" t="s">
        <v>42</v>
      </c>
      <c r="X1009" s="4" t="s">
        <v>46</v>
      </c>
      <c r="Y1009" s="4">
        <v>10</v>
      </c>
      <c r="AA1009" s="4" t="s">
        <v>50</v>
      </c>
      <c r="AB1009" s="4">
        <v>120</v>
      </c>
      <c r="AC1009" s="4" t="s">
        <v>49</v>
      </c>
      <c r="AD1009" s="4">
        <v>0</v>
      </c>
      <c r="AE1009" s="4" t="s">
        <v>49</v>
      </c>
      <c r="AF1009" s="4">
        <v>0</v>
      </c>
      <c r="AG1009" s="4" t="s">
        <v>46</v>
      </c>
      <c r="AH1009" s="4" t="s">
        <v>719</v>
      </c>
      <c r="AI1009" s="4" t="s">
        <v>297</v>
      </c>
      <c r="AJ1009" s="13">
        <v>0</v>
      </c>
      <c r="AK1009" s="13">
        <v>30</v>
      </c>
      <c r="AP1009" s="13" t="s">
        <v>49</v>
      </c>
      <c r="AQ1009" s="13" t="s">
        <v>49</v>
      </c>
      <c r="AR1009" s="13" t="s">
        <v>50</v>
      </c>
      <c r="AS1009" s="13" t="s">
        <v>49</v>
      </c>
      <c r="AT1009" s="13" t="s">
        <v>992</v>
      </c>
      <c r="AU1009" s="4" t="s">
        <v>1000</v>
      </c>
      <c r="AV1009" s="14">
        <f>(6.18*39.1*10)/1000</f>
        <v>2.4163800000000002</v>
      </c>
      <c r="AW1009" s="14">
        <f>(3.69*39.1*10)/1000</f>
        <v>1.44279</v>
      </c>
      <c r="AX1009" s="14">
        <f>Table1347456[[#This Row],[treatment_mean]]/Table1347456[[#This Row],[control_mean]]</f>
        <v>1.6747967479674797</v>
      </c>
      <c r="AY1009" s="14">
        <f>LN(Table1347456[[#This Row],[rr]])</f>
        <v>0.51569181341716364</v>
      </c>
      <c r="AZ1009" s="13">
        <v>3</v>
      </c>
      <c r="BA1009" s="13">
        <v>3</v>
      </c>
      <c r="BB1009" s="14" t="s">
        <v>46</v>
      </c>
      <c r="BC1009" s="14" t="s">
        <v>46</v>
      </c>
      <c r="BD1009" s="15" t="s">
        <v>46</v>
      </c>
      <c r="BE1009" s="14" t="s">
        <v>46</v>
      </c>
      <c r="BF100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09" s="17" t="s">
        <v>46</v>
      </c>
      <c r="BH1009" s="13" t="s">
        <v>50</v>
      </c>
      <c r="BI1009" s="13">
        <v>2.5000000000000001E-2</v>
      </c>
      <c r="BJ1009" s="18">
        <f>ABS(_xlfn.NORM.S.INV(Table1347456[[#This Row],[p_value]]/2))</f>
        <v>2.2414027276049446</v>
      </c>
      <c r="BK1009" s="19">
        <f>(Table1347456[[#This Row],[lnrr]]/Table1347456[[#This Row],[z_from_p]])^2</f>
        <v>5.2934727521687451E-2</v>
      </c>
      <c r="BL1009" s="16">
        <f>Table1347456[[#This Row],[v_from_z_from_p]]</f>
        <v>5.2934727521687451E-2</v>
      </c>
      <c r="BM1009" s="20">
        <f>SQRT(Table1347456[[#This Row],[v]])</f>
        <v>0.23007548222634991</v>
      </c>
      <c r="BN1009" s="20">
        <f>Table1347456[[#This Row],[lnrr]]-(1.96*Table1347456[[#This Row],[se]])</f>
        <v>6.47438682535178E-2</v>
      </c>
      <c r="BO1009" s="20">
        <f>Table1347456[[#This Row],[lnrr]]+(1.96 * Table1347456[[#This Row],[se]])</f>
        <v>0.96663975858080953</v>
      </c>
    </row>
    <row r="1010" spans="1:67">
      <c r="A1010" s="13" t="s">
        <v>334</v>
      </c>
      <c r="B1010" s="13" t="s">
        <v>335</v>
      </c>
      <c r="C1010" s="13" t="s">
        <v>43</v>
      </c>
      <c r="D1010" s="13" t="s">
        <v>336</v>
      </c>
      <c r="E1010" s="13" t="s">
        <v>210</v>
      </c>
      <c r="F1010" s="13" t="s">
        <v>588</v>
      </c>
      <c r="G1010" s="13" t="s">
        <v>337</v>
      </c>
      <c r="H1010" s="13" t="s">
        <v>46</v>
      </c>
      <c r="I1010" s="13" t="s">
        <v>46</v>
      </c>
      <c r="K1010" s="13" t="s">
        <v>912</v>
      </c>
      <c r="L1010" s="13" t="s">
        <v>913</v>
      </c>
      <c r="N1010" s="13" t="s">
        <v>86</v>
      </c>
      <c r="O1010" s="13" t="s">
        <v>644</v>
      </c>
      <c r="P1010" s="13" t="s">
        <v>87</v>
      </c>
      <c r="Q1010" s="13" t="s">
        <v>48</v>
      </c>
      <c r="R1010" s="4">
        <v>3</v>
      </c>
      <c r="S1010" s="13" t="s">
        <v>594</v>
      </c>
      <c r="T1010" s="13">
        <v>365</v>
      </c>
      <c r="U1010" s="4" t="s">
        <v>338</v>
      </c>
      <c r="V1010" s="4">
        <v>350</v>
      </c>
      <c r="W1010" s="4" t="s">
        <v>42</v>
      </c>
      <c r="X1010" s="4" t="s">
        <v>46</v>
      </c>
      <c r="Y1010" s="4">
        <v>20</v>
      </c>
      <c r="AA1010" s="4" t="s">
        <v>50</v>
      </c>
      <c r="AB1010" s="4">
        <v>120</v>
      </c>
      <c r="AC1010" s="4" t="s">
        <v>49</v>
      </c>
      <c r="AD1010" s="4">
        <v>0</v>
      </c>
      <c r="AE1010" s="4" t="s">
        <v>49</v>
      </c>
      <c r="AF1010" s="4">
        <v>0</v>
      </c>
      <c r="AG1010" s="4" t="s">
        <v>46</v>
      </c>
      <c r="AH1010" s="4" t="s">
        <v>719</v>
      </c>
      <c r="AI1010" s="4" t="s">
        <v>297</v>
      </c>
      <c r="AJ1010" s="13">
        <v>0</v>
      </c>
      <c r="AK1010" s="13">
        <v>30</v>
      </c>
      <c r="AP1010" s="13" t="s">
        <v>49</v>
      </c>
      <c r="AQ1010" s="13" t="s">
        <v>49</v>
      </c>
      <c r="AR1010" s="13" t="s">
        <v>50</v>
      </c>
      <c r="AS1010" s="13" t="s">
        <v>49</v>
      </c>
      <c r="AT1010" s="13" t="s">
        <v>992</v>
      </c>
      <c r="AU1010" s="4" t="s">
        <v>1000</v>
      </c>
      <c r="AV1010" s="14">
        <f>(1.13*39.1*10)/1000</f>
        <v>0.44183</v>
      </c>
      <c r="AW1010" s="14">
        <f>(3.69*39.1*10)/1000</f>
        <v>1.44279</v>
      </c>
      <c r="AX1010" s="14">
        <f>Table1347456[[#This Row],[treatment_mean]]/Table1347456[[#This Row],[control_mean]]</f>
        <v>0.30623306233062331</v>
      </c>
      <c r="AY1010" s="14">
        <f>LN(Table1347456[[#This Row],[rr]])</f>
        <v>-1.1834088253281867</v>
      </c>
      <c r="AZ1010" s="13">
        <v>3</v>
      </c>
      <c r="BA1010" s="13">
        <v>3</v>
      </c>
      <c r="BB1010" s="14" t="s">
        <v>46</v>
      </c>
      <c r="BC1010" s="14" t="s">
        <v>46</v>
      </c>
      <c r="BD1010" s="15" t="s">
        <v>46</v>
      </c>
      <c r="BE1010" s="14" t="s">
        <v>46</v>
      </c>
      <c r="BF101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10" s="17" t="s">
        <v>46</v>
      </c>
      <c r="BH1010" s="13" t="s">
        <v>50</v>
      </c>
      <c r="BI1010" s="13">
        <v>2.5000000000000001E-2</v>
      </c>
      <c r="BJ1010" s="18">
        <f>ABS(_xlfn.NORM.S.INV(Table1347456[[#This Row],[p_value]]/2))</f>
        <v>2.2414027276049446</v>
      </c>
      <c r="BK1010" s="19">
        <f>(Table1347456[[#This Row],[lnrr]]/Table1347456[[#This Row],[z_from_p]])^2</f>
        <v>0.27875958882204294</v>
      </c>
      <c r="BL1010" s="16">
        <f>Table1347456[[#This Row],[v_from_z_from_p]]</f>
        <v>0.27875958882204294</v>
      </c>
      <c r="BM1010" s="20">
        <f>SQRT(Table1347456[[#This Row],[v]])</f>
        <v>0.52797688284814415</v>
      </c>
      <c r="BN1010" s="20">
        <f>Table1347456[[#This Row],[lnrr]]-(1.96*Table1347456[[#This Row],[se]])</f>
        <v>-2.2182435157105491</v>
      </c>
      <c r="BO1010" s="20">
        <f>Table1347456[[#This Row],[lnrr]]+(1.96 * Table1347456[[#This Row],[se]])</f>
        <v>-0.14857413494582428</v>
      </c>
    </row>
    <row r="1011" spans="1:67">
      <c r="A1011" s="13" t="s">
        <v>334</v>
      </c>
      <c r="B1011" s="13" t="s">
        <v>335</v>
      </c>
      <c r="C1011" s="13" t="s">
        <v>43</v>
      </c>
      <c r="D1011" s="13" t="s">
        <v>336</v>
      </c>
      <c r="E1011" s="13" t="s">
        <v>210</v>
      </c>
      <c r="F1011" s="13" t="s">
        <v>588</v>
      </c>
      <c r="G1011" s="13" t="s">
        <v>337</v>
      </c>
      <c r="H1011" s="13" t="s">
        <v>46</v>
      </c>
      <c r="I1011" s="13" t="s">
        <v>46</v>
      </c>
      <c r="K1011" s="13" t="s">
        <v>912</v>
      </c>
      <c r="L1011" s="13" t="s">
        <v>913</v>
      </c>
      <c r="N1011" s="13" t="s">
        <v>614</v>
      </c>
      <c r="O1011" s="13" t="s">
        <v>614</v>
      </c>
      <c r="P1011" s="13" t="s">
        <v>87</v>
      </c>
      <c r="Q1011" s="13" t="s">
        <v>87</v>
      </c>
      <c r="R1011" s="4">
        <v>3</v>
      </c>
      <c r="S1011" s="13" t="s">
        <v>594</v>
      </c>
      <c r="T1011" s="13">
        <v>365</v>
      </c>
      <c r="U1011" s="4" t="s">
        <v>338</v>
      </c>
      <c r="V1011" s="4">
        <v>350</v>
      </c>
      <c r="W1011" s="4" t="s">
        <v>42</v>
      </c>
      <c r="X1011" s="4" t="s">
        <v>46</v>
      </c>
      <c r="Y1011" s="4">
        <v>10</v>
      </c>
      <c r="AA1011" s="4" t="s">
        <v>49</v>
      </c>
      <c r="AB1011" s="4">
        <v>0</v>
      </c>
      <c r="AC1011" s="4" t="s">
        <v>49</v>
      </c>
      <c r="AD1011" s="4">
        <v>0</v>
      </c>
      <c r="AE1011" s="4" t="s">
        <v>49</v>
      </c>
      <c r="AF1011" s="4">
        <v>0</v>
      </c>
      <c r="AG1011" s="4" t="s">
        <v>46</v>
      </c>
      <c r="AH1011" s="4" t="s">
        <v>719</v>
      </c>
      <c r="AI1011" s="4" t="s">
        <v>297</v>
      </c>
      <c r="AJ1011" s="13">
        <v>0</v>
      </c>
      <c r="AK1011" s="13">
        <v>30</v>
      </c>
      <c r="AP1011" s="13" t="s">
        <v>49</v>
      </c>
      <c r="AQ1011" s="13" t="s">
        <v>49</v>
      </c>
      <c r="AR1011" s="13" t="s">
        <v>50</v>
      </c>
      <c r="AS1011" s="13" t="s">
        <v>49</v>
      </c>
      <c r="AT1011" s="13" t="s">
        <v>990</v>
      </c>
      <c r="AU1011" s="13" t="s">
        <v>998</v>
      </c>
      <c r="AV1011" s="14">
        <v>17.63</v>
      </c>
      <c r="AW1011" s="14">
        <v>13.48</v>
      </c>
      <c r="AX1011" s="14">
        <f>Table1347456[[#This Row],[treatment_mean]]/Table1347456[[#This Row],[control_mean]]</f>
        <v>1.3078635014836795</v>
      </c>
      <c r="AY1011" s="14">
        <f>LN(Table1347456[[#This Row],[rr]])</f>
        <v>0.26839489092561786</v>
      </c>
      <c r="AZ1011" s="13">
        <v>3</v>
      </c>
      <c r="BA1011" s="13">
        <v>3</v>
      </c>
      <c r="BB1011" s="14" t="s">
        <v>46</v>
      </c>
      <c r="BC1011" s="14" t="s">
        <v>46</v>
      </c>
      <c r="BD1011" s="15" t="s">
        <v>46</v>
      </c>
      <c r="BE1011" s="14" t="s">
        <v>46</v>
      </c>
      <c r="BF101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11" s="17" t="s">
        <v>46</v>
      </c>
      <c r="BH1011" s="13" t="s">
        <v>50</v>
      </c>
      <c r="BI1011" s="13">
        <v>2.5000000000000001E-2</v>
      </c>
      <c r="BJ1011" s="18">
        <f>ABS(_xlfn.NORM.S.INV(Table1347456[[#This Row],[p_value]]/2))</f>
        <v>2.2414027276049446</v>
      </c>
      <c r="BK1011" s="19">
        <f>(Table1347456[[#This Row],[lnrr]]/Table1347456[[#This Row],[z_from_p]])^2</f>
        <v>1.4338664290775915E-2</v>
      </c>
      <c r="BL1011" s="16">
        <f>Table1347456[[#This Row],[v_from_z_from_p]]</f>
        <v>1.4338664290775915E-2</v>
      </c>
      <c r="BM1011" s="20">
        <f>SQRT(Table1347456[[#This Row],[v]])</f>
        <v>0.119744161823347</v>
      </c>
      <c r="BN1011" s="20">
        <f>Table1347456[[#This Row],[lnrr]]-(1.96*Table1347456[[#This Row],[se]])</f>
        <v>3.3696333751857738E-2</v>
      </c>
      <c r="BO1011" s="20">
        <f>Table1347456[[#This Row],[lnrr]]+(1.96 * Table1347456[[#This Row],[se]])</f>
        <v>0.50309344809937795</v>
      </c>
    </row>
    <row r="1012" spans="1:67">
      <c r="A1012" s="13" t="s">
        <v>334</v>
      </c>
      <c r="B1012" s="13" t="s">
        <v>335</v>
      </c>
      <c r="C1012" s="13" t="s">
        <v>43</v>
      </c>
      <c r="D1012" s="13" t="s">
        <v>336</v>
      </c>
      <c r="E1012" s="13" t="s">
        <v>210</v>
      </c>
      <c r="F1012" s="13" t="s">
        <v>588</v>
      </c>
      <c r="G1012" s="13" t="s">
        <v>337</v>
      </c>
      <c r="H1012" s="13" t="s">
        <v>46</v>
      </c>
      <c r="I1012" s="13" t="s">
        <v>46</v>
      </c>
      <c r="K1012" s="13" t="s">
        <v>912</v>
      </c>
      <c r="L1012" s="13" t="s">
        <v>913</v>
      </c>
      <c r="N1012" s="13" t="s">
        <v>614</v>
      </c>
      <c r="O1012" s="13" t="s">
        <v>614</v>
      </c>
      <c r="P1012" s="13" t="s">
        <v>87</v>
      </c>
      <c r="Q1012" s="13" t="s">
        <v>87</v>
      </c>
      <c r="R1012" s="4">
        <v>3</v>
      </c>
      <c r="S1012" s="13" t="s">
        <v>594</v>
      </c>
      <c r="T1012" s="13">
        <v>365</v>
      </c>
      <c r="U1012" s="4" t="s">
        <v>338</v>
      </c>
      <c r="V1012" s="4">
        <v>350</v>
      </c>
      <c r="W1012" s="4" t="s">
        <v>42</v>
      </c>
      <c r="X1012" s="4" t="s">
        <v>46</v>
      </c>
      <c r="Y1012" s="4">
        <v>20</v>
      </c>
      <c r="AA1012" s="4" t="s">
        <v>49</v>
      </c>
      <c r="AB1012" s="4">
        <v>0</v>
      </c>
      <c r="AC1012" s="4" t="s">
        <v>49</v>
      </c>
      <c r="AD1012" s="4">
        <v>0</v>
      </c>
      <c r="AE1012" s="4" t="s">
        <v>49</v>
      </c>
      <c r="AF1012" s="4">
        <v>0</v>
      </c>
      <c r="AG1012" s="4" t="s">
        <v>46</v>
      </c>
      <c r="AH1012" s="4" t="s">
        <v>719</v>
      </c>
      <c r="AI1012" s="4" t="s">
        <v>297</v>
      </c>
      <c r="AJ1012" s="13">
        <v>0</v>
      </c>
      <c r="AK1012" s="13">
        <v>30</v>
      </c>
      <c r="AP1012" s="13" t="s">
        <v>49</v>
      </c>
      <c r="AQ1012" s="13" t="s">
        <v>49</v>
      </c>
      <c r="AR1012" s="13" t="s">
        <v>50</v>
      </c>
      <c r="AS1012" s="13" t="s">
        <v>49</v>
      </c>
      <c r="AT1012" s="13" t="s">
        <v>990</v>
      </c>
      <c r="AU1012" s="13" t="s">
        <v>998</v>
      </c>
      <c r="AV1012" s="14">
        <v>21.57</v>
      </c>
      <c r="AW1012" s="14">
        <v>13.48</v>
      </c>
      <c r="AX1012" s="14">
        <f>Table1347456[[#This Row],[treatment_mean]]/Table1347456[[#This Row],[control_mean]]</f>
        <v>1.6001483679525221</v>
      </c>
      <c r="AY1012" s="14">
        <f>LN(Table1347456[[#This Row],[rr]])</f>
        <v>0.47009635491690394</v>
      </c>
      <c r="AZ1012" s="13">
        <v>3</v>
      </c>
      <c r="BA1012" s="13">
        <v>3</v>
      </c>
      <c r="BB1012" s="14" t="s">
        <v>46</v>
      </c>
      <c r="BC1012" s="14" t="s">
        <v>46</v>
      </c>
      <c r="BD1012" s="15" t="s">
        <v>46</v>
      </c>
      <c r="BE1012" s="14" t="s">
        <v>46</v>
      </c>
      <c r="BF101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12" s="17" t="s">
        <v>46</v>
      </c>
      <c r="BH1012" s="13" t="s">
        <v>50</v>
      </c>
      <c r="BI1012" s="13">
        <v>2.5000000000000001E-2</v>
      </c>
      <c r="BJ1012" s="18">
        <f>ABS(_xlfn.NORM.S.INV(Table1347456[[#This Row],[p_value]]/2))</f>
        <v>2.2414027276049446</v>
      </c>
      <c r="BK1012" s="19">
        <f>(Table1347456[[#This Row],[lnrr]]/Table1347456[[#This Row],[z_from_p]])^2</f>
        <v>4.3987975576387901E-2</v>
      </c>
      <c r="BL1012" s="16">
        <f>Table1347456[[#This Row],[v_from_z_from_p]]</f>
        <v>4.3987975576387901E-2</v>
      </c>
      <c r="BM1012" s="20">
        <f>SQRT(Table1347456[[#This Row],[v]])</f>
        <v>0.20973310558037303</v>
      </c>
      <c r="BN1012" s="20">
        <f>Table1347456[[#This Row],[lnrr]]-(1.96*Table1347456[[#This Row],[se]])</f>
        <v>5.9019467979372797E-2</v>
      </c>
      <c r="BO1012" s="20">
        <f>Table1347456[[#This Row],[lnrr]]+(1.96 * Table1347456[[#This Row],[se]])</f>
        <v>0.88117324185443513</v>
      </c>
    </row>
    <row r="1013" spans="1:67">
      <c r="A1013" s="13" t="s">
        <v>334</v>
      </c>
      <c r="B1013" s="13" t="s">
        <v>335</v>
      </c>
      <c r="C1013" s="13" t="s">
        <v>43</v>
      </c>
      <c r="D1013" s="13" t="s">
        <v>336</v>
      </c>
      <c r="E1013" s="13" t="s">
        <v>210</v>
      </c>
      <c r="F1013" s="13" t="s">
        <v>588</v>
      </c>
      <c r="G1013" s="13" t="s">
        <v>337</v>
      </c>
      <c r="H1013" s="13" t="s">
        <v>46</v>
      </c>
      <c r="I1013" s="13" t="s">
        <v>46</v>
      </c>
      <c r="K1013" s="13" t="s">
        <v>912</v>
      </c>
      <c r="L1013" s="13" t="s">
        <v>913</v>
      </c>
      <c r="N1013" s="13" t="s">
        <v>614</v>
      </c>
      <c r="O1013" s="13" t="s">
        <v>614</v>
      </c>
      <c r="P1013" s="13" t="s">
        <v>87</v>
      </c>
      <c r="Q1013" s="13" t="s">
        <v>87</v>
      </c>
      <c r="R1013" s="4">
        <v>3</v>
      </c>
      <c r="S1013" s="13" t="s">
        <v>594</v>
      </c>
      <c r="T1013" s="13">
        <v>365</v>
      </c>
      <c r="U1013" s="4" t="s">
        <v>338</v>
      </c>
      <c r="V1013" s="4">
        <v>350</v>
      </c>
      <c r="W1013" s="4" t="s">
        <v>42</v>
      </c>
      <c r="X1013" s="4" t="s">
        <v>46</v>
      </c>
      <c r="Y1013" s="4">
        <v>10</v>
      </c>
      <c r="AA1013" s="4" t="s">
        <v>50</v>
      </c>
      <c r="AB1013" s="4">
        <v>60</v>
      </c>
      <c r="AC1013" s="4" t="s">
        <v>49</v>
      </c>
      <c r="AD1013" s="4">
        <v>0</v>
      </c>
      <c r="AE1013" s="4" t="s">
        <v>49</v>
      </c>
      <c r="AF1013" s="4">
        <v>0</v>
      </c>
      <c r="AG1013" s="4" t="s">
        <v>46</v>
      </c>
      <c r="AH1013" s="4" t="s">
        <v>719</v>
      </c>
      <c r="AI1013" s="4" t="s">
        <v>297</v>
      </c>
      <c r="AJ1013" s="13">
        <v>0</v>
      </c>
      <c r="AK1013" s="13">
        <v>30</v>
      </c>
      <c r="AP1013" s="13" t="s">
        <v>49</v>
      </c>
      <c r="AQ1013" s="13" t="s">
        <v>49</v>
      </c>
      <c r="AR1013" s="13" t="s">
        <v>50</v>
      </c>
      <c r="AS1013" s="13" t="s">
        <v>49</v>
      </c>
      <c r="AT1013" s="13" t="s">
        <v>992</v>
      </c>
      <c r="AU1013" s="4" t="s">
        <v>1000</v>
      </c>
      <c r="AV1013" s="14">
        <v>20.170000000000002</v>
      </c>
      <c r="AW1013" s="14">
        <v>16.96</v>
      </c>
      <c r="AX1013" s="14">
        <f>Table1347456[[#This Row],[treatment_mean]]/Table1347456[[#This Row],[control_mean]]</f>
        <v>1.1892688679245282</v>
      </c>
      <c r="AY1013" s="14">
        <f>LN(Table1347456[[#This Row],[rr]])</f>
        <v>0.17333872160236333</v>
      </c>
      <c r="AZ1013" s="13">
        <v>3</v>
      </c>
      <c r="BA1013" s="13">
        <v>3</v>
      </c>
      <c r="BB1013" s="14" t="s">
        <v>46</v>
      </c>
      <c r="BC1013" s="14" t="s">
        <v>46</v>
      </c>
      <c r="BD1013" s="15" t="s">
        <v>46</v>
      </c>
      <c r="BE1013" s="14" t="s">
        <v>46</v>
      </c>
      <c r="BF101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13" s="17" t="s">
        <v>46</v>
      </c>
      <c r="BH1013" s="13" t="s">
        <v>50</v>
      </c>
      <c r="BI1013" s="13">
        <v>2.5000000000000001E-2</v>
      </c>
      <c r="BJ1013" s="18">
        <f>ABS(_xlfn.NORM.S.INV(Table1347456[[#This Row],[p_value]]/2))</f>
        <v>2.2414027276049446</v>
      </c>
      <c r="BK1013" s="19">
        <f>(Table1347456[[#This Row],[lnrr]]/Table1347456[[#This Row],[z_from_p]])^2</f>
        <v>5.9806912988210944E-3</v>
      </c>
      <c r="BL1013" s="16">
        <f>Table1347456[[#This Row],[v_from_z_from_p]]</f>
        <v>5.9806912988210944E-3</v>
      </c>
      <c r="BM1013" s="20">
        <f>SQRT(Table1347456[[#This Row],[v]])</f>
        <v>7.7334929358092094E-2</v>
      </c>
      <c r="BN1013" s="20">
        <f>Table1347456[[#This Row],[lnrr]]-(1.96*Table1347456[[#This Row],[se]])</f>
        <v>2.176226006050283E-2</v>
      </c>
      <c r="BO1013" s="20">
        <f>Table1347456[[#This Row],[lnrr]]+(1.96 * Table1347456[[#This Row],[se]])</f>
        <v>0.32491518314422385</v>
      </c>
    </row>
    <row r="1014" spans="1:67">
      <c r="A1014" s="13" t="s">
        <v>334</v>
      </c>
      <c r="B1014" s="13" t="s">
        <v>335</v>
      </c>
      <c r="C1014" s="13" t="s">
        <v>43</v>
      </c>
      <c r="D1014" s="13" t="s">
        <v>336</v>
      </c>
      <c r="E1014" s="13" t="s">
        <v>210</v>
      </c>
      <c r="F1014" s="13" t="s">
        <v>588</v>
      </c>
      <c r="G1014" s="13" t="s">
        <v>337</v>
      </c>
      <c r="H1014" s="13" t="s">
        <v>46</v>
      </c>
      <c r="I1014" s="13" t="s">
        <v>46</v>
      </c>
      <c r="K1014" s="13" t="s">
        <v>912</v>
      </c>
      <c r="L1014" s="13" t="s">
        <v>913</v>
      </c>
      <c r="N1014" s="13" t="s">
        <v>614</v>
      </c>
      <c r="O1014" s="13" t="s">
        <v>614</v>
      </c>
      <c r="P1014" s="13" t="s">
        <v>87</v>
      </c>
      <c r="Q1014" s="13" t="s">
        <v>87</v>
      </c>
      <c r="R1014" s="4">
        <v>3</v>
      </c>
      <c r="S1014" s="13" t="s">
        <v>594</v>
      </c>
      <c r="T1014" s="13">
        <v>365</v>
      </c>
      <c r="U1014" s="4" t="s">
        <v>338</v>
      </c>
      <c r="V1014" s="4">
        <v>350</v>
      </c>
      <c r="W1014" s="4" t="s">
        <v>42</v>
      </c>
      <c r="X1014" s="4" t="s">
        <v>46</v>
      </c>
      <c r="Y1014" s="4">
        <v>20</v>
      </c>
      <c r="AA1014" s="4" t="s">
        <v>50</v>
      </c>
      <c r="AB1014" s="4">
        <v>60</v>
      </c>
      <c r="AC1014" s="4" t="s">
        <v>49</v>
      </c>
      <c r="AD1014" s="4">
        <v>0</v>
      </c>
      <c r="AE1014" s="4" t="s">
        <v>49</v>
      </c>
      <c r="AF1014" s="4">
        <v>0</v>
      </c>
      <c r="AG1014" s="4" t="s">
        <v>46</v>
      </c>
      <c r="AH1014" s="4" t="s">
        <v>719</v>
      </c>
      <c r="AI1014" s="4" t="s">
        <v>297</v>
      </c>
      <c r="AJ1014" s="13">
        <v>0</v>
      </c>
      <c r="AK1014" s="13">
        <v>30</v>
      </c>
      <c r="AP1014" s="13" t="s">
        <v>49</v>
      </c>
      <c r="AQ1014" s="13" t="s">
        <v>49</v>
      </c>
      <c r="AR1014" s="13" t="s">
        <v>50</v>
      </c>
      <c r="AS1014" s="13" t="s">
        <v>49</v>
      </c>
      <c r="AT1014" s="13" t="s">
        <v>992</v>
      </c>
      <c r="AU1014" s="4" t="s">
        <v>1000</v>
      </c>
      <c r="AV1014" s="14">
        <v>21.98</v>
      </c>
      <c r="AW1014" s="14">
        <v>16.96</v>
      </c>
      <c r="AX1014" s="14">
        <f>Table1347456[[#This Row],[treatment_mean]]/Table1347456[[#This Row],[control_mean]]</f>
        <v>1.2959905660377358</v>
      </c>
      <c r="AY1014" s="14">
        <f>LN(Table1347456[[#This Row],[rr]])</f>
        <v>0.25927531861171821</v>
      </c>
      <c r="AZ1014" s="13">
        <v>3</v>
      </c>
      <c r="BA1014" s="13">
        <v>3</v>
      </c>
      <c r="BB1014" s="14" t="s">
        <v>46</v>
      </c>
      <c r="BC1014" s="14" t="s">
        <v>46</v>
      </c>
      <c r="BD1014" s="15" t="s">
        <v>46</v>
      </c>
      <c r="BE1014" s="14" t="s">
        <v>46</v>
      </c>
      <c r="BF101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14" s="17" t="s">
        <v>46</v>
      </c>
      <c r="BH1014" s="13" t="s">
        <v>50</v>
      </c>
      <c r="BI1014" s="13">
        <v>2.5000000000000001E-2</v>
      </c>
      <c r="BJ1014" s="18">
        <f>ABS(_xlfn.NORM.S.INV(Table1347456[[#This Row],[p_value]]/2))</f>
        <v>2.2414027276049446</v>
      </c>
      <c r="BK1014" s="19">
        <f>(Table1347456[[#This Row],[lnrr]]/Table1347456[[#This Row],[z_from_p]])^2</f>
        <v>1.3380814838310858E-2</v>
      </c>
      <c r="BL1014" s="16">
        <f>Table1347456[[#This Row],[v_from_z_from_p]]</f>
        <v>1.3380814838310858E-2</v>
      </c>
      <c r="BM1014" s="20">
        <f>SQRT(Table1347456[[#This Row],[v]])</f>
        <v>0.11567547206867521</v>
      </c>
      <c r="BN1014" s="20">
        <f>Table1347456[[#This Row],[lnrr]]-(1.96*Table1347456[[#This Row],[se]])</f>
        <v>3.2551393357114822E-2</v>
      </c>
      <c r="BO1014" s="20">
        <f>Table1347456[[#This Row],[lnrr]]+(1.96 * Table1347456[[#This Row],[se]])</f>
        <v>0.4859992438663216</v>
      </c>
    </row>
    <row r="1015" spans="1:67">
      <c r="A1015" s="13" t="s">
        <v>334</v>
      </c>
      <c r="B1015" s="13" t="s">
        <v>335</v>
      </c>
      <c r="C1015" s="13" t="s">
        <v>43</v>
      </c>
      <c r="D1015" s="13" t="s">
        <v>336</v>
      </c>
      <c r="E1015" s="13" t="s">
        <v>210</v>
      </c>
      <c r="F1015" s="13" t="s">
        <v>588</v>
      </c>
      <c r="G1015" s="13" t="s">
        <v>337</v>
      </c>
      <c r="H1015" s="13" t="s">
        <v>46</v>
      </c>
      <c r="I1015" s="13" t="s">
        <v>46</v>
      </c>
      <c r="K1015" s="13" t="s">
        <v>912</v>
      </c>
      <c r="L1015" s="13" t="s">
        <v>913</v>
      </c>
      <c r="N1015" s="13" t="s">
        <v>614</v>
      </c>
      <c r="O1015" s="13" t="s">
        <v>614</v>
      </c>
      <c r="P1015" s="13" t="s">
        <v>87</v>
      </c>
      <c r="Q1015" s="13" t="s">
        <v>87</v>
      </c>
      <c r="R1015" s="4">
        <v>3</v>
      </c>
      <c r="S1015" s="13" t="s">
        <v>594</v>
      </c>
      <c r="T1015" s="13">
        <v>365</v>
      </c>
      <c r="U1015" s="4" t="s">
        <v>338</v>
      </c>
      <c r="V1015" s="4">
        <v>350</v>
      </c>
      <c r="W1015" s="4" t="s">
        <v>42</v>
      </c>
      <c r="X1015" s="4" t="s">
        <v>46</v>
      </c>
      <c r="Y1015" s="4">
        <v>10</v>
      </c>
      <c r="AA1015" s="4" t="s">
        <v>50</v>
      </c>
      <c r="AB1015" s="4">
        <v>120</v>
      </c>
      <c r="AC1015" s="4" t="s">
        <v>49</v>
      </c>
      <c r="AD1015" s="4">
        <v>0</v>
      </c>
      <c r="AE1015" s="4" t="s">
        <v>49</v>
      </c>
      <c r="AF1015" s="4">
        <v>0</v>
      </c>
      <c r="AG1015" s="4" t="s">
        <v>46</v>
      </c>
      <c r="AH1015" s="4" t="s">
        <v>719</v>
      </c>
      <c r="AI1015" s="4" t="s">
        <v>297</v>
      </c>
      <c r="AJ1015" s="13">
        <v>0</v>
      </c>
      <c r="AK1015" s="13">
        <v>30</v>
      </c>
      <c r="AP1015" s="13" t="s">
        <v>49</v>
      </c>
      <c r="AQ1015" s="13" t="s">
        <v>49</v>
      </c>
      <c r="AR1015" s="13" t="s">
        <v>50</v>
      </c>
      <c r="AS1015" s="13" t="s">
        <v>49</v>
      </c>
      <c r="AT1015" s="13" t="s">
        <v>992</v>
      </c>
      <c r="AU1015" s="4" t="s">
        <v>1000</v>
      </c>
      <c r="AV1015" s="14">
        <v>23.66</v>
      </c>
      <c r="AW1015" s="14">
        <v>15.88</v>
      </c>
      <c r="AX1015" s="14">
        <f>Table1347456[[#This Row],[treatment_mean]]/Table1347456[[#This Row],[control_mean]]</f>
        <v>1.4899244332493702</v>
      </c>
      <c r="AY1015" s="14">
        <f>LN(Table1347456[[#This Row],[rr]])</f>
        <v>0.39872540273125101</v>
      </c>
      <c r="AZ1015" s="13">
        <v>3</v>
      </c>
      <c r="BA1015" s="13">
        <v>3</v>
      </c>
      <c r="BB1015" s="14" t="s">
        <v>46</v>
      </c>
      <c r="BC1015" s="14" t="s">
        <v>46</v>
      </c>
      <c r="BD1015" s="15" t="s">
        <v>46</v>
      </c>
      <c r="BE1015" s="14" t="s">
        <v>46</v>
      </c>
      <c r="BF101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15" s="17" t="s">
        <v>46</v>
      </c>
      <c r="BH1015" s="13" t="s">
        <v>50</v>
      </c>
      <c r="BI1015" s="13">
        <v>2.5000000000000001E-2</v>
      </c>
      <c r="BJ1015" s="18">
        <f>ABS(_xlfn.NORM.S.INV(Table1347456[[#This Row],[p_value]]/2))</f>
        <v>2.2414027276049446</v>
      </c>
      <c r="BK1015" s="19">
        <f>(Table1347456[[#This Row],[lnrr]]/Table1347456[[#This Row],[z_from_p]])^2</f>
        <v>3.1645212661190747E-2</v>
      </c>
      <c r="BL1015" s="16">
        <f>Table1347456[[#This Row],[v_from_z_from_p]]</f>
        <v>3.1645212661190747E-2</v>
      </c>
      <c r="BM1015" s="20">
        <f>SQRT(Table1347456[[#This Row],[v]])</f>
        <v>0.17789101343572908</v>
      </c>
      <c r="BN1015" s="20">
        <f>Table1347456[[#This Row],[lnrr]]-(1.96*Table1347456[[#This Row],[se]])</f>
        <v>5.0059016397222045E-2</v>
      </c>
      <c r="BO1015" s="20">
        <f>Table1347456[[#This Row],[lnrr]]+(1.96 * Table1347456[[#This Row],[se]])</f>
        <v>0.74739178906527992</v>
      </c>
    </row>
    <row r="1016" spans="1:67">
      <c r="A1016" s="13" t="s">
        <v>334</v>
      </c>
      <c r="B1016" s="13" t="s">
        <v>335</v>
      </c>
      <c r="C1016" s="13" t="s">
        <v>43</v>
      </c>
      <c r="D1016" s="13" t="s">
        <v>336</v>
      </c>
      <c r="E1016" s="13" t="s">
        <v>210</v>
      </c>
      <c r="F1016" s="13" t="s">
        <v>588</v>
      </c>
      <c r="G1016" s="13" t="s">
        <v>337</v>
      </c>
      <c r="H1016" s="13" t="s">
        <v>46</v>
      </c>
      <c r="I1016" s="13" t="s">
        <v>46</v>
      </c>
      <c r="K1016" s="13" t="s">
        <v>912</v>
      </c>
      <c r="L1016" s="13" t="s">
        <v>913</v>
      </c>
      <c r="N1016" s="13" t="s">
        <v>614</v>
      </c>
      <c r="O1016" s="13" t="s">
        <v>614</v>
      </c>
      <c r="P1016" s="13" t="s">
        <v>87</v>
      </c>
      <c r="Q1016" s="13" t="s">
        <v>87</v>
      </c>
      <c r="R1016" s="4">
        <v>3</v>
      </c>
      <c r="S1016" s="13" t="s">
        <v>594</v>
      </c>
      <c r="T1016" s="13">
        <v>365</v>
      </c>
      <c r="U1016" s="4" t="s">
        <v>338</v>
      </c>
      <c r="V1016" s="4">
        <v>350</v>
      </c>
      <c r="W1016" s="4" t="s">
        <v>42</v>
      </c>
      <c r="X1016" s="4" t="s">
        <v>46</v>
      </c>
      <c r="Y1016" s="4">
        <v>20</v>
      </c>
      <c r="AA1016" s="4" t="s">
        <v>50</v>
      </c>
      <c r="AB1016" s="4">
        <v>120</v>
      </c>
      <c r="AC1016" s="4" t="s">
        <v>49</v>
      </c>
      <c r="AD1016" s="4">
        <v>0</v>
      </c>
      <c r="AE1016" s="4" t="s">
        <v>49</v>
      </c>
      <c r="AF1016" s="4">
        <v>0</v>
      </c>
      <c r="AG1016" s="4" t="s">
        <v>46</v>
      </c>
      <c r="AH1016" s="4" t="s">
        <v>719</v>
      </c>
      <c r="AI1016" s="4" t="s">
        <v>297</v>
      </c>
      <c r="AJ1016" s="13">
        <v>0</v>
      </c>
      <c r="AK1016" s="13">
        <v>30</v>
      </c>
      <c r="AP1016" s="13" t="s">
        <v>49</v>
      </c>
      <c r="AQ1016" s="13" t="s">
        <v>49</v>
      </c>
      <c r="AR1016" s="13" t="s">
        <v>50</v>
      </c>
      <c r="AS1016" s="13" t="s">
        <v>49</v>
      </c>
      <c r="AT1016" s="13" t="s">
        <v>992</v>
      </c>
      <c r="AU1016" s="4" t="s">
        <v>1000</v>
      </c>
      <c r="AV1016" s="14">
        <v>21.09</v>
      </c>
      <c r="AW1016" s="14">
        <v>15.88</v>
      </c>
      <c r="AX1016" s="14">
        <f>Table1347456[[#This Row],[treatment_mean]]/Table1347456[[#This Row],[control_mean]]</f>
        <v>1.3280856423173804</v>
      </c>
      <c r="AY1016" s="14">
        <f>LN(Table1347456[[#This Row],[rr]])</f>
        <v>0.28373853867169357</v>
      </c>
      <c r="AZ1016" s="13">
        <v>3</v>
      </c>
      <c r="BA1016" s="13">
        <v>3</v>
      </c>
      <c r="BB1016" s="14" t="s">
        <v>46</v>
      </c>
      <c r="BC1016" s="14" t="s">
        <v>46</v>
      </c>
      <c r="BD1016" s="15" t="s">
        <v>46</v>
      </c>
      <c r="BE1016" s="14" t="s">
        <v>46</v>
      </c>
      <c r="BF101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16" s="17" t="s">
        <v>46</v>
      </c>
      <c r="BH1016" s="13" t="s">
        <v>50</v>
      </c>
      <c r="BI1016" s="13">
        <v>2.5000000000000001E-2</v>
      </c>
      <c r="BJ1016" s="18">
        <f>ABS(_xlfn.NORM.S.INV(Table1347456[[#This Row],[p_value]]/2))</f>
        <v>2.2414027276049446</v>
      </c>
      <c r="BK1016" s="19">
        <f>(Table1347456[[#This Row],[lnrr]]/Table1347456[[#This Row],[z_from_p]])^2</f>
        <v>1.602495664229547E-2</v>
      </c>
      <c r="BL1016" s="16">
        <f>Table1347456[[#This Row],[v_from_z_from_p]]</f>
        <v>1.602495664229547E-2</v>
      </c>
      <c r="BM1016" s="20">
        <f>SQRT(Table1347456[[#This Row],[v]])</f>
        <v>0.12658971775896916</v>
      </c>
      <c r="BN1016" s="20">
        <f>Table1347456[[#This Row],[lnrr]]-(1.96*Table1347456[[#This Row],[se]])</f>
        <v>3.5622691864114042E-2</v>
      </c>
      <c r="BO1016" s="20">
        <f>Table1347456[[#This Row],[lnrr]]+(1.96 * Table1347456[[#This Row],[se]])</f>
        <v>0.53185438547927311</v>
      </c>
    </row>
    <row r="1017" spans="1:67">
      <c r="A1017" s="13" t="s">
        <v>334</v>
      </c>
      <c r="B1017" s="13" t="s">
        <v>335</v>
      </c>
      <c r="C1017" s="13" t="s">
        <v>43</v>
      </c>
      <c r="D1017" s="13" t="s">
        <v>336</v>
      </c>
      <c r="E1017" s="13" t="s">
        <v>210</v>
      </c>
      <c r="F1017" s="13" t="s">
        <v>588</v>
      </c>
      <c r="G1017" s="13" t="s">
        <v>337</v>
      </c>
      <c r="H1017" s="13" t="s">
        <v>46</v>
      </c>
      <c r="I1017" s="13" t="s">
        <v>46</v>
      </c>
      <c r="K1017" s="13" t="s">
        <v>912</v>
      </c>
      <c r="L1017" s="13" t="s">
        <v>913</v>
      </c>
      <c r="N1017" s="13" t="s">
        <v>81</v>
      </c>
      <c r="O1017" s="13" t="s">
        <v>82</v>
      </c>
      <c r="P1017" s="13" t="s">
        <v>83</v>
      </c>
      <c r="Q1017" s="13" t="s">
        <v>83</v>
      </c>
      <c r="R1017" s="4">
        <v>3</v>
      </c>
      <c r="S1017" s="13" t="s">
        <v>594</v>
      </c>
      <c r="T1017" s="13">
        <v>365</v>
      </c>
      <c r="U1017" s="4" t="s">
        <v>338</v>
      </c>
      <c r="V1017" s="4">
        <v>350</v>
      </c>
      <c r="W1017" s="4" t="s">
        <v>42</v>
      </c>
      <c r="X1017" s="4" t="s">
        <v>46</v>
      </c>
      <c r="Y1017" s="4">
        <v>10</v>
      </c>
      <c r="AA1017" s="4" t="s">
        <v>49</v>
      </c>
      <c r="AB1017" s="4">
        <v>0</v>
      </c>
      <c r="AC1017" s="4" t="s">
        <v>49</v>
      </c>
      <c r="AD1017" s="4">
        <v>0</v>
      </c>
      <c r="AE1017" s="4" t="s">
        <v>49</v>
      </c>
      <c r="AF1017" s="4">
        <v>0</v>
      </c>
      <c r="AG1017" s="4" t="s">
        <v>46</v>
      </c>
      <c r="AH1017" s="4" t="s">
        <v>719</v>
      </c>
      <c r="AI1017" s="4" t="s">
        <v>297</v>
      </c>
      <c r="AJ1017" s="13">
        <v>0</v>
      </c>
      <c r="AK1017" s="13">
        <v>30</v>
      </c>
      <c r="AP1017" s="13" t="s">
        <v>49</v>
      </c>
      <c r="AQ1017" s="13" t="s">
        <v>49</v>
      </c>
      <c r="AR1017" s="13" t="s">
        <v>50</v>
      </c>
      <c r="AS1017" s="13" t="s">
        <v>49</v>
      </c>
      <c r="AT1017" s="13" t="s">
        <v>990</v>
      </c>
      <c r="AU1017" s="13" t="s">
        <v>998</v>
      </c>
      <c r="AV1017" s="14">
        <v>3.47</v>
      </c>
      <c r="AW1017" s="14">
        <v>4.59</v>
      </c>
      <c r="AX1017" s="14">
        <f>Table1347456[[#This Row],[treatment_mean]]/Table1347456[[#This Row],[control_mean]]</f>
        <v>0.75599128540305016</v>
      </c>
      <c r="AY1017" s="14">
        <f>LN(Table1347456[[#This Row],[rr]])</f>
        <v>-0.27972543011368589</v>
      </c>
      <c r="AZ1017" s="13">
        <v>3</v>
      </c>
      <c r="BA1017" s="13">
        <v>3</v>
      </c>
      <c r="BB1017" s="14" t="s">
        <v>46</v>
      </c>
      <c r="BC1017" s="14" t="s">
        <v>46</v>
      </c>
      <c r="BD1017" s="15" t="s">
        <v>46</v>
      </c>
      <c r="BE1017" s="14" t="s">
        <v>46</v>
      </c>
      <c r="BF101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17" s="17" t="s">
        <v>46</v>
      </c>
      <c r="BH1017" s="13" t="s">
        <v>50</v>
      </c>
      <c r="BI1017" s="13">
        <v>2.5000000000000001E-2</v>
      </c>
      <c r="BJ1017" s="18">
        <f>ABS(_xlfn.NORM.S.INV(Table1347456[[#This Row],[p_value]]/2))</f>
        <v>2.2414027276049446</v>
      </c>
      <c r="BK1017" s="19">
        <f>(Table1347456[[#This Row],[lnrr]]/Table1347456[[#This Row],[z_from_p]])^2</f>
        <v>1.5574858453174245E-2</v>
      </c>
      <c r="BL1017" s="16">
        <f>Table1347456[[#This Row],[v_from_z_from_p]]</f>
        <v>1.5574858453174245E-2</v>
      </c>
      <c r="BM1017" s="20">
        <f>SQRT(Table1347456[[#This Row],[v]])</f>
        <v>0.12479927264681571</v>
      </c>
      <c r="BN1017" s="20">
        <f>Table1347456[[#This Row],[lnrr]]-(1.96*Table1347456[[#This Row],[se]])</f>
        <v>-0.52433200450144468</v>
      </c>
      <c r="BO1017" s="20">
        <f>Table1347456[[#This Row],[lnrr]]+(1.96 * Table1347456[[#This Row],[se]])</f>
        <v>-3.5118855725927101E-2</v>
      </c>
    </row>
    <row r="1018" spans="1:67">
      <c r="A1018" s="13" t="s">
        <v>334</v>
      </c>
      <c r="B1018" s="13" t="s">
        <v>335</v>
      </c>
      <c r="C1018" s="13" t="s">
        <v>43</v>
      </c>
      <c r="D1018" s="13" t="s">
        <v>336</v>
      </c>
      <c r="E1018" s="13" t="s">
        <v>210</v>
      </c>
      <c r="F1018" s="13" t="s">
        <v>588</v>
      </c>
      <c r="G1018" s="13" t="s">
        <v>337</v>
      </c>
      <c r="H1018" s="13" t="s">
        <v>46</v>
      </c>
      <c r="I1018" s="13" t="s">
        <v>46</v>
      </c>
      <c r="K1018" s="13" t="s">
        <v>912</v>
      </c>
      <c r="L1018" s="13" t="s">
        <v>913</v>
      </c>
      <c r="N1018" s="13" t="s">
        <v>81</v>
      </c>
      <c r="O1018" s="13" t="s">
        <v>82</v>
      </c>
      <c r="P1018" s="13" t="s">
        <v>83</v>
      </c>
      <c r="Q1018" s="13" t="s">
        <v>83</v>
      </c>
      <c r="R1018" s="4">
        <v>3</v>
      </c>
      <c r="S1018" s="13" t="s">
        <v>594</v>
      </c>
      <c r="T1018" s="13">
        <v>365</v>
      </c>
      <c r="U1018" s="4" t="s">
        <v>338</v>
      </c>
      <c r="V1018" s="4">
        <v>350</v>
      </c>
      <c r="W1018" s="4" t="s">
        <v>42</v>
      </c>
      <c r="X1018" s="4" t="s">
        <v>46</v>
      </c>
      <c r="Y1018" s="4">
        <v>20</v>
      </c>
      <c r="AA1018" s="4" t="s">
        <v>49</v>
      </c>
      <c r="AB1018" s="4">
        <v>0</v>
      </c>
      <c r="AC1018" s="4" t="s">
        <v>49</v>
      </c>
      <c r="AD1018" s="4">
        <v>0</v>
      </c>
      <c r="AE1018" s="4" t="s">
        <v>49</v>
      </c>
      <c r="AF1018" s="4">
        <v>0</v>
      </c>
      <c r="AG1018" s="4" t="s">
        <v>46</v>
      </c>
      <c r="AH1018" s="4" t="s">
        <v>719</v>
      </c>
      <c r="AI1018" s="4" t="s">
        <v>297</v>
      </c>
      <c r="AJ1018" s="13">
        <v>0</v>
      </c>
      <c r="AK1018" s="13">
        <v>30</v>
      </c>
      <c r="AP1018" s="13" t="s">
        <v>49</v>
      </c>
      <c r="AQ1018" s="13" t="s">
        <v>49</v>
      </c>
      <c r="AR1018" s="13" t="s">
        <v>50</v>
      </c>
      <c r="AS1018" s="13" t="s">
        <v>49</v>
      </c>
      <c r="AT1018" s="13" t="s">
        <v>990</v>
      </c>
      <c r="AU1018" s="13" t="s">
        <v>998</v>
      </c>
      <c r="AV1018" s="14">
        <v>4.7300000000000004</v>
      </c>
      <c r="AW1018" s="14">
        <v>4.59</v>
      </c>
      <c r="AX1018" s="14">
        <f>Table1347456[[#This Row],[treatment_mean]]/Table1347456[[#This Row],[control_mean]]</f>
        <v>1.0305010893246189</v>
      </c>
      <c r="AY1018" s="14">
        <f>LN(Table1347456[[#This Row],[rr]])</f>
        <v>3.0045178431387994E-2</v>
      </c>
      <c r="AZ1018" s="13">
        <v>3</v>
      </c>
      <c r="BA1018" s="13">
        <v>3</v>
      </c>
      <c r="BB1018" s="14" t="s">
        <v>46</v>
      </c>
      <c r="BC1018" s="14" t="s">
        <v>46</v>
      </c>
      <c r="BD1018" s="15" t="s">
        <v>46</v>
      </c>
      <c r="BE1018" s="14" t="s">
        <v>46</v>
      </c>
      <c r="BF101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18" s="17" t="s">
        <v>46</v>
      </c>
      <c r="BH1018" s="13" t="s">
        <v>50</v>
      </c>
      <c r="BI1018" s="13">
        <v>2.5000000000000001E-2</v>
      </c>
      <c r="BJ1018" s="18">
        <f>ABS(_xlfn.NORM.S.INV(Table1347456[[#This Row],[p_value]]/2))</f>
        <v>2.2414027276049446</v>
      </c>
      <c r="BK1018" s="19">
        <f>(Table1347456[[#This Row],[lnrr]]/Table1347456[[#This Row],[z_from_p]])^2</f>
        <v>1.7968415551555613E-4</v>
      </c>
      <c r="BL1018" s="16">
        <f>Table1347456[[#This Row],[v_from_z_from_p]]</f>
        <v>1.7968415551555613E-4</v>
      </c>
      <c r="BM1018" s="20">
        <f>SQRT(Table1347456[[#This Row],[v]])</f>
        <v>1.3404631867961019E-2</v>
      </c>
      <c r="BN1018" s="20">
        <f>Table1347456[[#This Row],[lnrr]]-(1.96*Table1347456[[#This Row],[se]])</f>
        <v>3.7720999701843956E-3</v>
      </c>
      <c r="BO1018" s="20">
        <f>Table1347456[[#This Row],[lnrr]]+(1.96 * Table1347456[[#This Row],[se]])</f>
        <v>5.6318256892591595E-2</v>
      </c>
    </row>
    <row r="1019" spans="1:67">
      <c r="A1019" s="13" t="s">
        <v>334</v>
      </c>
      <c r="B1019" s="13" t="s">
        <v>335</v>
      </c>
      <c r="C1019" s="13" t="s">
        <v>43</v>
      </c>
      <c r="D1019" s="13" t="s">
        <v>336</v>
      </c>
      <c r="E1019" s="13" t="s">
        <v>210</v>
      </c>
      <c r="F1019" s="13" t="s">
        <v>588</v>
      </c>
      <c r="G1019" s="13" t="s">
        <v>337</v>
      </c>
      <c r="H1019" s="13" t="s">
        <v>46</v>
      </c>
      <c r="I1019" s="13" t="s">
        <v>46</v>
      </c>
      <c r="K1019" s="13" t="s">
        <v>912</v>
      </c>
      <c r="L1019" s="13" t="s">
        <v>913</v>
      </c>
      <c r="N1019" s="13" t="s">
        <v>81</v>
      </c>
      <c r="O1019" s="13" t="s">
        <v>82</v>
      </c>
      <c r="P1019" s="13" t="s">
        <v>83</v>
      </c>
      <c r="Q1019" s="13" t="s">
        <v>83</v>
      </c>
      <c r="R1019" s="4">
        <v>3</v>
      </c>
      <c r="S1019" s="13" t="s">
        <v>594</v>
      </c>
      <c r="T1019" s="13">
        <v>365</v>
      </c>
      <c r="U1019" s="4" t="s">
        <v>338</v>
      </c>
      <c r="V1019" s="4">
        <v>350</v>
      </c>
      <c r="W1019" s="4" t="s">
        <v>42</v>
      </c>
      <c r="X1019" s="4" t="s">
        <v>46</v>
      </c>
      <c r="Y1019" s="4">
        <v>10</v>
      </c>
      <c r="AA1019" s="4" t="s">
        <v>50</v>
      </c>
      <c r="AB1019" s="4">
        <v>60</v>
      </c>
      <c r="AC1019" s="4" t="s">
        <v>49</v>
      </c>
      <c r="AD1019" s="4">
        <v>0</v>
      </c>
      <c r="AE1019" s="4" t="s">
        <v>49</v>
      </c>
      <c r="AF1019" s="4">
        <v>0</v>
      </c>
      <c r="AG1019" s="4" t="s">
        <v>46</v>
      </c>
      <c r="AH1019" s="4" t="s">
        <v>719</v>
      </c>
      <c r="AI1019" s="4" t="s">
        <v>297</v>
      </c>
      <c r="AJ1019" s="13">
        <v>0</v>
      </c>
      <c r="AK1019" s="13">
        <v>30</v>
      </c>
      <c r="AP1019" s="13" t="s">
        <v>49</v>
      </c>
      <c r="AQ1019" s="13" t="s">
        <v>49</v>
      </c>
      <c r="AR1019" s="13" t="s">
        <v>50</v>
      </c>
      <c r="AS1019" s="13" t="s">
        <v>49</v>
      </c>
      <c r="AT1019" s="13" t="s">
        <v>992</v>
      </c>
      <c r="AU1019" s="4" t="s">
        <v>1000</v>
      </c>
      <c r="AV1019" s="14">
        <v>4.3810000000000002</v>
      </c>
      <c r="AW1019" s="14">
        <v>4.38</v>
      </c>
      <c r="AX1019" s="14">
        <f>Table1347456[[#This Row],[treatment_mean]]/Table1347456[[#This Row],[control_mean]]</f>
        <v>1.0002283105022831</v>
      </c>
      <c r="AY1019" s="17">
        <f>LN(Table1347456[[#This Row],[rr]])</f>
        <v>2.2828444340665494E-4</v>
      </c>
      <c r="AZ1019" s="13">
        <v>3</v>
      </c>
      <c r="BA1019" s="13">
        <v>3</v>
      </c>
      <c r="BB1019" s="14" t="s">
        <v>46</v>
      </c>
      <c r="BC1019" s="14" t="s">
        <v>46</v>
      </c>
      <c r="BD1019" s="15" t="s">
        <v>46</v>
      </c>
      <c r="BE1019" s="14" t="s">
        <v>46</v>
      </c>
      <c r="BF101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19" s="17" t="s">
        <v>46</v>
      </c>
      <c r="BH1019" s="13" t="s">
        <v>50</v>
      </c>
      <c r="BI1019" s="13">
        <v>2.5000000000000001E-2</v>
      </c>
      <c r="BJ1019" s="18">
        <f>ABS(_xlfn.NORM.S.INV(Table1347456[[#This Row],[p_value]]/2))</f>
        <v>2.2414027276049446</v>
      </c>
      <c r="BK1019" s="19">
        <f>(Table1347456[[#This Row],[lnrr]]/Table1347456[[#This Row],[z_from_p]])^2</f>
        <v>1.037320217027836E-8</v>
      </c>
      <c r="BL1019" s="16">
        <f>Table1347456[[#This Row],[v_from_z_from_p]]</f>
        <v>1.037320217027836E-8</v>
      </c>
      <c r="BM1019" s="20">
        <f>SQRT(Table1347456[[#This Row],[v]])</f>
        <v>1.0184891835595682E-4</v>
      </c>
      <c r="BN1019" s="20">
        <f>Table1347456[[#This Row],[lnrr]]-(1.96*Table1347456[[#This Row],[se]])</f>
        <v>2.8660563428979565E-5</v>
      </c>
      <c r="BO1019" s="20">
        <f>Table1347456[[#This Row],[lnrr]]+(1.96 * Table1347456[[#This Row],[se]])</f>
        <v>4.2790832338433034E-4</v>
      </c>
    </row>
    <row r="1020" spans="1:67">
      <c r="A1020" s="13" t="s">
        <v>334</v>
      </c>
      <c r="B1020" s="13" t="s">
        <v>335</v>
      </c>
      <c r="C1020" s="13" t="s">
        <v>43</v>
      </c>
      <c r="D1020" s="13" t="s">
        <v>336</v>
      </c>
      <c r="E1020" s="13" t="s">
        <v>210</v>
      </c>
      <c r="F1020" s="13" t="s">
        <v>588</v>
      </c>
      <c r="G1020" s="13" t="s">
        <v>337</v>
      </c>
      <c r="H1020" s="13" t="s">
        <v>46</v>
      </c>
      <c r="I1020" s="13" t="s">
        <v>46</v>
      </c>
      <c r="K1020" s="13" t="s">
        <v>912</v>
      </c>
      <c r="L1020" s="13" t="s">
        <v>913</v>
      </c>
      <c r="N1020" s="13" t="s">
        <v>81</v>
      </c>
      <c r="O1020" s="13" t="s">
        <v>82</v>
      </c>
      <c r="P1020" s="13" t="s">
        <v>83</v>
      </c>
      <c r="Q1020" s="13" t="s">
        <v>83</v>
      </c>
      <c r="R1020" s="4">
        <v>3</v>
      </c>
      <c r="S1020" s="13" t="s">
        <v>594</v>
      </c>
      <c r="T1020" s="13">
        <v>365</v>
      </c>
      <c r="U1020" s="4" t="s">
        <v>338</v>
      </c>
      <c r="V1020" s="4">
        <v>350</v>
      </c>
      <c r="W1020" s="4" t="s">
        <v>42</v>
      </c>
      <c r="X1020" s="4" t="s">
        <v>46</v>
      </c>
      <c r="Y1020" s="4">
        <v>20</v>
      </c>
      <c r="AA1020" s="4" t="s">
        <v>50</v>
      </c>
      <c r="AB1020" s="4">
        <v>60</v>
      </c>
      <c r="AC1020" s="4" t="s">
        <v>49</v>
      </c>
      <c r="AD1020" s="4">
        <v>0</v>
      </c>
      <c r="AE1020" s="4" t="s">
        <v>49</v>
      </c>
      <c r="AF1020" s="4">
        <v>0</v>
      </c>
      <c r="AG1020" s="4" t="s">
        <v>46</v>
      </c>
      <c r="AH1020" s="4" t="s">
        <v>719</v>
      </c>
      <c r="AI1020" s="4" t="s">
        <v>297</v>
      </c>
      <c r="AJ1020" s="13">
        <v>0</v>
      </c>
      <c r="AK1020" s="13">
        <v>30</v>
      </c>
      <c r="AP1020" s="13" t="s">
        <v>49</v>
      </c>
      <c r="AQ1020" s="13" t="s">
        <v>49</v>
      </c>
      <c r="AR1020" s="13" t="s">
        <v>50</v>
      </c>
      <c r="AS1020" s="13" t="s">
        <v>49</v>
      </c>
      <c r="AT1020" s="13" t="s">
        <v>992</v>
      </c>
      <c r="AU1020" s="4" t="s">
        <v>1000</v>
      </c>
      <c r="AV1020" s="14">
        <v>4.3810000000000002</v>
      </c>
      <c r="AW1020" s="14">
        <v>4.38</v>
      </c>
      <c r="AX1020" s="14">
        <f>Table1347456[[#This Row],[treatment_mean]]/Table1347456[[#This Row],[control_mean]]</f>
        <v>1.0002283105022831</v>
      </c>
      <c r="AY1020" s="17">
        <f>LN(Table1347456[[#This Row],[rr]])</f>
        <v>2.2828444340665494E-4</v>
      </c>
      <c r="AZ1020" s="13">
        <v>3</v>
      </c>
      <c r="BA1020" s="13">
        <v>3</v>
      </c>
      <c r="BB1020" s="14" t="s">
        <v>46</v>
      </c>
      <c r="BC1020" s="14" t="s">
        <v>46</v>
      </c>
      <c r="BD1020" s="15" t="s">
        <v>46</v>
      </c>
      <c r="BE1020" s="14" t="s">
        <v>46</v>
      </c>
      <c r="BF102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20" s="17" t="s">
        <v>46</v>
      </c>
      <c r="BH1020" s="13" t="s">
        <v>50</v>
      </c>
      <c r="BI1020" s="13">
        <v>2.5000000000000001E-2</v>
      </c>
      <c r="BJ1020" s="18">
        <f>ABS(_xlfn.NORM.S.INV(Table1347456[[#This Row],[p_value]]/2))</f>
        <v>2.2414027276049446</v>
      </c>
      <c r="BK1020" s="19">
        <f>(Table1347456[[#This Row],[lnrr]]/Table1347456[[#This Row],[z_from_p]])^2</f>
        <v>1.037320217027836E-8</v>
      </c>
      <c r="BL1020" s="16">
        <f>Table1347456[[#This Row],[v_from_z_from_p]]</f>
        <v>1.037320217027836E-8</v>
      </c>
      <c r="BM1020" s="20">
        <f>SQRT(Table1347456[[#This Row],[v]])</f>
        <v>1.0184891835595682E-4</v>
      </c>
      <c r="BN1020" s="20">
        <f>Table1347456[[#This Row],[lnrr]]-(1.96*Table1347456[[#This Row],[se]])</f>
        <v>2.8660563428979565E-5</v>
      </c>
      <c r="BO1020" s="20">
        <f>Table1347456[[#This Row],[lnrr]]+(1.96 * Table1347456[[#This Row],[se]])</f>
        <v>4.2790832338433034E-4</v>
      </c>
    </row>
    <row r="1021" spans="1:67">
      <c r="A1021" s="13" t="s">
        <v>334</v>
      </c>
      <c r="B1021" s="13" t="s">
        <v>335</v>
      </c>
      <c r="C1021" s="13" t="s">
        <v>43</v>
      </c>
      <c r="D1021" s="13" t="s">
        <v>336</v>
      </c>
      <c r="E1021" s="13" t="s">
        <v>210</v>
      </c>
      <c r="F1021" s="13" t="s">
        <v>588</v>
      </c>
      <c r="G1021" s="13" t="s">
        <v>337</v>
      </c>
      <c r="H1021" s="13" t="s">
        <v>46</v>
      </c>
      <c r="I1021" s="13" t="s">
        <v>46</v>
      </c>
      <c r="K1021" s="13" t="s">
        <v>912</v>
      </c>
      <c r="L1021" s="13" t="s">
        <v>913</v>
      </c>
      <c r="N1021" s="13" t="s">
        <v>81</v>
      </c>
      <c r="O1021" s="13" t="s">
        <v>82</v>
      </c>
      <c r="P1021" s="13" t="s">
        <v>83</v>
      </c>
      <c r="Q1021" s="13" t="s">
        <v>83</v>
      </c>
      <c r="R1021" s="4">
        <v>3</v>
      </c>
      <c r="S1021" s="13" t="s">
        <v>594</v>
      </c>
      <c r="T1021" s="13">
        <v>365</v>
      </c>
      <c r="U1021" s="4" t="s">
        <v>338</v>
      </c>
      <c r="V1021" s="4">
        <v>350</v>
      </c>
      <c r="W1021" s="4" t="s">
        <v>42</v>
      </c>
      <c r="X1021" s="4" t="s">
        <v>46</v>
      </c>
      <c r="Y1021" s="4">
        <v>10</v>
      </c>
      <c r="AA1021" s="4" t="s">
        <v>50</v>
      </c>
      <c r="AB1021" s="4">
        <v>120</v>
      </c>
      <c r="AC1021" s="4" t="s">
        <v>49</v>
      </c>
      <c r="AD1021" s="4">
        <v>0</v>
      </c>
      <c r="AE1021" s="4" t="s">
        <v>49</v>
      </c>
      <c r="AF1021" s="4">
        <v>0</v>
      </c>
      <c r="AG1021" s="4" t="s">
        <v>46</v>
      </c>
      <c r="AH1021" s="4" t="s">
        <v>719</v>
      </c>
      <c r="AI1021" s="4" t="s">
        <v>297</v>
      </c>
      <c r="AJ1021" s="13">
        <v>0</v>
      </c>
      <c r="AK1021" s="13">
        <v>30</v>
      </c>
      <c r="AP1021" s="13" t="s">
        <v>49</v>
      </c>
      <c r="AQ1021" s="13" t="s">
        <v>49</v>
      </c>
      <c r="AR1021" s="13" t="s">
        <v>50</v>
      </c>
      <c r="AS1021" s="13" t="s">
        <v>49</v>
      </c>
      <c r="AT1021" s="13" t="s">
        <v>992</v>
      </c>
      <c r="AU1021" s="4" t="s">
        <v>1000</v>
      </c>
      <c r="AV1021" s="14">
        <v>4.82</v>
      </c>
      <c r="AW1021" s="14">
        <v>5.39</v>
      </c>
      <c r="AX1021" s="14">
        <f>Table1347456[[#This Row],[treatment_mean]]/Table1347456[[#This Row],[control_mean]]</f>
        <v>0.89424860853432298</v>
      </c>
      <c r="AY1021" s="14">
        <f>LN(Table1347456[[#This Row],[rr]])</f>
        <v>-0.11177145685839668</v>
      </c>
      <c r="AZ1021" s="13">
        <v>3</v>
      </c>
      <c r="BA1021" s="13">
        <v>3</v>
      </c>
      <c r="BB1021" s="14" t="s">
        <v>46</v>
      </c>
      <c r="BC1021" s="14" t="s">
        <v>46</v>
      </c>
      <c r="BD1021" s="15" t="s">
        <v>46</v>
      </c>
      <c r="BE1021" s="14" t="s">
        <v>46</v>
      </c>
      <c r="BF102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21" s="17" t="s">
        <v>46</v>
      </c>
      <c r="BH1021" s="13" t="s">
        <v>50</v>
      </c>
      <c r="BI1021" s="13">
        <v>2.5000000000000001E-2</v>
      </c>
      <c r="BJ1021" s="18">
        <f>ABS(_xlfn.NORM.S.INV(Table1347456[[#This Row],[p_value]]/2))</f>
        <v>2.2414027276049446</v>
      </c>
      <c r="BK1021" s="19">
        <f>(Table1347456[[#This Row],[lnrr]]/Table1347456[[#This Row],[z_from_p]])^2</f>
        <v>2.4866921945390415E-3</v>
      </c>
      <c r="BL1021" s="16">
        <f>Table1347456[[#This Row],[v_from_z_from_p]]</f>
        <v>2.4866921945390415E-3</v>
      </c>
      <c r="BM1021" s="20">
        <f>SQRT(Table1347456[[#This Row],[v]])</f>
        <v>4.9866744374773869E-2</v>
      </c>
      <c r="BN1021" s="20">
        <f>Table1347456[[#This Row],[lnrr]]-(1.96*Table1347456[[#This Row],[se]])</f>
        <v>-0.20951027583295345</v>
      </c>
      <c r="BO1021" s="20">
        <f>Table1347456[[#This Row],[lnrr]]+(1.96 * Table1347456[[#This Row],[se]])</f>
        <v>-1.4032637883839891E-2</v>
      </c>
    </row>
    <row r="1022" spans="1:67">
      <c r="A1022" s="13" t="s">
        <v>334</v>
      </c>
      <c r="B1022" s="13" t="s">
        <v>335</v>
      </c>
      <c r="C1022" s="13" t="s">
        <v>43</v>
      </c>
      <c r="D1022" s="13" t="s">
        <v>336</v>
      </c>
      <c r="E1022" s="13" t="s">
        <v>210</v>
      </c>
      <c r="F1022" s="13" t="s">
        <v>588</v>
      </c>
      <c r="G1022" s="13" t="s">
        <v>337</v>
      </c>
      <c r="H1022" s="13" t="s">
        <v>46</v>
      </c>
      <c r="I1022" s="13" t="s">
        <v>46</v>
      </c>
      <c r="K1022" s="13" t="s">
        <v>912</v>
      </c>
      <c r="L1022" s="13" t="s">
        <v>913</v>
      </c>
      <c r="N1022" s="13" t="s">
        <v>81</v>
      </c>
      <c r="O1022" s="13" t="s">
        <v>82</v>
      </c>
      <c r="P1022" s="13" t="s">
        <v>83</v>
      </c>
      <c r="Q1022" s="13" t="s">
        <v>83</v>
      </c>
      <c r="R1022" s="4">
        <v>3</v>
      </c>
      <c r="S1022" s="13" t="s">
        <v>594</v>
      </c>
      <c r="T1022" s="13">
        <v>365</v>
      </c>
      <c r="U1022" s="4" t="s">
        <v>338</v>
      </c>
      <c r="V1022" s="4">
        <v>350</v>
      </c>
      <c r="W1022" s="4" t="s">
        <v>42</v>
      </c>
      <c r="X1022" s="4" t="s">
        <v>46</v>
      </c>
      <c r="Y1022" s="4">
        <v>20</v>
      </c>
      <c r="AA1022" s="4" t="s">
        <v>50</v>
      </c>
      <c r="AB1022" s="4">
        <v>120</v>
      </c>
      <c r="AC1022" s="4" t="s">
        <v>49</v>
      </c>
      <c r="AD1022" s="4">
        <v>0</v>
      </c>
      <c r="AE1022" s="4" t="s">
        <v>49</v>
      </c>
      <c r="AF1022" s="4">
        <v>0</v>
      </c>
      <c r="AG1022" s="4" t="s">
        <v>46</v>
      </c>
      <c r="AH1022" s="4" t="s">
        <v>719</v>
      </c>
      <c r="AI1022" s="4" t="s">
        <v>297</v>
      </c>
      <c r="AJ1022" s="13">
        <v>0</v>
      </c>
      <c r="AK1022" s="13">
        <v>30</v>
      </c>
      <c r="AP1022" s="13" t="s">
        <v>49</v>
      </c>
      <c r="AQ1022" s="13" t="s">
        <v>49</v>
      </c>
      <c r="AR1022" s="13" t="s">
        <v>50</v>
      </c>
      <c r="AS1022" s="13" t="s">
        <v>49</v>
      </c>
      <c r="AT1022" s="13" t="s">
        <v>992</v>
      </c>
      <c r="AU1022" s="4" t="s">
        <v>1000</v>
      </c>
      <c r="AV1022" s="14">
        <v>4.49</v>
      </c>
      <c r="AW1022" s="14">
        <v>5.39</v>
      </c>
      <c r="AX1022" s="14">
        <f>Table1347456[[#This Row],[treatment_mean]]/Table1347456[[#This Row],[control_mean]]</f>
        <v>0.83302411873840454</v>
      </c>
      <c r="AY1022" s="14">
        <f>LN(Table1347456[[#This Row],[rr]])</f>
        <v>-0.18269268316674275</v>
      </c>
      <c r="AZ1022" s="13">
        <v>3</v>
      </c>
      <c r="BA1022" s="13">
        <v>3</v>
      </c>
      <c r="BB1022" s="14" t="s">
        <v>46</v>
      </c>
      <c r="BC1022" s="14" t="s">
        <v>46</v>
      </c>
      <c r="BD1022" s="15" t="s">
        <v>46</v>
      </c>
      <c r="BE1022" s="14" t="s">
        <v>46</v>
      </c>
      <c r="BF102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22" s="17" t="s">
        <v>46</v>
      </c>
      <c r="BH1022" s="13" t="s">
        <v>50</v>
      </c>
      <c r="BI1022" s="13">
        <v>2.5000000000000001E-2</v>
      </c>
      <c r="BJ1022" s="18">
        <f>ABS(_xlfn.NORM.S.INV(Table1347456[[#This Row],[p_value]]/2))</f>
        <v>2.2414027276049446</v>
      </c>
      <c r="BK1022" s="19">
        <f>(Table1347456[[#This Row],[lnrr]]/Table1347456[[#This Row],[z_from_p]])^2</f>
        <v>6.6435853118923145E-3</v>
      </c>
      <c r="BL1022" s="16">
        <f>Table1347456[[#This Row],[v_from_z_from_p]]</f>
        <v>6.6435853118923145E-3</v>
      </c>
      <c r="BM1022" s="20">
        <f>SQRT(Table1347456[[#This Row],[v]])</f>
        <v>8.1508191685819617E-2</v>
      </c>
      <c r="BN1022" s="20">
        <f>Table1347456[[#This Row],[lnrr]]-(1.96*Table1347456[[#This Row],[se]])</f>
        <v>-0.34244873887094918</v>
      </c>
      <c r="BO1022" s="20">
        <f>Table1347456[[#This Row],[lnrr]]+(1.96 * Table1347456[[#This Row],[se]])</f>
        <v>-2.2936627462536302E-2</v>
      </c>
    </row>
    <row r="1023" spans="1:67">
      <c r="A1023" s="13" t="s">
        <v>339</v>
      </c>
      <c r="B1023" s="13" t="s">
        <v>340</v>
      </c>
      <c r="C1023" s="13" t="s">
        <v>341</v>
      </c>
      <c r="D1023" s="13" t="s">
        <v>342</v>
      </c>
      <c r="E1023" s="13" t="s">
        <v>44</v>
      </c>
      <c r="F1023" s="13" t="s">
        <v>584</v>
      </c>
      <c r="G1023" s="13" t="s">
        <v>343</v>
      </c>
      <c r="H1023" s="13">
        <v>21</v>
      </c>
      <c r="I1023" s="13">
        <v>81</v>
      </c>
      <c r="K1023" s="13" t="s">
        <v>914</v>
      </c>
      <c r="L1023" s="13" t="s">
        <v>915</v>
      </c>
      <c r="N1023" s="13" t="s">
        <v>614</v>
      </c>
      <c r="O1023" s="13" t="s">
        <v>614</v>
      </c>
      <c r="P1023" s="13" t="s">
        <v>545</v>
      </c>
      <c r="Q1023" s="13" t="s">
        <v>87</v>
      </c>
      <c r="R1023" s="4">
        <v>3</v>
      </c>
      <c r="S1023" s="13" t="s">
        <v>594</v>
      </c>
      <c r="T1023" s="13">
        <v>730</v>
      </c>
      <c r="U1023" s="4" t="s">
        <v>333</v>
      </c>
      <c r="V1023" s="4">
        <v>535</v>
      </c>
      <c r="W1023" s="4" t="s">
        <v>601</v>
      </c>
      <c r="X1023" s="4">
        <v>190</v>
      </c>
      <c r="Y1023" s="4">
        <v>10</v>
      </c>
      <c r="AA1023" s="4" t="s">
        <v>49</v>
      </c>
      <c r="AB1023" s="4">
        <v>0</v>
      </c>
      <c r="AC1023" s="4" t="s">
        <v>49</v>
      </c>
      <c r="AD1023" s="4">
        <v>0</v>
      </c>
      <c r="AE1023" s="4" t="s">
        <v>49</v>
      </c>
      <c r="AF1023" s="4">
        <v>0</v>
      </c>
      <c r="AG1023" s="4" t="s">
        <v>745</v>
      </c>
      <c r="AH1023" s="4" t="s">
        <v>744</v>
      </c>
      <c r="AI1023" s="4" t="s">
        <v>297</v>
      </c>
      <c r="AJ1023" s="13">
        <v>0</v>
      </c>
      <c r="AK1023" s="13">
        <v>15</v>
      </c>
      <c r="AP1023" s="13" t="s">
        <v>50</v>
      </c>
      <c r="AQ1023" s="13" t="s">
        <v>49</v>
      </c>
      <c r="AR1023" s="13" t="s">
        <v>49</v>
      </c>
      <c r="AS1023" s="13" t="s">
        <v>49</v>
      </c>
      <c r="AT1023" s="13" t="s">
        <v>990</v>
      </c>
      <c r="AU1023" s="13" t="s">
        <v>998</v>
      </c>
      <c r="AV1023" s="14">
        <v>10.851000000000001</v>
      </c>
      <c r="AW1023" s="14">
        <v>10.85</v>
      </c>
      <c r="AX1023" s="14">
        <f>Table1347456[[#This Row],[treatment_mean]]/Table1347456[[#This Row],[control_mean]]</f>
        <v>1.0000921658986177</v>
      </c>
      <c r="AY1023" s="17">
        <f>LN(Table1347456[[#This Row],[rr]])</f>
        <v>9.2161651602230507E-5</v>
      </c>
      <c r="AZ1023" s="13">
        <v>3</v>
      </c>
      <c r="BA1023" s="13">
        <v>3</v>
      </c>
      <c r="BB1023" s="14" t="s">
        <v>46</v>
      </c>
      <c r="BC1023" s="14" t="s">
        <v>46</v>
      </c>
      <c r="BD1023" s="15" t="s">
        <v>46</v>
      </c>
      <c r="BE1023" s="14" t="s">
        <v>46</v>
      </c>
      <c r="BF102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23" s="17" t="s">
        <v>46</v>
      </c>
      <c r="BH1023" s="13" t="s">
        <v>50</v>
      </c>
      <c r="BI1023" s="13">
        <v>2.5000000000000001E-2</v>
      </c>
      <c r="BJ1023" s="18">
        <f>ABS(_xlfn.NORM.S.INV(Table1347456[[#This Row],[p_value]]/2))</f>
        <v>2.2414027276049446</v>
      </c>
      <c r="BK1023" s="19">
        <f>(Table1347456[[#This Row],[lnrr]]/Table1347456[[#This Row],[z_from_p]])^2</f>
        <v>1.6906772385682925E-9</v>
      </c>
      <c r="BL1023" s="16">
        <f>Table1347456[[#This Row],[v_from_z_from_p]]</f>
        <v>1.6906772385682925E-9</v>
      </c>
      <c r="BM1023" s="20">
        <f>SQRT(Table1347456[[#This Row],[v]])</f>
        <v>4.1117845743281499E-5</v>
      </c>
      <c r="BN1023" s="20">
        <f>Table1347456[[#This Row],[lnrr]]-(1.96*Table1347456[[#This Row],[se]])</f>
        <v>1.1570673945398769E-5</v>
      </c>
      <c r="BO1023" s="20">
        <f>Table1347456[[#This Row],[lnrr]]+(1.96 * Table1347456[[#This Row],[se]])</f>
        <v>1.7275262925906226E-4</v>
      </c>
    </row>
    <row r="1024" spans="1:67">
      <c r="A1024" s="13" t="s">
        <v>339</v>
      </c>
      <c r="B1024" s="13" t="s">
        <v>340</v>
      </c>
      <c r="C1024" s="13" t="s">
        <v>341</v>
      </c>
      <c r="D1024" s="13" t="s">
        <v>342</v>
      </c>
      <c r="E1024" s="13" t="s">
        <v>44</v>
      </c>
      <c r="F1024" s="13" t="s">
        <v>584</v>
      </c>
      <c r="G1024" s="13" t="s">
        <v>343</v>
      </c>
      <c r="H1024" s="13">
        <v>21</v>
      </c>
      <c r="I1024" s="13">
        <v>81</v>
      </c>
      <c r="K1024" s="13" t="s">
        <v>914</v>
      </c>
      <c r="L1024" s="13" t="s">
        <v>915</v>
      </c>
      <c r="N1024" s="13" t="s">
        <v>614</v>
      </c>
      <c r="O1024" s="13" t="s">
        <v>614</v>
      </c>
      <c r="P1024" s="13" t="s">
        <v>545</v>
      </c>
      <c r="Q1024" s="13" t="s">
        <v>87</v>
      </c>
      <c r="R1024" s="4">
        <v>3</v>
      </c>
      <c r="S1024" s="13" t="s">
        <v>594</v>
      </c>
      <c r="T1024" s="13">
        <v>730</v>
      </c>
      <c r="U1024" s="4" t="s">
        <v>333</v>
      </c>
      <c r="V1024" s="4">
        <v>535</v>
      </c>
      <c r="W1024" s="4" t="s">
        <v>601</v>
      </c>
      <c r="X1024" s="4">
        <v>190</v>
      </c>
      <c r="Y1024" s="4">
        <v>20</v>
      </c>
      <c r="AA1024" s="4" t="s">
        <v>49</v>
      </c>
      <c r="AB1024" s="4">
        <v>0</v>
      </c>
      <c r="AC1024" s="4" t="s">
        <v>49</v>
      </c>
      <c r="AD1024" s="4">
        <v>0</v>
      </c>
      <c r="AE1024" s="4" t="s">
        <v>49</v>
      </c>
      <c r="AF1024" s="4">
        <v>0</v>
      </c>
      <c r="AG1024" s="4" t="s">
        <v>745</v>
      </c>
      <c r="AH1024" s="4" t="s">
        <v>744</v>
      </c>
      <c r="AI1024" s="4" t="s">
        <v>297</v>
      </c>
      <c r="AJ1024" s="13">
        <v>0</v>
      </c>
      <c r="AK1024" s="13">
        <v>15</v>
      </c>
      <c r="AP1024" s="13" t="s">
        <v>50</v>
      </c>
      <c r="AQ1024" s="13" t="s">
        <v>49</v>
      </c>
      <c r="AR1024" s="13" t="s">
        <v>49</v>
      </c>
      <c r="AS1024" s="13" t="s">
        <v>49</v>
      </c>
      <c r="AT1024" s="13" t="s">
        <v>990</v>
      </c>
      <c r="AU1024" s="13" t="s">
        <v>998</v>
      </c>
      <c r="AV1024" s="14">
        <v>10.49</v>
      </c>
      <c r="AW1024" s="14">
        <v>10.85</v>
      </c>
      <c r="AX1024" s="14">
        <f>Table1347456[[#This Row],[treatment_mean]]/Table1347456[[#This Row],[control_mean]]</f>
        <v>0.96682027649769586</v>
      </c>
      <c r="AY1024" s="14">
        <f>LN(Table1347456[[#This Row],[rr]])</f>
        <v>-3.3742657578262739E-2</v>
      </c>
      <c r="AZ1024" s="13">
        <v>3</v>
      </c>
      <c r="BA1024" s="13">
        <v>3</v>
      </c>
      <c r="BB1024" s="14" t="s">
        <v>46</v>
      </c>
      <c r="BC1024" s="14" t="s">
        <v>46</v>
      </c>
      <c r="BD1024" s="15" t="s">
        <v>46</v>
      </c>
      <c r="BE1024" s="14" t="s">
        <v>46</v>
      </c>
      <c r="BF102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24" s="17" t="s">
        <v>46</v>
      </c>
      <c r="BH1024" s="13" t="s">
        <v>50</v>
      </c>
      <c r="BI1024" s="13">
        <v>2.5000000000000001E-2</v>
      </c>
      <c r="BJ1024" s="18">
        <f>ABS(_xlfn.NORM.S.INV(Table1347456[[#This Row],[p_value]]/2))</f>
        <v>2.2414027276049446</v>
      </c>
      <c r="BK1024" s="19">
        <f>(Table1347456[[#This Row],[lnrr]]/Table1347456[[#This Row],[z_from_p]])^2</f>
        <v>2.2663071932615199E-4</v>
      </c>
      <c r="BL1024" s="16">
        <f>Table1347456[[#This Row],[v_from_z_from_p]]</f>
        <v>2.2663071932615199E-4</v>
      </c>
      <c r="BM1024" s="20">
        <f>SQRT(Table1347456[[#This Row],[v]])</f>
        <v>1.5054259175600505E-2</v>
      </c>
      <c r="BN1024" s="20">
        <f>Table1347456[[#This Row],[lnrr]]-(1.96*Table1347456[[#This Row],[se]])</f>
        <v>-6.3249005562439731E-2</v>
      </c>
      <c r="BO1024" s="20">
        <f>Table1347456[[#This Row],[lnrr]]+(1.96 * Table1347456[[#This Row],[se]])</f>
        <v>-4.2363095940857499E-3</v>
      </c>
    </row>
    <row r="1025" spans="1:67">
      <c r="A1025" s="13" t="s">
        <v>339</v>
      </c>
      <c r="B1025" s="13" t="s">
        <v>340</v>
      </c>
      <c r="C1025" s="13" t="s">
        <v>341</v>
      </c>
      <c r="D1025" s="13" t="s">
        <v>342</v>
      </c>
      <c r="E1025" s="13" t="s">
        <v>44</v>
      </c>
      <c r="F1025" s="13" t="s">
        <v>584</v>
      </c>
      <c r="G1025" s="13" t="s">
        <v>343</v>
      </c>
      <c r="H1025" s="13">
        <v>21</v>
      </c>
      <c r="I1025" s="13">
        <v>81</v>
      </c>
      <c r="K1025" s="13" t="s">
        <v>914</v>
      </c>
      <c r="L1025" s="13" t="s">
        <v>915</v>
      </c>
      <c r="N1025" s="13" t="s">
        <v>614</v>
      </c>
      <c r="O1025" s="13" t="s">
        <v>614</v>
      </c>
      <c r="P1025" s="13" t="s">
        <v>545</v>
      </c>
      <c r="Q1025" s="13" t="s">
        <v>87</v>
      </c>
      <c r="R1025" s="4">
        <v>3</v>
      </c>
      <c r="S1025" s="13" t="s">
        <v>594</v>
      </c>
      <c r="T1025" s="13">
        <v>730</v>
      </c>
      <c r="U1025" s="4" t="s">
        <v>292</v>
      </c>
      <c r="V1025" s="4">
        <v>535</v>
      </c>
      <c r="W1025" s="4" t="s">
        <v>601</v>
      </c>
      <c r="X1025" s="4">
        <v>161</v>
      </c>
      <c r="Y1025" s="4">
        <v>10</v>
      </c>
      <c r="AA1025" s="4" t="s">
        <v>49</v>
      </c>
      <c r="AB1025" s="4">
        <v>0</v>
      </c>
      <c r="AC1025" s="4" t="s">
        <v>49</v>
      </c>
      <c r="AD1025" s="4">
        <v>0</v>
      </c>
      <c r="AE1025" s="4" t="s">
        <v>49</v>
      </c>
      <c r="AF1025" s="4">
        <v>0</v>
      </c>
      <c r="AG1025" s="4" t="s">
        <v>692</v>
      </c>
      <c r="AH1025" s="4" t="s">
        <v>744</v>
      </c>
      <c r="AI1025" s="4" t="s">
        <v>297</v>
      </c>
      <c r="AJ1025" s="13">
        <v>0</v>
      </c>
      <c r="AK1025" s="13">
        <v>15</v>
      </c>
      <c r="AP1025" s="13" t="s">
        <v>50</v>
      </c>
      <c r="AQ1025" s="13" t="s">
        <v>49</v>
      </c>
      <c r="AR1025" s="13" t="s">
        <v>49</v>
      </c>
      <c r="AS1025" s="13" t="s">
        <v>49</v>
      </c>
      <c r="AT1025" s="13" t="s">
        <v>990</v>
      </c>
      <c r="AU1025" s="13" t="s">
        <v>998</v>
      </c>
      <c r="AV1025" s="14">
        <v>10.83</v>
      </c>
      <c r="AW1025" s="14">
        <v>10.85</v>
      </c>
      <c r="AX1025" s="14">
        <f>Table1347456[[#This Row],[treatment_mean]]/Table1347456[[#This Row],[control_mean]]</f>
        <v>0.99815668202764984</v>
      </c>
      <c r="AY1025" s="14">
        <f>LN(Table1347456[[#This Row],[rr]])</f>
        <v>-1.8450189735692395E-3</v>
      </c>
      <c r="AZ1025" s="13">
        <v>3</v>
      </c>
      <c r="BA1025" s="13">
        <v>3</v>
      </c>
      <c r="BB1025" s="14" t="s">
        <v>46</v>
      </c>
      <c r="BC1025" s="14" t="s">
        <v>46</v>
      </c>
      <c r="BD1025" s="15" t="s">
        <v>46</v>
      </c>
      <c r="BE1025" s="14" t="s">
        <v>46</v>
      </c>
      <c r="BF102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25" s="17" t="s">
        <v>46</v>
      </c>
      <c r="BH1025" s="13" t="s">
        <v>50</v>
      </c>
      <c r="BI1025" s="13">
        <v>2.5000000000000001E-2</v>
      </c>
      <c r="BJ1025" s="18">
        <f>ABS(_xlfn.NORM.S.INV(Table1347456[[#This Row],[p_value]]/2))</f>
        <v>2.2414027276049446</v>
      </c>
      <c r="BK1025" s="19">
        <f>(Table1347456[[#This Row],[lnrr]]/Table1347456[[#This Row],[z_from_p]])^2</f>
        <v>6.7758203229716777E-7</v>
      </c>
      <c r="BL1025" s="16">
        <f>Table1347456[[#This Row],[v_from_z_from_p]]</f>
        <v>6.7758203229716777E-7</v>
      </c>
      <c r="BM1025" s="20">
        <f>SQRT(Table1347456[[#This Row],[v]])</f>
        <v>8.231537112211593E-4</v>
      </c>
      <c r="BN1025" s="20">
        <f>Table1347456[[#This Row],[lnrr]]-(1.96*Table1347456[[#This Row],[se]])</f>
        <v>-3.4584002475627116E-3</v>
      </c>
      <c r="BO1025" s="20">
        <f>Table1347456[[#This Row],[lnrr]]+(1.96 * Table1347456[[#This Row],[se]])</f>
        <v>-2.3163769957576736E-4</v>
      </c>
    </row>
    <row r="1026" spans="1:67">
      <c r="A1026" s="13" t="s">
        <v>339</v>
      </c>
      <c r="B1026" s="13" t="s">
        <v>340</v>
      </c>
      <c r="C1026" s="13" t="s">
        <v>341</v>
      </c>
      <c r="D1026" s="13" t="s">
        <v>342</v>
      </c>
      <c r="E1026" s="13" t="s">
        <v>44</v>
      </c>
      <c r="F1026" s="13" t="s">
        <v>584</v>
      </c>
      <c r="G1026" s="13" t="s">
        <v>343</v>
      </c>
      <c r="H1026" s="13">
        <v>21</v>
      </c>
      <c r="I1026" s="13">
        <v>81</v>
      </c>
      <c r="K1026" s="13" t="s">
        <v>914</v>
      </c>
      <c r="L1026" s="13" t="s">
        <v>915</v>
      </c>
      <c r="N1026" s="13" t="s">
        <v>614</v>
      </c>
      <c r="O1026" s="13" t="s">
        <v>614</v>
      </c>
      <c r="P1026" s="13" t="s">
        <v>545</v>
      </c>
      <c r="Q1026" s="13" t="s">
        <v>87</v>
      </c>
      <c r="R1026" s="4">
        <v>3</v>
      </c>
      <c r="S1026" s="13" t="s">
        <v>594</v>
      </c>
      <c r="T1026" s="13">
        <v>730</v>
      </c>
      <c r="U1026" s="4" t="s">
        <v>292</v>
      </c>
      <c r="V1026" s="4">
        <v>535</v>
      </c>
      <c r="W1026" s="4" t="s">
        <v>601</v>
      </c>
      <c r="X1026" s="4">
        <v>161</v>
      </c>
      <c r="Y1026" s="4">
        <v>20</v>
      </c>
      <c r="AA1026" s="4" t="s">
        <v>49</v>
      </c>
      <c r="AB1026" s="4">
        <v>0</v>
      </c>
      <c r="AC1026" s="4" t="s">
        <v>49</v>
      </c>
      <c r="AD1026" s="4">
        <v>0</v>
      </c>
      <c r="AE1026" s="4" t="s">
        <v>49</v>
      </c>
      <c r="AF1026" s="4">
        <v>0</v>
      </c>
      <c r="AG1026" s="4" t="s">
        <v>692</v>
      </c>
      <c r="AH1026" s="4" t="s">
        <v>744</v>
      </c>
      <c r="AI1026" s="4" t="s">
        <v>297</v>
      </c>
      <c r="AJ1026" s="13">
        <v>0</v>
      </c>
      <c r="AK1026" s="13">
        <v>15</v>
      </c>
      <c r="AP1026" s="13" t="s">
        <v>50</v>
      </c>
      <c r="AQ1026" s="13" t="s">
        <v>49</v>
      </c>
      <c r="AR1026" s="13" t="s">
        <v>49</v>
      </c>
      <c r="AS1026" s="13" t="s">
        <v>49</v>
      </c>
      <c r="AT1026" s="13" t="s">
        <v>990</v>
      </c>
      <c r="AU1026" s="13" t="s">
        <v>998</v>
      </c>
      <c r="AV1026" s="14">
        <v>10.59</v>
      </c>
      <c r="AW1026" s="14">
        <v>10.85</v>
      </c>
      <c r="AX1026" s="14">
        <f>Table1347456[[#This Row],[treatment_mean]]/Table1347456[[#This Row],[control_mean]]</f>
        <v>0.97603686635944698</v>
      </c>
      <c r="AY1026" s="14">
        <f>LN(Table1347456[[#This Row],[rr]])</f>
        <v>-2.4254920373153497E-2</v>
      </c>
      <c r="AZ1026" s="13">
        <v>3</v>
      </c>
      <c r="BA1026" s="13">
        <v>3</v>
      </c>
      <c r="BB1026" s="14" t="s">
        <v>46</v>
      </c>
      <c r="BC1026" s="14" t="s">
        <v>46</v>
      </c>
      <c r="BD1026" s="15" t="s">
        <v>46</v>
      </c>
      <c r="BE1026" s="14" t="s">
        <v>46</v>
      </c>
      <c r="BF102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26" s="17" t="s">
        <v>46</v>
      </c>
      <c r="BH1026" s="13" t="s">
        <v>50</v>
      </c>
      <c r="BI1026" s="13">
        <v>2.5000000000000001E-2</v>
      </c>
      <c r="BJ1026" s="18">
        <f>ABS(_xlfn.NORM.S.INV(Table1347456[[#This Row],[p_value]]/2))</f>
        <v>2.2414027276049446</v>
      </c>
      <c r="BK1026" s="19">
        <f>(Table1347456[[#This Row],[lnrr]]/Table1347456[[#This Row],[z_from_p]])^2</f>
        <v>1.1710081406570352E-4</v>
      </c>
      <c r="BL1026" s="16">
        <f>Table1347456[[#This Row],[v_from_z_from_p]]</f>
        <v>1.1710081406570352E-4</v>
      </c>
      <c r="BM1026" s="20">
        <f>SQRT(Table1347456[[#This Row],[v]])</f>
        <v>1.0821312954799132E-2</v>
      </c>
      <c r="BN1026" s="20">
        <f>Table1347456[[#This Row],[lnrr]]-(1.96*Table1347456[[#This Row],[se]])</f>
        <v>-4.5464693764559791E-2</v>
      </c>
      <c r="BO1026" s="20">
        <f>Table1347456[[#This Row],[lnrr]]+(1.96 * Table1347456[[#This Row],[se]])</f>
        <v>-3.0451469817471995E-3</v>
      </c>
    </row>
    <row r="1027" spans="1:67">
      <c r="A1027" s="13" t="s">
        <v>339</v>
      </c>
      <c r="B1027" s="13" t="s">
        <v>340</v>
      </c>
      <c r="C1027" s="13" t="s">
        <v>341</v>
      </c>
      <c r="D1027" s="13" t="s">
        <v>342</v>
      </c>
      <c r="E1027" s="13" t="s">
        <v>44</v>
      </c>
      <c r="F1027" s="13" t="s">
        <v>584</v>
      </c>
      <c r="G1027" s="13" t="s">
        <v>343</v>
      </c>
      <c r="H1027" s="13">
        <v>21</v>
      </c>
      <c r="I1027" s="13">
        <v>81</v>
      </c>
      <c r="K1027" s="13" t="s">
        <v>914</v>
      </c>
      <c r="L1027" s="13" t="s">
        <v>915</v>
      </c>
      <c r="N1027" s="13" t="s">
        <v>255</v>
      </c>
      <c r="O1027" s="13" t="s">
        <v>645</v>
      </c>
      <c r="P1027" s="13" t="s">
        <v>48</v>
      </c>
      <c r="Q1027" s="13" t="s">
        <v>48</v>
      </c>
      <c r="R1027" s="4">
        <v>3</v>
      </c>
      <c r="S1027" s="13" t="s">
        <v>594</v>
      </c>
      <c r="T1027" s="13">
        <v>730</v>
      </c>
      <c r="U1027" s="4" t="s">
        <v>333</v>
      </c>
      <c r="V1027" s="4">
        <v>535</v>
      </c>
      <c r="W1027" s="4" t="s">
        <v>601</v>
      </c>
      <c r="X1027" s="4">
        <v>190</v>
      </c>
      <c r="Y1027" s="4">
        <v>10</v>
      </c>
      <c r="AA1027" s="4" t="s">
        <v>49</v>
      </c>
      <c r="AB1027" s="4">
        <v>0</v>
      </c>
      <c r="AC1027" s="4" t="s">
        <v>49</v>
      </c>
      <c r="AD1027" s="4">
        <v>0</v>
      </c>
      <c r="AE1027" s="4" t="s">
        <v>49</v>
      </c>
      <c r="AF1027" s="4">
        <v>0</v>
      </c>
      <c r="AG1027" s="4" t="s">
        <v>745</v>
      </c>
      <c r="AH1027" s="4" t="s">
        <v>744</v>
      </c>
      <c r="AI1027" s="4" t="s">
        <v>297</v>
      </c>
      <c r="AJ1027" s="13">
        <v>0</v>
      </c>
      <c r="AK1027" s="13">
        <v>15</v>
      </c>
      <c r="AP1027" s="13" t="s">
        <v>50</v>
      </c>
      <c r="AQ1027" s="13" t="s">
        <v>49</v>
      </c>
      <c r="AR1027" s="13" t="s">
        <v>49</v>
      </c>
      <c r="AS1027" s="13" t="s">
        <v>49</v>
      </c>
      <c r="AT1027" s="13" t="s">
        <v>990</v>
      </c>
      <c r="AU1027" s="13" t="s">
        <v>998</v>
      </c>
      <c r="AV1027" s="14">
        <v>2.96</v>
      </c>
      <c r="AW1027" s="14">
        <v>2.78</v>
      </c>
      <c r="AX1027" s="14">
        <f>Table1347456[[#This Row],[treatment_mean]]/Table1347456[[#This Row],[control_mean]]</f>
        <v>1.064748201438849</v>
      </c>
      <c r="AY1027" s="14">
        <f>LN(Table1347456[[#This Row],[rr]])</f>
        <v>6.2738340633423345E-2</v>
      </c>
      <c r="AZ1027" s="13">
        <v>3</v>
      </c>
      <c r="BA1027" s="13">
        <v>3</v>
      </c>
      <c r="BB1027" s="14" t="s">
        <v>46</v>
      </c>
      <c r="BC1027" s="14" t="s">
        <v>46</v>
      </c>
      <c r="BD1027" s="15" t="s">
        <v>46</v>
      </c>
      <c r="BE1027" s="14" t="s">
        <v>46</v>
      </c>
      <c r="BF102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27" s="17" t="s">
        <v>46</v>
      </c>
      <c r="BH1027" s="13" t="s">
        <v>50</v>
      </c>
      <c r="BI1027" s="13">
        <v>2.5000000000000001E-2</v>
      </c>
      <c r="BJ1027" s="18">
        <f>ABS(_xlfn.NORM.S.INV(Table1347456[[#This Row],[p_value]]/2))</f>
        <v>2.2414027276049446</v>
      </c>
      <c r="BK1027" s="19">
        <f>(Table1347456[[#This Row],[lnrr]]/Table1347456[[#This Row],[z_from_p]])^2</f>
        <v>7.8347702130951034E-4</v>
      </c>
      <c r="BL1027" s="16">
        <f>Table1347456[[#This Row],[v_from_z_from_p]]</f>
        <v>7.8347702130951034E-4</v>
      </c>
      <c r="BM1027" s="20">
        <f>SQRT(Table1347456[[#This Row],[v]])</f>
        <v>2.7990659536879625E-2</v>
      </c>
      <c r="BN1027" s="20">
        <f>Table1347456[[#This Row],[lnrr]]-(1.96*Table1347456[[#This Row],[se]])</f>
        <v>7.8766479411392781E-3</v>
      </c>
      <c r="BO1027" s="20">
        <f>Table1347456[[#This Row],[lnrr]]+(1.96 * Table1347456[[#This Row],[se]])</f>
        <v>0.11760003332570741</v>
      </c>
    </row>
    <row r="1028" spans="1:67">
      <c r="A1028" s="13" t="s">
        <v>339</v>
      </c>
      <c r="B1028" s="13" t="s">
        <v>340</v>
      </c>
      <c r="C1028" s="13" t="s">
        <v>341</v>
      </c>
      <c r="D1028" s="13" t="s">
        <v>342</v>
      </c>
      <c r="E1028" s="13" t="s">
        <v>44</v>
      </c>
      <c r="F1028" s="13" t="s">
        <v>584</v>
      </c>
      <c r="G1028" s="13" t="s">
        <v>343</v>
      </c>
      <c r="H1028" s="13">
        <v>21</v>
      </c>
      <c r="I1028" s="13">
        <v>81</v>
      </c>
      <c r="K1028" s="13" t="s">
        <v>914</v>
      </c>
      <c r="L1028" s="13" t="s">
        <v>915</v>
      </c>
      <c r="N1028" s="13" t="s">
        <v>255</v>
      </c>
      <c r="O1028" s="13" t="s">
        <v>645</v>
      </c>
      <c r="P1028" s="13" t="s">
        <v>48</v>
      </c>
      <c r="Q1028" s="13" t="s">
        <v>48</v>
      </c>
      <c r="R1028" s="4">
        <v>3</v>
      </c>
      <c r="S1028" s="13" t="s">
        <v>594</v>
      </c>
      <c r="T1028" s="13">
        <v>730</v>
      </c>
      <c r="U1028" s="4" t="s">
        <v>333</v>
      </c>
      <c r="V1028" s="4">
        <v>535</v>
      </c>
      <c r="W1028" s="4" t="s">
        <v>601</v>
      </c>
      <c r="X1028" s="4">
        <v>190</v>
      </c>
      <c r="Y1028" s="4">
        <v>20</v>
      </c>
      <c r="AA1028" s="4" t="s">
        <v>49</v>
      </c>
      <c r="AB1028" s="4">
        <v>0</v>
      </c>
      <c r="AC1028" s="4" t="s">
        <v>49</v>
      </c>
      <c r="AD1028" s="4">
        <v>0</v>
      </c>
      <c r="AE1028" s="4" t="s">
        <v>49</v>
      </c>
      <c r="AF1028" s="4">
        <v>0</v>
      </c>
      <c r="AG1028" s="4" t="s">
        <v>745</v>
      </c>
      <c r="AH1028" s="4" t="s">
        <v>744</v>
      </c>
      <c r="AI1028" s="4" t="s">
        <v>297</v>
      </c>
      <c r="AJ1028" s="13">
        <v>0</v>
      </c>
      <c r="AK1028" s="13">
        <v>15</v>
      </c>
      <c r="AP1028" s="13" t="s">
        <v>50</v>
      </c>
      <c r="AQ1028" s="13" t="s">
        <v>49</v>
      </c>
      <c r="AR1028" s="13" t="s">
        <v>49</v>
      </c>
      <c r="AS1028" s="13" t="s">
        <v>49</v>
      </c>
      <c r="AT1028" s="13" t="s">
        <v>990</v>
      </c>
      <c r="AU1028" s="13" t="s">
        <v>998</v>
      </c>
      <c r="AV1028" s="14">
        <v>3.15</v>
      </c>
      <c r="AW1028" s="14">
        <v>2.78</v>
      </c>
      <c r="AX1028" s="14">
        <f>Table1347456[[#This Row],[treatment_mean]]/Table1347456[[#This Row],[control_mean]]</f>
        <v>1.1330935251798562</v>
      </c>
      <c r="AY1028" s="14">
        <f>LN(Table1347456[[#This Row],[rr]])</f>
        <v>0.12495152513499605</v>
      </c>
      <c r="AZ1028" s="13">
        <v>3</v>
      </c>
      <c r="BA1028" s="13">
        <v>3</v>
      </c>
      <c r="BB1028" s="14" t="s">
        <v>46</v>
      </c>
      <c r="BC1028" s="14" t="s">
        <v>46</v>
      </c>
      <c r="BD1028" s="15" t="s">
        <v>46</v>
      </c>
      <c r="BE1028" s="14" t="s">
        <v>46</v>
      </c>
      <c r="BF102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28" s="17" t="s">
        <v>46</v>
      </c>
      <c r="BH1028" s="13" t="s">
        <v>50</v>
      </c>
      <c r="BI1028" s="13">
        <v>2.5000000000000001E-2</v>
      </c>
      <c r="BJ1028" s="18">
        <f>ABS(_xlfn.NORM.S.INV(Table1347456[[#This Row],[p_value]]/2))</f>
        <v>2.2414027276049446</v>
      </c>
      <c r="BK1028" s="19">
        <f>(Table1347456[[#This Row],[lnrr]]/Table1347456[[#This Row],[z_from_p]])^2</f>
        <v>3.1077303608078276E-3</v>
      </c>
      <c r="BL1028" s="16">
        <f>Table1347456[[#This Row],[v_from_z_from_p]]</f>
        <v>3.1077303608078276E-3</v>
      </c>
      <c r="BM1028" s="20">
        <f>SQRT(Table1347456[[#This Row],[v]])</f>
        <v>5.5747021093577973E-2</v>
      </c>
      <c r="BN1028" s="20">
        <f>Table1347456[[#This Row],[lnrr]]-(1.96*Table1347456[[#This Row],[se]])</f>
        <v>1.5687363791583225E-2</v>
      </c>
      <c r="BO1028" s="20">
        <f>Table1347456[[#This Row],[lnrr]]+(1.96 * Table1347456[[#This Row],[se]])</f>
        <v>0.23421568647840887</v>
      </c>
    </row>
    <row r="1029" spans="1:67">
      <c r="A1029" s="13" t="s">
        <v>339</v>
      </c>
      <c r="B1029" s="13" t="s">
        <v>340</v>
      </c>
      <c r="C1029" s="13" t="s">
        <v>341</v>
      </c>
      <c r="D1029" s="13" t="s">
        <v>342</v>
      </c>
      <c r="E1029" s="13" t="s">
        <v>44</v>
      </c>
      <c r="F1029" s="13" t="s">
        <v>584</v>
      </c>
      <c r="G1029" s="13" t="s">
        <v>343</v>
      </c>
      <c r="H1029" s="13">
        <v>21</v>
      </c>
      <c r="I1029" s="13">
        <v>81</v>
      </c>
      <c r="K1029" s="13" t="s">
        <v>914</v>
      </c>
      <c r="L1029" s="13" t="s">
        <v>915</v>
      </c>
      <c r="N1029" s="13" t="s">
        <v>255</v>
      </c>
      <c r="O1029" s="13" t="s">
        <v>645</v>
      </c>
      <c r="P1029" s="13" t="s">
        <v>48</v>
      </c>
      <c r="Q1029" s="13" t="s">
        <v>48</v>
      </c>
      <c r="R1029" s="4">
        <v>3</v>
      </c>
      <c r="S1029" s="13" t="s">
        <v>594</v>
      </c>
      <c r="T1029" s="13">
        <v>730</v>
      </c>
      <c r="U1029" s="4" t="s">
        <v>292</v>
      </c>
      <c r="V1029" s="4">
        <v>535</v>
      </c>
      <c r="W1029" s="4" t="s">
        <v>601</v>
      </c>
      <c r="X1029" s="4">
        <v>161</v>
      </c>
      <c r="Y1029" s="4">
        <v>10</v>
      </c>
      <c r="AA1029" s="4" t="s">
        <v>49</v>
      </c>
      <c r="AB1029" s="4">
        <v>0</v>
      </c>
      <c r="AC1029" s="4" t="s">
        <v>49</v>
      </c>
      <c r="AD1029" s="4">
        <v>0</v>
      </c>
      <c r="AE1029" s="4" t="s">
        <v>49</v>
      </c>
      <c r="AF1029" s="4">
        <v>0</v>
      </c>
      <c r="AG1029" s="4" t="s">
        <v>692</v>
      </c>
      <c r="AH1029" s="4" t="s">
        <v>744</v>
      </c>
      <c r="AI1029" s="4" t="s">
        <v>297</v>
      </c>
      <c r="AJ1029" s="13">
        <v>0</v>
      </c>
      <c r="AK1029" s="13">
        <v>15</v>
      </c>
      <c r="AP1029" s="13" t="s">
        <v>50</v>
      </c>
      <c r="AQ1029" s="13" t="s">
        <v>49</v>
      </c>
      <c r="AR1029" s="13" t="s">
        <v>49</v>
      </c>
      <c r="AS1029" s="13" t="s">
        <v>49</v>
      </c>
      <c r="AT1029" s="13" t="s">
        <v>990</v>
      </c>
      <c r="AU1029" s="13" t="s">
        <v>998</v>
      </c>
      <c r="AV1029" s="14">
        <v>2.75</v>
      </c>
      <c r="AW1029" s="14">
        <v>2.78</v>
      </c>
      <c r="AX1029" s="14">
        <f>Table1347456[[#This Row],[treatment_mean]]/Table1347456[[#This Row],[control_mean]]</f>
        <v>0.98920863309352525</v>
      </c>
      <c r="AY1029" s="14">
        <f>LN(Table1347456[[#This Row],[rr]])</f>
        <v>-1.0850016024065705E-2</v>
      </c>
      <c r="AZ1029" s="13">
        <v>3</v>
      </c>
      <c r="BA1029" s="13">
        <v>3</v>
      </c>
      <c r="BB1029" s="14" t="s">
        <v>46</v>
      </c>
      <c r="BC1029" s="14" t="s">
        <v>46</v>
      </c>
      <c r="BD1029" s="15" t="s">
        <v>46</v>
      </c>
      <c r="BE1029" s="14" t="s">
        <v>46</v>
      </c>
      <c r="BF102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29" s="17" t="s">
        <v>46</v>
      </c>
      <c r="BH1029" s="13" t="s">
        <v>50</v>
      </c>
      <c r="BI1029" s="13">
        <v>2.5000000000000001E-2</v>
      </c>
      <c r="BJ1029" s="18">
        <f>ABS(_xlfn.NORM.S.INV(Table1347456[[#This Row],[p_value]]/2))</f>
        <v>2.2414027276049446</v>
      </c>
      <c r="BK1029" s="19">
        <f>(Table1347456[[#This Row],[lnrr]]/Table1347456[[#This Row],[z_from_p]])^2</f>
        <v>2.3432626324164772E-5</v>
      </c>
      <c r="BL1029" s="16">
        <f>Table1347456[[#This Row],[v_from_z_from_p]]</f>
        <v>2.3432626324164772E-5</v>
      </c>
      <c r="BM1029" s="20">
        <f>SQRT(Table1347456[[#This Row],[v]])</f>
        <v>4.8407258055135462E-3</v>
      </c>
      <c r="BN1029" s="20">
        <f>Table1347456[[#This Row],[lnrr]]-(1.96*Table1347456[[#This Row],[se]])</f>
        <v>-2.0337838602872256E-2</v>
      </c>
      <c r="BO1029" s="20">
        <f>Table1347456[[#This Row],[lnrr]]+(1.96 * Table1347456[[#This Row],[se]])</f>
        <v>-1.3621934452591536E-3</v>
      </c>
    </row>
    <row r="1030" spans="1:67">
      <c r="A1030" s="13" t="s">
        <v>339</v>
      </c>
      <c r="B1030" s="13" t="s">
        <v>340</v>
      </c>
      <c r="C1030" s="13" t="s">
        <v>341</v>
      </c>
      <c r="D1030" s="13" t="s">
        <v>342</v>
      </c>
      <c r="E1030" s="13" t="s">
        <v>44</v>
      </c>
      <c r="F1030" s="13" t="s">
        <v>584</v>
      </c>
      <c r="G1030" s="13" t="s">
        <v>343</v>
      </c>
      <c r="H1030" s="13">
        <v>21</v>
      </c>
      <c r="I1030" s="13">
        <v>81</v>
      </c>
      <c r="K1030" s="13" t="s">
        <v>914</v>
      </c>
      <c r="L1030" s="13" t="s">
        <v>915</v>
      </c>
      <c r="N1030" s="13" t="s">
        <v>255</v>
      </c>
      <c r="O1030" s="13" t="s">
        <v>645</v>
      </c>
      <c r="P1030" s="13" t="s">
        <v>48</v>
      </c>
      <c r="Q1030" s="13" t="s">
        <v>48</v>
      </c>
      <c r="R1030" s="4">
        <v>3</v>
      </c>
      <c r="S1030" s="13" t="s">
        <v>594</v>
      </c>
      <c r="T1030" s="13">
        <v>730</v>
      </c>
      <c r="U1030" s="4" t="s">
        <v>292</v>
      </c>
      <c r="V1030" s="4">
        <v>535</v>
      </c>
      <c r="W1030" s="4" t="s">
        <v>601</v>
      </c>
      <c r="X1030" s="4">
        <v>161</v>
      </c>
      <c r="Y1030" s="4">
        <v>20</v>
      </c>
      <c r="AA1030" s="4" t="s">
        <v>49</v>
      </c>
      <c r="AB1030" s="4">
        <v>0</v>
      </c>
      <c r="AC1030" s="4" t="s">
        <v>49</v>
      </c>
      <c r="AD1030" s="4">
        <v>0</v>
      </c>
      <c r="AE1030" s="4" t="s">
        <v>49</v>
      </c>
      <c r="AF1030" s="4">
        <v>0</v>
      </c>
      <c r="AG1030" s="4" t="s">
        <v>692</v>
      </c>
      <c r="AH1030" s="4" t="s">
        <v>744</v>
      </c>
      <c r="AI1030" s="4" t="s">
        <v>297</v>
      </c>
      <c r="AJ1030" s="13">
        <v>0</v>
      </c>
      <c r="AK1030" s="13">
        <v>15</v>
      </c>
      <c r="AP1030" s="13" t="s">
        <v>50</v>
      </c>
      <c r="AQ1030" s="13" t="s">
        <v>49</v>
      </c>
      <c r="AR1030" s="13" t="s">
        <v>49</v>
      </c>
      <c r="AS1030" s="13" t="s">
        <v>49</v>
      </c>
      <c r="AT1030" s="13" t="s">
        <v>990</v>
      </c>
      <c r="AU1030" s="13" t="s">
        <v>998</v>
      </c>
      <c r="AV1030" s="14">
        <v>2.7</v>
      </c>
      <c r="AW1030" s="14">
        <v>2.78</v>
      </c>
      <c r="AX1030" s="14">
        <f>Table1347456[[#This Row],[treatment_mean]]/Table1347456[[#This Row],[control_mean]]</f>
        <v>0.97122302158273399</v>
      </c>
      <c r="AY1030" s="14">
        <f>LN(Table1347456[[#This Row],[rr]])</f>
        <v>-2.9199154692262124E-2</v>
      </c>
      <c r="AZ1030" s="13">
        <v>3</v>
      </c>
      <c r="BA1030" s="13">
        <v>3</v>
      </c>
      <c r="BB1030" s="14" t="s">
        <v>46</v>
      </c>
      <c r="BC1030" s="14" t="s">
        <v>46</v>
      </c>
      <c r="BD1030" s="15" t="s">
        <v>46</v>
      </c>
      <c r="BE1030" s="14" t="s">
        <v>46</v>
      </c>
      <c r="BF103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30" s="17" t="s">
        <v>46</v>
      </c>
      <c r="BH1030" s="13" t="s">
        <v>50</v>
      </c>
      <c r="BI1030" s="13">
        <v>2.5000000000000001E-2</v>
      </c>
      <c r="BJ1030" s="18">
        <f>ABS(_xlfn.NORM.S.INV(Table1347456[[#This Row],[p_value]]/2))</f>
        <v>2.2414027276049446</v>
      </c>
      <c r="BK1030" s="19">
        <f>(Table1347456[[#This Row],[lnrr]]/Table1347456[[#This Row],[z_from_p]])^2</f>
        <v>1.6970739442613388E-4</v>
      </c>
      <c r="BL1030" s="16">
        <f>Table1347456[[#This Row],[v_from_z_from_p]]</f>
        <v>1.6970739442613388E-4</v>
      </c>
      <c r="BM1030" s="20">
        <f>SQRT(Table1347456[[#This Row],[v]])</f>
        <v>1.3027179066326442E-2</v>
      </c>
      <c r="BN1030" s="20">
        <f>Table1347456[[#This Row],[lnrr]]-(1.96*Table1347456[[#This Row],[se]])</f>
        <v>-5.4732425662261955E-2</v>
      </c>
      <c r="BO1030" s="20">
        <f>Table1347456[[#This Row],[lnrr]]+(1.96 * Table1347456[[#This Row],[se]])</f>
        <v>-3.6658837222622968E-3</v>
      </c>
    </row>
    <row r="1031" spans="1:67">
      <c r="A1031" s="13" t="s">
        <v>339</v>
      </c>
      <c r="B1031" s="13" t="s">
        <v>340</v>
      </c>
      <c r="C1031" s="13" t="s">
        <v>341</v>
      </c>
      <c r="D1031" s="13" t="s">
        <v>342</v>
      </c>
      <c r="E1031" s="13" t="s">
        <v>44</v>
      </c>
      <c r="F1031" s="13" t="s">
        <v>584</v>
      </c>
      <c r="G1031" s="13" t="s">
        <v>343</v>
      </c>
      <c r="H1031" s="13">
        <v>21</v>
      </c>
      <c r="I1031" s="13">
        <v>81</v>
      </c>
      <c r="J1031" s="13" t="s">
        <v>657</v>
      </c>
      <c r="K1031" s="13" t="s">
        <v>914</v>
      </c>
      <c r="L1031" s="13" t="s">
        <v>915</v>
      </c>
      <c r="M1031" s="13" t="s">
        <v>802</v>
      </c>
      <c r="N1031" s="13" t="s">
        <v>625</v>
      </c>
      <c r="O1031" s="13" t="s">
        <v>644</v>
      </c>
      <c r="P1031" s="13" t="s">
        <v>85</v>
      </c>
      <c r="Q1031" s="13" t="s">
        <v>48</v>
      </c>
      <c r="R1031" s="4">
        <v>3</v>
      </c>
      <c r="S1031" s="13" t="s">
        <v>594</v>
      </c>
      <c r="T1031" s="13">
        <v>730</v>
      </c>
      <c r="U1031" s="4" t="s">
        <v>333</v>
      </c>
      <c r="V1031" s="4">
        <v>535</v>
      </c>
      <c r="W1031" s="4" t="s">
        <v>601</v>
      </c>
      <c r="X1031" s="4">
        <v>190</v>
      </c>
      <c r="Y1031" s="4">
        <v>10</v>
      </c>
      <c r="AA1031" s="4" t="s">
        <v>49</v>
      </c>
      <c r="AB1031" s="4">
        <v>0</v>
      </c>
      <c r="AC1031" s="4" t="s">
        <v>49</v>
      </c>
      <c r="AD1031" s="4">
        <v>0</v>
      </c>
      <c r="AE1031" s="4" t="s">
        <v>49</v>
      </c>
      <c r="AF1031" s="4">
        <v>0</v>
      </c>
      <c r="AG1031" s="4" t="s">
        <v>745</v>
      </c>
      <c r="AH1031" s="4" t="s">
        <v>744</v>
      </c>
      <c r="AI1031" s="4" t="s">
        <v>297</v>
      </c>
      <c r="AJ1031" s="13">
        <v>0</v>
      </c>
      <c r="AK1031" s="13">
        <v>15</v>
      </c>
      <c r="AP1031" s="13" t="s">
        <v>50</v>
      </c>
      <c r="AQ1031" s="13" t="s">
        <v>49</v>
      </c>
      <c r="AR1031" s="13" t="s">
        <v>49</v>
      </c>
      <c r="AS1031" s="13" t="s">
        <v>49</v>
      </c>
      <c r="AT1031" s="13" t="s">
        <v>990</v>
      </c>
      <c r="AU1031" s="13" t="s">
        <v>998</v>
      </c>
      <c r="AV1031" s="23">
        <f>300/1000</f>
        <v>0.3</v>
      </c>
      <c r="AW1031" s="23">
        <f>247/1000</f>
        <v>0.247</v>
      </c>
      <c r="AX1031" s="14">
        <f>Table1347456[[#This Row],[treatment_mean]]/Table1347456[[#This Row],[control_mean]]</f>
        <v>1.214574898785425</v>
      </c>
      <c r="AY1031" s="14">
        <f>LN(Table1347456[[#This Row],[rr]])</f>
        <v>0.19439413802822381</v>
      </c>
      <c r="AZ1031" s="13">
        <v>3</v>
      </c>
      <c r="BA1031" s="13">
        <v>3</v>
      </c>
      <c r="BB1031" s="14" t="s">
        <v>46</v>
      </c>
      <c r="BC1031" s="14" t="s">
        <v>46</v>
      </c>
      <c r="BD1031" s="15" t="s">
        <v>46</v>
      </c>
      <c r="BE1031" s="14" t="s">
        <v>46</v>
      </c>
      <c r="BF103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31" s="17" t="s">
        <v>46</v>
      </c>
      <c r="BH1031" s="13" t="s">
        <v>50</v>
      </c>
      <c r="BI1031" s="13">
        <v>2.5000000000000001E-2</v>
      </c>
      <c r="BJ1031" s="18">
        <f>ABS(_xlfn.NORM.S.INV(Table1347456[[#This Row],[p_value]]/2))</f>
        <v>2.2414027276049446</v>
      </c>
      <c r="BK1031" s="19">
        <f>(Table1347456[[#This Row],[lnrr]]/Table1347456[[#This Row],[z_from_p]])^2</f>
        <v>7.5218823617366308E-3</v>
      </c>
      <c r="BL1031" s="16">
        <f>Table1347456[[#This Row],[v_from_z_from_p]]</f>
        <v>7.5218823617366308E-3</v>
      </c>
      <c r="BM1031" s="20">
        <f>SQRT(Table1347456[[#This Row],[v]])</f>
        <v>8.6728786234655852E-2</v>
      </c>
      <c r="BN1031" s="20">
        <f>Table1347456[[#This Row],[lnrr]]-(1.96*Table1347456[[#This Row],[se]])</f>
        <v>2.4405717008298328E-2</v>
      </c>
      <c r="BO1031" s="20">
        <f>Table1347456[[#This Row],[lnrr]]+(1.96 * Table1347456[[#This Row],[se]])</f>
        <v>0.36438255904814931</v>
      </c>
    </row>
    <row r="1032" spans="1:67">
      <c r="A1032" s="13" t="s">
        <v>339</v>
      </c>
      <c r="B1032" s="13" t="s">
        <v>340</v>
      </c>
      <c r="C1032" s="13" t="s">
        <v>341</v>
      </c>
      <c r="D1032" s="13" t="s">
        <v>342</v>
      </c>
      <c r="E1032" s="13" t="s">
        <v>44</v>
      </c>
      <c r="F1032" s="13" t="s">
        <v>584</v>
      </c>
      <c r="G1032" s="13" t="s">
        <v>343</v>
      </c>
      <c r="H1032" s="13">
        <v>21</v>
      </c>
      <c r="I1032" s="13">
        <v>81</v>
      </c>
      <c r="J1032" s="13" t="s">
        <v>657</v>
      </c>
      <c r="K1032" s="13" t="s">
        <v>914</v>
      </c>
      <c r="L1032" s="13" t="s">
        <v>915</v>
      </c>
      <c r="M1032" s="13" t="s">
        <v>802</v>
      </c>
      <c r="N1032" s="13" t="s">
        <v>625</v>
      </c>
      <c r="O1032" s="13" t="s">
        <v>644</v>
      </c>
      <c r="P1032" s="13" t="s">
        <v>85</v>
      </c>
      <c r="Q1032" s="13" t="s">
        <v>48</v>
      </c>
      <c r="R1032" s="4">
        <v>3</v>
      </c>
      <c r="S1032" s="13" t="s">
        <v>594</v>
      </c>
      <c r="T1032" s="13">
        <v>730</v>
      </c>
      <c r="U1032" s="4" t="s">
        <v>333</v>
      </c>
      <c r="V1032" s="4">
        <v>535</v>
      </c>
      <c r="W1032" s="4" t="s">
        <v>601</v>
      </c>
      <c r="X1032" s="4">
        <v>190</v>
      </c>
      <c r="Y1032" s="4">
        <v>20</v>
      </c>
      <c r="AA1032" s="4" t="s">
        <v>49</v>
      </c>
      <c r="AB1032" s="4">
        <v>0</v>
      </c>
      <c r="AC1032" s="4" t="s">
        <v>49</v>
      </c>
      <c r="AD1032" s="4">
        <v>0</v>
      </c>
      <c r="AE1032" s="4" t="s">
        <v>49</v>
      </c>
      <c r="AF1032" s="4">
        <v>0</v>
      </c>
      <c r="AG1032" s="4" t="s">
        <v>745</v>
      </c>
      <c r="AH1032" s="4" t="s">
        <v>744</v>
      </c>
      <c r="AI1032" s="4" t="s">
        <v>297</v>
      </c>
      <c r="AJ1032" s="13">
        <v>0</v>
      </c>
      <c r="AK1032" s="13">
        <v>15</v>
      </c>
      <c r="AP1032" s="13" t="s">
        <v>50</v>
      </c>
      <c r="AQ1032" s="13" t="s">
        <v>49</v>
      </c>
      <c r="AR1032" s="13" t="s">
        <v>49</v>
      </c>
      <c r="AS1032" s="13" t="s">
        <v>49</v>
      </c>
      <c r="AT1032" s="13" t="s">
        <v>990</v>
      </c>
      <c r="AU1032" s="13" t="s">
        <v>998</v>
      </c>
      <c r="AV1032" s="23">
        <f>297/1000</f>
        <v>0.29699999999999999</v>
      </c>
      <c r="AW1032" s="23">
        <f>247/1000</f>
        <v>0.247</v>
      </c>
      <c r="AX1032" s="14">
        <f>Table1347456[[#This Row],[treatment_mean]]/Table1347456[[#This Row],[control_mean]]</f>
        <v>1.2024291497975708</v>
      </c>
      <c r="AY1032" s="14">
        <f>LN(Table1347456[[#This Row],[rr]])</f>
        <v>0.18434380217472235</v>
      </c>
      <c r="AZ1032" s="13">
        <v>3</v>
      </c>
      <c r="BA1032" s="13">
        <v>3</v>
      </c>
      <c r="BB1032" s="14" t="s">
        <v>46</v>
      </c>
      <c r="BC1032" s="14" t="s">
        <v>46</v>
      </c>
      <c r="BD1032" s="15" t="s">
        <v>46</v>
      </c>
      <c r="BE1032" s="14" t="s">
        <v>46</v>
      </c>
      <c r="BF103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32" s="17" t="s">
        <v>46</v>
      </c>
      <c r="BH1032" s="13" t="s">
        <v>50</v>
      </c>
      <c r="BI1032" s="13">
        <v>2.5000000000000001E-2</v>
      </c>
      <c r="BJ1032" s="18">
        <f>ABS(_xlfn.NORM.S.INV(Table1347456[[#This Row],[p_value]]/2))</f>
        <v>2.2414027276049446</v>
      </c>
      <c r="BK1032" s="19">
        <f>(Table1347456[[#This Row],[lnrr]]/Table1347456[[#This Row],[z_from_p]])^2</f>
        <v>6.7642132272100397E-3</v>
      </c>
      <c r="BL1032" s="16">
        <f>Table1347456[[#This Row],[v_from_z_from_p]]</f>
        <v>6.7642132272100397E-3</v>
      </c>
      <c r="BM1032" s="20">
        <f>SQRT(Table1347456[[#This Row],[v]])</f>
        <v>8.2244837085436798E-2</v>
      </c>
      <c r="BN1032" s="20">
        <f>Table1347456[[#This Row],[lnrr]]-(1.96*Table1347456[[#This Row],[se]])</f>
        <v>2.3143921487266239E-2</v>
      </c>
      <c r="BO1032" s="20">
        <f>Table1347456[[#This Row],[lnrr]]+(1.96 * Table1347456[[#This Row],[se]])</f>
        <v>0.34554368286217846</v>
      </c>
    </row>
    <row r="1033" spans="1:67">
      <c r="A1033" s="13" t="s">
        <v>339</v>
      </c>
      <c r="B1033" s="13" t="s">
        <v>340</v>
      </c>
      <c r="C1033" s="13" t="s">
        <v>341</v>
      </c>
      <c r="D1033" s="13" t="s">
        <v>342</v>
      </c>
      <c r="E1033" s="13" t="s">
        <v>44</v>
      </c>
      <c r="F1033" s="13" t="s">
        <v>584</v>
      </c>
      <c r="G1033" s="13" t="s">
        <v>343</v>
      </c>
      <c r="H1033" s="13">
        <v>21</v>
      </c>
      <c r="I1033" s="13">
        <v>81</v>
      </c>
      <c r="J1033" s="13" t="s">
        <v>657</v>
      </c>
      <c r="K1033" s="13" t="s">
        <v>914</v>
      </c>
      <c r="L1033" s="13" t="s">
        <v>915</v>
      </c>
      <c r="M1033" s="13" t="s">
        <v>802</v>
      </c>
      <c r="N1033" s="13" t="s">
        <v>625</v>
      </c>
      <c r="O1033" s="13" t="s">
        <v>644</v>
      </c>
      <c r="P1033" s="13" t="s">
        <v>85</v>
      </c>
      <c r="Q1033" s="13" t="s">
        <v>48</v>
      </c>
      <c r="R1033" s="4">
        <v>3</v>
      </c>
      <c r="S1033" s="13" t="s">
        <v>594</v>
      </c>
      <c r="T1033" s="13">
        <v>730</v>
      </c>
      <c r="U1033" s="4" t="s">
        <v>292</v>
      </c>
      <c r="V1033" s="4">
        <v>535</v>
      </c>
      <c r="W1033" s="4" t="s">
        <v>601</v>
      </c>
      <c r="X1033" s="4">
        <v>161</v>
      </c>
      <c r="Y1033" s="4">
        <v>10</v>
      </c>
      <c r="AA1033" s="4" t="s">
        <v>49</v>
      </c>
      <c r="AB1033" s="4">
        <v>0</v>
      </c>
      <c r="AC1033" s="4" t="s">
        <v>49</v>
      </c>
      <c r="AD1033" s="4">
        <v>0</v>
      </c>
      <c r="AE1033" s="4" t="s">
        <v>49</v>
      </c>
      <c r="AF1033" s="4">
        <v>0</v>
      </c>
      <c r="AG1033" s="4" t="s">
        <v>692</v>
      </c>
      <c r="AH1033" s="4" t="s">
        <v>744</v>
      </c>
      <c r="AI1033" s="4" t="s">
        <v>297</v>
      </c>
      <c r="AJ1033" s="13">
        <v>0</v>
      </c>
      <c r="AK1033" s="13">
        <v>15</v>
      </c>
      <c r="AP1033" s="13" t="s">
        <v>50</v>
      </c>
      <c r="AQ1033" s="13" t="s">
        <v>49</v>
      </c>
      <c r="AR1033" s="13" t="s">
        <v>49</v>
      </c>
      <c r="AS1033" s="13" t="s">
        <v>49</v>
      </c>
      <c r="AT1033" s="13" t="s">
        <v>990</v>
      </c>
      <c r="AU1033" s="13" t="s">
        <v>998</v>
      </c>
      <c r="AV1033" s="23">
        <f>316/1000</f>
        <v>0.316</v>
      </c>
      <c r="AW1033" s="23">
        <f>247/1000</f>
        <v>0.247</v>
      </c>
      <c r="AX1033" s="14">
        <f>Table1347456[[#This Row],[treatment_mean]]/Table1347456[[#This Row],[control_mean]]</f>
        <v>1.2793522267206479</v>
      </c>
      <c r="AY1033" s="14">
        <f>LN(Table1347456[[#This Row],[rr]])</f>
        <v>0.24635387695893499</v>
      </c>
      <c r="AZ1033" s="13">
        <v>3</v>
      </c>
      <c r="BA1033" s="13">
        <v>3</v>
      </c>
      <c r="BB1033" s="14" t="s">
        <v>46</v>
      </c>
      <c r="BC1033" s="14" t="s">
        <v>46</v>
      </c>
      <c r="BD1033" s="15" t="s">
        <v>46</v>
      </c>
      <c r="BE1033" s="14" t="s">
        <v>46</v>
      </c>
      <c r="BF103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33" s="17" t="s">
        <v>46</v>
      </c>
      <c r="BH1033" s="13" t="s">
        <v>50</v>
      </c>
      <c r="BI1033" s="13">
        <v>2.5000000000000001E-2</v>
      </c>
      <c r="BJ1033" s="18">
        <f>ABS(_xlfn.NORM.S.INV(Table1347456[[#This Row],[p_value]]/2))</f>
        <v>2.2414027276049446</v>
      </c>
      <c r="BK1033" s="19">
        <f>(Table1347456[[#This Row],[lnrr]]/Table1347456[[#This Row],[z_from_p]])^2</f>
        <v>1.2080335905287528E-2</v>
      </c>
      <c r="BL1033" s="16">
        <f>Table1347456[[#This Row],[v_from_z_from_p]]</f>
        <v>1.2080335905287528E-2</v>
      </c>
      <c r="BM1033" s="20">
        <f>SQRT(Table1347456[[#This Row],[v]])</f>
        <v>0.10991058140728548</v>
      </c>
      <c r="BN1033" s="20">
        <f>Table1347456[[#This Row],[lnrr]]-(1.96*Table1347456[[#This Row],[se]])</f>
        <v>3.0929137400655449E-2</v>
      </c>
      <c r="BO1033" s="20">
        <f>Table1347456[[#This Row],[lnrr]]+(1.96 * Table1347456[[#This Row],[se]])</f>
        <v>0.46177861651721452</v>
      </c>
    </row>
    <row r="1034" spans="1:67">
      <c r="A1034" s="13" t="s">
        <v>339</v>
      </c>
      <c r="B1034" s="13" t="s">
        <v>340</v>
      </c>
      <c r="C1034" s="13" t="s">
        <v>341</v>
      </c>
      <c r="D1034" s="13" t="s">
        <v>342</v>
      </c>
      <c r="E1034" s="13" t="s">
        <v>44</v>
      </c>
      <c r="F1034" s="13" t="s">
        <v>584</v>
      </c>
      <c r="G1034" s="13" t="s">
        <v>343</v>
      </c>
      <c r="H1034" s="13">
        <v>21</v>
      </c>
      <c r="I1034" s="13">
        <v>81</v>
      </c>
      <c r="J1034" s="13" t="s">
        <v>657</v>
      </c>
      <c r="K1034" s="13" t="s">
        <v>914</v>
      </c>
      <c r="L1034" s="13" t="s">
        <v>915</v>
      </c>
      <c r="M1034" s="13" t="s">
        <v>802</v>
      </c>
      <c r="N1034" s="13" t="s">
        <v>625</v>
      </c>
      <c r="O1034" s="13" t="s">
        <v>644</v>
      </c>
      <c r="P1034" s="13" t="s">
        <v>85</v>
      </c>
      <c r="Q1034" s="13" t="s">
        <v>48</v>
      </c>
      <c r="R1034" s="4">
        <v>3</v>
      </c>
      <c r="S1034" s="13" t="s">
        <v>594</v>
      </c>
      <c r="T1034" s="13">
        <v>730</v>
      </c>
      <c r="U1034" s="4" t="s">
        <v>292</v>
      </c>
      <c r="V1034" s="4">
        <v>535</v>
      </c>
      <c r="W1034" s="4" t="s">
        <v>601</v>
      </c>
      <c r="X1034" s="4">
        <v>161</v>
      </c>
      <c r="Y1034" s="4">
        <v>20</v>
      </c>
      <c r="AA1034" s="4" t="s">
        <v>49</v>
      </c>
      <c r="AB1034" s="4">
        <v>0</v>
      </c>
      <c r="AC1034" s="4" t="s">
        <v>49</v>
      </c>
      <c r="AD1034" s="4">
        <v>0</v>
      </c>
      <c r="AE1034" s="4" t="s">
        <v>49</v>
      </c>
      <c r="AF1034" s="4">
        <v>0</v>
      </c>
      <c r="AG1034" s="4" t="s">
        <v>692</v>
      </c>
      <c r="AH1034" s="4" t="s">
        <v>744</v>
      </c>
      <c r="AI1034" s="4" t="s">
        <v>297</v>
      </c>
      <c r="AJ1034" s="13">
        <v>0</v>
      </c>
      <c r="AK1034" s="13">
        <v>15</v>
      </c>
      <c r="AP1034" s="13" t="s">
        <v>50</v>
      </c>
      <c r="AQ1034" s="13" t="s">
        <v>49</v>
      </c>
      <c r="AR1034" s="13" t="s">
        <v>49</v>
      </c>
      <c r="AS1034" s="13" t="s">
        <v>49</v>
      </c>
      <c r="AT1034" s="13" t="s">
        <v>990</v>
      </c>
      <c r="AU1034" s="13" t="s">
        <v>998</v>
      </c>
      <c r="AV1034" s="23">
        <f>296/1000</f>
        <v>0.29599999999999999</v>
      </c>
      <c r="AW1034" s="23">
        <f>247/1000</f>
        <v>0.247</v>
      </c>
      <c r="AX1034" s="14">
        <f>Table1347456[[#This Row],[treatment_mean]]/Table1347456[[#This Row],[control_mean]]</f>
        <v>1.1983805668016194</v>
      </c>
      <c r="AY1034" s="14">
        <f>LN(Table1347456[[#This Row],[rr]])</f>
        <v>0.18097111769608315</v>
      </c>
      <c r="AZ1034" s="13">
        <v>3</v>
      </c>
      <c r="BA1034" s="13">
        <v>3</v>
      </c>
      <c r="BB1034" s="14" t="s">
        <v>46</v>
      </c>
      <c r="BC1034" s="14" t="s">
        <v>46</v>
      </c>
      <c r="BD1034" s="15" t="s">
        <v>46</v>
      </c>
      <c r="BE1034" s="14" t="s">
        <v>46</v>
      </c>
      <c r="BF103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34" s="17" t="s">
        <v>46</v>
      </c>
      <c r="BH1034" s="13" t="s">
        <v>50</v>
      </c>
      <c r="BI1034" s="13">
        <v>2.5000000000000001E-2</v>
      </c>
      <c r="BJ1034" s="18">
        <f>ABS(_xlfn.NORM.S.INV(Table1347456[[#This Row],[p_value]]/2))</f>
        <v>2.2414027276049446</v>
      </c>
      <c r="BK1034" s="19">
        <f>(Table1347456[[#This Row],[lnrr]]/Table1347456[[#This Row],[z_from_p]])^2</f>
        <v>6.5189664373495205E-3</v>
      </c>
      <c r="BL1034" s="16">
        <f>Table1347456[[#This Row],[v_from_z_from_p]]</f>
        <v>6.5189664373495205E-3</v>
      </c>
      <c r="BM1034" s="20">
        <f>SQRT(Table1347456[[#This Row],[v]])</f>
        <v>8.07401166542972E-2</v>
      </c>
      <c r="BN1034" s="20">
        <f>Table1347456[[#This Row],[lnrr]]-(1.96*Table1347456[[#This Row],[se]])</f>
        <v>2.2720489053660642E-2</v>
      </c>
      <c r="BO1034" s="20">
        <f>Table1347456[[#This Row],[lnrr]]+(1.96 * Table1347456[[#This Row],[se]])</f>
        <v>0.33922174633850566</v>
      </c>
    </row>
    <row r="1035" spans="1:67">
      <c r="A1035" s="13" t="s">
        <v>339</v>
      </c>
      <c r="B1035" s="13" t="s">
        <v>340</v>
      </c>
      <c r="C1035" s="13" t="s">
        <v>341</v>
      </c>
      <c r="D1035" s="13" t="s">
        <v>342</v>
      </c>
      <c r="E1035" s="13" t="s">
        <v>44</v>
      </c>
      <c r="F1035" s="13" t="s">
        <v>584</v>
      </c>
      <c r="G1035" s="13" t="s">
        <v>343</v>
      </c>
      <c r="H1035" s="13">
        <v>21</v>
      </c>
      <c r="I1035" s="13">
        <v>81</v>
      </c>
      <c r="K1035" s="13" t="s">
        <v>914</v>
      </c>
      <c r="L1035" s="13" t="s">
        <v>915</v>
      </c>
      <c r="N1035" s="13" t="s">
        <v>626</v>
      </c>
      <c r="O1035" s="13" t="s">
        <v>644</v>
      </c>
      <c r="P1035" s="13" t="s">
        <v>85</v>
      </c>
      <c r="Q1035" s="13" t="s">
        <v>48</v>
      </c>
      <c r="R1035" s="4">
        <v>3</v>
      </c>
      <c r="S1035" s="13" t="s">
        <v>594</v>
      </c>
      <c r="T1035" s="13">
        <v>730</v>
      </c>
      <c r="U1035" s="4" t="s">
        <v>333</v>
      </c>
      <c r="V1035" s="4">
        <v>535</v>
      </c>
      <c r="W1035" s="4" t="s">
        <v>601</v>
      </c>
      <c r="X1035" s="4">
        <v>190</v>
      </c>
      <c r="Y1035" s="4">
        <v>10</v>
      </c>
      <c r="AA1035" s="4" t="s">
        <v>49</v>
      </c>
      <c r="AB1035" s="4">
        <v>0</v>
      </c>
      <c r="AC1035" s="4" t="s">
        <v>49</v>
      </c>
      <c r="AD1035" s="4">
        <v>0</v>
      </c>
      <c r="AE1035" s="4" t="s">
        <v>49</v>
      </c>
      <c r="AF1035" s="4">
        <v>0</v>
      </c>
      <c r="AG1035" s="4" t="s">
        <v>745</v>
      </c>
      <c r="AH1035" s="4" t="s">
        <v>744</v>
      </c>
      <c r="AI1035" s="4" t="s">
        <v>297</v>
      </c>
      <c r="AJ1035" s="13">
        <v>0</v>
      </c>
      <c r="AK1035" s="13">
        <v>15</v>
      </c>
      <c r="AP1035" s="13" t="s">
        <v>50</v>
      </c>
      <c r="AQ1035" s="13" t="s">
        <v>49</v>
      </c>
      <c r="AR1035" s="13" t="s">
        <v>49</v>
      </c>
      <c r="AS1035" s="13" t="s">
        <v>49</v>
      </c>
      <c r="AT1035" s="13" t="s">
        <v>990</v>
      </c>
      <c r="AU1035" s="13" t="s">
        <v>998</v>
      </c>
      <c r="AV1035" s="14">
        <f>1025/1000</f>
        <v>1.0249999999999999</v>
      </c>
      <c r="AW1035" s="14">
        <f>739/1000</f>
        <v>0.73899999999999999</v>
      </c>
      <c r="AX1035" s="14">
        <f>Table1347456[[#This Row],[treatment_mean]]/Table1347456[[#This Row],[control_mean]]</f>
        <v>1.3870094722598105</v>
      </c>
      <c r="AY1035" s="14">
        <f>LN(Table1347456[[#This Row],[rr]])</f>
        <v>0.32714997062430679</v>
      </c>
      <c r="AZ1035" s="13">
        <v>3</v>
      </c>
      <c r="BA1035" s="13">
        <v>3</v>
      </c>
      <c r="BB1035" s="14" t="s">
        <v>46</v>
      </c>
      <c r="BC1035" s="14" t="s">
        <v>46</v>
      </c>
      <c r="BD1035" s="15" t="s">
        <v>46</v>
      </c>
      <c r="BE1035" s="14" t="s">
        <v>46</v>
      </c>
      <c r="BF103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35" s="17" t="s">
        <v>46</v>
      </c>
      <c r="BH1035" s="13" t="s">
        <v>50</v>
      </c>
      <c r="BI1035" s="13">
        <v>2.5000000000000001E-2</v>
      </c>
      <c r="BJ1035" s="18">
        <f>ABS(_xlfn.NORM.S.INV(Table1347456[[#This Row],[p_value]]/2))</f>
        <v>2.2414027276049446</v>
      </c>
      <c r="BK1035" s="19">
        <f>(Table1347456[[#This Row],[lnrr]]/Table1347456[[#This Row],[z_from_p]])^2</f>
        <v>2.1303648070237737E-2</v>
      </c>
      <c r="BL1035" s="16">
        <f>Table1347456[[#This Row],[v_from_z_from_p]]</f>
        <v>2.1303648070237737E-2</v>
      </c>
      <c r="BM1035" s="20">
        <f>SQRT(Table1347456[[#This Row],[v]])</f>
        <v>0.14595769274086837</v>
      </c>
      <c r="BN1035" s="20">
        <f>Table1347456[[#This Row],[lnrr]]-(1.96*Table1347456[[#This Row],[se]])</f>
        <v>4.1072892852204779E-2</v>
      </c>
      <c r="BO1035" s="20">
        <f>Table1347456[[#This Row],[lnrr]]+(1.96 * Table1347456[[#This Row],[se]])</f>
        <v>0.61322704839640885</v>
      </c>
    </row>
    <row r="1036" spans="1:67">
      <c r="A1036" s="13" t="s">
        <v>339</v>
      </c>
      <c r="B1036" s="13" t="s">
        <v>340</v>
      </c>
      <c r="C1036" s="13" t="s">
        <v>341</v>
      </c>
      <c r="D1036" s="13" t="s">
        <v>342</v>
      </c>
      <c r="E1036" s="13" t="s">
        <v>44</v>
      </c>
      <c r="F1036" s="13" t="s">
        <v>584</v>
      </c>
      <c r="G1036" s="13" t="s">
        <v>343</v>
      </c>
      <c r="H1036" s="13">
        <v>21</v>
      </c>
      <c r="I1036" s="13">
        <v>81</v>
      </c>
      <c r="K1036" s="13" t="s">
        <v>914</v>
      </c>
      <c r="L1036" s="13" t="s">
        <v>915</v>
      </c>
      <c r="N1036" s="13" t="s">
        <v>626</v>
      </c>
      <c r="O1036" s="13" t="s">
        <v>644</v>
      </c>
      <c r="P1036" s="13" t="s">
        <v>85</v>
      </c>
      <c r="Q1036" s="13" t="s">
        <v>48</v>
      </c>
      <c r="R1036" s="4">
        <v>3</v>
      </c>
      <c r="S1036" s="13" t="s">
        <v>594</v>
      </c>
      <c r="T1036" s="13">
        <v>730</v>
      </c>
      <c r="U1036" s="4" t="s">
        <v>333</v>
      </c>
      <c r="V1036" s="4">
        <v>535</v>
      </c>
      <c r="W1036" s="4" t="s">
        <v>601</v>
      </c>
      <c r="X1036" s="4">
        <v>190</v>
      </c>
      <c r="Y1036" s="4">
        <v>20</v>
      </c>
      <c r="AA1036" s="4" t="s">
        <v>49</v>
      </c>
      <c r="AB1036" s="4">
        <v>0</v>
      </c>
      <c r="AC1036" s="4" t="s">
        <v>49</v>
      </c>
      <c r="AD1036" s="4">
        <v>0</v>
      </c>
      <c r="AE1036" s="4" t="s">
        <v>49</v>
      </c>
      <c r="AF1036" s="4">
        <v>0</v>
      </c>
      <c r="AG1036" s="4" t="s">
        <v>745</v>
      </c>
      <c r="AH1036" s="4" t="s">
        <v>744</v>
      </c>
      <c r="AI1036" s="4" t="s">
        <v>297</v>
      </c>
      <c r="AJ1036" s="13">
        <v>0</v>
      </c>
      <c r="AK1036" s="13">
        <v>15</v>
      </c>
      <c r="AP1036" s="13" t="s">
        <v>50</v>
      </c>
      <c r="AQ1036" s="13" t="s">
        <v>49</v>
      </c>
      <c r="AR1036" s="13" t="s">
        <v>49</v>
      </c>
      <c r="AS1036" s="13" t="s">
        <v>49</v>
      </c>
      <c r="AT1036" s="13" t="s">
        <v>990</v>
      </c>
      <c r="AU1036" s="13" t="s">
        <v>998</v>
      </c>
      <c r="AV1036" s="14">
        <f>1189/1000</f>
        <v>1.1890000000000001</v>
      </c>
      <c r="AW1036" s="14">
        <f>739/1000</f>
        <v>0.73899999999999999</v>
      </c>
      <c r="AX1036" s="14">
        <f>Table1347456[[#This Row],[treatment_mean]]/Table1347456[[#This Row],[control_mean]]</f>
        <v>1.6089309878213804</v>
      </c>
      <c r="AY1036" s="14">
        <f>LN(Table1347456[[#This Row],[rr]])</f>
        <v>0.4755699757425802</v>
      </c>
      <c r="AZ1036" s="13">
        <v>3</v>
      </c>
      <c r="BA1036" s="13">
        <v>3</v>
      </c>
      <c r="BB1036" s="14" t="s">
        <v>46</v>
      </c>
      <c r="BC1036" s="14" t="s">
        <v>46</v>
      </c>
      <c r="BD1036" s="15" t="s">
        <v>46</v>
      </c>
      <c r="BE1036" s="14" t="s">
        <v>46</v>
      </c>
      <c r="BF103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36" s="17" t="s">
        <v>46</v>
      </c>
      <c r="BH1036" s="13" t="s">
        <v>50</v>
      </c>
      <c r="BI1036" s="13">
        <v>2.5000000000000001E-2</v>
      </c>
      <c r="BJ1036" s="18">
        <f>ABS(_xlfn.NORM.S.INV(Table1347456[[#This Row],[p_value]]/2))</f>
        <v>2.2414027276049446</v>
      </c>
      <c r="BK1036" s="19">
        <f>(Table1347456[[#This Row],[lnrr]]/Table1347456[[#This Row],[z_from_p]])^2</f>
        <v>4.50182972693252E-2</v>
      </c>
      <c r="BL1036" s="16">
        <f>Table1347456[[#This Row],[v_from_z_from_p]]</f>
        <v>4.50182972693252E-2</v>
      </c>
      <c r="BM1036" s="20">
        <f>SQRT(Table1347456[[#This Row],[v]])</f>
        <v>0.21217515705031351</v>
      </c>
      <c r="BN1036" s="20">
        <f>Table1347456[[#This Row],[lnrr]]-(1.96*Table1347456[[#This Row],[se]])</f>
        <v>5.9706667923965728E-2</v>
      </c>
      <c r="BO1036" s="20">
        <f>Table1347456[[#This Row],[lnrr]]+(1.96 * Table1347456[[#This Row],[se]])</f>
        <v>0.89143328356119467</v>
      </c>
    </row>
    <row r="1037" spans="1:67">
      <c r="A1037" s="13" t="s">
        <v>339</v>
      </c>
      <c r="B1037" s="13" t="s">
        <v>340</v>
      </c>
      <c r="C1037" s="13" t="s">
        <v>341</v>
      </c>
      <c r="D1037" s="13" t="s">
        <v>342</v>
      </c>
      <c r="E1037" s="13" t="s">
        <v>44</v>
      </c>
      <c r="F1037" s="13" t="s">
        <v>584</v>
      </c>
      <c r="G1037" s="13" t="s">
        <v>343</v>
      </c>
      <c r="H1037" s="13">
        <v>21</v>
      </c>
      <c r="I1037" s="13">
        <v>81</v>
      </c>
      <c r="K1037" s="13" t="s">
        <v>914</v>
      </c>
      <c r="L1037" s="13" t="s">
        <v>915</v>
      </c>
      <c r="N1037" s="13" t="s">
        <v>626</v>
      </c>
      <c r="O1037" s="13" t="s">
        <v>644</v>
      </c>
      <c r="P1037" s="13" t="s">
        <v>85</v>
      </c>
      <c r="Q1037" s="13" t="s">
        <v>48</v>
      </c>
      <c r="R1037" s="4">
        <v>3</v>
      </c>
      <c r="S1037" s="13" t="s">
        <v>594</v>
      </c>
      <c r="T1037" s="13">
        <v>730</v>
      </c>
      <c r="U1037" s="4" t="s">
        <v>292</v>
      </c>
      <c r="V1037" s="4">
        <v>535</v>
      </c>
      <c r="W1037" s="4" t="s">
        <v>601</v>
      </c>
      <c r="X1037" s="4">
        <v>161</v>
      </c>
      <c r="Y1037" s="4">
        <v>10</v>
      </c>
      <c r="AA1037" s="4" t="s">
        <v>49</v>
      </c>
      <c r="AB1037" s="4">
        <v>0</v>
      </c>
      <c r="AC1037" s="4" t="s">
        <v>49</v>
      </c>
      <c r="AD1037" s="4">
        <v>0</v>
      </c>
      <c r="AE1037" s="4" t="s">
        <v>49</v>
      </c>
      <c r="AF1037" s="4">
        <v>0</v>
      </c>
      <c r="AG1037" s="4" t="s">
        <v>692</v>
      </c>
      <c r="AH1037" s="4" t="s">
        <v>744</v>
      </c>
      <c r="AI1037" s="4" t="s">
        <v>297</v>
      </c>
      <c r="AJ1037" s="13">
        <v>0</v>
      </c>
      <c r="AK1037" s="13">
        <v>15</v>
      </c>
      <c r="AP1037" s="13" t="s">
        <v>50</v>
      </c>
      <c r="AQ1037" s="13" t="s">
        <v>49</v>
      </c>
      <c r="AR1037" s="13" t="s">
        <v>49</v>
      </c>
      <c r="AS1037" s="13" t="s">
        <v>49</v>
      </c>
      <c r="AT1037" s="13" t="s">
        <v>990</v>
      </c>
      <c r="AU1037" s="13" t="s">
        <v>998</v>
      </c>
      <c r="AV1037" s="14">
        <f>722/1000</f>
        <v>0.72199999999999998</v>
      </c>
      <c r="AW1037" s="14">
        <f>739/1000</f>
        <v>0.73899999999999999</v>
      </c>
      <c r="AX1037" s="14">
        <f>Table1347456[[#This Row],[treatment_mean]]/Table1347456[[#This Row],[control_mean]]</f>
        <v>0.9769959404600812</v>
      </c>
      <c r="AY1037" s="14">
        <f>LN(Table1347456[[#This Row],[rr]])</f>
        <v>-2.3272782055375533E-2</v>
      </c>
      <c r="AZ1037" s="13">
        <v>3</v>
      </c>
      <c r="BA1037" s="13">
        <v>3</v>
      </c>
      <c r="BB1037" s="14" t="s">
        <v>46</v>
      </c>
      <c r="BC1037" s="14" t="s">
        <v>46</v>
      </c>
      <c r="BD1037" s="15" t="s">
        <v>46</v>
      </c>
      <c r="BE1037" s="14" t="s">
        <v>46</v>
      </c>
      <c r="BF103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37" s="17" t="s">
        <v>46</v>
      </c>
      <c r="BH1037" s="13" t="s">
        <v>50</v>
      </c>
      <c r="BI1037" s="13">
        <v>2.5000000000000001E-2</v>
      </c>
      <c r="BJ1037" s="18">
        <f>ABS(_xlfn.NORM.S.INV(Table1347456[[#This Row],[p_value]]/2))</f>
        <v>2.2414027276049446</v>
      </c>
      <c r="BK1037" s="19">
        <f>(Table1347456[[#This Row],[lnrr]]/Table1347456[[#This Row],[z_from_p]])^2</f>
        <v>1.0780944559703294E-4</v>
      </c>
      <c r="BL1037" s="16">
        <f>Table1347456[[#This Row],[v_from_z_from_p]]</f>
        <v>1.0780944559703294E-4</v>
      </c>
      <c r="BM1037" s="20">
        <f>SQRT(Table1347456[[#This Row],[v]])</f>
        <v>1.0383132744843097E-2</v>
      </c>
      <c r="BN1037" s="20">
        <f>Table1347456[[#This Row],[lnrr]]-(1.96*Table1347456[[#This Row],[se]])</f>
        <v>-4.3623722235268003E-2</v>
      </c>
      <c r="BO1037" s="20">
        <f>Table1347456[[#This Row],[lnrr]]+(1.96 * Table1347456[[#This Row],[se]])</f>
        <v>-2.9218418754830625E-3</v>
      </c>
    </row>
    <row r="1038" spans="1:67">
      <c r="A1038" s="13" t="s">
        <v>339</v>
      </c>
      <c r="B1038" s="13" t="s">
        <v>340</v>
      </c>
      <c r="C1038" s="13" t="s">
        <v>341</v>
      </c>
      <c r="D1038" s="13" t="s">
        <v>342</v>
      </c>
      <c r="E1038" s="13" t="s">
        <v>44</v>
      </c>
      <c r="F1038" s="13" t="s">
        <v>584</v>
      </c>
      <c r="G1038" s="13" t="s">
        <v>343</v>
      </c>
      <c r="H1038" s="13">
        <v>21</v>
      </c>
      <c r="I1038" s="13">
        <v>81</v>
      </c>
      <c r="K1038" s="13" t="s">
        <v>914</v>
      </c>
      <c r="L1038" s="13" t="s">
        <v>915</v>
      </c>
      <c r="N1038" s="13" t="s">
        <v>626</v>
      </c>
      <c r="O1038" s="13" t="s">
        <v>644</v>
      </c>
      <c r="P1038" s="13" t="s">
        <v>85</v>
      </c>
      <c r="Q1038" s="13" t="s">
        <v>48</v>
      </c>
      <c r="R1038" s="4">
        <v>3</v>
      </c>
      <c r="S1038" s="13" t="s">
        <v>594</v>
      </c>
      <c r="T1038" s="13">
        <v>730</v>
      </c>
      <c r="U1038" s="4" t="s">
        <v>292</v>
      </c>
      <c r="V1038" s="4">
        <v>535</v>
      </c>
      <c r="W1038" s="4" t="s">
        <v>601</v>
      </c>
      <c r="X1038" s="4">
        <v>161</v>
      </c>
      <c r="Y1038" s="4">
        <v>20</v>
      </c>
      <c r="AA1038" s="4" t="s">
        <v>49</v>
      </c>
      <c r="AB1038" s="4">
        <v>0</v>
      </c>
      <c r="AC1038" s="4" t="s">
        <v>49</v>
      </c>
      <c r="AD1038" s="4">
        <v>0</v>
      </c>
      <c r="AE1038" s="4" t="s">
        <v>49</v>
      </c>
      <c r="AF1038" s="4">
        <v>0</v>
      </c>
      <c r="AG1038" s="4" t="s">
        <v>692</v>
      </c>
      <c r="AH1038" s="4" t="s">
        <v>744</v>
      </c>
      <c r="AI1038" s="4" t="s">
        <v>297</v>
      </c>
      <c r="AJ1038" s="13">
        <v>0</v>
      </c>
      <c r="AK1038" s="13">
        <v>15</v>
      </c>
      <c r="AP1038" s="13" t="s">
        <v>50</v>
      </c>
      <c r="AQ1038" s="13" t="s">
        <v>49</v>
      </c>
      <c r="AR1038" s="13" t="s">
        <v>49</v>
      </c>
      <c r="AS1038" s="13" t="s">
        <v>49</v>
      </c>
      <c r="AT1038" s="13" t="s">
        <v>990</v>
      </c>
      <c r="AU1038" s="13" t="s">
        <v>998</v>
      </c>
      <c r="AV1038" s="14">
        <f>773/1000</f>
        <v>0.77300000000000002</v>
      </c>
      <c r="AW1038" s="14">
        <f>739/1000</f>
        <v>0.73899999999999999</v>
      </c>
      <c r="AX1038" s="14">
        <f>Table1347456[[#This Row],[treatment_mean]]/Table1347456[[#This Row],[control_mean]]</f>
        <v>1.0460081190798376</v>
      </c>
      <c r="AY1038" s="14">
        <f>LN(Table1347456[[#This Row],[rr]])</f>
        <v>4.4981127639220166E-2</v>
      </c>
      <c r="AZ1038" s="13">
        <v>3</v>
      </c>
      <c r="BA1038" s="13">
        <v>3</v>
      </c>
      <c r="BB1038" s="14" t="s">
        <v>46</v>
      </c>
      <c r="BC1038" s="14" t="s">
        <v>46</v>
      </c>
      <c r="BD1038" s="15" t="s">
        <v>46</v>
      </c>
      <c r="BE1038" s="14" t="s">
        <v>46</v>
      </c>
      <c r="BF103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38" s="17" t="s">
        <v>46</v>
      </c>
      <c r="BH1038" s="13" t="s">
        <v>50</v>
      </c>
      <c r="BI1038" s="13">
        <v>2.5000000000000001E-2</v>
      </c>
      <c r="BJ1038" s="18">
        <f>ABS(_xlfn.NORM.S.INV(Table1347456[[#This Row],[p_value]]/2))</f>
        <v>2.2414027276049446</v>
      </c>
      <c r="BK1038" s="19">
        <f>(Table1347456[[#This Row],[lnrr]]/Table1347456[[#This Row],[z_from_p]])^2</f>
        <v>4.0273640131509617E-4</v>
      </c>
      <c r="BL1038" s="16">
        <f>Table1347456[[#This Row],[v_from_z_from_p]]</f>
        <v>4.0273640131509617E-4</v>
      </c>
      <c r="BM1038" s="20">
        <f>SQRT(Table1347456[[#This Row],[v]])</f>
        <v>2.0068293433052452E-2</v>
      </c>
      <c r="BN1038" s="20">
        <f>Table1347456[[#This Row],[lnrr]]-(1.96*Table1347456[[#This Row],[se]])</f>
        <v>5.6472725104373608E-3</v>
      </c>
      <c r="BO1038" s="20">
        <f>Table1347456[[#This Row],[lnrr]]+(1.96 * Table1347456[[#This Row],[se]])</f>
        <v>8.4314982768002977E-2</v>
      </c>
    </row>
    <row r="1039" spans="1:67">
      <c r="A1039" s="13" t="s">
        <v>339</v>
      </c>
      <c r="B1039" s="13" t="s">
        <v>340</v>
      </c>
      <c r="C1039" s="13" t="s">
        <v>341</v>
      </c>
      <c r="D1039" s="13" t="s">
        <v>342</v>
      </c>
      <c r="E1039" s="13" t="s">
        <v>44</v>
      </c>
      <c r="F1039" s="13" t="s">
        <v>584</v>
      </c>
      <c r="G1039" s="13" t="s">
        <v>343</v>
      </c>
      <c r="H1039" s="13">
        <v>21</v>
      </c>
      <c r="I1039" s="13">
        <v>81</v>
      </c>
      <c r="K1039" s="13" t="s">
        <v>914</v>
      </c>
      <c r="L1039" s="13" t="s">
        <v>915</v>
      </c>
      <c r="N1039" s="13" t="s">
        <v>344</v>
      </c>
      <c r="O1039" s="13" t="s">
        <v>54</v>
      </c>
      <c r="P1039" s="13" t="s">
        <v>345</v>
      </c>
      <c r="Q1039" s="13" t="s">
        <v>48</v>
      </c>
      <c r="R1039" s="4">
        <v>3</v>
      </c>
      <c r="S1039" s="13" t="s">
        <v>594</v>
      </c>
      <c r="T1039" s="13">
        <v>730</v>
      </c>
      <c r="U1039" s="4" t="s">
        <v>333</v>
      </c>
      <c r="V1039" s="4">
        <v>535</v>
      </c>
      <c r="W1039" s="4" t="s">
        <v>601</v>
      </c>
      <c r="X1039" s="4">
        <v>190</v>
      </c>
      <c r="Y1039" s="4">
        <v>10</v>
      </c>
      <c r="AA1039" s="4" t="s">
        <v>49</v>
      </c>
      <c r="AB1039" s="4">
        <v>0</v>
      </c>
      <c r="AC1039" s="4" t="s">
        <v>49</v>
      </c>
      <c r="AD1039" s="4">
        <v>0</v>
      </c>
      <c r="AE1039" s="4" t="s">
        <v>49</v>
      </c>
      <c r="AF1039" s="4">
        <v>0</v>
      </c>
      <c r="AG1039" s="4" t="s">
        <v>745</v>
      </c>
      <c r="AH1039" s="4" t="s">
        <v>744</v>
      </c>
      <c r="AI1039" s="4" t="s">
        <v>297</v>
      </c>
      <c r="AJ1039" s="13">
        <v>0</v>
      </c>
      <c r="AK1039" s="13">
        <v>15</v>
      </c>
      <c r="AP1039" s="13" t="s">
        <v>50</v>
      </c>
      <c r="AQ1039" s="13" t="s">
        <v>49</v>
      </c>
      <c r="AR1039" s="13" t="s">
        <v>49</v>
      </c>
      <c r="AS1039" s="13" t="s">
        <v>49</v>
      </c>
      <c r="AT1039" s="13" t="s">
        <v>990</v>
      </c>
      <c r="AU1039" s="13" t="s">
        <v>998</v>
      </c>
      <c r="AV1039" s="14">
        <f>(17.97*0.1*1.5)/1.4/1000</f>
        <v>1.9253571428571429E-3</v>
      </c>
      <c r="AW1039" s="14">
        <f>(18.46*0.1*1.5)/1.4/1000</f>
        <v>1.9778571428571432E-3</v>
      </c>
      <c r="AX1039" s="14">
        <f>Table1347456[[#This Row],[treatment_mean]]/Table1347456[[#This Row],[control_mean]]</f>
        <v>0.97345612134344517</v>
      </c>
      <c r="AY1039" s="14">
        <f>LN(Table1347456[[#This Row],[rr]])</f>
        <v>-2.6902528279238547E-2</v>
      </c>
      <c r="AZ1039" s="13">
        <v>3</v>
      </c>
      <c r="BA1039" s="13">
        <v>3</v>
      </c>
      <c r="BB1039" s="14">
        <f>(1.03*0.1*1.5)/1.4/1000</f>
        <v>1.1035714285714289E-4</v>
      </c>
      <c r="BC1039" s="14">
        <f>(SQRT(1.93)*0.1*1.5)/1.4/1000</f>
        <v>1.488476141726765E-4</v>
      </c>
      <c r="BD1039" s="15">
        <f>Table1347456[[#This Row],[treatment_se]]*SQRT(Table1347456[[#This Row],[treatment_n]])</f>
        <v>1.911441784067083E-4</v>
      </c>
      <c r="BE1039" s="14">
        <f>Table1347456[[#This Row],[control_se]]*SQRT(Table1347456[[#This Row],[control_n]])</f>
        <v>2.5781163033248498E-4</v>
      </c>
      <c r="BF103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8.9489421804205844E-3</v>
      </c>
      <c r="BG1039" s="17">
        <f>SQRT(Table1347456[[#This Row],[v_from_sd_and_n]])</f>
        <v>9.4598848726718573E-2</v>
      </c>
      <c r="BH1039" s="13" t="s">
        <v>50</v>
      </c>
      <c r="BI1039" s="13">
        <v>2.5000000000000001E-2</v>
      </c>
      <c r="BJ1039" s="18">
        <f>ABS(_xlfn.NORM.S.INV(Table1347456[[#This Row],[p_value]]/2))</f>
        <v>2.2414027276049446</v>
      </c>
      <c r="BK1039" s="19">
        <f>(Table1347456[[#This Row],[lnrr]]/Table1347456[[#This Row],[z_from_p]])^2</f>
        <v>1.4406099199513317E-4</v>
      </c>
      <c r="BL1039" s="16">
        <f>Table1347456[[#This Row],[v_from_sd_and_n]]</f>
        <v>8.9489421804205844E-3</v>
      </c>
      <c r="BM1039" s="20">
        <f>SQRT(Table1347456[[#This Row],[v]])</f>
        <v>9.4598848726718573E-2</v>
      </c>
      <c r="BN1039" s="20">
        <f>Table1347456[[#This Row],[lnrr]]-(1.96*Table1347456[[#This Row],[se]])</f>
        <v>-0.21231627178360696</v>
      </c>
      <c r="BO1039" s="20">
        <f>Table1347456[[#This Row],[lnrr]]+(1.96 * Table1347456[[#This Row],[se]])</f>
        <v>0.15851121522512984</v>
      </c>
    </row>
    <row r="1040" spans="1:67">
      <c r="A1040" s="13" t="s">
        <v>339</v>
      </c>
      <c r="B1040" s="13" t="s">
        <v>340</v>
      </c>
      <c r="C1040" s="13" t="s">
        <v>341</v>
      </c>
      <c r="D1040" s="13" t="s">
        <v>342</v>
      </c>
      <c r="E1040" s="13" t="s">
        <v>44</v>
      </c>
      <c r="F1040" s="13" t="s">
        <v>584</v>
      </c>
      <c r="G1040" s="13" t="s">
        <v>343</v>
      </c>
      <c r="H1040" s="13">
        <v>21</v>
      </c>
      <c r="I1040" s="13">
        <v>81</v>
      </c>
      <c r="K1040" s="13" t="s">
        <v>914</v>
      </c>
      <c r="L1040" s="13" t="s">
        <v>915</v>
      </c>
      <c r="N1040" s="13" t="s">
        <v>344</v>
      </c>
      <c r="O1040" s="13" t="s">
        <v>54</v>
      </c>
      <c r="P1040" s="13" t="s">
        <v>345</v>
      </c>
      <c r="Q1040" s="13" t="s">
        <v>48</v>
      </c>
      <c r="R1040" s="4">
        <v>3</v>
      </c>
      <c r="S1040" s="13" t="s">
        <v>594</v>
      </c>
      <c r="T1040" s="13">
        <v>730</v>
      </c>
      <c r="U1040" s="4" t="s">
        <v>333</v>
      </c>
      <c r="V1040" s="4">
        <v>535</v>
      </c>
      <c r="W1040" s="4" t="s">
        <v>601</v>
      </c>
      <c r="X1040" s="4">
        <v>190</v>
      </c>
      <c r="Y1040" s="4">
        <v>20</v>
      </c>
      <c r="AA1040" s="4" t="s">
        <v>49</v>
      </c>
      <c r="AB1040" s="4">
        <v>0</v>
      </c>
      <c r="AC1040" s="4" t="s">
        <v>49</v>
      </c>
      <c r="AD1040" s="4">
        <v>0</v>
      </c>
      <c r="AE1040" s="4" t="s">
        <v>49</v>
      </c>
      <c r="AF1040" s="4">
        <v>0</v>
      </c>
      <c r="AG1040" s="4" t="s">
        <v>745</v>
      </c>
      <c r="AH1040" s="4" t="s">
        <v>744</v>
      </c>
      <c r="AI1040" s="4" t="s">
        <v>297</v>
      </c>
      <c r="AJ1040" s="13">
        <v>0</v>
      </c>
      <c r="AK1040" s="13">
        <v>15</v>
      </c>
      <c r="AP1040" s="13" t="s">
        <v>50</v>
      </c>
      <c r="AQ1040" s="13" t="s">
        <v>49</v>
      </c>
      <c r="AR1040" s="13" t="s">
        <v>49</v>
      </c>
      <c r="AS1040" s="13" t="s">
        <v>49</v>
      </c>
      <c r="AT1040" s="13" t="s">
        <v>990</v>
      </c>
      <c r="AU1040" s="13" t="s">
        <v>998</v>
      </c>
      <c r="AV1040" s="14">
        <f>(15.54*0.1*1.5)/1.4/1000</f>
        <v>1.665E-3</v>
      </c>
      <c r="AW1040" s="14">
        <f>(18.46*0.1*1.5)/1.4/1000</f>
        <v>1.9778571428571432E-3</v>
      </c>
      <c r="AX1040" s="14">
        <f>Table1347456[[#This Row],[treatment_mean]]/Table1347456[[#This Row],[control_mean]]</f>
        <v>0.84182015167930646</v>
      </c>
      <c r="AY1040" s="14">
        <f>LN(Table1347456[[#This Row],[rr]])</f>
        <v>-0.17218888413520489</v>
      </c>
      <c r="AZ1040" s="13">
        <v>3</v>
      </c>
      <c r="BA1040" s="13">
        <v>3</v>
      </c>
      <c r="BB1040" s="14">
        <f>(SQRT(3.17)*0.1*1.5)/1.4/1000</f>
        <v>1.9076243372962345E-4</v>
      </c>
      <c r="BC1040" s="14">
        <f>(SQRT(1.93)*0.1*1.5)/1.4/1000</f>
        <v>1.488476141726765E-4</v>
      </c>
      <c r="BD1040" s="15">
        <f>Table1347456[[#This Row],[treatment_se]]*SQRT(Table1347456[[#This Row],[treatment_n]])</f>
        <v>3.304102273951987E-4</v>
      </c>
      <c r="BE1040" s="14">
        <f>Table1347456[[#This Row],[control_se]]*SQRT(Table1347456[[#This Row],[control_n]])</f>
        <v>2.5781163033248498E-4</v>
      </c>
      <c r="BF104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1.87903680865198E-2</v>
      </c>
      <c r="BG1040" s="17">
        <f>SQRT(Table1347456[[#This Row],[v_from_sd_and_n]])</f>
        <v>0.13707796353360302</v>
      </c>
      <c r="BH1040" s="13" t="s">
        <v>50</v>
      </c>
      <c r="BI1040" s="13">
        <v>2.5000000000000001E-2</v>
      </c>
      <c r="BJ1040" s="18">
        <f>ABS(_xlfn.NORM.S.INV(Table1347456[[#This Row],[p_value]]/2))</f>
        <v>2.2414027276049446</v>
      </c>
      <c r="BK1040" s="19">
        <f>(Table1347456[[#This Row],[lnrr]]/Table1347456[[#This Row],[z_from_p]])^2</f>
        <v>5.9016089764512576E-3</v>
      </c>
      <c r="BL1040" s="16">
        <f>Table1347456[[#This Row],[v_from_sd_and_n]]</f>
        <v>1.87903680865198E-2</v>
      </c>
      <c r="BM1040" s="20">
        <f>SQRT(Table1347456[[#This Row],[v]])</f>
        <v>0.13707796353360302</v>
      </c>
      <c r="BN1040" s="20">
        <f>Table1347456[[#This Row],[lnrr]]-(1.96*Table1347456[[#This Row],[se]])</f>
        <v>-0.44086169266106678</v>
      </c>
      <c r="BO1040" s="20">
        <f>Table1347456[[#This Row],[lnrr]]+(1.96 * Table1347456[[#This Row],[se]])</f>
        <v>9.6483924390657005E-2</v>
      </c>
    </row>
    <row r="1041" spans="1:67">
      <c r="A1041" s="13" t="s">
        <v>339</v>
      </c>
      <c r="B1041" s="13" t="s">
        <v>340</v>
      </c>
      <c r="C1041" s="13" t="s">
        <v>341</v>
      </c>
      <c r="D1041" s="13" t="s">
        <v>342</v>
      </c>
      <c r="E1041" s="13" t="s">
        <v>44</v>
      </c>
      <c r="F1041" s="13" t="s">
        <v>584</v>
      </c>
      <c r="G1041" s="13" t="s">
        <v>343</v>
      </c>
      <c r="H1041" s="13">
        <v>21</v>
      </c>
      <c r="I1041" s="13">
        <v>81</v>
      </c>
      <c r="K1041" s="13" t="s">
        <v>914</v>
      </c>
      <c r="L1041" s="13" t="s">
        <v>915</v>
      </c>
      <c r="N1041" s="13" t="s">
        <v>344</v>
      </c>
      <c r="O1041" s="13" t="s">
        <v>54</v>
      </c>
      <c r="P1041" s="13" t="s">
        <v>345</v>
      </c>
      <c r="Q1041" s="13" t="s">
        <v>48</v>
      </c>
      <c r="R1041" s="4">
        <v>3</v>
      </c>
      <c r="S1041" s="13" t="s">
        <v>594</v>
      </c>
      <c r="T1041" s="13">
        <v>730</v>
      </c>
      <c r="U1041" s="4" t="s">
        <v>292</v>
      </c>
      <c r="V1041" s="4">
        <v>535</v>
      </c>
      <c r="W1041" s="4" t="s">
        <v>601</v>
      </c>
      <c r="X1041" s="4">
        <v>161</v>
      </c>
      <c r="Y1041" s="4">
        <v>10</v>
      </c>
      <c r="AA1041" s="4" t="s">
        <v>49</v>
      </c>
      <c r="AB1041" s="4">
        <v>0</v>
      </c>
      <c r="AC1041" s="4" t="s">
        <v>49</v>
      </c>
      <c r="AD1041" s="4">
        <v>0</v>
      </c>
      <c r="AE1041" s="4" t="s">
        <v>49</v>
      </c>
      <c r="AF1041" s="4">
        <v>0</v>
      </c>
      <c r="AG1041" s="4" t="s">
        <v>692</v>
      </c>
      <c r="AH1041" s="4" t="s">
        <v>744</v>
      </c>
      <c r="AI1041" s="4" t="s">
        <v>297</v>
      </c>
      <c r="AJ1041" s="13">
        <v>0</v>
      </c>
      <c r="AK1041" s="13">
        <v>15</v>
      </c>
      <c r="AP1041" s="13" t="s">
        <v>50</v>
      </c>
      <c r="AQ1041" s="13" t="s">
        <v>49</v>
      </c>
      <c r="AR1041" s="13" t="s">
        <v>49</v>
      </c>
      <c r="AS1041" s="13" t="s">
        <v>49</v>
      </c>
      <c r="AT1041" s="13" t="s">
        <v>990</v>
      </c>
      <c r="AU1041" s="13" t="s">
        <v>998</v>
      </c>
      <c r="AV1041" s="14">
        <f>(14.7*0.1*1.5)/1.4/1000</f>
        <v>1.5750000000000002E-3</v>
      </c>
      <c r="AW1041" s="14">
        <f>(18.46*0.1*1.5)/1.4/1000</f>
        <v>1.9778571428571432E-3</v>
      </c>
      <c r="AX1041" s="14">
        <f>Table1347456[[#This Row],[treatment_mean]]/Table1347456[[#This Row],[control_mean]]</f>
        <v>0.79631635969664138</v>
      </c>
      <c r="AY1041" s="14">
        <f>LN(Table1347456[[#This Row],[rr]])</f>
        <v>-0.22775873529001547</v>
      </c>
      <c r="AZ1041" s="13">
        <v>3</v>
      </c>
      <c r="BA1041" s="13">
        <v>3</v>
      </c>
      <c r="BB1041" s="14">
        <f>(SQRT(2.32)*1.5*0.1)/1.4/1000</f>
        <v>1.6319513798279805E-4</v>
      </c>
      <c r="BC1041" s="14">
        <f>(SQRT(1.93)*0.1*1.5)/1.4/1000</f>
        <v>1.488476141726765E-4</v>
      </c>
      <c r="BD1041" s="15">
        <f>Table1347456[[#This Row],[treatment_se]]*SQRT(Table1347456[[#This Row],[treatment_n]])</f>
        <v>2.8266227053441972E-4</v>
      </c>
      <c r="BE1041" s="14">
        <f>Table1347456[[#This Row],[control_se]]*SQRT(Table1347456[[#This Row],[control_n]])</f>
        <v>2.5781163033248498E-4</v>
      </c>
      <c r="BF104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1.6399884804065831E-2</v>
      </c>
      <c r="BG1041" s="17">
        <f>SQRT(Table1347456[[#This Row],[v_from_sd_and_n]])</f>
        <v>0.12806203498330734</v>
      </c>
      <c r="BH1041" s="13" t="s">
        <v>50</v>
      </c>
      <c r="BI1041" s="13">
        <v>2.5000000000000001E-2</v>
      </c>
      <c r="BJ1041" s="18">
        <f>ABS(_xlfn.NORM.S.INV(Table1347456[[#This Row],[p_value]]/2))</f>
        <v>2.2414027276049446</v>
      </c>
      <c r="BK1041" s="19">
        <f>(Table1347456[[#This Row],[lnrr]]/Table1347456[[#This Row],[z_from_p]])^2</f>
        <v>1.0325481025403649E-2</v>
      </c>
      <c r="BL1041" s="16">
        <f>Table1347456[[#This Row],[v_from_sd_and_n]]</f>
        <v>1.6399884804065831E-2</v>
      </c>
      <c r="BM1041" s="20">
        <f>SQRT(Table1347456[[#This Row],[v]])</f>
        <v>0.12806203498330734</v>
      </c>
      <c r="BN1041" s="20">
        <f>Table1347456[[#This Row],[lnrr]]-(1.96*Table1347456[[#This Row],[se]])</f>
        <v>-0.47876032385729783</v>
      </c>
      <c r="BO1041" s="20">
        <f>Table1347456[[#This Row],[lnrr]]+(1.96 * Table1347456[[#This Row],[se]])</f>
        <v>2.3242853277266912E-2</v>
      </c>
    </row>
    <row r="1042" spans="1:67">
      <c r="A1042" s="13" t="s">
        <v>339</v>
      </c>
      <c r="B1042" s="13" t="s">
        <v>340</v>
      </c>
      <c r="C1042" s="13" t="s">
        <v>341</v>
      </c>
      <c r="D1042" s="13" t="s">
        <v>342</v>
      </c>
      <c r="E1042" s="13" t="s">
        <v>44</v>
      </c>
      <c r="F1042" s="13" t="s">
        <v>584</v>
      </c>
      <c r="G1042" s="13" t="s">
        <v>343</v>
      </c>
      <c r="H1042" s="13">
        <v>21</v>
      </c>
      <c r="I1042" s="13">
        <v>81</v>
      </c>
      <c r="K1042" s="13" t="s">
        <v>914</v>
      </c>
      <c r="L1042" s="13" t="s">
        <v>915</v>
      </c>
      <c r="N1042" s="13" t="s">
        <v>344</v>
      </c>
      <c r="O1042" s="13" t="s">
        <v>54</v>
      </c>
      <c r="P1042" s="13" t="s">
        <v>345</v>
      </c>
      <c r="Q1042" s="13" t="s">
        <v>48</v>
      </c>
      <c r="R1042" s="4">
        <v>3</v>
      </c>
      <c r="S1042" s="13" t="s">
        <v>594</v>
      </c>
      <c r="T1042" s="13">
        <v>730</v>
      </c>
      <c r="U1042" s="4" t="s">
        <v>292</v>
      </c>
      <c r="V1042" s="4">
        <v>535</v>
      </c>
      <c r="W1042" s="4" t="s">
        <v>601</v>
      </c>
      <c r="X1042" s="4">
        <v>161</v>
      </c>
      <c r="Y1042" s="4">
        <v>20</v>
      </c>
      <c r="AA1042" s="4" t="s">
        <v>49</v>
      </c>
      <c r="AB1042" s="4">
        <v>0</v>
      </c>
      <c r="AC1042" s="4" t="s">
        <v>49</v>
      </c>
      <c r="AD1042" s="4">
        <v>0</v>
      </c>
      <c r="AE1042" s="4" t="s">
        <v>49</v>
      </c>
      <c r="AF1042" s="4">
        <v>0</v>
      </c>
      <c r="AG1042" s="4" t="s">
        <v>692</v>
      </c>
      <c r="AH1042" s="4" t="s">
        <v>744</v>
      </c>
      <c r="AI1042" s="4" t="s">
        <v>297</v>
      </c>
      <c r="AJ1042" s="13">
        <v>0</v>
      </c>
      <c r="AK1042" s="13">
        <v>15</v>
      </c>
      <c r="AP1042" s="13" t="s">
        <v>50</v>
      </c>
      <c r="AQ1042" s="13" t="s">
        <v>49</v>
      </c>
      <c r="AR1042" s="13" t="s">
        <v>49</v>
      </c>
      <c r="AS1042" s="13" t="s">
        <v>49</v>
      </c>
      <c r="AT1042" s="13" t="s">
        <v>990</v>
      </c>
      <c r="AU1042" s="13" t="s">
        <v>998</v>
      </c>
      <c r="AV1042" s="14">
        <f>(18.3*0.1*1.5)/1.4/1000</f>
        <v>1.9607142857142857E-3</v>
      </c>
      <c r="AW1042" s="14">
        <f>(18.46*0.1*1.5)/1.4/1000</f>
        <v>1.9778571428571432E-3</v>
      </c>
      <c r="AX1042" s="14">
        <f>Table1347456[[#This Row],[treatment_mean]]/Table1347456[[#This Row],[control_mean]]</f>
        <v>0.99133261105092074</v>
      </c>
      <c r="AY1042" s="14">
        <f>LN(Table1347456[[#This Row],[rr]])</f>
        <v>-8.7051692273310121E-3</v>
      </c>
      <c r="AZ1042" s="13">
        <v>3</v>
      </c>
      <c r="BA1042" s="13">
        <v>3</v>
      </c>
      <c r="BB1042" s="14">
        <f>(SQRT(1.665)*0.1*1.5)/1.4/1000</f>
        <v>1.3825165607747079E-4</v>
      </c>
      <c r="BC1042" s="14">
        <f>(SQRT(1.93)*0.1*1.5)/1.4/1000</f>
        <v>1.488476141726765E-4</v>
      </c>
      <c r="BD1042" s="15">
        <f>Table1347456[[#This Row],[treatment_se]]*SQRT(Table1347456[[#This Row],[treatment_n]])</f>
        <v>2.3945889255671797E-4</v>
      </c>
      <c r="BE1042" s="14">
        <f>Table1347456[[#This Row],[control_se]]*SQRT(Table1347456[[#This Row],[control_n]])</f>
        <v>2.5781163033248498E-4</v>
      </c>
      <c r="BF104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1.0635399287123414E-2</v>
      </c>
      <c r="BG1042" s="17">
        <f>SQRT(Table1347456[[#This Row],[v_from_sd_and_n]])</f>
        <v>0.10312807225544078</v>
      </c>
      <c r="BH1042" s="13" t="s">
        <v>50</v>
      </c>
      <c r="BI1042" s="13">
        <v>2.5000000000000001E-2</v>
      </c>
      <c r="BJ1042" s="18">
        <f>ABS(_xlfn.NORM.S.INV(Table1347456[[#This Row],[p_value]]/2))</f>
        <v>2.2414027276049446</v>
      </c>
      <c r="BK1042" s="19">
        <f>(Table1347456[[#This Row],[lnrr]]/Table1347456[[#This Row],[z_from_p]])^2</f>
        <v>1.5083934717273699E-5</v>
      </c>
      <c r="BL1042" s="16">
        <f>Table1347456[[#This Row],[v_from_sd_and_n]]</f>
        <v>1.0635399287123414E-2</v>
      </c>
      <c r="BM1042" s="20">
        <f>SQRT(Table1347456[[#This Row],[v]])</f>
        <v>0.10312807225544078</v>
      </c>
      <c r="BN1042" s="20">
        <f>Table1347456[[#This Row],[lnrr]]-(1.96*Table1347456[[#This Row],[se]])</f>
        <v>-0.21083619084799493</v>
      </c>
      <c r="BO1042" s="20">
        <f>Table1347456[[#This Row],[lnrr]]+(1.96 * Table1347456[[#This Row],[se]])</f>
        <v>0.19342585239333293</v>
      </c>
    </row>
    <row r="1043" spans="1:67">
      <c r="A1043" s="13" t="s">
        <v>339</v>
      </c>
      <c r="B1043" s="13" t="s">
        <v>340</v>
      </c>
      <c r="C1043" s="13" t="s">
        <v>341</v>
      </c>
      <c r="D1043" s="13" t="s">
        <v>342</v>
      </c>
      <c r="E1043" s="13" t="s">
        <v>44</v>
      </c>
      <c r="F1043" s="13" t="s">
        <v>584</v>
      </c>
      <c r="G1043" s="13" t="s">
        <v>343</v>
      </c>
      <c r="H1043" s="13">
        <v>21</v>
      </c>
      <c r="I1043" s="13">
        <v>81</v>
      </c>
      <c r="K1043" s="13" t="s">
        <v>914</v>
      </c>
      <c r="L1043" s="13" t="s">
        <v>915</v>
      </c>
      <c r="N1043" s="13" t="s">
        <v>346</v>
      </c>
      <c r="O1043" s="13" t="s">
        <v>54</v>
      </c>
      <c r="P1043" s="13" t="s">
        <v>345</v>
      </c>
      <c r="Q1043" s="13" t="s">
        <v>48</v>
      </c>
      <c r="R1043" s="4">
        <v>3</v>
      </c>
      <c r="S1043" s="13" t="s">
        <v>594</v>
      </c>
      <c r="T1043" s="13">
        <v>730</v>
      </c>
      <c r="U1043" s="4" t="s">
        <v>333</v>
      </c>
      <c r="V1043" s="4">
        <v>535</v>
      </c>
      <c r="W1043" s="4" t="s">
        <v>601</v>
      </c>
      <c r="X1043" s="4">
        <v>190</v>
      </c>
      <c r="Y1043" s="4">
        <v>10</v>
      </c>
      <c r="AA1043" s="4" t="s">
        <v>49</v>
      </c>
      <c r="AB1043" s="4">
        <v>0</v>
      </c>
      <c r="AC1043" s="4" t="s">
        <v>49</v>
      </c>
      <c r="AD1043" s="4">
        <v>0</v>
      </c>
      <c r="AE1043" s="4" t="s">
        <v>49</v>
      </c>
      <c r="AF1043" s="4">
        <v>0</v>
      </c>
      <c r="AG1043" s="4" t="s">
        <v>745</v>
      </c>
      <c r="AH1043" s="4" t="s">
        <v>744</v>
      </c>
      <c r="AI1043" s="4" t="s">
        <v>297</v>
      </c>
      <c r="AJ1043" s="13">
        <v>0</v>
      </c>
      <c r="AK1043" s="13">
        <v>15</v>
      </c>
      <c r="AP1043" s="13" t="s">
        <v>50</v>
      </c>
      <c r="AQ1043" s="13" t="s">
        <v>49</v>
      </c>
      <c r="AR1043" s="13" t="s">
        <v>49</v>
      </c>
      <c r="AS1043" s="13" t="s">
        <v>49</v>
      </c>
      <c r="AT1043" s="13" t="s">
        <v>990</v>
      </c>
      <c r="AU1043" s="13" t="s">
        <v>998</v>
      </c>
      <c r="AV1043" s="14">
        <f>(417*0.1*1.5)/1.4/1000</f>
        <v>4.4678571428571436E-2</v>
      </c>
      <c r="AW1043" s="14">
        <f>(431*0.1*1.5)/1.4/1000</f>
        <v>4.6178571428571437E-2</v>
      </c>
      <c r="AX1043" s="14">
        <f>Table1347456[[#This Row],[treatment_mean]]/Table1347456[[#This Row],[control_mean]]</f>
        <v>0.9675174013921114</v>
      </c>
      <c r="AY1043" s="14">
        <f>LN(Table1347456[[#This Row],[rr]])</f>
        <v>-3.3021868304946307E-2</v>
      </c>
      <c r="AZ1043" s="13">
        <v>3</v>
      </c>
      <c r="BA1043" s="13">
        <v>3</v>
      </c>
      <c r="BB1043" s="14">
        <f>(SQRT(1064.5)*1.5*0.1)/1.4/1000</f>
        <v>3.4957153073733112E-3</v>
      </c>
      <c r="BC1043" s="14">
        <f>(SQRT(1332.5)*0.1*1.5)/1.4/1000</f>
        <v>3.9110811960951387E-3</v>
      </c>
      <c r="BD1043" s="15">
        <f>Table1347456[[#This Row],[treatment_se]]*SQRT(Table1347456[[#This Row],[treatment_n]])</f>
        <v>6.0547565211668299E-3</v>
      </c>
      <c r="BE1043" s="14">
        <f>Table1347456[[#This Row],[control_se]]*SQRT(Table1347456[[#This Row],[control_n]])</f>
        <v>6.7741913441640347E-3</v>
      </c>
      <c r="BF104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1.3294916993371597E-2</v>
      </c>
      <c r="BG1043" s="17">
        <f>SQRT(Table1347456[[#This Row],[v_from_sd_and_n]])</f>
        <v>0.11530358621210182</v>
      </c>
      <c r="BH1043" s="13" t="s">
        <v>50</v>
      </c>
      <c r="BI1043" s="13">
        <v>2.5000000000000001E-2</v>
      </c>
      <c r="BJ1043" s="18">
        <f>ABS(_xlfn.NORM.S.INV(Table1347456[[#This Row],[p_value]]/2))</f>
        <v>2.2414027276049446</v>
      </c>
      <c r="BK1043" s="19">
        <f>(Table1347456[[#This Row],[lnrr]]/Table1347456[[#This Row],[z_from_p]])^2</f>
        <v>2.1705184904517643E-4</v>
      </c>
      <c r="BL1043" s="16">
        <f>Table1347456[[#This Row],[v_from_sd_and_n]]</f>
        <v>1.3294916993371597E-2</v>
      </c>
      <c r="BM1043" s="20">
        <f>SQRT(Table1347456[[#This Row],[v]])</f>
        <v>0.11530358621210182</v>
      </c>
      <c r="BN1043" s="20">
        <f>Table1347456[[#This Row],[lnrr]]-(1.96*Table1347456[[#This Row],[se]])</f>
        <v>-0.2590168972806659</v>
      </c>
      <c r="BO1043" s="20">
        <f>Table1347456[[#This Row],[lnrr]]+(1.96 * Table1347456[[#This Row],[se]])</f>
        <v>0.19297316067077327</v>
      </c>
    </row>
    <row r="1044" spans="1:67">
      <c r="A1044" s="13" t="s">
        <v>339</v>
      </c>
      <c r="B1044" s="13" t="s">
        <v>340</v>
      </c>
      <c r="C1044" s="13" t="s">
        <v>341</v>
      </c>
      <c r="D1044" s="13" t="s">
        <v>342</v>
      </c>
      <c r="E1044" s="13" t="s">
        <v>44</v>
      </c>
      <c r="F1044" s="13" t="s">
        <v>584</v>
      </c>
      <c r="G1044" s="13" t="s">
        <v>343</v>
      </c>
      <c r="H1044" s="13">
        <v>21</v>
      </c>
      <c r="I1044" s="13">
        <v>81</v>
      </c>
      <c r="K1044" s="13" t="s">
        <v>914</v>
      </c>
      <c r="L1044" s="13" t="s">
        <v>915</v>
      </c>
      <c r="N1044" s="13" t="s">
        <v>346</v>
      </c>
      <c r="O1044" s="13" t="s">
        <v>54</v>
      </c>
      <c r="P1044" s="13" t="s">
        <v>345</v>
      </c>
      <c r="Q1044" s="13" t="s">
        <v>48</v>
      </c>
      <c r="R1044" s="4">
        <v>3</v>
      </c>
      <c r="S1044" s="13" t="s">
        <v>594</v>
      </c>
      <c r="T1044" s="13">
        <v>730</v>
      </c>
      <c r="U1044" s="4" t="s">
        <v>333</v>
      </c>
      <c r="V1044" s="4">
        <v>535</v>
      </c>
      <c r="W1044" s="4" t="s">
        <v>601</v>
      </c>
      <c r="X1044" s="4">
        <v>190</v>
      </c>
      <c r="Y1044" s="4">
        <v>20</v>
      </c>
      <c r="AA1044" s="4" t="s">
        <v>49</v>
      </c>
      <c r="AB1044" s="4">
        <v>0</v>
      </c>
      <c r="AC1044" s="4" t="s">
        <v>49</v>
      </c>
      <c r="AD1044" s="4">
        <v>0</v>
      </c>
      <c r="AE1044" s="4" t="s">
        <v>49</v>
      </c>
      <c r="AF1044" s="4">
        <v>0</v>
      </c>
      <c r="AG1044" s="4" t="s">
        <v>745</v>
      </c>
      <c r="AH1044" s="4" t="s">
        <v>744</v>
      </c>
      <c r="AI1044" s="4" t="s">
        <v>297</v>
      </c>
      <c r="AJ1044" s="13">
        <v>0</v>
      </c>
      <c r="AK1044" s="13">
        <v>15</v>
      </c>
      <c r="AP1044" s="13" t="s">
        <v>50</v>
      </c>
      <c r="AQ1044" s="13" t="s">
        <v>49</v>
      </c>
      <c r="AR1044" s="13" t="s">
        <v>49</v>
      </c>
      <c r="AS1044" s="13" t="s">
        <v>49</v>
      </c>
      <c r="AT1044" s="13" t="s">
        <v>990</v>
      </c>
      <c r="AU1044" s="13" t="s">
        <v>998</v>
      </c>
      <c r="AV1044" s="14">
        <f>(408*0.1*1.5)/1.4/1000</f>
        <v>4.3714285714285719E-2</v>
      </c>
      <c r="AW1044" s="14">
        <f>(431*0.1*1.5)/1.4/1000</f>
        <v>4.6178571428571437E-2</v>
      </c>
      <c r="AX1044" s="14">
        <f>Table1347456[[#This Row],[treatment_mean]]/Table1347456[[#This Row],[control_mean]]</f>
        <v>0.94663573085846864</v>
      </c>
      <c r="AY1044" s="14">
        <f>LN(Table1347456[[#This Row],[rr]])</f>
        <v>-5.4840915699586129E-2</v>
      </c>
      <c r="AZ1044" s="13">
        <v>3</v>
      </c>
      <c r="BA1044" s="13">
        <v>3</v>
      </c>
      <c r="BB1044" s="14">
        <f>(SQRT(1906)*1.5*0.1)/1.4/1000</f>
        <v>4.6776171327735164E-3</v>
      </c>
      <c r="BC1044" s="14">
        <f>(SQRT(1332.5)*0.1*1.5)/1.4/1000</f>
        <v>3.9110811960951387E-3</v>
      </c>
      <c r="BD1044" s="15">
        <f>Table1347456[[#This Row],[treatment_se]]*SQRT(Table1347456[[#This Row],[treatment_n]])</f>
        <v>8.1018705323183844E-3</v>
      </c>
      <c r="BE1044" s="14">
        <f>Table1347456[[#This Row],[control_se]]*SQRT(Table1347456[[#This Row],[control_n]])</f>
        <v>6.7741913441640347E-3</v>
      </c>
      <c r="BF104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1.8623118771895507E-2</v>
      </c>
      <c r="BG1044" s="17">
        <f>SQRT(Table1347456[[#This Row],[v_from_sd_and_n]])</f>
        <v>0.13646654817901532</v>
      </c>
      <c r="BH1044" s="13" t="s">
        <v>50</v>
      </c>
      <c r="BI1044" s="13">
        <v>2.5000000000000001E-2</v>
      </c>
      <c r="BJ1044" s="18">
        <f>ABS(_xlfn.NORM.S.INV(Table1347456[[#This Row],[p_value]]/2))</f>
        <v>2.2414027276049446</v>
      </c>
      <c r="BK1044" s="19">
        <f>(Table1347456[[#This Row],[lnrr]]/Table1347456[[#This Row],[z_from_p]])^2</f>
        <v>5.9864533602751535E-4</v>
      </c>
      <c r="BL1044" s="16">
        <f>Table1347456[[#This Row],[v_from_sd_and_n]]</f>
        <v>1.8623118771895507E-2</v>
      </c>
      <c r="BM1044" s="20">
        <f>SQRT(Table1347456[[#This Row],[v]])</f>
        <v>0.13646654817901532</v>
      </c>
      <c r="BN1044" s="20">
        <f>Table1347456[[#This Row],[lnrr]]-(1.96*Table1347456[[#This Row],[se]])</f>
        <v>-0.3223153501304562</v>
      </c>
      <c r="BO1044" s="20">
        <f>Table1347456[[#This Row],[lnrr]]+(1.96 * Table1347456[[#This Row],[se]])</f>
        <v>0.21263351873128392</v>
      </c>
    </row>
    <row r="1045" spans="1:67">
      <c r="A1045" s="13" t="s">
        <v>339</v>
      </c>
      <c r="B1045" s="13" t="s">
        <v>340</v>
      </c>
      <c r="C1045" s="13" t="s">
        <v>341</v>
      </c>
      <c r="D1045" s="13" t="s">
        <v>342</v>
      </c>
      <c r="E1045" s="13" t="s">
        <v>44</v>
      </c>
      <c r="F1045" s="13" t="s">
        <v>584</v>
      </c>
      <c r="G1045" s="13" t="s">
        <v>343</v>
      </c>
      <c r="H1045" s="13">
        <v>21</v>
      </c>
      <c r="I1045" s="13">
        <v>81</v>
      </c>
      <c r="K1045" s="13" t="s">
        <v>914</v>
      </c>
      <c r="L1045" s="13" t="s">
        <v>915</v>
      </c>
      <c r="N1045" s="13" t="s">
        <v>346</v>
      </c>
      <c r="O1045" s="13" t="s">
        <v>54</v>
      </c>
      <c r="P1045" s="13" t="s">
        <v>345</v>
      </c>
      <c r="Q1045" s="13" t="s">
        <v>48</v>
      </c>
      <c r="R1045" s="4">
        <v>3</v>
      </c>
      <c r="S1045" s="13" t="s">
        <v>594</v>
      </c>
      <c r="T1045" s="13">
        <v>730</v>
      </c>
      <c r="U1045" s="4" t="s">
        <v>292</v>
      </c>
      <c r="V1045" s="4">
        <v>535</v>
      </c>
      <c r="W1045" s="4" t="s">
        <v>601</v>
      </c>
      <c r="X1045" s="4">
        <v>161</v>
      </c>
      <c r="Y1045" s="4">
        <v>10</v>
      </c>
      <c r="AA1045" s="4" t="s">
        <v>49</v>
      </c>
      <c r="AB1045" s="4">
        <v>0</v>
      </c>
      <c r="AC1045" s="4" t="s">
        <v>49</v>
      </c>
      <c r="AD1045" s="4">
        <v>0</v>
      </c>
      <c r="AE1045" s="4" t="s">
        <v>49</v>
      </c>
      <c r="AF1045" s="4">
        <v>0</v>
      </c>
      <c r="AG1045" s="4" t="s">
        <v>692</v>
      </c>
      <c r="AH1045" s="4" t="s">
        <v>744</v>
      </c>
      <c r="AI1045" s="4" t="s">
        <v>297</v>
      </c>
      <c r="AJ1045" s="13">
        <v>0</v>
      </c>
      <c r="AK1045" s="13">
        <v>15</v>
      </c>
      <c r="AP1045" s="13" t="s">
        <v>50</v>
      </c>
      <c r="AQ1045" s="13" t="s">
        <v>49</v>
      </c>
      <c r="AR1045" s="13" t="s">
        <v>49</v>
      </c>
      <c r="AS1045" s="13" t="s">
        <v>49</v>
      </c>
      <c r="AT1045" s="13" t="s">
        <v>990</v>
      </c>
      <c r="AU1045" s="13" t="s">
        <v>998</v>
      </c>
      <c r="AV1045" s="14">
        <f>(375*0.1*1.5)/1.4/1000</f>
        <v>4.0178571428571432E-2</v>
      </c>
      <c r="AW1045" s="14">
        <f>(431*0.1*1.5)/1.4/1000</f>
        <v>4.6178571428571437E-2</v>
      </c>
      <c r="AX1045" s="14">
        <f>Table1347456[[#This Row],[treatment_mean]]/Table1347456[[#This Row],[control_mean]]</f>
        <v>0.87006960556844537</v>
      </c>
      <c r="AY1045" s="14">
        <f>LN(Table1347456[[#This Row],[rr]])</f>
        <v>-0.13918206413333709</v>
      </c>
      <c r="AZ1045" s="13">
        <v>3</v>
      </c>
      <c r="BA1045" s="13">
        <v>3</v>
      </c>
      <c r="BB1045" s="14">
        <f>(SQRT(1070)*1.5*0.1)/1.4/1000</f>
        <v>3.5047344072420272E-3</v>
      </c>
      <c r="BC1045" s="14">
        <f>(SQRT(1332.5)*0.1*1.5)/1.4/1000</f>
        <v>3.9110811960951387E-3</v>
      </c>
      <c r="BD1045" s="15">
        <f>Table1347456[[#This Row],[treatment_se]]*SQRT(Table1347456[[#This Row],[treatment_n]])</f>
        <v>6.0703780603779834E-3</v>
      </c>
      <c r="BE1045" s="14">
        <f>Table1347456[[#This Row],[control_se]]*SQRT(Table1347456[[#This Row],[control_n]])</f>
        <v>6.7741913441640347E-3</v>
      </c>
      <c r="BF104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1.4782084554286895E-2</v>
      </c>
      <c r="BG1045" s="17">
        <f>SQRT(Table1347456[[#This Row],[v_from_sd_and_n]])</f>
        <v>0.121581596281209</v>
      </c>
      <c r="BH1045" s="13" t="s">
        <v>50</v>
      </c>
      <c r="BI1045" s="13">
        <v>2.5000000000000001E-2</v>
      </c>
      <c r="BJ1045" s="18">
        <f>ABS(_xlfn.NORM.S.INV(Table1347456[[#This Row],[p_value]]/2))</f>
        <v>2.2414027276049446</v>
      </c>
      <c r="BK1045" s="19">
        <f>(Table1347456[[#This Row],[lnrr]]/Table1347456[[#This Row],[z_from_p]])^2</f>
        <v>3.8559088032943506E-3</v>
      </c>
      <c r="BL1045" s="16">
        <f>Table1347456[[#This Row],[v_from_sd_and_n]]</f>
        <v>1.4782084554286895E-2</v>
      </c>
      <c r="BM1045" s="20">
        <f>SQRT(Table1347456[[#This Row],[v]])</f>
        <v>0.121581596281209</v>
      </c>
      <c r="BN1045" s="20">
        <f>Table1347456[[#This Row],[lnrr]]-(1.96*Table1347456[[#This Row],[se]])</f>
        <v>-0.37748199284450673</v>
      </c>
      <c r="BO1045" s="20">
        <f>Table1347456[[#This Row],[lnrr]]+(1.96 * Table1347456[[#This Row],[se]])</f>
        <v>9.911786457783256E-2</v>
      </c>
    </row>
    <row r="1046" spans="1:67">
      <c r="A1046" s="13" t="s">
        <v>339</v>
      </c>
      <c r="B1046" s="13" t="s">
        <v>340</v>
      </c>
      <c r="C1046" s="13" t="s">
        <v>341</v>
      </c>
      <c r="D1046" s="13" t="s">
        <v>342</v>
      </c>
      <c r="E1046" s="13" t="s">
        <v>44</v>
      </c>
      <c r="F1046" s="13" t="s">
        <v>584</v>
      </c>
      <c r="G1046" s="13" t="s">
        <v>343</v>
      </c>
      <c r="H1046" s="13">
        <v>21</v>
      </c>
      <c r="I1046" s="13">
        <v>81</v>
      </c>
      <c r="K1046" s="13" t="s">
        <v>914</v>
      </c>
      <c r="L1046" s="13" t="s">
        <v>915</v>
      </c>
      <c r="N1046" s="13" t="s">
        <v>346</v>
      </c>
      <c r="O1046" s="13" t="s">
        <v>54</v>
      </c>
      <c r="P1046" s="13" t="s">
        <v>345</v>
      </c>
      <c r="Q1046" s="13" t="s">
        <v>48</v>
      </c>
      <c r="R1046" s="4">
        <v>3</v>
      </c>
      <c r="S1046" s="13" t="s">
        <v>594</v>
      </c>
      <c r="T1046" s="13">
        <v>730</v>
      </c>
      <c r="U1046" s="4" t="s">
        <v>292</v>
      </c>
      <c r="V1046" s="4">
        <v>535</v>
      </c>
      <c r="W1046" s="4" t="s">
        <v>601</v>
      </c>
      <c r="X1046" s="4">
        <v>161</v>
      </c>
      <c r="Y1046" s="4">
        <v>20</v>
      </c>
      <c r="AA1046" s="4" t="s">
        <v>49</v>
      </c>
      <c r="AB1046" s="4">
        <v>0</v>
      </c>
      <c r="AC1046" s="4" t="s">
        <v>49</v>
      </c>
      <c r="AD1046" s="4">
        <v>0</v>
      </c>
      <c r="AE1046" s="4" t="s">
        <v>49</v>
      </c>
      <c r="AF1046" s="4">
        <v>0</v>
      </c>
      <c r="AG1046" s="4" t="s">
        <v>692</v>
      </c>
      <c r="AH1046" s="4" t="s">
        <v>744</v>
      </c>
      <c r="AI1046" s="4" t="s">
        <v>297</v>
      </c>
      <c r="AJ1046" s="13">
        <v>0</v>
      </c>
      <c r="AK1046" s="13">
        <v>15</v>
      </c>
      <c r="AP1046" s="13" t="s">
        <v>50</v>
      </c>
      <c r="AQ1046" s="13" t="s">
        <v>49</v>
      </c>
      <c r="AR1046" s="13" t="s">
        <v>49</v>
      </c>
      <c r="AS1046" s="13" t="s">
        <v>49</v>
      </c>
      <c r="AT1046" s="13" t="s">
        <v>990</v>
      </c>
      <c r="AU1046" s="13" t="s">
        <v>998</v>
      </c>
      <c r="AV1046" s="14">
        <f>(361*0.1*1.5)/1.4/1000</f>
        <v>3.8678571428571437E-2</v>
      </c>
      <c r="AW1046" s="14">
        <f>(431*0.1*1.5)/1.4/1000</f>
        <v>4.6178571428571437E-2</v>
      </c>
      <c r="AX1046" s="14">
        <f>Table1347456[[#This Row],[treatment_mean]]/Table1347456[[#This Row],[control_mean]]</f>
        <v>0.83758700696055688</v>
      </c>
      <c r="AY1046" s="14">
        <f>LN(Table1347456[[#This Row],[rr]])</f>
        <v>-0.17723013177086683</v>
      </c>
      <c r="AZ1046" s="13">
        <v>3</v>
      </c>
      <c r="BA1046" s="13">
        <v>3</v>
      </c>
      <c r="BB1046" s="14">
        <f>(SQRT(1933)*0.1*1.5)/1.4/1000</f>
        <v>4.7106317007815594E-3</v>
      </c>
      <c r="BC1046" s="14">
        <f>(SQRT(1332.5)*0.1*1.5)/1.4/1000</f>
        <v>3.9110811960951387E-3</v>
      </c>
      <c r="BD1046" s="15">
        <f>Table1347456[[#This Row],[treatment_se]]*SQRT(Table1347456[[#This Row],[treatment_n]])</f>
        <v>8.1590534414982541E-3</v>
      </c>
      <c r="BE1046" s="14">
        <f>Table1347456[[#This Row],[control_se]]*SQRT(Table1347456[[#This Row],[control_n]])</f>
        <v>6.7741913441640347E-3</v>
      </c>
      <c r="BF104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2.2005801308387238E-2</v>
      </c>
      <c r="BG1046" s="17">
        <f>SQRT(Table1347456[[#This Row],[v_from_sd_and_n]])</f>
        <v>0.14834352465944456</v>
      </c>
      <c r="BH1046" s="13" t="s">
        <v>50</v>
      </c>
      <c r="BI1046" s="13">
        <v>2.5000000000000001E-2</v>
      </c>
      <c r="BJ1046" s="18">
        <f>ABS(_xlfn.NORM.S.INV(Table1347456[[#This Row],[p_value]]/2))</f>
        <v>2.2414027276049446</v>
      </c>
      <c r="BK1046" s="19">
        <f>(Table1347456[[#This Row],[lnrr]]/Table1347456[[#This Row],[z_from_p]])^2</f>
        <v>6.2522355078085054E-3</v>
      </c>
      <c r="BL1046" s="16">
        <f>Table1347456[[#This Row],[v_from_sd_and_n]]</f>
        <v>2.2005801308387238E-2</v>
      </c>
      <c r="BM1046" s="20">
        <f>SQRT(Table1347456[[#This Row],[v]])</f>
        <v>0.14834352465944456</v>
      </c>
      <c r="BN1046" s="20">
        <f>Table1347456[[#This Row],[lnrr]]-(1.96*Table1347456[[#This Row],[se]])</f>
        <v>-0.46798344010337817</v>
      </c>
      <c r="BO1046" s="20">
        <f>Table1347456[[#This Row],[lnrr]]+(1.96 * Table1347456[[#This Row],[se]])</f>
        <v>0.11352317656164451</v>
      </c>
    </row>
    <row r="1047" spans="1:67">
      <c r="A1047" s="13" t="s">
        <v>339</v>
      </c>
      <c r="B1047" s="13" t="s">
        <v>340</v>
      </c>
      <c r="C1047" s="13" t="s">
        <v>341</v>
      </c>
      <c r="D1047" s="13" t="s">
        <v>347</v>
      </c>
      <c r="E1047" s="13" t="s">
        <v>348</v>
      </c>
      <c r="F1047" s="13" t="s">
        <v>588</v>
      </c>
      <c r="G1047" s="13" t="s">
        <v>349</v>
      </c>
      <c r="H1047" s="13">
        <v>28</v>
      </c>
      <c r="I1047" s="13">
        <v>600</v>
      </c>
      <c r="K1047" s="13" t="s">
        <v>916</v>
      </c>
      <c r="L1047" s="13" t="s">
        <v>917</v>
      </c>
      <c r="N1047" s="13" t="s">
        <v>255</v>
      </c>
      <c r="O1047" s="13" t="s">
        <v>645</v>
      </c>
      <c r="P1047" s="13" t="s">
        <v>48</v>
      </c>
      <c r="Q1047" s="13" t="s">
        <v>48</v>
      </c>
      <c r="R1047" s="4">
        <v>3</v>
      </c>
      <c r="S1047" s="13" t="s">
        <v>594</v>
      </c>
      <c r="T1047" s="13">
        <v>730</v>
      </c>
      <c r="U1047" s="4" t="s">
        <v>333</v>
      </c>
      <c r="V1047" s="4">
        <v>350</v>
      </c>
      <c r="W1047" s="4" t="s">
        <v>42</v>
      </c>
      <c r="X1047" s="4">
        <v>170</v>
      </c>
      <c r="Y1047" s="4">
        <v>10</v>
      </c>
      <c r="AA1047" s="4" t="s">
        <v>49</v>
      </c>
      <c r="AB1047" s="4">
        <v>0</v>
      </c>
      <c r="AC1047" s="4" t="s">
        <v>49</v>
      </c>
      <c r="AD1047" s="4">
        <v>0</v>
      </c>
      <c r="AE1047" s="4" t="s">
        <v>49</v>
      </c>
      <c r="AF1047" s="4">
        <v>0</v>
      </c>
      <c r="AG1047" s="4" t="s">
        <v>745</v>
      </c>
      <c r="AH1047" s="4" t="s">
        <v>744</v>
      </c>
      <c r="AI1047" s="4" t="s">
        <v>78</v>
      </c>
      <c r="AJ1047" s="13">
        <v>0</v>
      </c>
      <c r="AK1047" s="13">
        <v>15</v>
      </c>
      <c r="AP1047" s="13" t="s">
        <v>49</v>
      </c>
      <c r="AQ1047" s="13" t="s">
        <v>49</v>
      </c>
      <c r="AR1047" s="13" t="s">
        <v>49</v>
      </c>
      <c r="AS1047" s="13" t="s">
        <v>50</v>
      </c>
      <c r="AT1047" s="13" t="s">
        <v>990</v>
      </c>
      <c r="AU1047" s="13" t="s">
        <v>998</v>
      </c>
      <c r="AV1047" s="14">
        <v>0.83</v>
      </c>
      <c r="AW1047" s="14">
        <v>0.81</v>
      </c>
      <c r="AX1047" s="14">
        <f>Table1347456[[#This Row],[treatment_mean]]/Table1347456[[#This Row],[control_mean]]</f>
        <v>1.0246913580246912</v>
      </c>
      <c r="AY1047" s="14">
        <f>LN(Table1347456[[#This Row],[rr]])</f>
        <v>2.4391453124159048E-2</v>
      </c>
      <c r="AZ1047" s="13">
        <v>3</v>
      </c>
      <c r="BA1047" s="13">
        <v>3</v>
      </c>
      <c r="BB1047" s="14" t="s">
        <v>46</v>
      </c>
      <c r="BC1047" s="14" t="s">
        <v>46</v>
      </c>
      <c r="BD1047" s="15" t="s">
        <v>46</v>
      </c>
      <c r="BE1047" s="14" t="s">
        <v>46</v>
      </c>
      <c r="BF104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47" s="17" t="s">
        <v>46</v>
      </c>
      <c r="BH1047" s="13" t="s">
        <v>50</v>
      </c>
      <c r="BI1047" s="13">
        <v>2.5000000000000001E-2</v>
      </c>
      <c r="BJ1047" s="18">
        <f>ABS(_xlfn.NORM.S.INV(Table1347456[[#This Row],[p_value]]/2))</f>
        <v>2.2414027276049446</v>
      </c>
      <c r="BK1047" s="19">
        <f>(Table1347456[[#This Row],[lnrr]]/Table1347456[[#This Row],[z_from_p]])^2</f>
        <v>1.1842286296418413E-4</v>
      </c>
      <c r="BL1047" s="16">
        <f>Table1347456[[#This Row],[v_from_z_from_p]]</f>
        <v>1.1842286296418413E-4</v>
      </c>
      <c r="BM1047" s="20">
        <f>SQRT(Table1347456[[#This Row],[v]])</f>
        <v>1.088222693037524E-2</v>
      </c>
      <c r="BN1047" s="20">
        <f>Table1347456[[#This Row],[lnrr]]-(1.96*Table1347456[[#This Row],[se]])</f>
        <v>3.0622883406235778E-3</v>
      </c>
      <c r="BO1047" s="20">
        <f>Table1347456[[#This Row],[lnrr]]+(1.96 * Table1347456[[#This Row],[se]])</f>
        <v>4.5720617907694522E-2</v>
      </c>
    </row>
    <row r="1048" spans="1:67">
      <c r="A1048" s="13" t="s">
        <v>339</v>
      </c>
      <c r="B1048" s="13" t="s">
        <v>340</v>
      </c>
      <c r="C1048" s="13" t="s">
        <v>341</v>
      </c>
      <c r="D1048" s="13" t="s">
        <v>347</v>
      </c>
      <c r="E1048" s="13" t="s">
        <v>348</v>
      </c>
      <c r="F1048" s="13" t="s">
        <v>588</v>
      </c>
      <c r="G1048" s="13" t="s">
        <v>349</v>
      </c>
      <c r="H1048" s="13">
        <v>28</v>
      </c>
      <c r="I1048" s="13">
        <v>600</v>
      </c>
      <c r="K1048" s="13" t="s">
        <v>916</v>
      </c>
      <c r="L1048" s="13" t="s">
        <v>917</v>
      </c>
      <c r="N1048" s="13" t="s">
        <v>255</v>
      </c>
      <c r="O1048" s="13" t="s">
        <v>645</v>
      </c>
      <c r="P1048" s="13" t="s">
        <v>48</v>
      </c>
      <c r="Q1048" s="13" t="s">
        <v>48</v>
      </c>
      <c r="R1048" s="4">
        <v>3</v>
      </c>
      <c r="S1048" s="13" t="s">
        <v>594</v>
      </c>
      <c r="T1048" s="13">
        <v>730</v>
      </c>
      <c r="U1048" s="4" t="s">
        <v>333</v>
      </c>
      <c r="V1048" s="4">
        <v>350</v>
      </c>
      <c r="W1048" s="4" t="s">
        <v>42</v>
      </c>
      <c r="X1048" s="4">
        <v>170</v>
      </c>
      <c r="Y1048" s="4">
        <v>20</v>
      </c>
      <c r="AA1048" s="4" t="s">
        <v>49</v>
      </c>
      <c r="AB1048" s="4">
        <v>0</v>
      </c>
      <c r="AC1048" s="4" t="s">
        <v>49</v>
      </c>
      <c r="AD1048" s="4">
        <v>0</v>
      </c>
      <c r="AE1048" s="4" t="s">
        <v>49</v>
      </c>
      <c r="AF1048" s="4">
        <v>0</v>
      </c>
      <c r="AG1048" s="4" t="s">
        <v>745</v>
      </c>
      <c r="AH1048" s="4" t="s">
        <v>744</v>
      </c>
      <c r="AI1048" s="4" t="s">
        <v>78</v>
      </c>
      <c r="AJ1048" s="13">
        <v>0</v>
      </c>
      <c r="AK1048" s="13">
        <v>15</v>
      </c>
      <c r="AP1048" s="13" t="s">
        <v>49</v>
      </c>
      <c r="AQ1048" s="13" t="s">
        <v>49</v>
      </c>
      <c r="AR1048" s="13" t="s">
        <v>49</v>
      </c>
      <c r="AS1048" s="13" t="s">
        <v>50</v>
      </c>
      <c r="AT1048" s="13" t="s">
        <v>990</v>
      </c>
      <c r="AU1048" s="13" t="s">
        <v>998</v>
      </c>
      <c r="AV1048" s="14">
        <v>0.78</v>
      </c>
      <c r="AW1048" s="14">
        <v>0.81</v>
      </c>
      <c r="AX1048" s="14">
        <f>Table1347456[[#This Row],[treatment_mean]]/Table1347456[[#This Row],[control_mean]]</f>
        <v>0.96296296296296291</v>
      </c>
      <c r="AY1048" s="14">
        <f>LN(Table1347456[[#This Row],[rr]])</f>
        <v>-3.7740327982847086E-2</v>
      </c>
      <c r="AZ1048" s="13">
        <v>3</v>
      </c>
      <c r="BA1048" s="13">
        <v>3</v>
      </c>
      <c r="BB1048" s="14" t="s">
        <v>46</v>
      </c>
      <c r="BC1048" s="14" t="s">
        <v>46</v>
      </c>
      <c r="BD1048" s="15" t="s">
        <v>46</v>
      </c>
      <c r="BE1048" s="14" t="s">
        <v>46</v>
      </c>
      <c r="BF104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48" s="17" t="s">
        <v>46</v>
      </c>
      <c r="BH1048" s="13" t="s">
        <v>50</v>
      </c>
      <c r="BI1048" s="13">
        <v>2.5000000000000001E-2</v>
      </c>
      <c r="BJ1048" s="18">
        <f>ABS(_xlfn.NORM.S.INV(Table1347456[[#This Row],[p_value]]/2))</f>
        <v>2.2414027276049446</v>
      </c>
      <c r="BK1048" s="19">
        <f>(Table1347456[[#This Row],[lnrr]]/Table1347456[[#This Row],[z_from_p]])^2</f>
        <v>2.8351206678392792E-4</v>
      </c>
      <c r="BL1048" s="16">
        <f>Table1347456[[#This Row],[v_from_z_from_p]]</f>
        <v>2.8351206678392792E-4</v>
      </c>
      <c r="BM1048" s="20">
        <f>SQRT(Table1347456[[#This Row],[v]])</f>
        <v>1.6837816568187454E-2</v>
      </c>
      <c r="BN1048" s="20">
        <f>Table1347456[[#This Row],[lnrr]]-(1.96*Table1347456[[#This Row],[se]])</f>
        <v>-7.0742448456494494E-2</v>
      </c>
      <c r="BO1048" s="20">
        <f>Table1347456[[#This Row],[lnrr]]+(1.96 * Table1347456[[#This Row],[se]])</f>
        <v>-4.7382075091996767E-3</v>
      </c>
    </row>
    <row r="1049" spans="1:67">
      <c r="A1049" s="13" t="s">
        <v>339</v>
      </c>
      <c r="B1049" s="13" t="s">
        <v>340</v>
      </c>
      <c r="C1049" s="13" t="s">
        <v>341</v>
      </c>
      <c r="D1049" s="13" t="s">
        <v>347</v>
      </c>
      <c r="E1049" s="13" t="s">
        <v>348</v>
      </c>
      <c r="F1049" s="13" t="s">
        <v>588</v>
      </c>
      <c r="G1049" s="13" t="s">
        <v>349</v>
      </c>
      <c r="H1049" s="13">
        <v>28</v>
      </c>
      <c r="I1049" s="13">
        <v>600</v>
      </c>
      <c r="K1049" s="13" t="s">
        <v>916</v>
      </c>
      <c r="L1049" s="13" t="s">
        <v>917</v>
      </c>
      <c r="N1049" s="13" t="s">
        <v>255</v>
      </c>
      <c r="O1049" s="13" t="s">
        <v>645</v>
      </c>
      <c r="P1049" s="13" t="s">
        <v>48</v>
      </c>
      <c r="Q1049" s="13" t="s">
        <v>48</v>
      </c>
      <c r="R1049" s="4">
        <v>3</v>
      </c>
      <c r="S1049" s="13" t="s">
        <v>594</v>
      </c>
      <c r="T1049" s="13">
        <v>730</v>
      </c>
      <c r="U1049" s="4" t="s">
        <v>333</v>
      </c>
      <c r="V1049" s="4">
        <v>350</v>
      </c>
      <c r="W1049" s="4" t="s">
        <v>42</v>
      </c>
      <c r="X1049" s="4">
        <v>170</v>
      </c>
      <c r="Y1049" s="4">
        <v>10</v>
      </c>
      <c r="AA1049" s="4" t="s">
        <v>49</v>
      </c>
      <c r="AB1049" s="4">
        <v>0</v>
      </c>
      <c r="AC1049" s="4" t="s">
        <v>50</v>
      </c>
      <c r="AD1049" s="4">
        <v>100</v>
      </c>
      <c r="AE1049" s="4" t="s">
        <v>49</v>
      </c>
      <c r="AF1049" s="4">
        <v>0</v>
      </c>
      <c r="AG1049" s="4" t="s">
        <v>745</v>
      </c>
      <c r="AH1049" s="4" t="s">
        <v>744</v>
      </c>
      <c r="AI1049" s="4" t="s">
        <v>78</v>
      </c>
      <c r="AJ1049" s="13">
        <v>0</v>
      </c>
      <c r="AK1049" s="13">
        <v>15</v>
      </c>
      <c r="AP1049" s="13" t="s">
        <v>49</v>
      </c>
      <c r="AQ1049" s="13" t="s">
        <v>49</v>
      </c>
      <c r="AR1049" s="13" t="s">
        <v>49</v>
      </c>
      <c r="AS1049" s="13" t="s">
        <v>50</v>
      </c>
      <c r="AT1049" s="13" t="s">
        <v>993</v>
      </c>
      <c r="AU1049" s="13" t="s">
        <v>1001</v>
      </c>
      <c r="AV1049" s="14">
        <v>0.85</v>
      </c>
      <c r="AW1049" s="14">
        <v>0.73</v>
      </c>
      <c r="AX1049" s="14">
        <f>Table1347456[[#This Row],[treatment_mean]]/Table1347456[[#This Row],[control_mean]]</f>
        <v>1.1643835616438356</v>
      </c>
      <c r="AY1049" s="14">
        <f>LN(Table1347456[[#This Row],[rr]])</f>
        <v>0.15219181534192533</v>
      </c>
      <c r="AZ1049" s="13">
        <v>3</v>
      </c>
      <c r="BA1049" s="13">
        <v>3</v>
      </c>
      <c r="BB1049" s="14" t="s">
        <v>46</v>
      </c>
      <c r="BC1049" s="14" t="s">
        <v>46</v>
      </c>
      <c r="BD1049" s="15" t="s">
        <v>46</v>
      </c>
      <c r="BE1049" s="14" t="s">
        <v>46</v>
      </c>
      <c r="BF104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49" s="17" t="s">
        <v>46</v>
      </c>
      <c r="BH1049" s="13" t="s">
        <v>50</v>
      </c>
      <c r="BI1049" s="13">
        <v>2.5000000000000001E-2</v>
      </c>
      <c r="BJ1049" s="18">
        <f>ABS(_xlfn.NORM.S.INV(Table1347456[[#This Row],[p_value]]/2))</f>
        <v>2.2414027276049446</v>
      </c>
      <c r="BK1049" s="19">
        <f>(Table1347456[[#This Row],[lnrr]]/Table1347456[[#This Row],[z_from_p]])^2</f>
        <v>4.6104445430222348E-3</v>
      </c>
      <c r="BL1049" s="16">
        <f>Table1347456[[#This Row],[v_from_z_from_p]]</f>
        <v>4.6104445430222348E-3</v>
      </c>
      <c r="BM1049" s="20">
        <f>SQRT(Table1347456[[#This Row],[v]])</f>
        <v>6.790025436640304E-2</v>
      </c>
      <c r="BN1049" s="20">
        <f>Table1347456[[#This Row],[lnrr]]-(1.96*Table1347456[[#This Row],[se]])</f>
        <v>1.9107316783775363E-2</v>
      </c>
      <c r="BO1049" s="20">
        <f>Table1347456[[#This Row],[lnrr]]+(1.96 * Table1347456[[#This Row],[se]])</f>
        <v>0.2852763139000753</v>
      </c>
    </row>
    <row r="1050" spans="1:67">
      <c r="A1050" s="13" t="s">
        <v>339</v>
      </c>
      <c r="B1050" s="13" t="s">
        <v>340</v>
      </c>
      <c r="C1050" s="13" t="s">
        <v>341</v>
      </c>
      <c r="D1050" s="13" t="s">
        <v>347</v>
      </c>
      <c r="E1050" s="13" t="s">
        <v>348</v>
      </c>
      <c r="F1050" s="13" t="s">
        <v>588</v>
      </c>
      <c r="G1050" s="13" t="s">
        <v>349</v>
      </c>
      <c r="H1050" s="13">
        <v>28</v>
      </c>
      <c r="I1050" s="13">
        <v>600</v>
      </c>
      <c r="K1050" s="13" t="s">
        <v>916</v>
      </c>
      <c r="L1050" s="13" t="s">
        <v>917</v>
      </c>
      <c r="N1050" s="13" t="s">
        <v>255</v>
      </c>
      <c r="O1050" s="13" t="s">
        <v>645</v>
      </c>
      <c r="P1050" s="13" t="s">
        <v>48</v>
      </c>
      <c r="Q1050" s="13" t="s">
        <v>48</v>
      </c>
      <c r="R1050" s="4">
        <v>3</v>
      </c>
      <c r="S1050" s="13" t="s">
        <v>594</v>
      </c>
      <c r="T1050" s="13">
        <v>730</v>
      </c>
      <c r="U1050" s="4" t="s">
        <v>333</v>
      </c>
      <c r="V1050" s="4">
        <v>350</v>
      </c>
      <c r="W1050" s="4" t="s">
        <v>42</v>
      </c>
      <c r="X1050" s="4">
        <v>170</v>
      </c>
      <c r="Y1050" s="4">
        <v>20</v>
      </c>
      <c r="AA1050" s="4" t="s">
        <v>49</v>
      </c>
      <c r="AB1050" s="4">
        <v>0</v>
      </c>
      <c r="AC1050" s="4" t="s">
        <v>50</v>
      </c>
      <c r="AD1050" s="4">
        <v>100</v>
      </c>
      <c r="AE1050" s="4" t="s">
        <v>49</v>
      </c>
      <c r="AF1050" s="4">
        <v>0</v>
      </c>
      <c r="AG1050" s="4" t="s">
        <v>745</v>
      </c>
      <c r="AH1050" s="4" t="s">
        <v>744</v>
      </c>
      <c r="AI1050" s="4" t="s">
        <v>78</v>
      </c>
      <c r="AJ1050" s="13">
        <v>0</v>
      </c>
      <c r="AK1050" s="13">
        <v>15</v>
      </c>
      <c r="AP1050" s="13" t="s">
        <v>49</v>
      </c>
      <c r="AQ1050" s="13" t="s">
        <v>49</v>
      </c>
      <c r="AR1050" s="13" t="s">
        <v>49</v>
      </c>
      <c r="AS1050" s="13" t="s">
        <v>50</v>
      </c>
      <c r="AT1050" s="13" t="s">
        <v>993</v>
      </c>
      <c r="AU1050" s="13" t="s">
        <v>1001</v>
      </c>
      <c r="AV1050" s="14">
        <v>0.85</v>
      </c>
      <c r="AW1050" s="14">
        <v>0.73</v>
      </c>
      <c r="AX1050" s="14">
        <f>Table1347456[[#This Row],[treatment_mean]]/Table1347456[[#This Row],[control_mean]]</f>
        <v>1.1643835616438356</v>
      </c>
      <c r="AY1050" s="14">
        <f>LN(Table1347456[[#This Row],[rr]])</f>
        <v>0.15219181534192533</v>
      </c>
      <c r="AZ1050" s="13">
        <v>3</v>
      </c>
      <c r="BA1050" s="13">
        <v>3</v>
      </c>
      <c r="BB1050" s="14" t="s">
        <v>46</v>
      </c>
      <c r="BC1050" s="14" t="s">
        <v>46</v>
      </c>
      <c r="BD1050" s="15" t="s">
        <v>46</v>
      </c>
      <c r="BE1050" s="14" t="s">
        <v>46</v>
      </c>
      <c r="BF105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50" s="17" t="s">
        <v>46</v>
      </c>
      <c r="BH1050" s="13" t="s">
        <v>50</v>
      </c>
      <c r="BI1050" s="13">
        <v>2.5000000000000001E-2</v>
      </c>
      <c r="BJ1050" s="18">
        <f>ABS(_xlfn.NORM.S.INV(Table1347456[[#This Row],[p_value]]/2))</f>
        <v>2.2414027276049446</v>
      </c>
      <c r="BK1050" s="19">
        <f>(Table1347456[[#This Row],[lnrr]]/Table1347456[[#This Row],[z_from_p]])^2</f>
        <v>4.6104445430222348E-3</v>
      </c>
      <c r="BL1050" s="16">
        <f>Table1347456[[#This Row],[v_from_z_from_p]]</f>
        <v>4.6104445430222348E-3</v>
      </c>
      <c r="BM1050" s="20">
        <f>SQRT(Table1347456[[#This Row],[v]])</f>
        <v>6.790025436640304E-2</v>
      </c>
      <c r="BN1050" s="20">
        <f>Table1347456[[#This Row],[lnrr]]-(1.96*Table1347456[[#This Row],[se]])</f>
        <v>1.9107316783775363E-2</v>
      </c>
      <c r="BO1050" s="20">
        <f>Table1347456[[#This Row],[lnrr]]+(1.96 * Table1347456[[#This Row],[se]])</f>
        <v>0.2852763139000753</v>
      </c>
    </row>
    <row r="1051" spans="1:67">
      <c r="A1051" s="13" t="s">
        <v>339</v>
      </c>
      <c r="B1051" s="13" t="s">
        <v>340</v>
      </c>
      <c r="C1051" s="13" t="s">
        <v>341</v>
      </c>
      <c r="D1051" s="13" t="s">
        <v>347</v>
      </c>
      <c r="E1051" s="13" t="s">
        <v>348</v>
      </c>
      <c r="F1051" s="13" t="s">
        <v>588</v>
      </c>
      <c r="G1051" s="13" t="s">
        <v>349</v>
      </c>
      <c r="H1051" s="13">
        <v>28</v>
      </c>
      <c r="I1051" s="13">
        <v>600</v>
      </c>
      <c r="K1051" s="13" t="s">
        <v>916</v>
      </c>
      <c r="L1051" s="13" t="s">
        <v>917</v>
      </c>
      <c r="N1051" s="13" t="s">
        <v>255</v>
      </c>
      <c r="O1051" s="13" t="s">
        <v>645</v>
      </c>
      <c r="P1051" s="13" t="s">
        <v>48</v>
      </c>
      <c r="Q1051" s="13" t="s">
        <v>48</v>
      </c>
      <c r="R1051" s="4">
        <v>3</v>
      </c>
      <c r="S1051" s="13" t="s">
        <v>594</v>
      </c>
      <c r="T1051" s="13">
        <v>730</v>
      </c>
      <c r="U1051" s="4" t="s">
        <v>350</v>
      </c>
      <c r="V1051" s="4">
        <v>750</v>
      </c>
      <c r="W1051" s="4" t="s">
        <v>602</v>
      </c>
      <c r="X1051" s="4">
        <v>160</v>
      </c>
      <c r="Y1051" s="4">
        <v>10</v>
      </c>
      <c r="AA1051" s="4" t="s">
        <v>49</v>
      </c>
      <c r="AB1051" s="4">
        <v>0</v>
      </c>
      <c r="AC1051" s="4" t="s">
        <v>49</v>
      </c>
      <c r="AD1051" s="4">
        <v>0</v>
      </c>
      <c r="AE1051" s="4" t="s">
        <v>49</v>
      </c>
      <c r="AF1051" s="4">
        <v>0</v>
      </c>
      <c r="AG1051" s="4" t="s">
        <v>692</v>
      </c>
      <c r="AH1051" s="4" t="s">
        <v>744</v>
      </c>
      <c r="AI1051" s="4" t="s">
        <v>78</v>
      </c>
      <c r="AJ1051" s="13">
        <v>0</v>
      </c>
      <c r="AK1051" s="13">
        <v>15</v>
      </c>
      <c r="AP1051" s="13" t="s">
        <v>49</v>
      </c>
      <c r="AQ1051" s="13" t="s">
        <v>49</v>
      </c>
      <c r="AR1051" s="13" t="s">
        <v>49</v>
      </c>
      <c r="AS1051" s="13" t="s">
        <v>50</v>
      </c>
      <c r="AT1051" s="13" t="s">
        <v>990</v>
      </c>
      <c r="AU1051" s="13" t="s">
        <v>998</v>
      </c>
      <c r="AV1051" s="14">
        <v>0.92</v>
      </c>
      <c r="AW1051" s="14">
        <v>0.81</v>
      </c>
      <c r="AX1051" s="14">
        <f>Table1347456[[#This Row],[treatment_mean]]/Table1347456[[#This Row],[control_mean]]</f>
        <v>1.1358024691358024</v>
      </c>
      <c r="AY1051" s="14">
        <f>LN(Table1347456[[#This Row],[rr]])</f>
        <v>0.12733942237660148</v>
      </c>
      <c r="AZ1051" s="13">
        <v>3</v>
      </c>
      <c r="BA1051" s="13">
        <v>3</v>
      </c>
      <c r="BB1051" s="14" t="s">
        <v>46</v>
      </c>
      <c r="BC1051" s="14" t="s">
        <v>46</v>
      </c>
      <c r="BD1051" s="15" t="s">
        <v>46</v>
      </c>
      <c r="BE1051" s="14" t="s">
        <v>46</v>
      </c>
      <c r="BF105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51" s="17" t="s">
        <v>46</v>
      </c>
      <c r="BH1051" s="13" t="s">
        <v>50</v>
      </c>
      <c r="BI1051" s="13">
        <v>2.5000000000000001E-2</v>
      </c>
      <c r="BJ1051" s="18">
        <f>ABS(_xlfn.NORM.S.INV(Table1347456[[#This Row],[p_value]]/2))</f>
        <v>2.2414027276049446</v>
      </c>
      <c r="BK1051" s="19">
        <f>(Table1347456[[#This Row],[lnrr]]/Table1347456[[#This Row],[z_from_p]])^2</f>
        <v>3.2276464646332115E-3</v>
      </c>
      <c r="BL1051" s="16">
        <f>Table1347456[[#This Row],[v_from_z_from_p]]</f>
        <v>3.2276464646332115E-3</v>
      </c>
      <c r="BM1051" s="20">
        <f>SQRT(Table1347456[[#This Row],[v]])</f>
        <v>5.6812379501594644E-2</v>
      </c>
      <c r="BN1051" s="20">
        <f>Table1347456[[#This Row],[lnrr]]-(1.96*Table1347456[[#This Row],[se]])</f>
        <v>1.5987158553475975E-2</v>
      </c>
      <c r="BO1051" s="20">
        <f>Table1347456[[#This Row],[lnrr]]+(1.96 * Table1347456[[#This Row],[se]])</f>
        <v>0.23869168619972697</v>
      </c>
    </row>
    <row r="1052" spans="1:67">
      <c r="A1052" s="13" t="s">
        <v>339</v>
      </c>
      <c r="B1052" s="13" t="s">
        <v>340</v>
      </c>
      <c r="C1052" s="13" t="s">
        <v>341</v>
      </c>
      <c r="D1052" s="13" t="s">
        <v>347</v>
      </c>
      <c r="E1052" s="13" t="s">
        <v>348</v>
      </c>
      <c r="F1052" s="13" t="s">
        <v>588</v>
      </c>
      <c r="G1052" s="13" t="s">
        <v>349</v>
      </c>
      <c r="H1052" s="13">
        <v>28</v>
      </c>
      <c r="I1052" s="13">
        <v>600</v>
      </c>
      <c r="K1052" s="13" t="s">
        <v>916</v>
      </c>
      <c r="L1052" s="13" t="s">
        <v>917</v>
      </c>
      <c r="N1052" s="13" t="s">
        <v>255</v>
      </c>
      <c r="O1052" s="13" t="s">
        <v>645</v>
      </c>
      <c r="P1052" s="13" t="s">
        <v>48</v>
      </c>
      <c r="Q1052" s="13" t="s">
        <v>48</v>
      </c>
      <c r="R1052" s="4">
        <v>3</v>
      </c>
      <c r="S1052" s="13" t="s">
        <v>594</v>
      </c>
      <c r="T1052" s="13">
        <v>730</v>
      </c>
      <c r="U1052" s="4" t="s">
        <v>350</v>
      </c>
      <c r="V1052" s="4">
        <v>750</v>
      </c>
      <c r="W1052" s="4" t="s">
        <v>602</v>
      </c>
      <c r="X1052" s="4">
        <v>160</v>
      </c>
      <c r="Y1052" s="4">
        <v>20</v>
      </c>
      <c r="AA1052" s="4" t="s">
        <v>49</v>
      </c>
      <c r="AB1052" s="4">
        <v>0</v>
      </c>
      <c r="AC1052" s="4" t="s">
        <v>49</v>
      </c>
      <c r="AD1052" s="4">
        <v>0</v>
      </c>
      <c r="AE1052" s="4" t="s">
        <v>49</v>
      </c>
      <c r="AF1052" s="4">
        <v>0</v>
      </c>
      <c r="AG1052" s="4" t="s">
        <v>692</v>
      </c>
      <c r="AH1052" s="4" t="s">
        <v>744</v>
      </c>
      <c r="AI1052" s="4" t="s">
        <v>78</v>
      </c>
      <c r="AJ1052" s="13">
        <v>0</v>
      </c>
      <c r="AK1052" s="13">
        <v>15</v>
      </c>
      <c r="AP1052" s="13" t="s">
        <v>49</v>
      </c>
      <c r="AQ1052" s="13" t="s">
        <v>49</v>
      </c>
      <c r="AR1052" s="13" t="s">
        <v>49</v>
      </c>
      <c r="AS1052" s="13" t="s">
        <v>50</v>
      </c>
      <c r="AT1052" s="13" t="s">
        <v>990</v>
      </c>
      <c r="AU1052" s="13" t="s">
        <v>998</v>
      </c>
      <c r="AV1052" s="14">
        <v>0.93</v>
      </c>
      <c r="AW1052" s="14">
        <v>0.81</v>
      </c>
      <c r="AX1052" s="14">
        <f>Table1347456[[#This Row],[treatment_mean]]/Table1347456[[#This Row],[control_mean]]</f>
        <v>1.1481481481481481</v>
      </c>
      <c r="AY1052" s="14">
        <f>LN(Table1347456[[#This Row],[rr]])</f>
        <v>0.13815033848081718</v>
      </c>
      <c r="AZ1052" s="13">
        <v>3</v>
      </c>
      <c r="BA1052" s="13">
        <v>3</v>
      </c>
      <c r="BB1052" s="14" t="s">
        <v>46</v>
      </c>
      <c r="BC1052" s="14" t="s">
        <v>46</v>
      </c>
      <c r="BD1052" s="15" t="s">
        <v>46</v>
      </c>
      <c r="BE1052" s="14" t="s">
        <v>46</v>
      </c>
      <c r="BF105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52" s="17" t="s">
        <v>46</v>
      </c>
      <c r="BH1052" s="13" t="s">
        <v>50</v>
      </c>
      <c r="BI1052" s="13">
        <v>2.5000000000000001E-2</v>
      </c>
      <c r="BJ1052" s="18">
        <f>ABS(_xlfn.NORM.S.INV(Table1347456[[#This Row],[p_value]]/2))</f>
        <v>2.2414027276049446</v>
      </c>
      <c r="BK1052" s="19">
        <f>(Table1347456[[#This Row],[lnrr]]/Table1347456[[#This Row],[z_from_p]])^2</f>
        <v>3.7989546957800375E-3</v>
      </c>
      <c r="BL1052" s="16">
        <f>Table1347456[[#This Row],[v_from_z_from_p]]</f>
        <v>3.7989546957800375E-3</v>
      </c>
      <c r="BM1052" s="20">
        <f>SQRT(Table1347456[[#This Row],[v]])</f>
        <v>6.1635660909736642E-2</v>
      </c>
      <c r="BN1052" s="20">
        <f>Table1347456[[#This Row],[lnrr]]-(1.96*Table1347456[[#This Row],[se]])</f>
        <v>1.7344443097733364E-2</v>
      </c>
      <c r="BO1052" s="20">
        <f>Table1347456[[#This Row],[lnrr]]+(1.96 * Table1347456[[#This Row],[se]])</f>
        <v>0.25895623386390099</v>
      </c>
    </row>
    <row r="1053" spans="1:67">
      <c r="A1053" s="13" t="s">
        <v>339</v>
      </c>
      <c r="B1053" s="13" t="s">
        <v>340</v>
      </c>
      <c r="C1053" s="13" t="s">
        <v>341</v>
      </c>
      <c r="D1053" s="13" t="s">
        <v>347</v>
      </c>
      <c r="E1053" s="13" t="s">
        <v>348</v>
      </c>
      <c r="F1053" s="13" t="s">
        <v>588</v>
      </c>
      <c r="G1053" s="13" t="s">
        <v>349</v>
      </c>
      <c r="H1053" s="13">
        <v>28</v>
      </c>
      <c r="I1053" s="13">
        <v>600</v>
      </c>
      <c r="K1053" s="13" t="s">
        <v>916</v>
      </c>
      <c r="L1053" s="13" t="s">
        <v>917</v>
      </c>
      <c r="N1053" s="13" t="s">
        <v>255</v>
      </c>
      <c r="O1053" s="13" t="s">
        <v>645</v>
      </c>
      <c r="P1053" s="13" t="s">
        <v>48</v>
      </c>
      <c r="Q1053" s="13" t="s">
        <v>48</v>
      </c>
      <c r="R1053" s="4">
        <v>3</v>
      </c>
      <c r="S1053" s="13" t="s">
        <v>594</v>
      </c>
      <c r="T1053" s="13">
        <v>730</v>
      </c>
      <c r="U1053" s="4" t="s">
        <v>350</v>
      </c>
      <c r="V1053" s="4">
        <v>750</v>
      </c>
      <c r="W1053" s="4" t="s">
        <v>602</v>
      </c>
      <c r="X1053" s="4">
        <v>160</v>
      </c>
      <c r="Y1053" s="4">
        <v>10</v>
      </c>
      <c r="AA1053" s="4" t="s">
        <v>49</v>
      </c>
      <c r="AB1053" s="4">
        <v>0</v>
      </c>
      <c r="AC1053" s="4" t="s">
        <v>50</v>
      </c>
      <c r="AD1053" s="4">
        <v>100</v>
      </c>
      <c r="AE1053" s="4" t="s">
        <v>49</v>
      </c>
      <c r="AF1053" s="4">
        <v>0</v>
      </c>
      <c r="AG1053" s="4" t="s">
        <v>692</v>
      </c>
      <c r="AH1053" s="4" t="s">
        <v>744</v>
      </c>
      <c r="AI1053" s="4" t="s">
        <v>78</v>
      </c>
      <c r="AJ1053" s="13">
        <v>0</v>
      </c>
      <c r="AK1053" s="13">
        <v>15</v>
      </c>
      <c r="AP1053" s="13" t="s">
        <v>49</v>
      </c>
      <c r="AQ1053" s="13" t="s">
        <v>49</v>
      </c>
      <c r="AR1053" s="13" t="s">
        <v>49</v>
      </c>
      <c r="AS1053" s="13" t="s">
        <v>50</v>
      </c>
      <c r="AT1053" s="13" t="s">
        <v>993</v>
      </c>
      <c r="AU1053" s="13" t="s">
        <v>1001</v>
      </c>
      <c r="AV1053" s="14">
        <v>1.01</v>
      </c>
      <c r="AW1053" s="14">
        <v>0.73</v>
      </c>
      <c r="AX1053" s="14">
        <f>Table1347456[[#This Row],[treatment_mean]]/Table1347456[[#This Row],[control_mean]]</f>
        <v>1.3835616438356164</v>
      </c>
      <c r="AY1053" s="14">
        <f>LN(Table1347456[[#This Row],[rr]])</f>
        <v>0.32466107569286828</v>
      </c>
      <c r="AZ1053" s="13">
        <v>3</v>
      </c>
      <c r="BA1053" s="13">
        <v>3</v>
      </c>
      <c r="BB1053" s="14" t="s">
        <v>46</v>
      </c>
      <c r="BC1053" s="14" t="s">
        <v>46</v>
      </c>
      <c r="BD1053" s="15" t="s">
        <v>46</v>
      </c>
      <c r="BE1053" s="14" t="s">
        <v>46</v>
      </c>
      <c r="BF105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53" s="17" t="s">
        <v>46</v>
      </c>
      <c r="BH1053" s="13" t="s">
        <v>50</v>
      </c>
      <c r="BI1053" s="13">
        <v>2.5000000000000001E-2</v>
      </c>
      <c r="BJ1053" s="18">
        <f>ABS(_xlfn.NORM.S.INV(Table1347456[[#This Row],[p_value]]/2))</f>
        <v>2.2414027276049446</v>
      </c>
      <c r="BK1053" s="19">
        <f>(Table1347456[[#This Row],[lnrr]]/Table1347456[[#This Row],[z_from_p]])^2</f>
        <v>2.0980732870938306E-2</v>
      </c>
      <c r="BL1053" s="16">
        <f>Table1347456[[#This Row],[v_from_z_from_p]]</f>
        <v>2.0980732870938306E-2</v>
      </c>
      <c r="BM1053" s="20">
        <f>SQRT(Table1347456[[#This Row],[v]])</f>
        <v>0.14484727429585378</v>
      </c>
      <c r="BN1053" s="20">
        <f>Table1347456[[#This Row],[lnrr]]-(1.96*Table1347456[[#This Row],[se]])</f>
        <v>4.0760418072994853E-2</v>
      </c>
      <c r="BO1053" s="20">
        <f>Table1347456[[#This Row],[lnrr]]+(1.96 * Table1347456[[#This Row],[se]])</f>
        <v>0.60856173331274177</v>
      </c>
    </row>
    <row r="1054" spans="1:67">
      <c r="A1054" s="13" t="s">
        <v>339</v>
      </c>
      <c r="B1054" s="13" t="s">
        <v>340</v>
      </c>
      <c r="C1054" s="13" t="s">
        <v>341</v>
      </c>
      <c r="D1054" s="13" t="s">
        <v>347</v>
      </c>
      <c r="E1054" s="13" t="s">
        <v>348</v>
      </c>
      <c r="F1054" s="13" t="s">
        <v>588</v>
      </c>
      <c r="G1054" s="13" t="s">
        <v>349</v>
      </c>
      <c r="H1054" s="13">
        <v>28</v>
      </c>
      <c r="I1054" s="13">
        <v>600</v>
      </c>
      <c r="K1054" s="13" t="s">
        <v>916</v>
      </c>
      <c r="L1054" s="13" t="s">
        <v>917</v>
      </c>
      <c r="N1054" s="13" t="s">
        <v>255</v>
      </c>
      <c r="O1054" s="13" t="s">
        <v>645</v>
      </c>
      <c r="P1054" s="13" t="s">
        <v>48</v>
      </c>
      <c r="Q1054" s="13" t="s">
        <v>48</v>
      </c>
      <c r="R1054" s="4">
        <v>3</v>
      </c>
      <c r="S1054" s="13" t="s">
        <v>594</v>
      </c>
      <c r="T1054" s="13">
        <v>730</v>
      </c>
      <c r="U1054" s="4" t="s">
        <v>350</v>
      </c>
      <c r="V1054" s="4">
        <v>750</v>
      </c>
      <c r="W1054" s="4" t="s">
        <v>602</v>
      </c>
      <c r="X1054" s="4">
        <v>160</v>
      </c>
      <c r="Y1054" s="4">
        <v>20</v>
      </c>
      <c r="AA1054" s="4" t="s">
        <v>49</v>
      </c>
      <c r="AB1054" s="4">
        <v>0</v>
      </c>
      <c r="AC1054" s="4" t="s">
        <v>50</v>
      </c>
      <c r="AD1054" s="4">
        <v>100</v>
      </c>
      <c r="AE1054" s="4" t="s">
        <v>49</v>
      </c>
      <c r="AF1054" s="4">
        <v>0</v>
      </c>
      <c r="AG1054" s="4" t="s">
        <v>692</v>
      </c>
      <c r="AH1054" s="4" t="s">
        <v>744</v>
      </c>
      <c r="AI1054" s="4" t="s">
        <v>78</v>
      </c>
      <c r="AJ1054" s="13">
        <v>0</v>
      </c>
      <c r="AK1054" s="13">
        <v>15</v>
      </c>
      <c r="AP1054" s="13" t="s">
        <v>49</v>
      </c>
      <c r="AQ1054" s="13" t="s">
        <v>49</v>
      </c>
      <c r="AR1054" s="13" t="s">
        <v>49</v>
      </c>
      <c r="AS1054" s="13" t="s">
        <v>50</v>
      </c>
      <c r="AT1054" s="13" t="s">
        <v>993</v>
      </c>
      <c r="AU1054" s="13" t="s">
        <v>1001</v>
      </c>
      <c r="AV1054" s="14">
        <v>0.78</v>
      </c>
      <c r="AW1054" s="14">
        <v>0.73</v>
      </c>
      <c r="AX1054" s="14">
        <f>Table1347456[[#This Row],[treatment_mean]]/Table1347456[[#This Row],[control_mean]]</f>
        <v>1.0684931506849316</v>
      </c>
      <c r="AY1054" s="14">
        <f>LN(Table1347456[[#This Row],[rr]])</f>
        <v>6.6249385541200662E-2</v>
      </c>
      <c r="AZ1054" s="13">
        <v>3</v>
      </c>
      <c r="BA1054" s="13">
        <v>3</v>
      </c>
      <c r="BB1054" s="14" t="s">
        <v>46</v>
      </c>
      <c r="BC1054" s="14" t="s">
        <v>46</v>
      </c>
      <c r="BD1054" s="15" t="s">
        <v>46</v>
      </c>
      <c r="BE1054" s="14" t="s">
        <v>46</v>
      </c>
      <c r="BF105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54" s="17" t="s">
        <v>46</v>
      </c>
      <c r="BH1054" s="13" t="s">
        <v>50</v>
      </c>
      <c r="BI1054" s="13">
        <v>2.5000000000000001E-2</v>
      </c>
      <c r="BJ1054" s="18">
        <f>ABS(_xlfn.NORM.S.INV(Table1347456[[#This Row],[p_value]]/2))</f>
        <v>2.2414027276049446</v>
      </c>
      <c r="BK1054" s="19">
        <f>(Table1347456[[#This Row],[lnrr]]/Table1347456[[#This Row],[z_from_p]])^2</f>
        <v>8.7362271376064434E-4</v>
      </c>
      <c r="BL1054" s="16">
        <f>Table1347456[[#This Row],[v_from_z_from_p]]</f>
        <v>8.7362271376064434E-4</v>
      </c>
      <c r="BM1054" s="20">
        <f>SQRT(Table1347456[[#This Row],[v]])</f>
        <v>2.9557109360704478E-2</v>
      </c>
      <c r="BN1054" s="20">
        <f>Table1347456[[#This Row],[lnrr]]-(1.96*Table1347456[[#This Row],[se]])</f>
        <v>8.3174511942198867E-3</v>
      </c>
      <c r="BO1054" s="20">
        <f>Table1347456[[#This Row],[lnrr]]+(1.96 * Table1347456[[#This Row],[se]])</f>
        <v>0.12418131988818143</v>
      </c>
    </row>
    <row r="1055" spans="1:67">
      <c r="A1055" s="13" t="s">
        <v>339</v>
      </c>
      <c r="B1055" s="13" t="s">
        <v>340</v>
      </c>
      <c r="C1055" s="13" t="s">
        <v>341</v>
      </c>
      <c r="D1055" s="13" t="s">
        <v>347</v>
      </c>
      <c r="E1055" s="13" t="s">
        <v>348</v>
      </c>
      <c r="F1055" s="13" t="s">
        <v>588</v>
      </c>
      <c r="G1055" s="13" t="s">
        <v>349</v>
      </c>
      <c r="H1055" s="13">
        <v>28</v>
      </c>
      <c r="I1055" s="13">
        <v>600</v>
      </c>
      <c r="J1055" s="13" t="s">
        <v>657</v>
      </c>
      <c r="K1055" s="13" t="s">
        <v>916</v>
      </c>
      <c r="L1055" s="13" t="s">
        <v>917</v>
      </c>
      <c r="M1055" s="13" t="s">
        <v>802</v>
      </c>
      <c r="N1055" s="13" t="s">
        <v>625</v>
      </c>
      <c r="O1055" s="13" t="s">
        <v>644</v>
      </c>
      <c r="P1055" s="13" t="s">
        <v>85</v>
      </c>
      <c r="Q1055" s="13" t="s">
        <v>48</v>
      </c>
      <c r="R1055" s="4">
        <v>3</v>
      </c>
      <c r="S1055" s="13" t="s">
        <v>594</v>
      </c>
      <c r="T1055" s="13">
        <v>730</v>
      </c>
      <c r="U1055" s="4" t="s">
        <v>333</v>
      </c>
      <c r="V1055" s="4">
        <v>350</v>
      </c>
      <c r="W1055" s="4" t="s">
        <v>42</v>
      </c>
      <c r="X1055" s="4">
        <v>170</v>
      </c>
      <c r="Y1055" s="4">
        <v>10</v>
      </c>
      <c r="AA1055" s="4" t="s">
        <v>49</v>
      </c>
      <c r="AB1055" s="4">
        <v>0</v>
      </c>
      <c r="AC1055" s="4" t="s">
        <v>49</v>
      </c>
      <c r="AD1055" s="4">
        <v>0</v>
      </c>
      <c r="AE1055" s="4" t="s">
        <v>49</v>
      </c>
      <c r="AF1055" s="4">
        <v>0</v>
      </c>
      <c r="AG1055" s="4" t="s">
        <v>745</v>
      </c>
      <c r="AH1055" s="4" t="s">
        <v>744</v>
      </c>
      <c r="AI1055" s="4" t="s">
        <v>78</v>
      </c>
      <c r="AJ1055" s="13">
        <v>0</v>
      </c>
      <c r="AK1055" s="13">
        <v>15</v>
      </c>
      <c r="AP1055" s="13" t="s">
        <v>49</v>
      </c>
      <c r="AQ1055" s="13" t="s">
        <v>49</v>
      </c>
      <c r="AR1055" s="13" t="s">
        <v>49</v>
      </c>
      <c r="AS1055" s="13" t="s">
        <v>50</v>
      </c>
      <c r="AT1055" s="13" t="s">
        <v>990</v>
      </c>
      <c r="AU1055" s="13" t="s">
        <v>998</v>
      </c>
      <c r="AV1055" s="23">
        <f>26.1/1000</f>
        <v>2.6100000000000002E-2</v>
      </c>
      <c r="AW1055" s="23">
        <f>23.5/1000</f>
        <v>2.35E-2</v>
      </c>
      <c r="AX1055" s="14">
        <f>Table1347456[[#This Row],[treatment_mean]]/Table1347456[[#This Row],[control_mean]]</f>
        <v>1.1106382978723406</v>
      </c>
      <c r="AY1055" s="14">
        <f>LN(Table1347456[[#This Row],[rr]])</f>
        <v>0.10493489317853459</v>
      </c>
      <c r="AZ1055" s="13">
        <v>3</v>
      </c>
      <c r="BA1055" s="13">
        <v>3</v>
      </c>
      <c r="BB1055" s="14" t="s">
        <v>46</v>
      </c>
      <c r="BC1055" s="14" t="s">
        <v>46</v>
      </c>
      <c r="BD1055" s="15" t="s">
        <v>46</v>
      </c>
      <c r="BE1055" s="14" t="s">
        <v>46</v>
      </c>
      <c r="BF105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55" s="17" t="s">
        <v>46</v>
      </c>
      <c r="BH1055" s="13" t="s">
        <v>50</v>
      </c>
      <c r="BI1055" s="13">
        <v>2.5000000000000001E-2</v>
      </c>
      <c r="BJ1055" s="18">
        <f>ABS(_xlfn.NORM.S.INV(Table1347456[[#This Row],[p_value]]/2))</f>
        <v>2.2414027276049446</v>
      </c>
      <c r="BK1055" s="19">
        <f>(Table1347456[[#This Row],[lnrr]]/Table1347456[[#This Row],[z_from_p]])^2</f>
        <v>2.1917956330686082E-3</v>
      </c>
      <c r="BL1055" s="16">
        <f>Table1347456[[#This Row],[v_from_z_from_p]]</f>
        <v>2.1917956330686082E-3</v>
      </c>
      <c r="BM1055" s="20">
        <f>SQRT(Table1347456[[#This Row],[v]])</f>
        <v>4.6816617061344878E-2</v>
      </c>
      <c r="BN1055" s="20">
        <f>Table1347456[[#This Row],[lnrr]]-(1.96*Table1347456[[#This Row],[se]])</f>
        <v>1.3174323738298632E-2</v>
      </c>
      <c r="BO1055" s="20">
        <f>Table1347456[[#This Row],[lnrr]]+(1.96 * Table1347456[[#This Row],[se]])</f>
        <v>0.19669546261877055</v>
      </c>
    </row>
    <row r="1056" spans="1:67">
      <c r="A1056" s="13" t="s">
        <v>339</v>
      </c>
      <c r="B1056" s="13" t="s">
        <v>340</v>
      </c>
      <c r="C1056" s="13" t="s">
        <v>341</v>
      </c>
      <c r="D1056" s="13" t="s">
        <v>347</v>
      </c>
      <c r="E1056" s="13" t="s">
        <v>348</v>
      </c>
      <c r="F1056" s="13" t="s">
        <v>588</v>
      </c>
      <c r="G1056" s="13" t="s">
        <v>349</v>
      </c>
      <c r="H1056" s="13">
        <v>28</v>
      </c>
      <c r="I1056" s="13">
        <v>600</v>
      </c>
      <c r="J1056" s="13" t="s">
        <v>657</v>
      </c>
      <c r="K1056" s="13" t="s">
        <v>916</v>
      </c>
      <c r="L1056" s="13" t="s">
        <v>917</v>
      </c>
      <c r="M1056" s="13" t="s">
        <v>802</v>
      </c>
      <c r="N1056" s="13" t="s">
        <v>625</v>
      </c>
      <c r="O1056" s="13" t="s">
        <v>644</v>
      </c>
      <c r="P1056" s="13" t="s">
        <v>85</v>
      </c>
      <c r="Q1056" s="13" t="s">
        <v>48</v>
      </c>
      <c r="R1056" s="4">
        <v>3</v>
      </c>
      <c r="S1056" s="13" t="s">
        <v>594</v>
      </c>
      <c r="T1056" s="13">
        <v>730</v>
      </c>
      <c r="U1056" s="4" t="s">
        <v>333</v>
      </c>
      <c r="V1056" s="4">
        <v>350</v>
      </c>
      <c r="W1056" s="4" t="s">
        <v>42</v>
      </c>
      <c r="X1056" s="4">
        <v>170</v>
      </c>
      <c r="Y1056" s="4">
        <v>20</v>
      </c>
      <c r="AA1056" s="4" t="s">
        <v>49</v>
      </c>
      <c r="AB1056" s="4">
        <v>0</v>
      </c>
      <c r="AC1056" s="4" t="s">
        <v>49</v>
      </c>
      <c r="AD1056" s="4">
        <v>0</v>
      </c>
      <c r="AE1056" s="4" t="s">
        <v>49</v>
      </c>
      <c r="AF1056" s="4">
        <v>0</v>
      </c>
      <c r="AG1056" s="4" t="s">
        <v>745</v>
      </c>
      <c r="AH1056" s="4" t="s">
        <v>744</v>
      </c>
      <c r="AI1056" s="4" t="s">
        <v>78</v>
      </c>
      <c r="AJ1056" s="13">
        <v>0</v>
      </c>
      <c r="AK1056" s="13">
        <v>15</v>
      </c>
      <c r="AP1056" s="13" t="s">
        <v>49</v>
      </c>
      <c r="AQ1056" s="13" t="s">
        <v>49</v>
      </c>
      <c r="AR1056" s="13" t="s">
        <v>49</v>
      </c>
      <c r="AS1056" s="13" t="s">
        <v>50</v>
      </c>
      <c r="AT1056" s="13" t="s">
        <v>990</v>
      </c>
      <c r="AU1056" s="13" t="s">
        <v>998</v>
      </c>
      <c r="AV1056" s="23">
        <f>15/1000</f>
        <v>1.4999999999999999E-2</v>
      </c>
      <c r="AW1056" s="23">
        <f>23.5/1000</f>
        <v>2.35E-2</v>
      </c>
      <c r="AX1056" s="14">
        <f>Table1347456[[#This Row],[treatment_mean]]/Table1347456[[#This Row],[control_mean]]</f>
        <v>0.63829787234042545</v>
      </c>
      <c r="AY1056" s="14">
        <f>LN(Table1347456[[#This Row],[rr]])</f>
        <v>-0.44895022004790336</v>
      </c>
      <c r="AZ1056" s="13">
        <v>3</v>
      </c>
      <c r="BA1056" s="13">
        <v>3</v>
      </c>
      <c r="BB1056" s="14" t="s">
        <v>46</v>
      </c>
      <c r="BC1056" s="14" t="s">
        <v>46</v>
      </c>
      <c r="BD1056" s="15" t="s">
        <v>46</v>
      </c>
      <c r="BE1056" s="14" t="s">
        <v>46</v>
      </c>
      <c r="BF105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56" s="17" t="s">
        <v>46</v>
      </c>
      <c r="BH1056" s="13" t="s">
        <v>50</v>
      </c>
      <c r="BI1056" s="13">
        <v>2.5000000000000001E-2</v>
      </c>
      <c r="BJ1056" s="18">
        <f>ABS(_xlfn.NORM.S.INV(Table1347456[[#This Row],[p_value]]/2))</f>
        <v>2.2414027276049446</v>
      </c>
      <c r="BK1056" s="19">
        <f>(Table1347456[[#This Row],[lnrr]]/Table1347456[[#This Row],[z_from_p]])^2</f>
        <v>4.0119599164085876E-2</v>
      </c>
      <c r="BL1056" s="16">
        <f>Table1347456[[#This Row],[v_from_z_from_p]]</f>
        <v>4.0119599164085876E-2</v>
      </c>
      <c r="BM1056" s="20">
        <f>SQRT(Table1347456[[#This Row],[v]])</f>
        <v>0.20029877474434504</v>
      </c>
      <c r="BN1056" s="20">
        <f>Table1347456[[#This Row],[lnrr]]-(1.96*Table1347456[[#This Row],[se]])</f>
        <v>-0.84153581854681958</v>
      </c>
      <c r="BO1056" s="20">
        <f>Table1347456[[#This Row],[lnrr]]+(1.96 * Table1347456[[#This Row],[se]])</f>
        <v>-5.6364621548987082E-2</v>
      </c>
    </row>
    <row r="1057" spans="1:67">
      <c r="A1057" s="13" t="s">
        <v>339</v>
      </c>
      <c r="B1057" s="13" t="s">
        <v>340</v>
      </c>
      <c r="C1057" s="13" t="s">
        <v>341</v>
      </c>
      <c r="D1057" s="13" t="s">
        <v>347</v>
      </c>
      <c r="E1057" s="13" t="s">
        <v>348</v>
      </c>
      <c r="F1057" s="13" t="s">
        <v>588</v>
      </c>
      <c r="G1057" s="13" t="s">
        <v>349</v>
      </c>
      <c r="H1057" s="13">
        <v>28</v>
      </c>
      <c r="I1057" s="13">
        <v>600</v>
      </c>
      <c r="J1057" s="13" t="s">
        <v>657</v>
      </c>
      <c r="K1057" s="13" t="s">
        <v>916</v>
      </c>
      <c r="L1057" s="13" t="s">
        <v>917</v>
      </c>
      <c r="M1057" s="13" t="s">
        <v>802</v>
      </c>
      <c r="N1057" s="13" t="s">
        <v>625</v>
      </c>
      <c r="O1057" s="13" t="s">
        <v>644</v>
      </c>
      <c r="P1057" s="13" t="s">
        <v>85</v>
      </c>
      <c r="Q1057" s="13" t="s">
        <v>48</v>
      </c>
      <c r="R1057" s="4">
        <v>3</v>
      </c>
      <c r="S1057" s="13" t="s">
        <v>594</v>
      </c>
      <c r="T1057" s="13">
        <v>730</v>
      </c>
      <c r="U1057" s="4" t="s">
        <v>333</v>
      </c>
      <c r="V1057" s="4">
        <v>350</v>
      </c>
      <c r="W1057" s="4" t="s">
        <v>42</v>
      </c>
      <c r="X1057" s="4">
        <v>170</v>
      </c>
      <c r="Y1057" s="4">
        <v>10</v>
      </c>
      <c r="AA1057" s="4" t="s">
        <v>49</v>
      </c>
      <c r="AB1057" s="4">
        <v>0</v>
      </c>
      <c r="AC1057" s="4" t="s">
        <v>50</v>
      </c>
      <c r="AD1057" s="4">
        <v>100</v>
      </c>
      <c r="AE1057" s="4" t="s">
        <v>49</v>
      </c>
      <c r="AF1057" s="4">
        <v>0</v>
      </c>
      <c r="AG1057" s="4" t="s">
        <v>745</v>
      </c>
      <c r="AH1057" s="4" t="s">
        <v>744</v>
      </c>
      <c r="AI1057" s="4" t="s">
        <v>78</v>
      </c>
      <c r="AJ1057" s="13">
        <v>0</v>
      </c>
      <c r="AK1057" s="13">
        <v>15</v>
      </c>
      <c r="AP1057" s="13" t="s">
        <v>49</v>
      </c>
      <c r="AQ1057" s="13" t="s">
        <v>49</v>
      </c>
      <c r="AR1057" s="13" t="s">
        <v>49</v>
      </c>
      <c r="AS1057" s="13" t="s">
        <v>50</v>
      </c>
      <c r="AT1057" s="13" t="s">
        <v>993</v>
      </c>
      <c r="AU1057" s="13" t="s">
        <v>1001</v>
      </c>
      <c r="AV1057" s="23">
        <f>14.5/1000</f>
        <v>1.4500000000000001E-2</v>
      </c>
      <c r="AW1057" s="23">
        <f>23.6/1000</f>
        <v>2.3600000000000003E-2</v>
      </c>
      <c r="AX1057" s="14">
        <f>Table1347456[[#This Row],[treatment_mean]]/Table1347456[[#This Row],[control_mean]]</f>
        <v>0.61440677966101687</v>
      </c>
      <c r="AY1057" s="14">
        <f>LN(Table1347456[[#This Row],[rr]])</f>
        <v>-0.4870980626050358</v>
      </c>
      <c r="AZ1057" s="13">
        <v>3</v>
      </c>
      <c r="BA1057" s="13">
        <v>3</v>
      </c>
      <c r="BB1057" s="14" t="s">
        <v>46</v>
      </c>
      <c r="BC1057" s="14" t="s">
        <v>46</v>
      </c>
      <c r="BD1057" s="15" t="s">
        <v>46</v>
      </c>
      <c r="BE1057" s="14" t="s">
        <v>46</v>
      </c>
      <c r="BF105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57" s="17" t="s">
        <v>46</v>
      </c>
      <c r="BH1057" s="13" t="s">
        <v>50</v>
      </c>
      <c r="BI1057" s="13">
        <v>2.5000000000000001E-2</v>
      </c>
      <c r="BJ1057" s="18">
        <f>ABS(_xlfn.NORM.S.INV(Table1347456[[#This Row],[p_value]]/2))</f>
        <v>2.2414027276049446</v>
      </c>
      <c r="BK1057" s="19">
        <f>(Table1347456[[#This Row],[lnrr]]/Table1347456[[#This Row],[z_from_p]])^2</f>
        <v>4.722728854659624E-2</v>
      </c>
      <c r="BL1057" s="16">
        <f>Table1347456[[#This Row],[v_from_z_from_p]]</f>
        <v>4.722728854659624E-2</v>
      </c>
      <c r="BM1057" s="20">
        <f>SQRT(Table1347456[[#This Row],[v]])</f>
        <v>0.21731840360769319</v>
      </c>
      <c r="BN1057" s="20">
        <f>Table1347456[[#This Row],[lnrr]]-(1.96*Table1347456[[#This Row],[se]])</f>
        <v>-0.91304213367611453</v>
      </c>
      <c r="BO1057" s="20">
        <f>Table1347456[[#This Row],[lnrr]]+(1.96 * Table1347456[[#This Row],[se]])</f>
        <v>-6.1153991533957119E-2</v>
      </c>
    </row>
    <row r="1058" spans="1:67">
      <c r="A1058" s="13" t="s">
        <v>339</v>
      </c>
      <c r="B1058" s="13" t="s">
        <v>340</v>
      </c>
      <c r="C1058" s="13" t="s">
        <v>341</v>
      </c>
      <c r="D1058" s="13" t="s">
        <v>347</v>
      </c>
      <c r="E1058" s="13" t="s">
        <v>348</v>
      </c>
      <c r="F1058" s="13" t="s">
        <v>588</v>
      </c>
      <c r="G1058" s="13" t="s">
        <v>349</v>
      </c>
      <c r="H1058" s="13">
        <v>28</v>
      </c>
      <c r="I1058" s="13">
        <v>600</v>
      </c>
      <c r="J1058" s="13" t="s">
        <v>657</v>
      </c>
      <c r="K1058" s="13" t="s">
        <v>916</v>
      </c>
      <c r="L1058" s="13" t="s">
        <v>917</v>
      </c>
      <c r="M1058" s="13" t="s">
        <v>802</v>
      </c>
      <c r="N1058" s="13" t="s">
        <v>625</v>
      </c>
      <c r="O1058" s="13" t="s">
        <v>644</v>
      </c>
      <c r="P1058" s="13" t="s">
        <v>85</v>
      </c>
      <c r="Q1058" s="13" t="s">
        <v>48</v>
      </c>
      <c r="R1058" s="4">
        <v>3</v>
      </c>
      <c r="S1058" s="13" t="s">
        <v>594</v>
      </c>
      <c r="T1058" s="13">
        <v>730</v>
      </c>
      <c r="U1058" s="4" t="s">
        <v>333</v>
      </c>
      <c r="V1058" s="4">
        <v>350</v>
      </c>
      <c r="W1058" s="4" t="s">
        <v>42</v>
      </c>
      <c r="X1058" s="4">
        <v>170</v>
      </c>
      <c r="Y1058" s="4">
        <v>20</v>
      </c>
      <c r="AA1058" s="4" t="s">
        <v>49</v>
      </c>
      <c r="AB1058" s="4">
        <v>0</v>
      </c>
      <c r="AC1058" s="4" t="s">
        <v>50</v>
      </c>
      <c r="AD1058" s="4">
        <v>100</v>
      </c>
      <c r="AE1058" s="4" t="s">
        <v>49</v>
      </c>
      <c r="AF1058" s="4">
        <v>0</v>
      </c>
      <c r="AG1058" s="4" t="s">
        <v>745</v>
      </c>
      <c r="AH1058" s="4" t="s">
        <v>744</v>
      </c>
      <c r="AI1058" s="4" t="s">
        <v>78</v>
      </c>
      <c r="AJ1058" s="13">
        <v>0</v>
      </c>
      <c r="AK1058" s="13">
        <v>15</v>
      </c>
      <c r="AP1058" s="13" t="s">
        <v>49</v>
      </c>
      <c r="AQ1058" s="13" t="s">
        <v>49</v>
      </c>
      <c r="AR1058" s="13" t="s">
        <v>49</v>
      </c>
      <c r="AS1058" s="13" t="s">
        <v>50</v>
      </c>
      <c r="AT1058" s="13" t="s">
        <v>993</v>
      </c>
      <c r="AU1058" s="13" t="s">
        <v>1001</v>
      </c>
      <c r="AV1058" s="23">
        <f>18.5/1000</f>
        <v>1.8499999999999999E-2</v>
      </c>
      <c r="AW1058" s="23">
        <f>23.6/1000</f>
        <v>2.3600000000000003E-2</v>
      </c>
      <c r="AX1058" s="14">
        <f>Table1347456[[#This Row],[treatment_mean]]/Table1347456[[#This Row],[control_mean]]</f>
        <v>0.78389830508474567</v>
      </c>
      <c r="AY1058" s="14">
        <f>LN(Table1347456[[#This Row],[rr]])</f>
        <v>-0.24347597994728537</v>
      </c>
      <c r="AZ1058" s="13">
        <v>3</v>
      </c>
      <c r="BA1058" s="13">
        <v>3</v>
      </c>
      <c r="BB1058" s="14" t="s">
        <v>46</v>
      </c>
      <c r="BC1058" s="14" t="s">
        <v>46</v>
      </c>
      <c r="BD1058" s="15" t="s">
        <v>46</v>
      </c>
      <c r="BE1058" s="14" t="s">
        <v>46</v>
      </c>
      <c r="BF105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58" s="17" t="s">
        <v>46</v>
      </c>
      <c r="BH1058" s="13" t="s">
        <v>50</v>
      </c>
      <c r="BI1058" s="13">
        <v>2.5000000000000001E-2</v>
      </c>
      <c r="BJ1058" s="18">
        <f>ABS(_xlfn.NORM.S.INV(Table1347456[[#This Row],[p_value]]/2))</f>
        <v>2.2414027276049446</v>
      </c>
      <c r="BK1058" s="19">
        <f>(Table1347456[[#This Row],[lnrr]]/Table1347456[[#This Row],[z_from_p]])^2</f>
        <v>1.1799740400364158E-2</v>
      </c>
      <c r="BL1058" s="16">
        <f>Table1347456[[#This Row],[v_from_z_from_p]]</f>
        <v>1.1799740400364158E-2</v>
      </c>
      <c r="BM1058" s="20">
        <f>SQRT(Table1347456[[#This Row],[v]])</f>
        <v>0.10862661000125226</v>
      </c>
      <c r="BN1058" s="20">
        <f>Table1347456[[#This Row],[lnrr]]-(1.96*Table1347456[[#This Row],[se]])</f>
        <v>-0.45638413554973978</v>
      </c>
      <c r="BO1058" s="20">
        <f>Table1347456[[#This Row],[lnrr]]+(1.96 * Table1347456[[#This Row],[se]])</f>
        <v>-3.0567824344830935E-2</v>
      </c>
    </row>
    <row r="1059" spans="1:67">
      <c r="A1059" s="13" t="s">
        <v>339</v>
      </c>
      <c r="B1059" s="13" t="s">
        <v>340</v>
      </c>
      <c r="C1059" s="13" t="s">
        <v>341</v>
      </c>
      <c r="D1059" s="13" t="s">
        <v>347</v>
      </c>
      <c r="E1059" s="13" t="s">
        <v>348</v>
      </c>
      <c r="F1059" s="13" t="s">
        <v>588</v>
      </c>
      <c r="G1059" s="13" t="s">
        <v>349</v>
      </c>
      <c r="H1059" s="13">
        <v>28</v>
      </c>
      <c r="I1059" s="13">
        <v>600</v>
      </c>
      <c r="J1059" s="13" t="s">
        <v>657</v>
      </c>
      <c r="K1059" s="13" t="s">
        <v>916</v>
      </c>
      <c r="L1059" s="13" t="s">
        <v>917</v>
      </c>
      <c r="M1059" s="13" t="s">
        <v>802</v>
      </c>
      <c r="N1059" s="13" t="s">
        <v>625</v>
      </c>
      <c r="O1059" s="13" t="s">
        <v>644</v>
      </c>
      <c r="P1059" s="13" t="s">
        <v>85</v>
      </c>
      <c r="Q1059" s="13" t="s">
        <v>48</v>
      </c>
      <c r="R1059" s="4">
        <v>3</v>
      </c>
      <c r="S1059" s="13" t="s">
        <v>594</v>
      </c>
      <c r="T1059" s="13">
        <v>730</v>
      </c>
      <c r="U1059" s="4" t="s">
        <v>350</v>
      </c>
      <c r="V1059" s="4">
        <v>750</v>
      </c>
      <c r="W1059" s="4" t="s">
        <v>602</v>
      </c>
      <c r="X1059" s="4">
        <v>160</v>
      </c>
      <c r="Y1059" s="4">
        <v>10</v>
      </c>
      <c r="AA1059" s="4" t="s">
        <v>49</v>
      </c>
      <c r="AB1059" s="4">
        <v>0</v>
      </c>
      <c r="AC1059" s="4" t="s">
        <v>49</v>
      </c>
      <c r="AD1059" s="4">
        <v>0</v>
      </c>
      <c r="AE1059" s="4" t="s">
        <v>49</v>
      </c>
      <c r="AF1059" s="4">
        <v>0</v>
      </c>
      <c r="AG1059" s="4" t="s">
        <v>692</v>
      </c>
      <c r="AH1059" s="4" t="s">
        <v>744</v>
      </c>
      <c r="AI1059" s="4" t="s">
        <v>78</v>
      </c>
      <c r="AJ1059" s="13">
        <v>0</v>
      </c>
      <c r="AK1059" s="13">
        <v>15</v>
      </c>
      <c r="AP1059" s="13" t="s">
        <v>49</v>
      </c>
      <c r="AQ1059" s="13" t="s">
        <v>49</v>
      </c>
      <c r="AR1059" s="13" t="s">
        <v>49</v>
      </c>
      <c r="AS1059" s="13" t="s">
        <v>50</v>
      </c>
      <c r="AT1059" s="13" t="s">
        <v>990</v>
      </c>
      <c r="AU1059" s="13" t="s">
        <v>998</v>
      </c>
      <c r="AV1059" s="23">
        <f>25.5/1000</f>
        <v>2.5499999999999998E-2</v>
      </c>
      <c r="AW1059" s="23">
        <f>23.5/1000</f>
        <v>2.35E-2</v>
      </c>
      <c r="AX1059" s="14">
        <f>Table1347456[[#This Row],[treatment_mean]]/Table1347456[[#This Row],[control_mean]]</f>
        <v>1.0851063829787233</v>
      </c>
      <c r="AY1059" s="14">
        <f>LN(Table1347456[[#This Row],[rr]])</f>
        <v>8.16780310142671E-2</v>
      </c>
      <c r="AZ1059" s="13">
        <v>3</v>
      </c>
      <c r="BA1059" s="13">
        <v>3</v>
      </c>
      <c r="BB1059" s="14" t="s">
        <v>46</v>
      </c>
      <c r="BC1059" s="14" t="s">
        <v>46</v>
      </c>
      <c r="BD1059" s="15" t="s">
        <v>46</v>
      </c>
      <c r="BE1059" s="14" t="s">
        <v>46</v>
      </c>
      <c r="BF105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59" s="17" t="s">
        <v>46</v>
      </c>
      <c r="BH1059" s="13" t="s">
        <v>50</v>
      </c>
      <c r="BI1059" s="13">
        <v>2.5000000000000001E-2</v>
      </c>
      <c r="BJ1059" s="18">
        <f>ABS(_xlfn.NORM.S.INV(Table1347456[[#This Row],[p_value]]/2))</f>
        <v>2.2414027276049446</v>
      </c>
      <c r="BK1059" s="19">
        <f>(Table1347456[[#This Row],[lnrr]]/Table1347456[[#This Row],[z_from_p]])^2</f>
        <v>1.3279163782038595E-3</v>
      </c>
      <c r="BL1059" s="16">
        <f>Table1347456[[#This Row],[v_from_z_from_p]]</f>
        <v>1.3279163782038595E-3</v>
      </c>
      <c r="BM1059" s="20">
        <f>SQRT(Table1347456[[#This Row],[v]])</f>
        <v>3.6440586962943659E-2</v>
      </c>
      <c r="BN1059" s="20">
        <f>Table1347456[[#This Row],[lnrr]]-(1.96*Table1347456[[#This Row],[se]])</f>
        <v>1.0254480566897525E-2</v>
      </c>
      <c r="BO1059" s="20">
        <f>Table1347456[[#This Row],[lnrr]]+(1.96 * Table1347456[[#This Row],[se]])</f>
        <v>0.15310158146163666</v>
      </c>
    </row>
    <row r="1060" spans="1:67">
      <c r="A1060" s="13" t="s">
        <v>339</v>
      </c>
      <c r="B1060" s="13" t="s">
        <v>340</v>
      </c>
      <c r="C1060" s="13" t="s">
        <v>341</v>
      </c>
      <c r="D1060" s="13" t="s">
        <v>347</v>
      </c>
      <c r="E1060" s="13" t="s">
        <v>348</v>
      </c>
      <c r="F1060" s="13" t="s">
        <v>588</v>
      </c>
      <c r="G1060" s="13" t="s">
        <v>349</v>
      </c>
      <c r="H1060" s="13">
        <v>28</v>
      </c>
      <c r="I1060" s="13">
        <v>600</v>
      </c>
      <c r="J1060" s="13" t="s">
        <v>657</v>
      </c>
      <c r="K1060" s="13" t="s">
        <v>916</v>
      </c>
      <c r="L1060" s="13" t="s">
        <v>917</v>
      </c>
      <c r="M1060" s="13" t="s">
        <v>802</v>
      </c>
      <c r="N1060" s="13" t="s">
        <v>625</v>
      </c>
      <c r="O1060" s="13" t="s">
        <v>644</v>
      </c>
      <c r="P1060" s="13" t="s">
        <v>85</v>
      </c>
      <c r="Q1060" s="13" t="s">
        <v>48</v>
      </c>
      <c r="R1060" s="4">
        <v>3</v>
      </c>
      <c r="S1060" s="13" t="s">
        <v>594</v>
      </c>
      <c r="T1060" s="13">
        <v>730</v>
      </c>
      <c r="U1060" s="4" t="s">
        <v>350</v>
      </c>
      <c r="V1060" s="4">
        <v>750</v>
      </c>
      <c r="W1060" s="4" t="s">
        <v>602</v>
      </c>
      <c r="X1060" s="4">
        <v>160</v>
      </c>
      <c r="Y1060" s="4">
        <v>20</v>
      </c>
      <c r="AA1060" s="4" t="s">
        <v>49</v>
      </c>
      <c r="AB1060" s="4">
        <v>0</v>
      </c>
      <c r="AC1060" s="4" t="s">
        <v>49</v>
      </c>
      <c r="AD1060" s="4">
        <v>0</v>
      </c>
      <c r="AE1060" s="4" t="s">
        <v>49</v>
      </c>
      <c r="AF1060" s="4">
        <v>0</v>
      </c>
      <c r="AG1060" s="4" t="s">
        <v>692</v>
      </c>
      <c r="AH1060" s="4" t="s">
        <v>744</v>
      </c>
      <c r="AI1060" s="4" t="s">
        <v>78</v>
      </c>
      <c r="AJ1060" s="13">
        <v>0</v>
      </c>
      <c r="AK1060" s="13">
        <v>15</v>
      </c>
      <c r="AP1060" s="13" t="s">
        <v>49</v>
      </c>
      <c r="AQ1060" s="13" t="s">
        <v>49</v>
      </c>
      <c r="AR1060" s="13" t="s">
        <v>49</v>
      </c>
      <c r="AS1060" s="13" t="s">
        <v>50</v>
      </c>
      <c r="AT1060" s="13" t="s">
        <v>990</v>
      </c>
      <c r="AU1060" s="13" t="s">
        <v>998</v>
      </c>
      <c r="AV1060" s="23">
        <f>23.51/1000</f>
        <v>2.3510000000000003E-2</v>
      </c>
      <c r="AW1060" s="23">
        <f>23.5/1000</f>
        <v>2.35E-2</v>
      </c>
      <c r="AX1060" s="14">
        <f>Table1347456[[#This Row],[treatment_mean]]/Table1347456[[#This Row],[control_mean]]</f>
        <v>1.0004255319148938</v>
      </c>
      <c r="AY1060" s="17">
        <f>LN(Table1347456[[#This Row],[rr]])</f>
        <v>4.254414018650544E-4</v>
      </c>
      <c r="AZ1060" s="13">
        <v>3</v>
      </c>
      <c r="BA1060" s="13">
        <v>3</v>
      </c>
      <c r="BB1060" s="14" t="s">
        <v>46</v>
      </c>
      <c r="BC1060" s="14" t="s">
        <v>46</v>
      </c>
      <c r="BD1060" s="15" t="s">
        <v>46</v>
      </c>
      <c r="BE1060" s="14" t="s">
        <v>46</v>
      </c>
      <c r="BF106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60" s="17" t="s">
        <v>46</v>
      </c>
      <c r="BH1060" s="13" t="s">
        <v>50</v>
      </c>
      <c r="BI1060" s="13">
        <v>2.5000000000000001E-2</v>
      </c>
      <c r="BJ1060" s="18">
        <f>ABS(_xlfn.NORM.S.INV(Table1347456[[#This Row],[p_value]]/2))</f>
        <v>2.2414027276049446</v>
      </c>
      <c r="BK1060" s="19">
        <f>(Table1347456[[#This Row],[lnrr]]/Table1347456[[#This Row],[z_from_p]])^2</f>
        <v>3.6027963148910809E-8</v>
      </c>
      <c r="BL1060" s="16">
        <f>Table1347456[[#This Row],[v_from_z_from_p]]</f>
        <v>3.6027963148910809E-8</v>
      </c>
      <c r="BM1060" s="20">
        <f>SQRT(Table1347456[[#This Row],[v]])</f>
        <v>1.8981033467361784E-4</v>
      </c>
      <c r="BN1060" s="20">
        <f>Table1347456[[#This Row],[lnrr]]-(1.96*Table1347456[[#This Row],[se]])</f>
        <v>5.3413145904763462E-5</v>
      </c>
      <c r="BO1060" s="20">
        <f>Table1347456[[#This Row],[lnrr]]+(1.96 * Table1347456[[#This Row],[se]])</f>
        <v>7.9746965782534528E-4</v>
      </c>
    </row>
    <row r="1061" spans="1:67">
      <c r="A1061" s="13" t="s">
        <v>339</v>
      </c>
      <c r="B1061" s="13" t="s">
        <v>340</v>
      </c>
      <c r="C1061" s="13" t="s">
        <v>341</v>
      </c>
      <c r="D1061" s="13" t="s">
        <v>347</v>
      </c>
      <c r="E1061" s="13" t="s">
        <v>348</v>
      </c>
      <c r="F1061" s="13" t="s">
        <v>588</v>
      </c>
      <c r="G1061" s="13" t="s">
        <v>349</v>
      </c>
      <c r="H1061" s="13">
        <v>28</v>
      </c>
      <c r="I1061" s="13">
        <v>600</v>
      </c>
      <c r="J1061" s="13" t="s">
        <v>657</v>
      </c>
      <c r="K1061" s="13" t="s">
        <v>916</v>
      </c>
      <c r="L1061" s="13" t="s">
        <v>917</v>
      </c>
      <c r="M1061" s="13" t="s">
        <v>802</v>
      </c>
      <c r="N1061" s="13" t="s">
        <v>625</v>
      </c>
      <c r="O1061" s="13" t="s">
        <v>644</v>
      </c>
      <c r="P1061" s="13" t="s">
        <v>85</v>
      </c>
      <c r="Q1061" s="13" t="s">
        <v>48</v>
      </c>
      <c r="R1061" s="4">
        <v>3</v>
      </c>
      <c r="S1061" s="13" t="s">
        <v>594</v>
      </c>
      <c r="T1061" s="13">
        <v>730</v>
      </c>
      <c r="U1061" s="4" t="s">
        <v>350</v>
      </c>
      <c r="V1061" s="4">
        <v>750</v>
      </c>
      <c r="W1061" s="4" t="s">
        <v>602</v>
      </c>
      <c r="X1061" s="4">
        <v>160</v>
      </c>
      <c r="Y1061" s="4">
        <v>10</v>
      </c>
      <c r="AA1061" s="4" t="s">
        <v>49</v>
      </c>
      <c r="AB1061" s="4">
        <v>0</v>
      </c>
      <c r="AC1061" s="4" t="s">
        <v>50</v>
      </c>
      <c r="AD1061" s="4">
        <v>100</v>
      </c>
      <c r="AE1061" s="4" t="s">
        <v>49</v>
      </c>
      <c r="AF1061" s="4">
        <v>0</v>
      </c>
      <c r="AG1061" s="4" t="s">
        <v>692</v>
      </c>
      <c r="AH1061" s="4" t="s">
        <v>744</v>
      </c>
      <c r="AI1061" s="4" t="s">
        <v>78</v>
      </c>
      <c r="AJ1061" s="13">
        <v>0</v>
      </c>
      <c r="AK1061" s="13">
        <v>15</v>
      </c>
      <c r="AP1061" s="13" t="s">
        <v>49</v>
      </c>
      <c r="AQ1061" s="13" t="s">
        <v>49</v>
      </c>
      <c r="AR1061" s="13" t="s">
        <v>49</v>
      </c>
      <c r="AS1061" s="13" t="s">
        <v>50</v>
      </c>
      <c r="AT1061" s="13" t="s">
        <v>993</v>
      </c>
      <c r="AU1061" s="13" t="s">
        <v>1001</v>
      </c>
      <c r="AV1061" s="23">
        <f>35.7/1000</f>
        <v>3.5700000000000003E-2</v>
      </c>
      <c r="AW1061" s="23">
        <f>23.6/1000</f>
        <v>2.3600000000000003E-2</v>
      </c>
      <c r="AX1061" s="14">
        <f>Table1347456[[#This Row],[treatment_mean]]/Table1347456[[#This Row],[control_mean]]</f>
        <v>1.5127118644067796</v>
      </c>
      <c r="AY1061" s="14">
        <f>LN(Table1347456[[#This Row],[rr]])</f>
        <v>0.41390397675402901</v>
      </c>
      <c r="AZ1061" s="13">
        <v>3</v>
      </c>
      <c r="BA1061" s="13">
        <v>3</v>
      </c>
      <c r="BB1061" s="14" t="s">
        <v>46</v>
      </c>
      <c r="BC1061" s="14" t="s">
        <v>46</v>
      </c>
      <c r="BD1061" s="15" t="s">
        <v>46</v>
      </c>
      <c r="BE1061" s="14" t="s">
        <v>46</v>
      </c>
      <c r="BF106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61" s="17" t="s">
        <v>46</v>
      </c>
      <c r="BH1061" s="13" t="s">
        <v>50</v>
      </c>
      <c r="BI1061" s="13">
        <v>2.5000000000000001E-2</v>
      </c>
      <c r="BJ1061" s="18">
        <f>ABS(_xlfn.NORM.S.INV(Table1347456[[#This Row],[p_value]]/2))</f>
        <v>2.2414027276049446</v>
      </c>
      <c r="BK1061" s="19">
        <f>(Table1347456[[#This Row],[lnrr]]/Table1347456[[#This Row],[z_from_p]])^2</f>
        <v>3.4100394711442147E-2</v>
      </c>
      <c r="BL1061" s="16">
        <f>Table1347456[[#This Row],[v_from_z_from_p]]</f>
        <v>3.4100394711442147E-2</v>
      </c>
      <c r="BM1061" s="20">
        <f>SQRT(Table1347456[[#This Row],[v]])</f>
        <v>0.18466292186425012</v>
      </c>
      <c r="BN1061" s="20">
        <f>Table1347456[[#This Row],[lnrr]]-(1.96*Table1347456[[#This Row],[se]])</f>
        <v>5.1964649900098803E-2</v>
      </c>
      <c r="BO1061" s="20">
        <f>Table1347456[[#This Row],[lnrr]]+(1.96 * Table1347456[[#This Row],[se]])</f>
        <v>0.77584330360795928</v>
      </c>
    </row>
    <row r="1062" spans="1:67">
      <c r="A1062" s="13" t="s">
        <v>339</v>
      </c>
      <c r="B1062" s="13" t="s">
        <v>340</v>
      </c>
      <c r="C1062" s="13" t="s">
        <v>341</v>
      </c>
      <c r="D1062" s="13" t="s">
        <v>347</v>
      </c>
      <c r="E1062" s="13" t="s">
        <v>348</v>
      </c>
      <c r="F1062" s="13" t="s">
        <v>588</v>
      </c>
      <c r="G1062" s="13" t="s">
        <v>349</v>
      </c>
      <c r="H1062" s="13">
        <v>28</v>
      </c>
      <c r="I1062" s="13">
        <v>600</v>
      </c>
      <c r="J1062" s="13" t="s">
        <v>657</v>
      </c>
      <c r="K1062" s="13" t="s">
        <v>916</v>
      </c>
      <c r="L1062" s="13" t="s">
        <v>917</v>
      </c>
      <c r="M1062" s="13" t="s">
        <v>802</v>
      </c>
      <c r="N1062" s="13" t="s">
        <v>625</v>
      </c>
      <c r="O1062" s="13" t="s">
        <v>644</v>
      </c>
      <c r="P1062" s="13" t="s">
        <v>85</v>
      </c>
      <c r="Q1062" s="13" t="s">
        <v>48</v>
      </c>
      <c r="R1062" s="4">
        <v>3</v>
      </c>
      <c r="S1062" s="13" t="s">
        <v>594</v>
      </c>
      <c r="T1062" s="13">
        <v>730</v>
      </c>
      <c r="U1062" s="4" t="s">
        <v>350</v>
      </c>
      <c r="V1062" s="4">
        <v>750</v>
      </c>
      <c r="W1062" s="4" t="s">
        <v>602</v>
      </c>
      <c r="X1062" s="4">
        <v>160</v>
      </c>
      <c r="Y1062" s="4">
        <v>20</v>
      </c>
      <c r="AA1062" s="4" t="s">
        <v>49</v>
      </c>
      <c r="AB1062" s="4">
        <v>0</v>
      </c>
      <c r="AC1062" s="4" t="s">
        <v>50</v>
      </c>
      <c r="AD1062" s="4">
        <v>100</v>
      </c>
      <c r="AE1062" s="4" t="s">
        <v>49</v>
      </c>
      <c r="AF1062" s="4">
        <v>0</v>
      </c>
      <c r="AG1062" s="4" t="s">
        <v>692</v>
      </c>
      <c r="AH1062" s="4" t="s">
        <v>744</v>
      </c>
      <c r="AI1062" s="4" t="s">
        <v>78</v>
      </c>
      <c r="AJ1062" s="13">
        <v>0</v>
      </c>
      <c r="AK1062" s="13">
        <v>15</v>
      </c>
      <c r="AP1062" s="13" t="s">
        <v>49</v>
      </c>
      <c r="AQ1062" s="13" t="s">
        <v>49</v>
      </c>
      <c r="AR1062" s="13" t="s">
        <v>49</v>
      </c>
      <c r="AS1062" s="13" t="s">
        <v>50</v>
      </c>
      <c r="AT1062" s="13" t="s">
        <v>993</v>
      </c>
      <c r="AU1062" s="13" t="s">
        <v>1001</v>
      </c>
      <c r="AV1062" s="23">
        <f>19.8/1000</f>
        <v>1.9800000000000002E-2</v>
      </c>
      <c r="AW1062" s="23">
        <f>23.6/1000</f>
        <v>2.3600000000000003E-2</v>
      </c>
      <c r="AX1062" s="14">
        <f>Table1347456[[#This Row],[treatment_mean]]/Table1347456[[#This Row],[control_mean]]</f>
        <v>0.83898305084745761</v>
      </c>
      <c r="AY1062" s="14">
        <f>LN(Table1347456[[#This Row],[rr]])</f>
        <v>-0.17556477433107484</v>
      </c>
      <c r="AZ1062" s="13">
        <v>3</v>
      </c>
      <c r="BA1062" s="13">
        <v>3</v>
      </c>
      <c r="BB1062" s="14" t="s">
        <v>46</v>
      </c>
      <c r="BC1062" s="14" t="s">
        <v>46</v>
      </c>
      <c r="BD1062" s="15" t="s">
        <v>46</v>
      </c>
      <c r="BE1062" s="14" t="s">
        <v>46</v>
      </c>
      <c r="BF106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62" s="17" t="s">
        <v>46</v>
      </c>
      <c r="BH1062" s="13" t="s">
        <v>50</v>
      </c>
      <c r="BI1062" s="13">
        <v>2.5000000000000001E-2</v>
      </c>
      <c r="BJ1062" s="18">
        <f>ABS(_xlfn.NORM.S.INV(Table1347456[[#This Row],[p_value]]/2))</f>
        <v>2.2414027276049446</v>
      </c>
      <c r="BK1062" s="19">
        <f>(Table1347456[[#This Row],[lnrr]]/Table1347456[[#This Row],[z_from_p]])^2</f>
        <v>6.1352882682231269E-3</v>
      </c>
      <c r="BL1062" s="16">
        <f>Table1347456[[#This Row],[v_from_z_from_p]]</f>
        <v>6.1352882682231269E-3</v>
      </c>
      <c r="BM1062" s="20">
        <f>SQRT(Table1347456[[#This Row],[v]])</f>
        <v>7.8328080968597252E-2</v>
      </c>
      <c r="BN1062" s="20">
        <f>Table1347456[[#This Row],[lnrr]]-(1.96*Table1347456[[#This Row],[se]])</f>
        <v>-0.32908781302952544</v>
      </c>
      <c r="BO1062" s="20">
        <f>Table1347456[[#This Row],[lnrr]]+(1.96 * Table1347456[[#This Row],[se]])</f>
        <v>-2.2041735632624238E-2</v>
      </c>
    </row>
    <row r="1063" spans="1:67">
      <c r="A1063" s="13" t="s">
        <v>339</v>
      </c>
      <c r="B1063" s="13" t="s">
        <v>340</v>
      </c>
      <c r="C1063" s="13" t="s">
        <v>341</v>
      </c>
      <c r="D1063" s="13" t="s">
        <v>347</v>
      </c>
      <c r="E1063" s="13" t="s">
        <v>348</v>
      </c>
      <c r="F1063" s="13" t="s">
        <v>588</v>
      </c>
      <c r="G1063" s="13" t="s">
        <v>349</v>
      </c>
      <c r="H1063" s="13">
        <v>28</v>
      </c>
      <c r="I1063" s="13">
        <v>600</v>
      </c>
      <c r="K1063" s="13" t="s">
        <v>916</v>
      </c>
      <c r="L1063" s="13" t="s">
        <v>917</v>
      </c>
      <c r="N1063" s="13" t="s">
        <v>626</v>
      </c>
      <c r="O1063" s="13" t="s">
        <v>644</v>
      </c>
      <c r="P1063" s="13" t="s">
        <v>48</v>
      </c>
      <c r="Q1063" s="13" t="s">
        <v>48</v>
      </c>
      <c r="R1063" s="4">
        <v>3</v>
      </c>
      <c r="S1063" s="13" t="s">
        <v>594</v>
      </c>
      <c r="T1063" s="13">
        <v>730</v>
      </c>
      <c r="U1063" s="4" t="s">
        <v>333</v>
      </c>
      <c r="V1063" s="4">
        <v>350</v>
      </c>
      <c r="W1063" s="4" t="s">
        <v>42</v>
      </c>
      <c r="X1063" s="4">
        <v>170</v>
      </c>
      <c r="Y1063" s="4">
        <v>10</v>
      </c>
      <c r="AA1063" s="4" t="s">
        <v>49</v>
      </c>
      <c r="AB1063" s="4">
        <v>0</v>
      </c>
      <c r="AC1063" s="4" t="s">
        <v>49</v>
      </c>
      <c r="AD1063" s="4">
        <v>0</v>
      </c>
      <c r="AE1063" s="4" t="s">
        <v>49</v>
      </c>
      <c r="AF1063" s="4">
        <v>0</v>
      </c>
      <c r="AG1063" s="4" t="s">
        <v>745</v>
      </c>
      <c r="AH1063" s="4" t="s">
        <v>744</v>
      </c>
      <c r="AI1063" s="4" t="s">
        <v>78</v>
      </c>
      <c r="AJ1063" s="13">
        <v>0</v>
      </c>
      <c r="AK1063" s="13">
        <v>15</v>
      </c>
      <c r="AP1063" s="13" t="s">
        <v>49</v>
      </c>
      <c r="AQ1063" s="13" t="s">
        <v>49</v>
      </c>
      <c r="AR1063" s="13" t="s">
        <v>49</v>
      </c>
      <c r="AS1063" s="13" t="s">
        <v>50</v>
      </c>
      <c r="AT1063" s="13" t="s">
        <v>990</v>
      </c>
      <c r="AU1063" s="13" t="s">
        <v>998</v>
      </c>
      <c r="AV1063" s="14">
        <v>1.39</v>
      </c>
      <c r="AW1063" s="14">
        <v>1.08</v>
      </c>
      <c r="AX1063" s="14">
        <f>Table1347456[[#This Row],[treatment_mean]]/Table1347456[[#This Row],[control_mean]]</f>
        <v>1.2870370370370368</v>
      </c>
      <c r="AY1063" s="14">
        <f>LN(Table1347456[[#This Row],[rr]])</f>
        <v>0.25234270600647185</v>
      </c>
      <c r="AZ1063" s="13">
        <v>3</v>
      </c>
      <c r="BA1063" s="13">
        <v>3</v>
      </c>
      <c r="BB1063" s="14" t="s">
        <v>46</v>
      </c>
      <c r="BC1063" s="14" t="s">
        <v>46</v>
      </c>
      <c r="BD1063" s="15" t="s">
        <v>46</v>
      </c>
      <c r="BE1063" s="14" t="s">
        <v>46</v>
      </c>
      <c r="BF106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63" s="17" t="s">
        <v>46</v>
      </c>
      <c r="BH1063" s="13" t="s">
        <v>50</v>
      </c>
      <c r="BI1063" s="13">
        <v>2.5000000000000001E-2</v>
      </c>
      <c r="BJ1063" s="18">
        <f>ABS(_xlfn.NORM.S.INV(Table1347456[[#This Row],[p_value]]/2))</f>
        <v>2.2414027276049446</v>
      </c>
      <c r="BK1063" s="19">
        <f>(Table1347456[[#This Row],[lnrr]]/Table1347456[[#This Row],[z_from_p]])^2</f>
        <v>1.2674817641261498E-2</v>
      </c>
      <c r="BL1063" s="16">
        <f>Table1347456[[#This Row],[v_from_z_from_p]]</f>
        <v>1.2674817641261498E-2</v>
      </c>
      <c r="BM1063" s="20">
        <f>SQRT(Table1347456[[#This Row],[v]])</f>
        <v>0.11258249260547351</v>
      </c>
      <c r="BN1063" s="20">
        <f>Table1347456[[#This Row],[lnrr]]-(1.96*Table1347456[[#This Row],[se]])</f>
        <v>3.1681020499743778E-2</v>
      </c>
      <c r="BO1063" s="20">
        <f>Table1347456[[#This Row],[lnrr]]+(1.96 * Table1347456[[#This Row],[se]])</f>
        <v>0.47300439151319995</v>
      </c>
    </row>
    <row r="1064" spans="1:67">
      <c r="A1064" s="13" t="s">
        <v>339</v>
      </c>
      <c r="B1064" s="13" t="s">
        <v>340</v>
      </c>
      <c r="C1064" s="13" t="s">
        <v>341</v>
      </c>
      <c r="D1064" s="13" t="s">
        <v>347</v>
      </c>
      <c r="E1064" s="13" t="s">
        <v>348</v>
      </c>
      <c r="F1064" s="13" t="s">
        <v>588</v>
      </c>
      <c r="G1064" s="13" t="s">
        <v>349</v>
      </c>
      <c r="H1064" s="13">
        <v>28</v>
      </c>
      <c r="I1064" s="13">
        <v>600</v>
      </c>
      <c r="K1064" s="13" t="s">
        <v>916</v>
      </c>
      <c r="L1064" s="13" t="s">
        <v>917</v>
      </c>
      <c r="N1064" s="13" t="s">
        <v>626</v>
      </c>
      <c r="O1064" s="13" t="s">
        <v>644</v>
      </c>
      <c r="P1064" s="13" t="s">
        <v>48</v>
      </c>
      <c r="Q1064" s="13" t="s">
        <v>48</v>
      </c>
      <c r="R1064" s="4">
        <v>3</v>
      </c>
      <c r="S1064" s="13" t="s">
        <v>594</v>
      </c>
      <c r="T1064" s="13">
        <v>730</v>
      </c>
      <c r="U1064" s="4" t="s">
        <v>333</v>
      </c>
      <c r="V1064" s="4">
        <v>350</v>
      </c>
      <c r="W1064" s="4" t="s">
        <v>42</v>
      </c>
      <c r="X1064" s="4">
        <v>170</v>
      </c>
      <c r="Y1064" s="4">
        <v>20</v>
      </c>
      <c r="AA1064" s="4" t="s">
        <v>49</v>
      </c>
      <c r="AB1064" s="4">
        <v>0</v>
      </c>
      <c r="AC1064" s="4" t="s">
        <v>49</v>
      </c>
      <c r="AD1064" s="4">
        <v>0</v>
      </c>
      <c r="AE1064" s="4" t="s">
        <v>49</v>
      </c>
      <c r="AF1064" s="4">
        <v>0</v>
      </c>
      <c r="AG1064" s="4" t="s">
        <v>745</v>
      </c>
      <c r="AH1064" s="4" t="s">
        <v>744</v>
      </c>
      <c r="AI1064" s="4" t="s">
        <v>78</v>
      </c>
      <c r="AJ1064" s="13">
        <v>0</v>
      </c>
      <c r="AK1064" s="13">
        <v>15</v>
      </c>
      <c r="AP1064" s="13" t="s">
        <v>49</v>
      </c>
      <c r="AQ1064" s="13" t="s">
        <v>49</v>
      </c>
      <c r="AR1064" s="13" t="s">
        <v>49</v>
      </c>
      <c r="AS1064" s="13" t="s">
        <v>50</v>
      </c>
      <c r="AT1064" s="13" t="s">
        <v>990</v>
      </c>
      <c r="AU1064" s="13" t="s">
        <v>998</v>
      </c>
      <c r="AV1064" s="14">
        <v>0.8</v>
      </c>
      <c r="AW1064" s="14">
        <v>1.08</v>
      </c>
      <c r="AX1064" s="14">
        <f>Table1347456[[#This Row],[treatment_mean]]/Table1347456[[#This Row],[control_mean]]</f>
        <v>0.7407407407407407</v>
      </c>
      <c r="AY1064" s="14">
        <f>LN(Table1347456[[#This Row],[rr]])</f>
        <v>-0.30010459245033816</v>
      </c>
      <c r="AZ1064" s="13">
        <v>3</v>
      </c>
      <c r="BA1064" s="13">
        <v>3</v>
      </c>
      <c r="BB1064" s="14" t="s">
        <v>46</v>
      </c>
      <c r="BC1064" s="14" t="s">
        <v>46</v>
      </c>
      <c r="BD1064" s="15" t="s">
        <v>46</v>
      </c>
      <c r="BE1064" s="14" t="s">
        <v>46</v>
      </c>
      <c r="BF106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64" s="17" t="s">
        <v>46</v>
      </c>
      <c r="BH1064" s="13" t="s">
        <v>50</v>
      </c>
      <c r="BI1064" s="13">
        <v>2.5000000000000001E-2</v>
      </c>
      <c r="BJ1064" s="18">
        <f>ABS(_xlfn.NORM.S.INV(Table1347456[[#This Row],[p_value]]/2))</f>
        <v>2.2414027276049446</v>
      </c>
      <c r="BK1064" s="19">
        <f>(Table1347456[[#This Row],[lnrr]]/Table1347456[[#This Row],[z_from_p]])^2</f>
        <v>1.7926912165563878E-2</v>
      </c>
      <c r="BL1064" s="16">
        <f>Table1347456[[#This Row],[v_from_z_from_p]]</f>
        <v>1.7926912165563878E-2</v>
      </c>
      <c r="BM1064" s="20">
        <f>SQRT(Table1347456[[#This Row],[v]])</f>
        <v>0.13389141931267992</v>
      </c>
      <c r="BN1064" s="20">
        <f>Table1347456[[#This Row],[lnrr]]-(1.96*Table1347456[[#This Row],[se]])</f>
        <v>-0.56253177430319079</v>
      </c>
      <c r="BO1064" s="20">
        <f>Table1347456[[#This Row],[lnrr]]+(1.96 * Table1347456[[#This Row],[se]])</f>
        <v>-3.7677410597485528E-2</v>
      </c>
    </row>
    <row r="1065" spans="1:67">
      <c r="A1065" s="13" t="s">
        <v>339</v>
      </c>
      <c r="B1065" s="13" t="s">
        <v>340</v>
      </c>
      <c r="C1065" s="13" t="s">
        <v>341</v>
      </c>
      <c r="D1065" s="13" t="s">
        <v>347</v>
      </c>
      <c r="E1065" s="13" t="s">
        <v>348</v>
      </c>
      <c r="F1065" s="13" t="s">
        <v>588</v>
      </c>
      <c r="G1065" s="13" t="s">
        <v>349</v>
      </c>
      <c r="H1065" s="13">
        <v>28</v>
      </c>
      <c r="I1065" s="13">
        <v>600</v>
      </c>
      <c r="K1065" s="13" t="s">
        <v>916</v>
      </c>
      <c r="L1065" s="13" t="s">
        <v>917</v>
      </c>
      <c r="N1065" s="13" t="s">
        <v>626</v>
      </c>
      <c r="O1065" s="13" t="s">
        <v>644</v>
      </c>
      <c r="P1065" s="13" t="s">
        <v>48</v>
      </c>
      <c r="Q1065" s="13" t="s">
        <v>48</v>
      </c>
      <c r="R1065" s="4">
        <v>3</v>
      </c>
      <c r="S1065" s="13" t="s">
        <v>594</v>
      </c>
      <c r="T1065" s="13">
        <v>730</v>
      </c>
      <c r="U1065" s="4" t="s">
        <v>333</v>
      </c>
      <c r="V1065" s="4">
        <v>350</v>
      </c>
      <c r="W1065" s="4" t="s">
        <v>42</v>
      </c>
      <c r="X1065" s="4">
        <v>170</v>
      </c>
      <c r="Y1065" s="4">
        <v>10</v>
      </c>
      <c r="AA1065" s="4" t="s">
        <v>49</v>
      </c>
      <c r="AB1065" s="4">
        <v>0</v>
      </c>
      <c r="AC1065" s="4" t="s">
        <v>50</v>
      </c>
      <c r="AD1065" s="4">
        <v>100</v>
      </c>
      <c r="AE1065" s="4" t="s">
        <v>49</v>
      </c>
      <c r="AF1065" s="4">
        <v>0</v>
      </c>
      <c r="AG1065" s="4" t="s">
        <v>745</v>
      </c>
      <c r="AH1065" s="4" t="s">
        <v>744</v>
      </c>
      <c r="AI1065" s="4" t="s">
        <v>78</v>
      </c>
      <c r="AJ1065" s="13">
        <v>0</v>
      </c>
      <c r="AK1065" s="13">
        <v>15</v>
      </c>
      <c r="AP1065" s="13" t="s">
        <v>49</v>
      </c>
      <c r="AQ1065" s="13" t="s">
        <v>49</v>
      </c>
      <c r="AR1065" s="13" t="s">
        <v>49</v>
      </c>
      <c r="AS1065" s="13" t="s">
        <v>50</v>
      </c>
      <c r="AT1065" s="13" t="s">
        <v>993</v>
      </c>
      <c r="AU1065" s="13" t="s">
        <v>1001</v>
      </c>
      <c r="AV1065" s="14">
        <v>0.84</v>
      </c>
      <c r="AW1065" s="14">
        <v>1.1100000000000001</v>
      </c>
      <c r="AX1065" s="14">
        <f>Table1347456[[#This Row],[treatment_mean]]/Table1347456[[#This Row],[control_mean]]</f>
        <v>0.75675675675675669</v>
      </c>
      <c r="AY1065" s="14">
        <f>LN(Table1347456[[#This Row],[rr]])</f>
        <v>-0.2787134024690206</v>
      </c>
      <c r="AZ1065" s="13">
        <v>3</v>
      </c>
      <c r="BA1065" s="13">
        <v>3</v>
      </c>
      <c r="BB1065" s="14" t="s">
        <v>46</v>
      </c>
      <c r="BC1065" s="14" t="s">
        <v>46</v>
      </c>
      <c r="BD1065" s="15" t="s">
        <v>46</v>
      </c>
      <c r="BE1065" s="14" t="s">
        <v>46</v>
      </c>
      <c r="BF106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65" s="17" t="s">
        <v>46</v>
      </c>
      <c r="BH1065" s="13" t="s">
        <v>50</v>
      </c>
      <c r="BI1065" s="13">
        <v>2.5000000000000001E-2</v>
      </c>
      <c r="BJ1065" s="18">
        <f>ABS(_xlfn.NORM.S.INV(Table1347456[[#This Row],[p_value]]/2))</f>
        <v>2.2414027276049446</v>
      </c>
      <c r="BK1065" s="19">
        <f>(Table1347456[[#This Row],[lnrr]]/Table1347456[[#This Row],[z_from_p]])^2</f>
        <v>1.5462364754997859E-2</v>
      </c>
      <c r="BL1065" s="16">
        <f>Table1347456[[#This Row],[v_from_z_from_p]]</f>
        <v>1.5462364754997859E-2</v>
      </c>
      <c r="BM1065" s="20">
        <f>SQRT(Table1347456[[#This Row],[v]])</f>
        <v>0.12434775733803106</v>
      </c>
      <c r="BN1065" s="20">
        <f>Table1347456[[#This Row],[lnrr]]-(1.96*Table1347456[[#This Row],[se]])</f>
        <v>-0.52243500685156152</v>
      </c>
      <c r="BO1065" s="20">
        <f>Table1347456[[#This Row],[lnrr]]+(1.96 * Table1347456[[#This Row],[se]])</f>
        <v>-3.4991798086479703E-2</v>
      </c>
    </row>
    <row r="1066" spans="1:67">
      <c r="A1066" s="13" t="s">
        <v>339</v>
      </c>
      <c r="B1066" s="13" t="s">
        <v>340</v>
      </c>
      <c r="C1066" s="13" t="s">
        <v>341</v>
      </c>
      <c r="D1066" s="13" t="s">
        <v>347</v>
      </c>
      <c r="E1066" s="13" t="s">
        <v>348</v>
      </c>
      <c r="F1066" s="13" t="s">
        <v>588</v>
      </c>
      <c r="G1066" s="13" t="s">
        <v>349</v>
      </c>
      <c r="H1066" s="13">
        <v>28</v>
      </c>
      <c r="I1066" s="13">
        <v>600</v>
      </c>
      <c r="K1066" s="13" t="s">
        <v>916</v>
      </c>
      <c r="L1066" s="13" t="s">
        <v>917</v>
      </c>
      <c r="N1066" s="13" t="s">
        <v>626</v>
      </c>
      <c r="O1066" s="13" t="s">
        <v>644</v>
      </c>
      <c r="P1066" s="13" t="s">
        <v>48</v>
      </c>
      <c r="Q1066" s="13" t="s">
        <v>48</v>
      </c>
      <c r="R1066" s="4">
        <v>3</v>
      </c>
      <c r="S1066" s="13" t="s">
        <v>594</v>
      </c>
      <c r="T1066" s="13">
        <v>730</v>
      </c>
      <c r="U1066" s="4" t="s">
        <v>333</v>
      </c>
      <c r="V1066" s="4">
        <v>350</v>
      </c>
      <c r="W1066" s="4" t="s">
        <v>42</v>
      </c>
      <c r="X1066" s="4">
        <v>170</v>
      </c>
      <c r="Y1066" s="4">
        <v>20</v>
      </c>
      <c r="AA1066" s="4" t="s">
        <v>49</v>
      </c>
      <c r="AB1066" s="4">
        <v>0</v>
      </c>
      <c r="AC1066" s="4" t="s">
        <v>50</v>
      </c>
      <c r="AD1066" s="4">
        <v>100</v>
      </c>
      <c r="AE1066" s="4" t="s">
        <v>49</v>
      </c>
      <c r="AF1066" s="4">
        <v>0</v>
      </c>
      <c r="AG1066" s="4" t="s">
        <v>745</v>
      </c>
      <c r="AH1066" s="4" t="s">
        <v>744</v>
      </c>
      <c r="AI1066" s="4" t="s">
        <v>78</v>
      </c>
      <c r="AJ1066" s="13">
        <v>0</v>
      </c>
      <c r="AK1066" s="13">
        <v>15</v>
      </c>
      <c r="AP1066" s="13" t="s">
        <v>49</v>
      </c>
      <c r="AQ1066" s="13" t="s">
        <v>49</v>
      </c>
      <c r="AR1066" s="13" t="s">
        <v>49</v>
      </c>
      <c r="AS1066" s="13" t="s">
        <v>50</v>
      </c>
      <c r="AT1066" s="13" t="s">
        <v>993</v>
      </c>
      <c r="AU1066" s="13" t="s">
        <v>1001</v>
      </c>
      <c r="AV1066" s="14">
        <v>0.99</v>
      </c>
      <c r="AW1066" s="14">
        <v>1.1100000000000001</v>
      </c>
      <c r="AX1066" s="14">
        <f>Table1347456[[#This Row],[treatment_mean]]/Table1347456[[#This Row],[control_mean]]</f>
        <v>0.89189189189189177</v>
      </c>
      <c r="AY1066" s="14">
        <f>LN(Table1347456[[#This Row],[rr]])</f>
        <v>-0.11441035117774434</v>
      </c>
      <c r="AZ1066" s="13">
        <v>3</v>
      </c>
      <c r="BA1066" s="13">
        <v>3</v>
      </c>
      <c r="BB1066" s="14" t="s">
        <v>46</v>
      </c>
      <c r="BC1066" s="14" t="s">
        <v>46</v>
      </c>
      <c r="BD1066" s="15" t="s">
        <v>46</v>
      </c>
      <c r="BE1066" s="14" t="s">
        <v>46</v>
      </c>
      <c r="BF106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66" s="17" t="s">
        <v>46</v>
      </c>
      <c r="BH1066" s="13" t="s">
        <v>50</v>
      </c>
      <c r="BI1066" s="13">
        <v>2.5000000000000001E-2</v>
      </c>
      <c r="BJ1066" s="18">
        <f>ABS(_xlfn.NORM.S.INV(Table1347456[[#This Row],[p_value]]/2))</f>
        <v>2.2414027276049446</v>
      </c>
      <c r="BK1066" s="19">
        <f>(Table1347456[[#This Row],[lnrr]]/Table1347456[[#This Row],[z_from_p]])^2</f>
        <v>2.6054986057737206E-3</v>
      </c>
      <c r="BL1066" s="16">
        <f>Table1347456[[#This Row],[v_from_z_from_p]]</f>
        <v>2.6054986057737206E-3</v>
      </c>
      <c r="BM1066" s="20">
        <f>SQRT(Table1347456[[#This Row],[v]])</f>
        <v>5.104408492444272E-2</v>
      </c>
      <c r="BN1066" s="20">
        <f>Table1347456[[#This Row],[lnrr]]-(1.96*Table1347456[[#This Row],[se]])</f>
        <v>-0.21445675762965205</v>
      </c>
      <c r="BO1066" s="20">
        <f>Table1347456[[#This Row],[lnrr]]+(1.96 * Table1347456[[#This Row],[se]])</f>
        <v>-1.4363944725836617E-2</v>
      </c>
    </row>
    <row r="1067" spans="1:67">
      <c r="A1067" s="13" t="s">
        <v>339</v>
      </c>
      <c r="B1067" s="13" t="s">
        <v>340</v>
      </c>
      <c r="C1067" s="13" t="s">
        <v>341</v>
      </c>
      <c r="D1067" s="13" t="s">
        <v>347</v>
      </c>
      <c r="E1067" s="13" t="s">
        <v>348</v>
      </c>
      <c r="F1067" s="13" t="s">
        <v>588</v>
      </c>
      <c r="G1067" s="13" t="s">
        <v>349</v>
      </c>
      <c r="H1067" s="13">
        <v>28</v>
      </c>
      <c r="I1067" s="13">
        <v>600</v>
      </c>
      <c r="K1067" s="13" t="s">
        <v>916</v>
      </c>
      <c r="L1067" s="13" t="s">
        <v>917</v>
      </c>
      <c r="N1067" s="13" t="s">
        <v>626</v>
      </c>
      <c r="O1067" s="13" t="s">
        <v>644</v>
      </c>
      <c r="P1067" s="13" t="s">
        <v>48</v>
      </c>
      <c r="Q1067" s="13" t="s">
        <v>48</v>
      </c>
      <c r="R1067" s="4">
        <v>3</v>
      </c>
      <c r="S1067" s="13" t="s">
        <v>594</v>
      </c>
      <c r="T1067" s="13">
        <v>730</v>
      </c>
      <c r="U1067" s="4" t="s">
        <v>350</v>
      </c>
      <c r="V1067" s="4">
        <v>750</v>
      </c>
      <c r="W1067" s="4" t="s">
        <v>602</v>
      </c>
      <c r="X1067" s="4">
        <v>160</v>
      </c>
      <c r="Y1067" s="4">
        <v>10</v>
      </c>
      <c r="AA1067" s="4" t="s">
        <v>49</v>
      </c>
      <c r="AB1067" s="4">
        <v>0</v>
      </c>
      <c r="AC1067" s="4" t="s">
        <v>49</v>
      </c>
      <c r="AD1067" s="4">
        <v>0</v>
      </c>
      <c r="AE1067" s="4" t="s">
        <v>49</v>
      </c>
      <c r="AF1067" s="4">
        <v>0</v>
      </c>
      <c r="AG1067" s="4" t="s">
        <v>692</v>
      </c>
      <c r="AH1067" s="4" t="s">
        <v>744</v>
      </c>
      <c r="AI1067" s="4" t="s">
        <v>78</v>
      </c>
      <c r="AJ1067" s="13">
        <v>0</v>
      </c>
      <c r="AK1067" s="13">
        <v>15</v>
      </c>
      <c r="AP1067" s="13" t="s">
        <v>49</v>
      </c>
      <c r="AQ1067" s="13" t="s">
        <v>49</v>
      </c>
      <c r="AR1067" s="13" t="s">
        <v>49</v>
      </c>
      <c r="AS1067" s="13" t="s">
        <v>50</v>
      </c>
      <c r="AT1067" s="13" t="s">
        <v>990</v>
      </c>
      <c r="AU1067" s="13" t="s">
        <v>998</v>
      </c>
      <c r="AV1067" s="14">
        <v>1.1399999999999999</v>
      </c>
      <c r="AW1067" s="14">
        <v>1.08</v>
      </c>
      <c r="AX1067" s="14">
        <f>Table1347456[[#This Row],[treatment_mean]]/Table1347456[[#This Row],[control_mean]]</f>
        <v>1.0555555555555554</v>
      </c>
      <c r="AY1067" s="14">
        <f>LN(Table1347456[[#This Row],[rr]])</f>
        <v>5.4067221270275578E-2</v>
      </c>
      <c r="AZ1067" s="13">
        <v>3</v>
      </c>
      <c r="BA1067" s="13">
        <v>3</v>
      </c>
      <c r="BB1067" s="14" t="s">
        <v>46</v>
      </c>
      <c r="BC1067" s="14" t="s">
        <v>46</v>
      </c>
      <c r="BD1067" s="15" t="s">
        <v>46</v>
      </c>
      <c r="BE1067" s="14" t="s">
        <v>46</v>
      </c>
      <c r="BF106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67" s="17" t="s">
        <v>46</v>
      </c>
      <c r="BH1067" s="13" t="s">
        <v>50</v>
      </c>
      <c r="BI1067" s="13">
        <v>2.5000000000000001E-2</v>
      </c>
      <c r="BJ1067" s="18">
        <f>ABS(_xlfn.NORM.S.INV(Table1347456[[#This Row],[p_value]]/2))</f>
        <v>2.2414027276049446</v>
      </c>
      <c r="BK1067" s="19">
        <f>(Table1347456[[#This Row],[lnrr]]/Table1347456[[#This Row],[z_from_p]])^2</f>
        <v>5.8187313702887371E-4</v>
      </c>
      <c r="BL1067" s="16">
        <f>Table1347456[[#This Row],[v_from_z_from_p]]</f>
        <v>5.8187313702887371E-4</v>
      </c>
      <c r="BM1067" s="20">
        <f>SQRT(Table1347456[[#This Row],[v]])</f>
        <v>2.4122046700661072E-2</v>
      </c>
      <c r="BN1067" s="20">
        <f>Table1347456[[#This Row],[lnrr]]-(1.96*Table1347456[[#This Row],[se]])</f>
        <v>6.7880097369798775E-3</v>
      </c>
      <c r="BO1067" s="20">
        <f>Table1347456[[#This Row],[lnrr]]+(1.96 * Table1347456[[#This Row],[se]])</f>
        <v>0.10134643280357128</v>
      </c>
    </row>
    <row r="1068" spans="1:67">
      <c r="A1068" s="13" t="s">
        <v>339</v>
      </c>
      <c r="B1068" s="13" t="s">
        <v>340</v>
      </c>
      <c r="C1068" s="13" t="s">
        <v>341</v>
      </c>
      <c r="D1068" s="13" t="s">
        <v>347</v>
      </c>
      <c r="E1068" s="13" t="s">
        <v>348</v>
      </c>
      <c r="F1068" s="13" t="s">
        <v>588</v>
      </c>
      <c r="G1068" s="13" t="s">
        <v>349</v>
      </c>
      <c r="H1068" s="13">
        <v>28</v>
      </c>
      <c r="I1068" s="13">
        <v>600</v>
      </c>
      <c r="K1068" s="13" t="s">
        <v>916</v>
      </c>
      <c r="L1068" s="13" t="s">
        <v>917</v>
      </c>
      <c r="N1068" s="13" t="s">
        <v>626</v>
      </c>
      <c r="O1068" s="13" t="s">
        <v>644</v>
      </c>
      <c r="P1068" s="13" t="s">
        <v>48</v>
      </c>
      <c r="Q1068" s="13" t="s">
        <v>48</v>
      </c>
      <c r="R1068" s="4">
        <v>3</v>
      </c>
      <c r="S1068" s="13" t="s">
        <v>594</v>
      </c>
      <c r="T1068" s="13">
        <v>730</v>
      </c>
      <c r="U1068" s="4" t="s">
        <v>350</v>
      </c>
      <c r="V1068" s="4">
        <v>750</v>
      </c>
      <c r="W1068" s="4" t="s">
        <v>602</v>
      </c>
      <c r="X1068" s="4">
        <v>160</v>
      </c>
      <c r="Y1068" s="4">
        <v>20</v>
      </c>
      <c r="AA1068" s="4" t="s">
        <v>49</v>
      </c>
      <c r="AB1068" s="4">
        <v>0</v>
      </c>
      <c r="AC1068" s="4" t="s">
        <v>49</v>
      </c>
      <c r="AD1068" s="4">
        <v>0</v>
      </c>
      <c r="AE1068" s="4" t="s">
        <v>49</v>
      </c>
      <c r="AF1068" s="4">
        <v>0</v>
      </c>
      <c r="AG1068" s="4" t="s">
        <v>692</v>
      </c>
      <c r="AH1068" s="4" t="s">
        <v>744</v>
      </c>
      <c r="AI1068" s="4" t="s">
        <v>78</v>
      </c>
      <c r="AJ1068" s="13">
        <v>0</v>
      </c>
      <c r="AK1068" s="13">
        <v>15</v>
      </c>
      <c r="AP1068" s="13" t="s">
        <v>49</v>
      </c>
      <c r="AQ1068" s="13" t="s">
        <v>49</v>
      </c>
      <c r="AR1068" s="13" t="s">
        <v>49</v>
      </c>
      <c r="AS1068" s="13" t="s">
        <v>50</v>
      </c>
      <c r="AT1068" s="13" t="s">
        <v>990</v>
      </c>
      <c r="AU1068" s="13" t="s">
        <v>998</v>
      </c>
      <c r="AV1068" s="14">
        <v>1.42</v>
      </c>
      <c r="AW1068" s="14">
        <v>1.08</v>
      </c>
      <c r="AX1068" s="14">
        <f>Table1347456[[#This Row],[treatment_mean]]/Table1347456[[#This Row],[control_mean]]</f>
        <v>1.3148148148148147</v>
      </c>
      <c r="AY1068" s="14">
        <f>LN(Table1347456[[#This Row],[rr]])</f>
        <v>0.27369583047704094</v>
      </c>
      <c r="AZ1068" s="13">
        <v>3</v>
      </c>
      <c r="BA1068" s="13">
        <v>3</v>
      </c>
      <c r="BB1068" s="14" t="s">
        <v>46</v>
      </c>
      <c r="BC1068" s="14" t="s">
        <v>46</v>
      </c>
      <c r="BD1068" s="15" t="s">
        <v>46</v>
      </c>
      <c r="BE1068" s="14" t="s">
        <v>46</v>
      </c>
      <c r="BF106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68" s="17" t="s">
        <v>46</v>
      </c>
      <c r="BH1068" s="13" t="s">
        <v>50</v>
      </c>
      <c r="BI1068" s="13">
        <v>2.5000000000000001E-2</v>
      </c>
      <c r="BJ1068" s="18">
        <f>ABS(_xlfn.NORM.S.INV(Table1347456[[#This Row],[p_value]]/2))</f>
        <v>2.2414027276049446</v>
      </c>
      <c r="BK1068" s="19">
        <f>(Table1347456[[#This Row],[lnrr]]/Table1347456[[#This Row],[z_from_p]])^2</f>
        <v>1.4910649809237404E-2</v>
      </c>
      <c r="BL1068" s="16">
        <f>Table1347456[[#This Row],[v_from_z_from_p]]</f>
        <v>1.4910649809237404E-2</v>
      </c>
      <c r="BM1068" s="20">
        <f>SQRT(Table1347456[[#This Row],[v]])</f>
        <v>0.12210917168352836</v>
      </c>
      <c r="BN1068" s="20">
        <f>Table1347456[[#This Row],[lnrr]]-(1.96*Table1347456[[#This Row],[se]])</f>
        <v>3.4361853977325357E-2</v>
      </c>
      <c r="BO1068" s="20">
        <f>Table1347456[[#This Row],[lnrr]]+(1.96 * Table1347456[[#This Row],[se]])</f>
        <v>0.51302980697675649</v>
      </c>
    </row>
    <row r="1069" spans="1:67">
      <c r="A1069" s="13" t="s">
        <v>339</v>
      </c>
      <c r="B1069" s="13" t="s">
        <v>340</v>
      </c>
      <c r="C1069" s="13" t="s">
        <v>341</v>
      </c>
      <c r="D1069" s="13" t="s">
        <v>347</v>
      </c>
      <c r="E1069" s="13" t="s">
        <v>348</v>
      </c>
      <c r="F1069" s="13" t="s">
        <v>588</v>
      </c>
      <c r="G1069" s="13" t="s">
        <v>349</v>
      </c>
      <c r="H1069" s="13">
        <v>28</v>
      </c>
      <c r="I1069" s="13">
        <v>600</v>
      </c>
      <c r="K1069" s="13" t="s">
        <v>916</v>
      </c>
      <c r="L1069" s="13" t="s">
        <v>917</v>
      </c>
      <c r="N1069" s="13" t="s">
        <v>626</v>
      </c>
      <c r="O1069" s="13" t="s">
        <v>644</v>
      </c>
      <c r="P1069" s="13" t="s">
        <v>48</v>
      </c>
      <c r="Q1069" s="13" t="s">
        <v>48</v>
      </c>
      <c r="R1069" s="4">
        <v>3</v>
      </c>
      <c r="S1069" s="13" t="s">
        <v>594</v>
      </c>
      <c r="T1069" s="13">
        <v>730</v>
      </c>
      <c r="U1069" s="4" t="s">
        <v>350</v>
      </c>
      <c r="V1069" s="4">
        <v>750</v>
      </c>
      <c r="W1069" s="4" t="s">
        <v>602</v>
      </c>
      <c r="X1069" s="4">
        <v>160</v>
      </c>
      <c r="Y1069" s="4">
        <v>10</v>
      </c>
      <c r="AA1069" s="4" t="s">
        <v>49</v>
      </c>
      <c r="AB1069" s="4">
        <v>0</v>
      </c>
      <c r="AC1069" s="4" t="s">
        <v>50</v>
      </c>
      <c r="AD1069" s="4">
        <v>100</v>
      </c>
      <c r="AE1069" s="4" t="s">
        <v>49</v>
      </c>
      <c r="AF1069" s="4">
        <v>0</v>
      </c>
      <c r="AG1069" s="4" t="s">
        <v>692</v>
      </c>
      <c r="AH1069" s="4" t="s">
        <v>744</v>
      </c>
      <c r="AI1069" s="4" t="s">
        <v>78</v>
      </c>
      <c r="AJ1069" s="13">
        <v>0</v>
      </c>
      <c r="AK1069" s="13">
        <v>15</v>
      </c>
      <c r="AP1069" s="13" t="s">
        <v>49</v>
      </c>
      <c r="AQ1069" s="13" t="s">
        <v>49</v>
      </c>
      <c r="AR1069" s="13" t="s">
        <v>49</v>
      </c>
      <c r="AS1069" s="13" t="s">
        <v>50</v>
      </c>
      <c r="AT1069" s="13" t="s">
        <v>993</v>
      </c>
      <c r="AU1069" s="13" t="s">
        <v>1001</v>
      </c>
      <c r="AV1069" s="14">
        <v>1.03</v>
      </c>
      <c r="AW1069" s="14">
        <v>1.1100000000000001</v>
      </c>
      <c r="AX1069" s="14">
        <f>Table1347456[[#This Row],[treatment_mean]]/Table1347456[[#This Row],[control_mean]]</f>
        <v>0.92792792792792789</v>
      </c>
      <c r="AY1069" s="14">
        <f>LN(Table1347456[[#This Row],[rr]])</f>
        <v>-7.4801213082698409E-2</v>
      </c>
      <c r="AZ1069" s="13">
        <v>3</v>
      </c>
      <c r="BA1069" s="13">
        <v>3</v>
      </c>
      <c r="BB1069" s="14" t="s">
        <v>46</v>
      </c>
      <c r="BC1069" s="14" t="s">
        <v>46</v>
      </c>
      <c r="BD1069" s="15" t="s">
        <v>46</v>
      </c>
      <c r="BE1069" s="14" t="s">
        <v>46</v>
      </c>
      <c r="BF106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69" s="17" t="s">
        <v>46</v>
      </c>
      <c r="BH1069" s="13" t="s">
        <v>50</v>
      </c>
      <c r="BI1069" s="13">
        <v>2.5000000000000001E-2</v>
      </c>
      <c r="BJ1069" s="18">
        <f>ABS(_xlfn.NORM.S.INV(Table1347456[[#This Row],[p_value]]/2))</f>
        <v>2.2414027276049446</v>
      </c>
      <c r="BK1069" s="19">
        <f>(Table1347456[[#This Row],[lnrr]]/Table1347456[[#This Row],[z_from_p]])^2</f>
        <v>1.1137237727978325E-3</v>
      </c>
      <c r="BL1069" s="16">
        <f>Table1347456[[#This Row],[v_from_z_from_p]]</f>
        <v>1.1137237727978325E-3</v>
      </c>
      <c r="BM1069" s="20">
        <f>SQRT(Table1347456[[#This Row],[v]])</f>
        <v>3.3372500247926172E-2</v>
      </c>
      <c r="BN1069" s="20">
        <f>Table1347456[[#This Row],[lnrr]]-(1.96*Table1347456[[#This Row],[se]])</f>
        <v>-0.1402113135686337</v>
      </c>
      <c r="BO1069" s="20">
        <f>Table1347456[[#This Row],[lnrr]]+(1.96 * Table1347456[[#This Row],[se]])</f>
        <v>-9.3911125967631182E-3</v>
      </c>
    </row>
    <row r="1070" spans="1:67">
      <c r="A1070" s="13" t="s">
        <v>339</v>
      </c>
      <c r="B1070" s="13" t="s">
        <v>340</v>
      </c>
      <c r="C1070" s="13" t="s">
        <v>341</v>
      </c>
      <c r="D1070" s="13" t="s">
        <v>347</v>
      </c>
      <c r="E1070" s="13" t="s">
        <v>348</v>
      </c>
      <c r="F1070" s="13" t="s">
        <v>588</v>
      </c>
      <c r="G1070" s="13" t="s">
        <v>349</v>
      </c>
      <c r="H1070" s="13">
        <v>28</v>
      </c>
      <c r="I1070" s="13">
        <v>600</v>
      </c>
      <c r="K1070" s="13" t="s">
        <v>916</v>
      </c>
      <c r="L1070" s="13" t="s">
        <v>917</v>
      </c>
      <c r="N1070" s="13" t="s">
        <v>626</v>
      </c>
      <c r="O1070" s="13" t="s">
        <v>644</v>
      </c>
      <c r="P1070" s="13" t="s">
        <v>48</v>
      </c>
      <c r="Q1070" s="13" t="s">
        <v>48</v>
      </c>
      <c r="R1070" s="4">
        <v>3</v>
      </c>
      <c r="S1070" s="13" t="s">
        <v>594</v>
      </c>
      <c r="T1070" s="13">
        <v>730</v>
      </c>
      <c r="U1070" s="4" t="s">
        <v>350</v>
      </c>
      <c r="V1070" s="4">
        <v>750</v>
      </c>
      <c r="W1070" s="4" t="s">
        <v>602</v>
      </c>
      <c r="X1070" s="4">
        <v>160</v>
      </c>
      <c r="Y1070" s="4">
        <v>20</v>
      </c>
      <c r="AA1070" s="4" t="s">
        <v>49</v>
      </c>
      <c r="AB1070" s="4">
        <v>0</v>
      </c>
      <c r="AC1070" s="4" t="s">
        <v>50</v>
      </c>
      <c r="AD1070" s="4">
        <v>100</v>
      </c>
      <c r="AE1070" s="4" t="s">
        <v>49</v>
      </c>
      <c r="AF1070" s="4">
        <v>0</v>
      </c>
      <c r="AG1070" s="4" t="s">
        <v>692</v>
      </c>
      <c r="AH1070" s="4" t="s">
        <v>744</v>
      </c>
      <c r="AI1070" s="4" t="s">
        <v>78</v>
      </c>
      <c r="AJ1070" s="13">
        <v>0</v>
      </c>
      <c r="AK1070" s="13">
        <v>15</v>
      </c>
      <c r="AP1070" s="13" t="s">
        <v>49</v>
      </c>
      <c r="AQ1070" s="13" t="s">
        <v>49</v>
      </c>
      <c r="AR1070" s="13" t="s">
        <v>49</v>
      </c>
      <c r="AS1070" s="13" t="s">
        <v>50</v>
      </c>
      <c r="AT1070" s="13" t="s">
        <v>993</v>
      </c>
      <c r="AU1070" s="13" t="s">
        <v>1001</v>
      </c>
      <c r="AV1070" s="14">
        <v>0.81</v>
      </c>
      <c r="AW1070" s="14">
        <v>1.1100000000000001</v>
      </c>
      <c r="AX1070" s="14">
        <f>Table1347456[[#This Row],[treatment_mean]]/Table1347456[[#This Row],[control_mean]]</f>
        <v>0.72972972972972971</v>
      </c>
      <c r="AY1070" s="14">
        <f>LN(Table1347456[[#This Row],[rr]])</f>
        <v>-0.31508104663989539</v>
      </c>
      <c r="AZ1070" s="13">
        <v>3</v>
      </c>
      <c r="BA1070" s="13">
        <v>3</v>
      </c>
      <c r="BB1070" s="14" t="s">
        <v>46</v>
      </c>
      <c r="BC1070" s="14" t="s">
        <v>46</v>
      </c>
      <c r="BD1070" s="15" t="s">
        <v>46</v>
      </c>
      <c r="BE1070" s="14" t="s">
        <v>46</v>
      </c>
      <c r="BF107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70" s="17" t="s">
        <v>46</v>
      </c>
      <c r="BH1070" s="13" t="s">
        <v>50</v>
      </c>
      <c r="BI1070" s="13">
        <v>2.5000000000000001E-2</v>
      </c>
      <c r="BJ1070" s="18">
        <f>ABS(_xlfn.NORM.S.INV(Table1347456[[#This Row],[p_value]]/2))</f>
        <v>2.2414027276049446</v>
      </c>
      <c r="BK1070" s="19">
        <f>(Table1347456[[#This Row],[lnrr]]/Table1347456[[#This Row],[z_from_p]])^2</f>
        <v>1.9760811103237186E-2</v>
      </c>
      <c r="BL1070" s="16">
        <f>Table1347456[[#This Row],[v_from_z_from_p]]</f>
        <v>1.9760811103237186E-2</v>
      </c>
      <c r="BM1070" s="20">
        <f>SQRT(Table1347456[[#This Row],[v]])</f>
        <v>0.14057315214235322</v>
      </c>
      <c r="BN1070" s="20">
        <f>Table1347456[[#This Row],[lnrr]]-(1.96*Table1347456[[#This Row],[se]])</f>
        <v>-0.59060442483890774</v>
      </c>
      <c r="BO1070" s="20">
        <f>Table1347456[[#This Row],[lnrr]]+(1.96 * Table1347456[[#This Row],[se]])</f>
        <v>-3.9557668440883098E-2</v>
      </c>
    </row>
    <row r="1071" spans="1:67">
      <c r="A1071" s="13" t="s">
        <v>351</v>
      </c>
      <c r="B1071" s="13" t="s">
        <v>352</v>
      </c>
      <c r="C1071" s="13" t="s">
        <v>43</v>
      </c>
      <c r="D1071" s="13" t="s">
        <v>281</v>
      </c>
      <c r="E1071" s="13" t="s">
        <v>353</v>
      </c>
      <c r="F1071" s="13" t="s">
        <v>587</v>
      </c>
      <c r="G1071" s="13" t="s">
        <v>46</v>
      </c>
      <c r="H1071" s="13">
        <v>28.19</v>
      </c>
      <c r="I1071" s="13" t="s">
        <v>46</v>
      </c>
      <c r="K1071" s="13" t="s">
        <v>918</v>
      </c>
      <c r="L1071" s="13" t="s">
        <v>919</v>
      </c>
      <c r="N1071" s="13" t="s">
        <v>47</v>
      </c>
      <c r="O1071" s="13" t="s">
        <v>645</v>
      </c>
      <c r="P1071" s="13" t="s">
        <v>422</v>
      </c>
      <c r="Q1071" s="13" t="s">
        <v>48</v>
      </c>
      <c r="R1071" s="4">
        <v>4</v>
      </c>
      <c r="S1071" s="13" t="s">
        <v>594</v>
      </c>
      <c r="T1071" s="13">
        <v>210</v>
      </c>
      <c r="U1071" s="4" t="s">
        <v>350</v>
      </c>
      <c r="V1071" s="4">
        <v>350</v>
      </c>
      <c r="W1071" s="4" t="s">
        <v>42</v>
      </c>
      <c r="X1071" s="4">
        <v>614.29999999999995</v>
      </c>
      <c r="Y1071" s="4">
        <v>6.25</v>
      </c>
      <c r="AA1071" s="4" t="s">
        <v>50</v>
      </c>
      <c r="AB1071" s="4">
        <v>250</v>
      </c>
      <c r="AC1071" s="4" t="s">
        <v>49</v>
      </c>
      <c r="AD1071" s="4">
        <v>0</v>
      </c>
      <c r="AE1071" s="4" t="s">
        <v>49</v>
      </c>
      <c r="AF1071" s="4">
        <v>0</v>
      </c>
      <c r="AG1071" s="4" t="s">
        <v>712</v>
      </c>
      <c r="AH1071" s="4" t="s">
        <v>711</v>
      </c>
      <c r="AI1071" s="4" t="s">
        <v>988</v>
      </c>
      <c r="AJ1071" s="13">
        <v>0</v>
      </c>
      <c r="AK1071" s="13">
        <v>15</v>
      </c>
      <c r="AM1071" s="13" t="s">
        <v>546</v>
      </c>
      <c r="AP1071" s="13" t="s">
        <v>50</v>
      </c>
      <c r="AQ1071" s="13" t="s">
        <v>50</v>
      </c>
      <c r="AR1071" s="13" t="s">
        <v>49</v>
      </c>
      <c r="AS1071" s="13" t="s">
        <v>49</v>
      </c>
      <c r="AT1071" s="13" t="s">
        <v>992</v>
      </c>
      <c r="AU1071" s="4" t="s">
        <v>1000</v>
      </c>
      <c r="AV1071" s="14">
        <f>0.113*10</f>
        <v>1.1300000000000001</v>
      </c>
      <c r="AW1071" s="14">
        <f>0.092*10</f>
        <v>0.91999999999999993</v>
      </c>
      <c r="AX1071" s="14">
        <f>Table1347456[[#This Row],[treatment_mean]]/Table1347456[[#This Row],[control_mean]]</f>
        <v>1.2282608695652175</v>
      </c>
      <c r="AY1071" s="14">
        <f>LN(Table1347456[[#This Row],[rr]])</f>
        <v>0.20559924166330037</v>
      </c>
      <c r="AZ1071" s="13">
        <v>4</v>
      </c>
      <c r="BA1071" s="13">
        <v>4</v>
      </c>
      <c r="BB1071" s="14" t="s">
        <v>46</v>
      </c>
      <c r="BC1071" s="14" t="s">
        <v>46</v>
      </c>
      <c r="BD1071" s="15" t="s">
        <v>46</v>
      </c>
      <c r="BE1071" s="14" t="s">
        <v>46</v>
      </c>
      <c r="BF107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71" s="17" t="s">
        <v>46</v>
      </c>
      <c r="BH1071" s="13" t="s">
        <v>50</v>
      </c>
      <c r="BI1071" s="13">
        <v>2.5000000000000001E-2</v>
      </c>
      <c r="BJ1071" s="18">
        <f>ABS(_xlfn.NORM.S.INV(Table1347456[[#This Row],[p_value]]/2))</f>
        <v>2.2414027276049446</v>
      </c>
      <c r="BK1071" s="19">
        <f>(Table1347456[[#This Row],[lnrr]]/Table1347456[[#This Row],[z_from_p]])^2</f>
        <v>8.4140138921253663E-3</v>
      </c>
      <c r="BL1071" s="16">
        <f>Table1347456[[#This Row],[v_from_z_from_p]]</f>
        <v>8.4140138921253663E-3</v>
      </c>
      <c r="BM1071" s="20">
        <f>SQRT(Table1347456[[#This Row],[v]])</f>
        <v>9.1727934088397342E-2</v>
      </c>
      <c r="BN1071" s="20">
        <f>Table1347456[[#This Row],[lnrr]]-(1.96*Table1347456[[#This Row],[se]])</f>
        <v>2.5812490850041586E-2</v>
      </c>
      <c r="BO1071" s="20">
        <f>Table1347456[[#This Row],[lnrr]]+(1.96 * Table1347456[[#This Row],[se]])</f>
        <v>0.38538599247655914</v>
      </c>
    </row>
    <row r="1072" spans="1:67">
      <c r="A1072" s="13" t="s">
        <v>351</v>
      </c>
      <c r="B1072" s="13" t="s">
        <v>352</v>
      </c>
      <c r="C1072" s="13" t="s">
        <v>43</v>
      </c>
      <c r="D1072" s="13" t="s">
        <v>281</v>
      </c>
      <c r="E1072" s="13" t="s">
        <v>353</v>
      </c>
      <c r="F1072" s="13" t="s">
        <v>587</v>
      </c>
      <c r="G1072" s="13" t="s">
        <v>46</v>
      </c>
      <c r="H1072" s="13">
        <v>28.19</v>
      </c>
      <c r="I1072" s="13" t="s">
        <v>46</v>
      </c>
      <c r="K1072" s="13" t="s">
        <v>918</v>
      </c>
      <c r="L1072" s="13" t="s">
        <v>919</v>
      </c>
      <c r="N1072" s="13" t="s">
        <v>47</v>
      </c>
      <c r="O1072" s="13" t="s">
        <v>645</v>
      </c>
      <c r="P1072" s="13" t="s">
        <v>422</v>
      </c>
      <c r="Q1072" s="13" t="s">
        <v>48</v>
      </c>
      <c r="R1072" s="4">
        <v>4</v>
      </c>
      <c r="S1072" s="13" t="s">
        <v>594</v>
      </c>
      <c r="T1072" s="13">
        <v>210</v>
      </c>
      <c r="U1072" s="4" t="s">
        <v>350</v>
      </c>
      <c r="V1072" s="4">
        <v>350</v>
      </c>
      <c r="W1072" s="4" t="s">
        <v>42</v>
      </c>
      <c r="X1072" s="4">
        <v>614.29999999999995</v>
      </c>
      <c r="Y1072" s="4">
        <v>12.5</v>
      </c>
      <c r="AA1072" s="4" t="s">
        <v>50</v>
      </c>
      <c r="AB1072" s="4">
        <v>250</v>
      </c>
      <c r="AC1072" s="4" t="s">
        <v>49</v>
      </c>
      <c r="AD1072" s="4">
        <v>0</v>
      </c>
      <c r="AE1072" s="4" t="s">
        <v>49</v>
      </c>
      <c r="AF1072" s="4">
        <v>0</v>
      </c>
      <c r="AG1072" s="4" t="s">
        <v>712</v>
      </c>
      <c r="AH1072" s="4" t="s">
        <v>711</v>
      </c>
      <c r="AI1072" s="4" t="s">
        <v>988</v>
      </c>
      <c r="AJ1072" s="13">
        <v>0</v>
      </c>
      <c r="AK1072" s="13">
        <v>15</v>
      </c>
      <c r="AM1072" s="13" t="s">
        <v>546</v>
      </c>
      <c r="AP1072" s="13" t="s">
        <v>50</v>
      </c>
      <c r="AQ1072" s="13" t="s">
        <v>50</v>
      </c>
      <c r="AR1072" s="13" t="s">
        <v>49</v>
      </c>
      <c r="AS1072" s="13" t="s">
        <v>49</v>
      </c>
      <c r="AT1072" s="13" t="s">
        <v>992</v>
      </c>
      <c r="AU1072" s="4" t="s">
        <v>1000</v>
      </c>
      <c r="AV1072" s="14">
        <f>0.119*10</f>
        <v>1.19</v>
      </c>
      <c r="AW1072" s="14">
        <f>0.092*10</f>
        <v>0.91999999999999993</v>
      </c>
      <c r="AX1072" s="14">
        <f>Table1347456[[#This Row],[treatment_mean]]/Table1347456[[#This Row],[control_mean]]</f>
        <v>1.2934782608695652</v>
      </c>
      <c r="AY1072" s="14">
        <f>LN(Table1347456[[#This Row],[rr]])</f>
        <v>0.25733491606248904</v>
      </c>
      <c r="AZ1072" s="13">
        <v>4</v>
      </c>
      <c r="BA1072" s="13">
        <v>4</v>
      </c>
      <c r="BB1072" s="14" t="s">
        <v>46</v>
      </c>
      <c r="BC1072" s="14" t="s">
        <v>46</v>
      </c>
      <c r="BD1072" s="15" t="s">
        <v>46</v>
      </c>
      <c r="BE1072" s="14" t="s">
        <v>46</v>
      </c>
      <c r="BF107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72" s="17" t="s">
        <v>46</v>
      </c>
      <c r="BH1072" s="13" t="s">
        <v>50</v>
      </c>
      <c r="BI1072" s="13">
        <v>2.5000000000000001E-2</v>
      </c>
      <c r="BJ1072" s="18">
        <f>ABS(_xlfn.NORM.S.INV(Table1347456[[#This Row],[p_value]]/2))</f>
        <v>2.2414027276049446</v>
      </c>
      <c r="BK1072" s="19">
        <f>(Table1347456[[#This Row],[lnrr]]/Table1347456[[#This Row],[z_from_p]])^2</f>
        <v>1.3181281692267302E-2</v>
      </c>
      <c r="BL1072" s="16">
        <f>Table1347456[[#This Row],[v_from_z_from_p]]</f>
        <v>1.3181281692267302E-2</v>
      </c>
      <c r="BM1072" s="20">
        <f>SQRT(Table1347456[[#This Row],[v]])</f>
        <v>0.11480976305291855</v>
      </c>
      <c r="BN1072" s="20">
        <f>Table1347456[[#This Row],[lnrr]]-(1.96*Table1347456[[#This Row],[se]])</f>
        <v>3.2307780478768672E-2</v>
      </c>
      <c r="BO1072" s="20">
        <f>Table1347456[[#This Row],[lnrr]]+(1.96 * Table1347456[[#This Row],[se]])</f>
        <v>0.48236205164620938</v>
      </c>
    </row>
    <row r="1073" spans="1:67">
      <c r="A1073" s="13" t="s">
        <v>351</v>
      </c>
      <c r="B1073" s="13" t="s">
        <v>352</v>
      </c>
      <c r="C1073" s="13" t="s">
        <v>43</v>
      </c>
      <c r="D1073" s="13" t="s">
        <v>281</v>
      </c>
      <c r="E1073" s="13" t="s">
        <v>353</v>
      </c>
      <c r="F1073" s="13" t="s">
        <v>587</v>
      </c>
      <c r="G1073" s="13" t="s">
        <v>46</v>
      </c>
      <c r="H1073" s="13">
        <v>28.19</v>
      </c>
      <c r="I1073" s="13" t="s">
        <v>46</v>
      </c>
      <c r="K1073" s="13" t="s">
        <v>918</v>
      </c>
      <c r="L1073" s="13" t="s">
        <v>919</v>
      </c>
      <c r="N1073" s="13" t="s">
        <v>47</v>
      </c>
      <c r="O1073" s="13" t="s">
        <v>645</v>
      </c>
      <c r="P1073" s="13" t="s">
        <v>422</v>
      </c>
      <c r="Q1073" s="13" t="s">
        <v>48</v>
      </c>
      <c r="R1073" s="4">
        <v>4</v>
      </c>
      <c r="S1073" s="13" t="s">
        <v>594</v>
      </c>
      <c r="T1073" s="13">
        <v>210</v>
      </c>
      <c r="U1073" s="4" t="s">
        <v>350</v>
      </c>
      <c r="V1073" s="4">
        <v>350</v>
      </c>
      <c r="W1073" s="4" t="s">
        <v>42</v>
      </c>
      <c r="X1073" s="4">
        <v>614.29999999999995</v>
      </c>
      <c r="Y1073" s="4">
        <v>18.75</v>
      </c>
      <c r="AA1073" s="4" t="s">
        <v>50</v>
      </c>
      <c r="AB1073" s="4">
        <v>250</v>
      </c>
      <c r="AC1073" s="4" t="s">
        <v>49</v>
      </c>
      <c r="AD1073" s="4">
        <v>0</v>
      </c>
      <c r="AE1073" s="4" t="s">
        <v>49</v>
      </c>
      <c r="AF1073" s="4">
        <v>0</v>
      </c>
      <c r="AG1073" s="4" t="s">
        <v>712</v>
      </c>
      <c r="AH1073" s="4" t="s">
        <v>711</v>
      </c>
      <c r="AI1073" s="4" t="s">
        <v>988</v>
      </c>
      <c r="AJ1073" s="13">
        <v>0</v>
      </c>
      <c r="AK1073" s="13">
        <v>15</v>
      </c>
      <c r="AM1073" s="13" t="s">
        <v>546</v>
      </c>
      <c r="AP1073" s="13" t="s">
        <v>50</v>
      </c>
      <c r="AQ1073" s="13" t="s">
        <v>50</v>
      </c>
      <c r="AR1073" s="13" t="s">
        <v>49</v>
      </c>
      <c r="AS1073" s="13" t="s">
        <v>49</v>
      </c>
      <c r="AT1073" s="13" t="s">
        <v>992</v>
      </c>
      <c r="AU1073" s="4" t="s">
        <v>1000</v>
      </c>
      <c r="AV1073" s="14">
        <f>0.115*10</f>
        <v>1.1500000000000001</v>
      </c>
      <c r="AW1073" s="14">
        <f>0.092*10</f>
        <v>0.91999999999999993</v>
      </c>
      <c r="AX1073" s="14">
        <f>Table1347456[[#This Row],[treatment_mean]]/Table1347456[[#This Row],[control_mean]]</f>
        <v>1.2500000000000002</v>
      </c>
      <c r="AY1073" s="14">
        <f>LN(Table1347456[[#This Row],[rr]])</f>
        <v>0.22314355131420993</v>
      </c>
      <c r="AZ1073" s="13">
        <v>4</v>
      </c>
      <c r="BA1073" s="13">
        <v>4</v>
      </c>
      <c r="BB1073" s="14" t="s">
        <v>46</v>
      </c>
      <c r="BC1073" s="14" t="s">
        <v>46</v>
      </c>
      <c r="BD1073" s="15" t="s">
        <v>46</v>
      </c>
      <c r="BE1073" s="14" t="s">
        <v>46</v>
      </c>
      <c r="BF107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73" s="17" t="s">
        <v>46</v>
      </c>
      <c r="BH1073" s="13" t="s">
        <v>50</v>
      </c>
      <c r="BI1073" s="13">
        <v>2.5000000000000001E-2</v>
      </c>
      <c r="BJ1073" s="18">
        <f>ABS(_xlfn.NORM.S.INV(Table1347456[[#This Row],[p_value]]/2))</f>
        <v>2.2414027276049446</v>
      </c>
      <c r="BK1073" s="19">
        <f>(Table1347456[[#This Row],[lnrr]]/Table1347456[[#This Row],[z_from_p]])^2</f>
        <v>9.9112604538778987E-3</v>
      </c>
      <c r="BL1073" s="16">
        <f>Table1347456[[#This Row],[v_from_z_from_p]]</f>
        <v>9.9112604538778987E-3</v>
      </c>
      <c r="BM1073" s="20">
        <f>SQRT(Table1347456[[#This Row],[v]])</f>
        <v>9.9555313539147164E-2</v>
      </c>
      <c r="BN1073" s="20">
        <f>Table1347456[[#This Row],[lnrr]]-(1.96*Table1347456[[#This Row],[se]])</f>
        <v>2.8015136777481492E-2</v>
      </c>
      <c r="BO1073" s="20">
        <f>Table1347456[[#This Row],[lnrr]]+(1.96 * Table1347456[[#This Row],[se]])</f>
        <v>0.4182719658509384</v>
      </c>
    </row>
    <row r="1074" spans="1:67">
      <c r="A1074" s="13" t="s">
        <v>351</v>
      </c>
      <c r="B1074" s="13" t="s">
        <v>352</v>
      </c>
      <c r="C1074" s="13" t="s">
        <v>43</v>
      </c>
      <c r="D1074" s="13" t="s">
        <v>281</v>
      </c>
      <c r="E1074" s="13" t="s">
        <v>353</v>
      </c>
      <c r="F1074" s="13" t="s">
        <v>587</v>
      </c>
      <c r="G1074" s="13" t="s">
        <v>46</v>
      </c>
      <c r="H1074" s="13">
        <v>28.19</v>
      </c>
      <c r="I1074" s="13" t="s">
        <v>46</v>
      </c>
      <c r="K1074" s="13" t="s">
        <v>918</v>
      </c>
      <c r="L1074" s="13" t="s">
        <v>919</v>
      </c>
      <c r="N1074" s="13" t="s">
        <v>47</v>
      </c>
      <c r="O1074" s="13" t="s">
        <v>645</v>
      </c>
      <c r="P1074" s="13" t="s">
        <v>422</v>
      </c>
      <c r="Q1074" s="13" t="s">
        <v>48</v>
      </c>
      <c r="R1074" s="4">
        <v>4</v>
      </c>
      <c r="S1074" s="13" t="s">
        <v>594</v>
      </c>
      <c r="T1074" s="13">
        <v>210</v>
      </c>
      <c r="U1074" s="4" t="s">
        <v>350</v>
      </c>
      <c r="V1074" s="4">
        <v>350</v>
      </c>
      <c r="W1074" s="4" t="s">
        <v>42</v>
      </c>
      <c r="X1074" s="4">
        <v>614.29999999999995</v>
      </c>
      <c r="Y1074" s="4">
        <v>25</v>
      </c>
      <c r="AA1074" s="4" t="s">
        <v>50</v>
      </c>
      <c r="AB1074" s="4">
        <v>250</v>
      </c>
      <c r="AC1074" s="4" t="s">
        <v>49</v>
      </c>
      <c r="AD1074" s="4">
        <v>0</v>
      </c>
      <c r="AE1074" s="4" t="s">
        <v>49</v>
      </c>
      <c r="AF1074" s="4">
        <v>0</v>
      </c>
      <c r="AG1074" s="4" t="s">
        <v>712</v>
      </c>
      <c r="AH1074" s="4" t="s">
        <v>711</v>
      </c>
      <c r="AI1074" s="4" t="s">
        <v>988</v>
      </c>
      <c r="AJ1074" s="13">
        <v>0</v>
      </c>
      <c r="AK1074" s="13">
        <v>15</v>
      </c>
      <c r="AM1074" s="13" t="s">
        <v>546</v>
      </c>
      <c r="AP1074" s="13" t="s">
        <v>50</v>
      </c>
      <c r="AQ1074" s="13" t="s">
        <v>50</v>
      </c>
      <c r="AR1074" s="13" t="s">
        <v>49</v>
      </c>
      <c r="AS1074" s="13" t="s">
        <v>49</v>
      </c>
      <c r="AT1074" s="13" t="s">
        <v>992</v>
      </c>
      <c r="AU1074" s="4" t="s">
        <v>1000</v>
      </c>
      <c r="AV1074" s="14">
        <f>0.117*10</f>
        <v>1.1700000000000002</v>
      </c>
      <c r="AW1074" s="14">
        <f>0.092*10</f>
        <v>0.91999999999999993</v>
      </c>
      <c r="AX1074" s="14">
        <f>Table1347456[[#This Row],[treatment_mean]]/Table1347456[[#This Row],[control_mean]]</f>
        <v>1.2717391304347829</v>
      </c>
      <c r="AY1074" s="14">
        <f>LN(Table1347456[[#This Row],[rr]])</f>
        <v>0.24038535774871606</v>
      </c>
      <c r="AZ1074" s="13">
        <v>4</v>
      </c>
      <c r="BA1074" s="13">
        <v>4</v>
      </c>
      <c r="BB1074" s="14" t="s">
        <v>46</v>
      </c>
      <c r="BC1074" s="14" t="s">
        <v>46</v>
      </c>
      <c r="BD1074" s="15" t="s">
        <v>46</v>
      </c>
      <c r="BE1074" s="14" t="s">
        <v>46</v>
      </c>
      <c r="BF107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74" s="17" t="s">
        <v>46</v>
      </c>
      <c r="BH1074" s="13" t="s">
        <v>50</v>
      </c>
      <c r="BI1074" s="13">
        <v>2.5000000000000001E-2</v>
      </c>
      <c r="BJ1074" s="18">
        <f>ABS(_xlfn.NORM.S.INV(Table1347456[[#This Row],[p_value]]/2))</f>
        <v>2.2414027276049446</v>
      </c>
      <c r="BK1074" s="19">
        <f>(Table1347456[[#This Row],[lnrr]]/Table1347456[[#This Row],[z_from_p]])^2</f>
        <v>1.1502075896122678E-2</v>
      </c>
      <c r="BL1074" s="16">
        <f>Table1347456[[#This Row],[v_from_z_from_p]]</f>
        <v>1.1502075896122678E-2</v>
      </c>
      <c r="BM1074" s="20">
        <f>SQRT(Table1347456[[#This Row],[v]])</f>
        <v>0.10724773142646271</v>
      </c>
      <c r="BN1074" s="20">
        <f>Table1347456[[#This Row],[lnrr]]-(1.96*Table1347456[[#This Row],[se]])</f>
        <v>3.0179804152849155E-2</v>
      </c>
      <c r="BO1074" s="20">
        <f>Table1347456[[#This Row],[lnrr]]+(1.96 * Table1347456[[#This Row],[se]])</f>
        <v>0.45059091134458296</v>
      </c>
    </row>
    <row r="1075" spans="1:67">
      <c r="A1075" s="13" t="s">
        <v>351</v>
      </c>
      <c r="B1075" s="13" t="s">
        <v>352</v>
      </c>
      <c r="C1075" s="13" t="s">
        <v>43</v>
      </c>
      <c r="D1075" s="13" t="s">
        <v>281</v>
      </c>
      <c r="E1075" s="13" t="s">
        <v>353</v>
      </c>
      <c r="F1075" s="13" t="s">
        <v>587</v>
      </c>
      <c r="G1075" s="13" t="s">
        <v>46</v>
      </c>
      <c r="H1075" s="13">
        <v>28.19</v>
      </c>
      <c r="I1075" s="13" t="s">
        <v>46</v>
      </c>
      <c r="J1075" s="13" t="s">
        <v>658</v>
      </c>
      <c r="K1075" s="13" t="s">
        <v>918</v>
      </c>
      <c r="L1075" s="13" t="s">
        <v>919</v>
      </c>
      <c r="M1075" s="13" t="s">
        <v>800</v>
      </c>
      <c r="N1075" s="13" t="s">
        <v>84</v>
      </c>
      <c r="O1075" s="13" t="s">
        <v>644</v>
      </c>
      <c r="P1075" s="13" t="s">
        <v>85</v>
      </c>
      <c r="Q1075" s="13" t="s">
        <v>48</v>
      </c>
      <c r="R1075" s="4">
        <v>4</v>
      </c>
      <c r="S1075" s="13" t="s">
        <v>594</v>
      </c>
      <c r="T1075" s="13">
        <v>210</v>
      </c>
      <c r="U1075" s="4" t="s">
        <v>350</v>
      </c>
      <c r="V1075" s="4">
        <v>350</v>
      </c>
      <c r="W1075" s="4" t="s">
        <v>42</v>
      </c>
      <c r="X1075" s="4">
        <v>614.29999999999995</v>
      </c>
      <c r="Y1075" s="4">
        <v>6.25</v>
      </c>
      <c r="AA1075" s="4" t="s">
        <v>50</v>
      </c>
      <c r="AB1075" s="4">
        <v>250</v>
      </c>
      <c r="AC1075" s="4" t="s">
        <v>49</v>
      </c>
      <c r="AD1075" s="4">
        <v>0</v>
      </c>
      <c r="AE1075" s="4" t="s">
        <v>49</v>
      </c>
      <c r="AF1075" s="4">
        <v>0</v>
      </c>
      <c r="AG1075" s="4" t="s">
        <v>712</v>
      </c>
      <c r="AH1075" s="4" t="s">
        <v>711</v>
      </c>
      <c r="AI1075" s="4" t="s">
        <v>988</v>
      </c>
      <c r="AJ1075" s="13">
        <v>0</v>
      </c>
      <c r="AK1075" s="13">
        <v>15</v>
      </c>
      <c r="AM1075" s="13" t="s">
        <v>546</v>
      </c>
      <c r="AP1075" s="13" t="s">
        <v>50</v>
      </c>
      <c r="AQ1075" s="13" t="s">
        <v>50</v>
      </c>
      <c r="AR1075" s="13" t="s">
        <v>49</v>
      </c>
      <c r="AS1075" s="13" t="s">
        <v>49</v>
      </c>
      <c r="AT1075" s="13" t="s">
        <v>992</v>
      </c>
      <c r="AU1075" s="4" t="s">
        <v>1000</v>
      </c>
      <c r="AV1075" s="23">
        <f>118.2/1000</f>
        <v>0.1182</v>
      </c>
      <c r="AW1075" s="23">
        <f>114.7/1000</f>
        <v>0.1147</v>
      </c>
      <c r="AX1075" s="14">
        <f>Table1347456[[#This Row],[treatment_mean]]/Table1347456[[#This Row],[control_mean]]</f>
        <v>1.0305143853530951</v>
      </c>
      <c r="AY1075" s="14">
        <f>LN(Table1347456[[#This Row],[rr]])</f>
        <v>3.0058080836672926E-2</v>
      </c>
      <c r="AZ1075" s="13">
        <v>4</v>
      </c>
      <c r="BA1075" s="13">
        <v>4</v>
      </c>
      <c r="BB1075" s="14" t="s">
        <v>46</v>
      </c>
      <c r="BC1075" s="14" t="s">
        <v>46</v>
      </c>
      <c r="BD1075" s="15" t="s">
        <v>46</v>
      </c>
      <c r="BE1075" s="14" t="s">
        <v>46</v>
      </c>
      <c r="BF107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75" s="17" t="s">
        <v>46</v>
      </c>
      <c r="BH1075" s="13" t="s">
        <v>50</v>
      </c>
      <c r="BI1075" s="13">
        <v>2.5000000000000001E-2</v>
      </c>
      <c r="BJ1075" s="18">
        <f>ABS(_xlfn.NORM.S.INV(Table1347456[[#This Row],[p_value]]/2))</f>
        <v>2.2414027276049446</v>
      </c>
      <c r="BK1075" s="19">
        <f>(Table1347456[[#This Row],[lnrr]]/Table1347456[[#This Row],[z_from_p]])^2</f>
        <v>1.7983851343313396E-4</v>
      </c>
      <c r="BL1075" s="16">
        <f>Table1347456[[#This Row],[v_from_z_from_p]]</f>
        <v>1.7983851343313396E-4</v>
      </c>
      <c r="BM1075" s="20">
        <f>SQRT(Table1347456[[#This Row],[v]])</f>
        <v>1.3410388265562409E-2</v>
      </c>
      <c r="BN1075" s="20">
        <f>Table1347456[[#This Row],[lnrr]]-(1.96*Table1347456[[#This Row],[se]])</f>
        <v>3.7737198361706033E-3</v>
      </c>
      <c r="BO1075" s="20">
        <f>Table1347456[[#This Row],[lnrr]]+(1.96 * Table1347456[[#This Row],[se]])</f>
        <v>5.6342441837175253E-2</v>
      </c>
    </row>
    <row r="1076" spans="1:67">
      <c r="A1076" s="13" t="s">
        <v>351</v>
      </c>
      <c r="B1076" s="13" t="s">
        <v>352</v>
      </c>
      <c r="C1076" s="13" t="s">
        <v>43</v>
      </c>
      <c r="D1076" s="13" t="s">
        <v>281</v>
      </c>
      <c r="E1076" s="13" t="s">
        <v>353</v>
      </c>
      <c r="F1076" s="13" t="s">
        <v>587</v>
      </c>
      <c r="G1076" s="13" t="s">
        <v>46</v>
      </c>
      <c r="H1076" s="13">
        <v>28.19</v>
      </c>
      <c r="I1076" s="13" t="s">
        <v>46</v>
      </c>
      <c r="J1076" s="13" t="s">
        <v>658</v>
      </c>
      <c r="K1076" s="13" t="s">
        <v>918</v>
      </c>
      <c r="L1076" s="13" t="s">
        <v>919</v>
      </c>
      <c r="M1076" s="13" t="s">
        <v>800</v>
      </c>
      <c r="N1076" s="13" t="s">
        <v>84</v>
      </c>
      <c r="O1076" s="13" t="s">
        <v>644</v>
      </c>
      <c r="P1076" s="13" t="s">
        <v>85</v>
      </c>
      <c r="Q1076" s="13" t="s">
        <v>48</v>
      </c>
      <c r="R1076" s="4">
        <v>4</v>
      </c>
      <c r="S1076" s="13" t="s">
        <v>594</v>
      </c>
      <c r="T1076" s="13">
        <v>210</v>
      </c>
      <c r="U1076" s="4" t="s">
        <v>350</v>
      </c>
      <c r="V1076" s="4">
        <v>350</v>
      </c>
      <c r="W1076" s="4" t="s">
        <v>42</v>
      </c>
      <c r="X1076" s="4">
        <v>614.29999999999995</v>
      </c>
      <c r="Y1076" s="4">
        <v>12.5</v>
      </c>
      <c r="AA1076" s="4" t="s">
        <v>50</v>
      </c>
      <c r="AB1076" s="4">
        <v>250</v>
      </c>
      <c r="AC1076" s="4" t="s">
        <v>49</v>
      </c>
      <c r="AD1076" s="4">
        <v>0</v>
      </c>
      <c r="AE1076" s="4" t="s">
        <v>49</v>
      </c>
      <c r="AF1076" s="4">
        <v>0</v>
      </c>
      <c r="AG1076" s="4" t="s">
        <v>712</v>
      </c>
      <c r="AH1076" s="4" t="s">
        <v>711</v>
      </c>
      <c r="AI1076" s="4" t="s">
        <v>988</v>
      </c>
      <c r="AJ1076" s="13">
        <v>0</v>
      </c>
      <c r="AK1076" s="13">
        <v>15</v>
      </c>
      <c r="AM1076" s="13" t="s">
        <v>546</v>
      </c>
      <c r="AP1076" s="13" t="s">
        <v>50</v>
      </c>
      <c r="AQ1076" s="13" t="s">
        <v>50</v>
      </c>
      <c r="AR1076" s="13" t="s">
        <v>49</v>
      </c>
      <c r="AS1076" s="13" t="s">
        <v>49</v>
      </c>
      <c r="AT1076" s="13" t="s">
        <v>992</v>
      </c>
      <c r="AU1076" s="4" t="s">
        <v>1000</v>
      </c>
      <c r="AV1076" s="23">
        <f>122.3/1000</f>
        <v>0.12229999999999999</v>
      </c>
      <c r="AW1076" s="23">
        <f>114.7/1000</f>
        <v>0.1147</v>
      </c>
      <c r="AX1076" s="14">
        <f>Table1347456[[#This Row],[treatment_mean]]/Table1347456[[#This Row],[control_mean]]</f>
        <v>1.0662598081952921</v>
      </c>
      <c r="AY1076" s="14">
        <f>LN(Table1347456[[#This Row],[rr]])</f>
        <v>6.415701855780169E-2</v>
      </c>
      <c r="AZ1076" s="13">
        <v>4</v>
      </c>
      <c r="BA1076" s="13">
        <v>4</v>
      </c>
      <c r="BB1076" s="14" t="s">
        <v>46</v>
      </c>
      <c r="BC1076" s="14" t="s">
        <v>46</v>
      </c>
      <c r="BD1076" s="15" t="s">
        <v>46</v>
      </c>
      <c r="BE1076" s="14" t="s">
        <v>46</v>
      </c>
      <c r="BF107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76" s="17" t="s">
        <v>46</v>
      </c>
      <c r="BH1076" s="13" t="s">
        <v>50</v>
      </c>
      <c r="BI1076" s="13">
        <v>2.5000000000000001E-2</v>
      </c>
      <c r="BJ1076" s="18">
        <f>ABS(_xlfn.NORM.S.INV(Table1347456[[#This Row],[p_value]]/2))</f>
        <v>2.2414027276049446</v>
      </c>
      <c r="BK1076" s="19">
        <f>(Table1347456[[#This Row],[lnrr]]/Table1347456[[#This Row],[z_from_p]])^2</f>
        <v>8.193105649206701E-4</v>
      </c>
      <c r="BL1076" s="16">
        <f>Table1347456[[#This Row],[v_from_z_from_p]]</f>
        <v>8.193105649206701E-4</v>
      </c>
      <c r="BM1076" s="20">
        <f>SQRT(Table1347456[[#This Row],[v]])</f>
        <v>2.8623601536506026E-2</v>
      </c>
      <c r="BN1076" s="20">
        <f>Table1347456[[#This Row],[lnrr]]-(1.96*Table1347456[[#This Row],[se]])</f>
        <v>8.0547595462498803E-3</v>
      </c>
      <c r="BO1076" s="20">
        <f>Table1347456[[#This Row],[lnrr]]+(1.96 * Table1347456[[#This Row],[se]])</f>
        <v>0.12025927756935351</v>
      </c>
    </row>
    <row r="1077" spans="1:67">
      <c r="A1077" s="13" t="s">
        <v>351</v>
      </c>
      <c r="B1077" s="13" t="s">
        <v>352</v>
      </c>
      <c r="C1077" s="13" t="s">
        <v>43</v>
      </c>
      <c r="D1077" s="13" t="s">
        <v>281</v>
      </c>
      <c r="E1077" s="13" t="s">
        <v>353</v>
      </c>
      <c r="F1077" s="13" t="s">
        <v>587</v>
      </c>
      <c r="G1077" s="13" t="s">
        <v>46</v>
      </c>
      <c r="H1077" s="13">
        <v>28.19</v>
      </c>
      <c r="I1077" s="13" t="s">
        <v>46</v>
      </c>
      <c r="J1077" s="13" t="s">
        <v>658</v>
      </c>
      <c r="K1077" s="13" t="s">
        <v>918</v>
      </c>
      <c r="L1077" s="13" t="s">
        <v>919</v>
      </c>
      <c r="M1077" s="13" t="s">
        <v>800</v>
      </c>
      <c r="N1077" s="13" t="s">
        <v>84</v>
      </c>
      <c r="O1077" s="13" t="s">
        <v>644</v>
      </c>
      <c r="P1077" s="13" t="s">
        <v>85</v>
      </c>
      <c r="Q1077" s="13" t="s">
        <v>48</v>
      </c>
      <c r="R1077" s="4">
        <v>4</v>
      </c>
      <c r="S1077" s="13" t="s">
        <v>594</v>
      </c>
      <c r="T1077" s="13">
        <v>210</v>
      </c>
      <c r="U1077" s="4" t="s">
        <v>350</v>
      </c>
      <c r="V1077" s="4">
        <v>350</v>
      </c>
      <c r="W1077" s="4" t="s">
        <v>42</v>
      </c>
      <c r="X1077" s="4">
        <v>614.29999999999995</v>
      </c>
      <c r="Y1077" s="4">
        <v>18.75</v>
      </c>
      <c r="AA1077" s="4" t="s">
        <v>50</v>
      </c>
      <c r="AB1077" s="4">
        <v>250</v>
      </c>
      <c r="AC1077" s="4" t="s">
        <v>49</v>
      </c>
      <c r="AD1077" s="4">
        <v>0</v>
      </c>
      <c r="AE1077" s="4" t="s">
        <v>49</v>
      </c>
      <c r="AF1077" s="4">
        <v>0</v>
      </c>
      <c r="AG1077" s="4" t="s">
        <v>712</v>
      </c>
      <c r="AH1077" s="4" t="s">
        <v>711</v>
      </c>
      <c r="AI1077" s="4" t="s">
        <v>988</v>
      </c>
      <c r="AJ1077" s="13">
        <v>0</v>
      </c>
      <c r="AK1077" s="13">
        <v>15</v>
      </c>
      <c r="AM1077" s="13" t="s">
        <v>546</v>
      </c>
      <c r="AP1077" s="13" t="s">
        <v>50</v>
      </c>
      <c r="AQ1077" s="13" t="s">
        <v>50</v>
      </c>
      <c r="AR1077" s="13" t="s">
        <v>49</v>
      </c>
      <c r="AS1077" s="13" t="s">
        <v>49</v>
      </c>
      <c r="AT1077" s="13" t="s">
        <v>992</v>
      </c>
      <c r="AU1077" s="4" t="s">
        <v>1000</v>
      </c>
      <c r="AV1077" s="23">
        <f>149.1/1000</f>
        <v>0.14909999999999998</v>
      </c>
      <c r="AW1077" s="23">
        <f>114.7/1000</f>
        <v>0.1147</v>
      </c>
      <c r="AX1077" s="14">
        <f>Table1347456[[#This Row],[treatment_mean]]/Table1347456[[#This Row],[control_mean]]</f>
        <v>1.2999128160418483</v>
      </c>
      <c r="AY1077" s="14">
        <f>LN(Table1347456[[#This Row],[rr]])</f>
        <v>0.26229719763536768</v>
      </c>
      <c r="AZ1077" s="13">
        <v>4</v>
      </c>
      <c r="BA1077" s="13">
        <v>4</v>
      </c>
      <c r="BB1077" s="14" t="s">
        <v>46</v>
      </c>
      <c r="BC1077" s="14" t="s">
        <v>46</v>
      </c>
      <c r="BD1077" s="15" t="s">
        <v>46</v>
      </c>
      <c r="BE1077" s="14" t="s">
        <v>46</v>
      </c>
      <c r="BF107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77" s="17" t="s">
        <v>46</v>
      </c>
      <c r="BH1077" s="13" t="s">
        <v>50</v>
      </c>
      <c r="BI1077" s="13">
        <v>2.5000000000000001E-2</v>
      </c>
      <c r="BJ1077" s="18">
        <f>ABS(_xlfn.NORM.S.INV(Table1347456[[#This Row],[p_value]]/2))</f>
        <v>2.2414027276049446</v>
      </c>
      <c r="BK1077" s="19">
        <f>(Table1347456[[#This Row],[lnrr]]/Table1347456[[#This Row],[z_from_p]])^2</f>
        <v>1.3694541898875806E-2</v>
      </c>
      <c r="BL1077" s="16">
        <f>Table1347456[[#This Row],[v_from_z_from_p]]</f>
        <v>1.3694541898875806E-2</v>
      </c>
      <c r="BM1077" s="20">
        <f>SQRT(Table1347456[[#This Row],[v]])</f>
        <v>0.11702368093200541</v>
      </c>
      <c r="BN1077" s="20">
        <f>Table1347456[[#This Row],[lnrr]]-(1.96*Table1347456[[#This Row],[se]])</f>
        <v>3.2930783008637082E-2</v>
      </c>
      <c r="BO1077" s="20">
        <f>Table1347456[[#This Row],[lnrr]]+(1.96 * Table1347456[[#This Row],[se]])</f>
        <v>0.49166361226209832</v>
      </c>
    </row>
    <row r="1078" spans="1:67">
      <c r="A1078" s="13" t="s">
        <v>351</v>
      </c>
      <c r="B1078" s="13" t="s">
        <v>352</v>
      </c>
      <c r="C1078" s="13" t="s">
        <v>43</v>
      </c>
      <c r="D1078" s="13" t="s">
        <v>281</v>
      </c>
      <c r="E1078" s="13" t="s">
        <v>353</v>
      </c>
      <c r="F1078" s="13" t="s">
        <v>587</v>
      </c>
      <c r="G1078" s="13" t="s">
        <v>46</v>
      </c>
      <c r="H1078" s="13">
        <v>28.19</v>
      </c>
      <c r="I1078" s="13" t="s">
        <v>46</v>
      </c>
      <c r="J1078" s="13" t="s">
        <v>658</v>
      </c>
      <c r="K1078" s="13" t="s">
        <v>918</v>
      </c>
      <c r="L1078" s="13" t="s">
        <v>919</v>
      </c>
      <c r="M1078" s="13" t="s">
        <v>800</v>
      </c>
      <c r="N1078" s="13" t="s">
        <v>84</v>
      </c>
      <c r="O1078" s="13" t="s">
        <v>644</v>
      </c>
      <c r="P1078" s="13" t="s">
        <v>85</v>
      </c>
      <c r="Q1078" s="13" t="s">
        <v>48</v>
      </c>
      <c r="R1078" s="4">
        <v>4</v>
      </c>
      <c r="S1078" s="13" t="s">
        <v>594</v>
      </c>
      <c r="T1078" s="13">
        <v>210</v>
      </c>
      <c r="U1078" s="4" t="s">
        <v>350</v>
      </c>
      <c r="V1078" s="4">
        <v>350</v>
      </c>
      <c r="W1078" s="4" t="s">
        <v>42</v>
      </c>
      <c r="X1078" s="4">
        <v>614.29999999999995</v>
      </c>
      <c r="Y1078" s="4">
        <v>25</v>
      </c>
      <c r="AA1078" s="4" t="s">
        <v>50</v>
      </c>
      <c r="AB1078" s="4">
        <v>250</v>
      </c>
      <c r="AC1078" s="4" t="s">
        <v>49</v>
      </c>
      <c r="AD1078" s="4">
        <v>0</v>
      </c>
      <c r="AE1078" s="4" t="s">
        <v>49</v>
      </c>
      <c r="AF1078" s="4">
        <v>0</v>
      </c>
      <c r="AG1078" s="4" t="s">
        <v>712</v>
      </c>
      <c r="AH1078" s="4" t="s">
        <v>711</v>
      </c>
      <c r="AI1078" s="4" t="s">
        <v>988</v>
      </c>
      <c r="AJ1078" s="13">
        <v>0</v>
      </c>
      <c r="AK1078" s="13">
        <v>15</v>
      </c>
      <c r="AM1078" s="13" t="s">
        <v>546</v>
      </c>
      <c r="AP1078" s="13" t="s">
        <v>50</v>
      </c>
      <c r="AQ1078" s="13" t="s">
        <v>50</v>
      </c>
      <c r="AR1078" s="13" t="s">
        <v>49</v>
      </c>
      <c r="AS1078" s="13" t="s">
        <v>49</v>
      </c>
      <c r="AT1078" s="13" t="s">
        <v>992</v>
      </c>
      <c r="AU1078" s="4" t="s">
        <v>1000</v>
      </c>
      <c r="AV1078" s="23">
        <f>178.3/1000</f>
        <v>0.17830000000000001</v>
      </c>
      <c r="AW1078" s="23">
        <f>114.7/1000</f>
        <v>0.1147</v>
      </c>
      <c r="AX1078" s="14">
        <f>Table1347456[[#This Row],[treatment_mean]]/Table1347456[[#This Row],[control_mean]]</f>
        <v>1.5544899738448128</v>
      </c>
      <c r="AY1078" s="14">
        <f>LN(Table1347456[[#This Row],[rr]])</f>
        <v>0.44114750073376985</v>
      </c>
      <c r="AZ1078" s="13">
        <v>4</v>
      </c>
      <c r="BA1078" s="13">
        <v>4</v>
      </c>
      <c r="BB1078" s="14" t="s">
        <v>46</v>
      </c>
      <c r="BC1078" s="14" t="s">
        <v>46</v>
      </c>
      <c r="BD1078" s="15" t="s">
        <v>46</v>
      </c>
      <c r="BE1078" s="14" t="s">
        <v>46</v>
      </c>
      <c r="BF107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78" s="17" t="s">
        <v>46</v>
      </c>
      <c r="BH1078" s="13" t="s">
        <v>50</v>
      </c>
      <c r="BI1078" s="13">
        <v>2.5000000000000001E-2</v>
      </c>
      <c r="BJ1078" s="18">
        <f>ABS(_xlfn.NORM.S.INV(Table1347456[[#This Row],[p_value]]/2))</f>
        <v>2.2414027276049446</v>
      </c>
      <c r="BK1078" s="19">
        <f>(Table1347456[[#This Row],[lnrr]]/Table1347456[[#This Row],[z_from_p]])^2</f>
        <v>3.8737166836111225E-2</v>
      </c>
      <c r="BL1078" s="16">
        <f>Table1347456[[#This Row],[v_from_z_from_p]]</f>
        <v>3.8737166836111225E-2</v>
      </c>
      <c r="BM1078" s="20">
        <f>SQRT(Table1347456[[#This Row],[v]])</f>
        <v>0.19681759788217928</v>
      </c>
      <c r="BN1078" s="20">
        <f>Table1347456[[#This Row],[lnrr]]-(1.96*Table1347456[[#This Row],[se]])</f>
        <v>5.5385008884698439E-2</v>
      </c>
      <c r="BO1078" s="20">
        <f>Table1347456[[#This Row],[lnrr]]+(1.96 * Table1347456[[#This Row],[se]])</f>
        <v>0.82690999258284126</v>
      </c>
    </row>
    <row r="1079" spans="1:67">
      <c r="A1079" s="13" t="s">
        <v>351</v>
      </c>
      <c r="B1079" s="13" t="s">
        <v>352</v>
      </c>
      <c r="C1079" s="13" t="s">
        <v>43</v>
      </c>
      <c r="D1079" s="13" t="s">
        <v>281</v>
      </c>
      <c r="E1079" s="13" t="s">
        <v>353</v>
      </c>
      <c r="F1079" s="13" t="s">
        <v>587</v>
      </c>
      <c r="G1079" s="13" t="s">
        <v>46</v>
      </c>
      <c r="H1079" s="13">
        <v>28.19</v>
      </c>
      <c r="I1079" s="13" t="s">
        <v>46</v>
      </c>
      <c r="K1079" s="13" t="s">
        <v>918</v>
      </c>
      <c r="L1079" s="13" t="s">
        <v>919</v>
      </c>
      <c r="N1079" s="13" t="s">
        <v>86</v>
      </c>
      <c r="O1079" s="13" t="s">
        <v>644</v>
      </c>
      <c r="P1079" s="13" t="s">
        <v>85</v>
      </c>
      <c r="Q1079" s="13" t="s">
        <v>48</v>
      </c>
      <c r="R1079" s="4">
        <v>4</v>
      </c>
      <c r="S1079" s="13" t="s">
        <v>594</v>
      </c>
      <c r="T1079" s="13">
        <v>210</v>
      </c>
      <c r="U1079" s="4" t="s">
        <v>350</v>
      </c>
      <c r="V1079" s="4">
        <v>350</v>
      </c>
      <c r="W1079" s="4" t="s">
        <v>42</v>
      </c>
      <c r="X1079" s="4">
        <v>614.29999999999995</v>
      </c>
      <c r="Y1079" s="4">
        <v>6.25</v>
      </c>
      <c r="AA1079" s="4" t="s">
        <v>50</v>
      </c>
      <c r="AB1079" s="4">
        <v>250</v>
      </c>
      <c r="AC1079" s="4" t="s">
        <v>49</v>
      </c>
      <c r="AD1079" s="4">
        <v>0</v>
      </c>
      <c r="AE1079" s="4" t="s">
        <v>49</v>
      </c>
      <c r="AF1079" s="4">
        <v>0</v>
      </c>
      <c r="AG1079" s="4" t="s">
        <v>712</v>
      </c>
      <c r="AH1079" s="4" t="s">
        <v>711</v>
      </c>
      <c r="AI1079" s="4" t="s">
        <v>988</v>
      </c>
      <c r="AJ1079" s="13">
        <v>0</v>
      </c>
      <c r="AK1079" s="13">
        <v>15</v>
      </c>
      <c r="AM1079" s="13" t="s">
        <v>546</v>
      </c>
      <c r="AP1079" s="13" t="s">
        <v>50</v>
      </c>
      <c r="AQ1079" s="13" t="s">
        <v>50</v>
      </c>
      <c r="AR1079" s="13" t="s">
        <v>49</v>
      </c>
      <c r="AS1079" s="13" t="s">
        <v>49</v>
      </c>
      <c r="AT1079" s="13" t="s">
        <v>992</v>
      </c>
      <c r="AU1079" s="4" t="s">
        <v>1000</v>
      </c>
      <c r="AV1079" s="14">
        <f>68.4/1000</f>
        <v>6.8400000000000002E-2</v>
      </c>
      <c r="AW1079" s="14">
        <f>58.4/1000</f>
        <v>5.8400000000000001E-2</v>
      </c>
      <c r="AX1079" s="14">
        <f>Table1347456[[#This Row],[treatment_mean]]/Table1347456[[#This Row],[control_mean]]</f>
        <v>1.1712328767123288</v>
      </c>
      <c r="AY1079" s="14">
        <f>LN(Table1347456[[#This Row],[rr]])</f>
        <v>0.15805693479432342</v>
      </c>
      <c r="AZ1079" s="13">
        <v>4</v>
      </c>
      <c r="BA1079" s="13">
        <v>4</v>
      </c>
      <c r="BB1079" s="14" t="s">
        <v>46</v>
      </c>
      <c r="BC1079" s="14" t="s">
        <v>46</v>
      </c>
      <c r="BD1079" s="15" t="s">
        <v>46</v>
      </c>
      <c r="BE1079" s="14" t="s">
        <v>46</v>
      </c>
      <c r="BF107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79" s="17" t="s">
        <v>46</v>
      </c>
      <c r="BH1079" s="13" t="s">
        <v>50</v>
      </c>
      <c r="BI1079" s="13">
        <v>2.5000000000000001E-2</v>
      </c>
      <c r="BJ1079" s="18">
        <f>ABS(_xlfn.NORM.S.INV(Table1347456[[#This Row],[p_value]]/2))</f>
        <v>2.2414027276049446</v>
      </c>
      <c r="BK1079" s="19">
        <f>(Table1347456[[#This Row],[lnrr]]/Table1347456[[#This Row],[z_from_p]])^2</f>
        <v>4.972643428837133E-3</v>
      </c>
      <c r="BL1079" s="16">
        <f>Table1347456[[#This Row],[v_from_z_from_p]]</f>
        <v>4.972643428837133E-3</v>
      </c>
      <c r="BM1079" s="20">
        <f>SQRT(Table1347456[[#This Row],[v]])</f>
        <v>7.0516972629553046E-2</v>
      </c>
      <c r="BN1079" s="20">
        <f>Table1347456[[#This Row],[lnrr]]-(1.96*Table1347456[[#This Row],[se]])</f>
        <v>1.9843668440399448E-2</v>
      </c>
      <c r="BO1079" s="20">
        <f>Table1347456[[#This Row],[lnrr]]+(1.96 * Table1347456[[#This Row],[se]])</f>
        <v>0.29627020114824743</v>
      </c>
    </row>
    <row r="1080" spans="1:67">
      <c r="A1080" s="13" t="s">
        <v>351</v>
      </c>
      <c r="B1080" s="13" t="s">
        <v>352</v>
      </c>
      <c r="C1080" s="13" t="s">
        <v>43</v>
      </c>
      <c r="D1080" s="13" t="s">
        <v>281</v>
      </c>
      <c r="E1080" s="13" t="s">
        <v>353</v>
      </c>
      <c r="F1080" s="13" t="s">
        <v>587</v>
      </c>
      <c r="G1080" s="13" t="s">
        <v>46</v>
      </c>
      <c r="H1080" s="13">
        <v>28.19</v>
      </c>
      <c r="I1080" s="13" t="s">
        <v>46</v>
      </c>
      <c r="K1080" s="13" t="s">
        <v>918</v>
      </c>
      <c r="L1080" s="13" t="s">
        <v>919</v>
      </c>
      <c r="N1080" s="13" t="s">
        <v>86</v>
      </c>
      <c r="O1080" s="13" t="s">
        <v>644</v>
      </c>
      <c r="P1080" s="13" t="s">
        <v>85</v>
      </c>
      <c r="Q1080" s="13" t="s">
        <v>48</v>
      </c>
      <c r="R1080" s="4">
        <v>4</v>
      </c>
      <c r="S1080" s="13" t="s">
        <v>594</v>
      </c>
      <c r="T1080" s="13">
        <v>210</v>
      </c>
      <c r="U1080" s="4" t="s">
        <v>350</v>
      </c>
      <c r="V1080" s="4">
        <v>350</v>
      </c>
      <c r="W1080" s="4" t="s">
        <v>42</v>
      </c>
      <c r="X1080" s="4">
        <v>614.29999999999995</v>
      </c>
      <c r="Y1080" s="4">
        <v>12.5</v>
      </c>
      <c r="AA1080" s="4" t="s">
        <v>50</v>
      </c>
      <c r="AB1080" s="4">
        <v>250</v>
      </c>
      <c r="AC1080" s="4" t="s">
        <v>49</v>
      </c>
      <c r="AD1080" s="4">
        <v>0</v>
      </c>
      <c r="AE1080" s="4" t="s">
        <v>49</v>
      </c>
      <c r="AF1080" s="4">
        <v>0</v>
      </c>
      <c r="AG1080" s="4" t="s">
        <v>712</v>
      </c>
      <c r="AH1080" s="4" t="s">
        <v>711</v>
      </c>
      <c r="AI1080" s="4" t="s">
        <v>988</v>
      </c>
      <c r="AJ1080" s="13">
        <v>0</v>
      </c>
      <c r="AK1080" s="13">
        <v>15</v>
      </c>
      <c r="AM1080" s="13" t="s">
        <v>546</v>
      </c>
      <c r="AP1080" s="13" t="s">
        <v>50</v>
      </c>
      <c r="AQ1080" s="13" t="s">
        <v>50</v>
      </c>
      <c r="AR1080" s="13" t="s">
        <v>49</v>
      </c>
      <c r="AS1080" s="13" t="s">
        <v>49</v>
      </c>
      <c r="AT1080" s="13" t="s">
        <v>992</v>
      </c>
      <c r="AU1080" s="4" t="s">
        <v>1000</v>
      </c>
      <c r="AV1080" s="14">
        <f>76.4/1000</f>
        <v>7.640000000000001E-2</v>
      </c>
      <c r="AW1080" s="14">
        <f>58.4/1000</f>
        <v>5.8400000000000001E-2</v>
      </c>
      <c r="AX1080" s="14">
        <f>Table1347456[[#This Row],[treatment_mean]]/Table1347456[[#This Row],[control_mean]]</f>
        <v>1.3082191780821919</v>
      </c>
      <c r="AY1080" s="14">
        <f>LN(Table1347456[[#This Row],[rr]])</f>
        <v>0.26866680633829354</v>
      </c>
      <c r="AZ1080" s="13">
        <v>4</v>
      </c>
      <c r="BA1080" s="13">
        <v>4</v>
      </c>
      <c r="BB1080" s="14" t="s">
        <v>46</v>
      </c>
      <c r="BC1080" s="14" t="s">
        <v>46</v>
      </c>
      <c r="BD1080" s="15" t="s">
        <v>46</v>
      </c>
      <c r="BE1080" s="14" t="s">
        <v>46</v>
      </c>
      <c r="BF108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80" s="17" t="s">
        <v>46</v>
      </c>
      <c r="BH1080" s="13" t="s">
        <v>50</v>
      </c>
      <c r="BI1080" s="13">
        <v>2.5000000000000001E-2</v>
      </c>
      <c r="BJ1080" s="18">
        <f>ABS(_xlfn.NORM.S.INV(Table1347456[[#This Row],[p_value]]/2))</f>
        <v>2.2414027276049446</v>
      </c>
      <c r="BK1080" s="19">
        <f>(Table1347456[[#This Row],[lnrr]]/Table1347456[[#This Row],[z_from_p]])^2</f>
        <v>1.4367732495667291E-2</v>
      </c>
      <c r="BL1080" s="16">
        <f>Table1347456[[#This Row],[v_from_z_from_p]]</f>
        <v>1.4367732495667291E-2</v>
      </c>
      <c r="BM1080" s="20">
        <f>SQRT(Table1347456[[#This Row],[v]])</f>
        <v>0.11986547666307965</v>
      </c>
      <c r="BN1080" s="20">
        <f>Table1347456[[#This Row],[lnrr]]-(1.96*Table1347456[[#This Row],[se]])</f>
        <v>3.3730472078657453E-2</v>
      </c>
      <c r="BO1080" s="20">
        <f>Table1347456[[#This Row],[lnrr]]+(1.96 * Table1347456[[#This Row],[se]])</f>
        <v>0.50360314059792965</v>
      </c>
    </row>
    <row r="1081" spans="1:67">
      <c r="A1081" s="13" t="s">
        <v>351</v>
      </c>
      <c r="B1081" s="13" t="s">
        <v>352</v>
      </c>
      <c r="C1081" s="13" t="s">
        <v>43</v>
      </c>
      <c r="D1081" s="13" t="s">
        <v>281</v>
      </c>
      <c r="E1081" s="13" t="s">
        <v>353</v>
      </c>
      <c r="F1081" s="13" t="s">
        <v>587</v>
      </c>
      <c r="G1081" s="13" t="s">
        <v>46</v>
      </c>
      <c r="H1081" s="13">
        <v>28.19</v>
      </c>
      <c r="I1081" s="13" t="s">
        <v>46</v>
      </c>
      <c r="K1081" s="13" t="s">
        <v>918</v>
      </c>
      <c r="L1081" s="13" t="s">
        <v>919</v>
      </c>
      <c r="N1081" s="13" t="s">
        <v>86</v>
      </c>
      <c r="O1081" s="13" t="s">
        <v>644</v>
      </c>
      <c r="P1081" s="13" t="s">
        <v>85</v>
      </c>
      <c r="Q1081" s="13" t="s">
        <v>48</v>
      </c>
      <c r="R1081" s="4">
        <v>4</v>
      </c>
      <c r="S1081" s="13" t="s">
        <v>594</v>
      </c>
      <c r="T1081" s="13">
        <v>210</v>
      </c>
      <c r="U1081" s="4" t="s">
        <v>350</v>
      </c>
      <c r="V1081" s="4">
        <v>350</v>
      </c>
      <c r="W1081" s="4" t="s">
        <v>42</v>
      </c>
      <c r="X1081" s="4">
        <v>614.29999999999995</v>
      </c>
      <c r="Y1081" s="4">
        <v>18.75</v>
      </c>
      <c r="AA1081" s="4" t="s">
        <v>50</v>
      </c>
      <c r="AB1081" s="4">
        <v>250</v>
      </c>
      <c r="AC1081" s="4" t="s">
        <v>49</v>
      </c>
      <c r="AD1081" s="4">
        <v>0</v>
      </c>
      <c r="AE1081" s="4" t="s">
        <v>49</v>
      </c>
      <c r="AF1081" s="4">
        <v>0</v>
      </c>
      <c r="AG1081" s="4" t="s">
        <v>712</v>
      </c>
      <c r="AH1081" s="4" t="s">
        <v>711</v>
      </c>
      <c r="AI1081" s="4" t="s">
        <v>988</v>
      </c>
      <c r="AJ1081" s="13">
        <v>0</v>
      </c>
      <c r="AK1081" s="13">
        <v>15</v>
      </c>
      <c r="AM1081" s="13" t="s">
        <v>546</v>
      </c>
      <c r="AP1081" s="13" t="s">
        <v>50</v>
      </c>
      <c r="AQ1081" s="13" t="s">
        <v>50</v>
      </c>
      <c r="AR1081" s="13" t="s">
        <v>49</v>
      </c>
      <c r="AS1081" s="13" t="s">
        <v>49</v>
      </c>
      <c r="AT1081" s="13" t="s">
        <v>992</v>
      </c>
      <c r="AU1081" s="4" t="s">
        <v>1000</v>
      </c>
      <c r="AV1081" s="14">
        <f>77/1000</f>
        <v>7.6999999999999999E-2</v>
      </c>
      <c r="AW1081" s="14">
        <f>58.4/1000</f>
        <v>5.8400000000000001E-2</v>
      </c>
      <c r="AX1081" s="14">
        <f>Table1347456[[#This Row],[treatment_mean]]/Table1347456[[#This Row],[control_mean]]</f>
        <v>1.3184931506849316</v>
      </c>
      <c r="AY1081" s="14">
        <f>LN(Table1347456[[#This Row],[rr]])</f>
        <v>0.27648953201950249</v>
      </c>
      <c r="AZ1081" s="13">
        <v>4</v>
      </c>
      <c r="BA1081" s="13">
        <v>4</v>
      </c>
      <c r="BB1081" s="14" t="s">
        <v>46</v>
      </c>
      <c r="BC1081" s="14" t="s">
        <v>46</v>
      </c>
      <c r="BD1081" s="15" t="s">
        <v>46</v>
      </c>
      <c r="BE1081" s="14" t="s">
        <v>46</v>
      </c>
      <c r="BF108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81" s="17" t="s">
        <v>46</v>
      </c>
      <c r="BH1081" s="13" t="s">
        <v>50</v>
      </c>
      <c r="BI1081" s="13">
        <v>2.5000000000000001E-2</v>
      </c>
      <c r="BJ1081" s="18">
        <f>ABS(_xlfn.NORM.S.INV(Table1347456[[#This Row],[p_value]]/2))</f>
        <v>2.2414027276049446</v>
      </c>
      <c r="BK1081" s="19">
        <f>(Table1347456[[#This Row],[lnrr]]/Table1347456[[#This Row],[z_from_p]])^2</f>
        <v>1.5216598956677757E-2</v>
      </c>
      <c r="BL1081" s="16">
        <f>Table1347456[[#This Row],[v_from_z_from_p]]</f>
        <v>1.5216598956677757E-2</v>
      </c>
      <c r="BM1081" s="20">
        <f>SQRT(Table1347456[[#This Row],[v]])</f>
        <v>0.12335557934960931</v>
      </c>
      <c r="BN1081" s="20">
        <f>Table1347456[[#This Row],[lnrr]]-(1.96*Table1347456[[#This Row],[se]])</f>
        <v>3.471259649426825E-2</v>
      </c>
      <c r="BO1081" s="20">
        <f>Table1347456[[#This Row],[lnrr]]+(1.96 * Table1347456[[#This Row],[se]])</f>
        <v>0.51826646754473671</v>
      </c>
    </row>
    <row r="1082" spans="1:67">
      <c r="A1082" s="13" t="s">
        <v>351</v>
      </c>
      <c r="B1082" s="13" t="s">
        <v>352</v>
      </c>
      <c r="C1082" s="13" t="s">
        <v>43</v>
      </c>
      <c r="D1082" s="13" t="s">
        <v>281</v>
      </c>
      <c r="E1082" s="13" t="s">
        <v>353</v>
      </c>
      <c r="F1082" s="13" t="s">
        <v>587</v>
      </c>
      <c r="G1082" s="13" t="s">
        <v>46</v>
      </c>
      <c r="H1082" s="13">
        <v>28.19</v>
      </c>
      <c r="I1082" s="13" t="s">
        <v>46</v>
      </c>
      <c r="K1082" s="13" t="s">
        <v>918</v>
      </c>
      <c r="L1082" s="13" t="s">
        <v>919</v>
      </c>
      <c r="N1082" s="13" t="s">
        <v>86</v>
      </c>
      <c r="O1082" s="13" t="s">
        <v>644</v>
      </c>
      <c r="P1082" s="13" t="s">
        <v>85</v>
      </c>
      <c r="Q1082" s="13" t="s">
        <v>48</v>
      </c>
      <c r="R1082" s="4">
        <v>4</v>
      </c>
      <c r="S1082" s="13" t="s">
        <v>594</v>
      </c>
      <c r="T1082" s="13">
        <v>210</v>
      </c>
      <c r="U1082" s="4" t="s">
        <v>350</v>
      </c>
      <c r="V1082" s="4">
        <v>350</v>
      </c>
      <c r="W1082" s="4" t="s">
        <v>42</v>
      </c>
      <c r="X1082" s="4">
        <v>614.29999999999995</v>
      </c>
      <c r="Y1082" s="4">
        <v>25</v>
      </c>
      <c r="AA1082" s="4" t="s">
        <v>50</v>
      </c>
      <c r="AB1082" s="4">
        <v>250</v>
      </c>
      <c r="AC1082" s="4" t="s">
        <v>49</v>
      </c>
      <c r="AD1082" s="4">
        <v>0</v>
      </c>
      <c r="AE1082" s="4" t="s">
        <v>49</v>
      </c>
      <c r="AF1082" s="4">
        <v>0</v>
      </c>
      <c r="AG1082" s="4" t="s">
        <v>712</v>
      </c>
      <c r="AH1082" s="4" t="s">
        <v>711</v>
      </c>
      <c r="AI1082" s="4" t="s">
        <v>988</v>
      </c>
      <c r="AJ1082" s="13">
        <v>0</v>
      </c>
      <c r="AK1082" s="13">
        <v>15</v>
      </c>
      <c r="AM1082" s="13" t="s">
        <v>546</v>
      </c>
      <c r="AP1082" s="13" t="s">
        <v>50</v>
      </c>
      <c r="AQ1082" s="13" t="s">
        <v>50</v>
      </c>
      <c r="AR1082" s="13" t="s">
        <v>49</v>
      </c>
      <c r="AS1082" s="13" t="s">
        <v>49</v>
      </c>
      <c r="AT1082" s="13" t="s">
        <v>992</v>
      </c>
      <c r="AU1082" s="4" t="s">
        <v>1000</v>
      </c>
      <c r="AV1082" s="14">
        <f>89.4/1000</f>
        <v>8.9400000000000007E-2</v>
      </c>
      <c r="AW1082" s="14">
        <f>58.4/1000</f>
        <v>5.8400000000000001E-2</v>
      </c>
      <c r="AX1082" s="14">
        <f>Table1347456[[#This Row],[treatment_mean]]/Table1347456[[#This Row],[control_mean]]</f>
        <v>1.5308219178082192</v>
      </c>
      <c r="AY1082" s="14">
        <f>LN(Table1347456[[#This Row],[rr]])</f>
        <v>0.42580479234528712</v>
      </c>
      <c r="AZ1082" s="13">
        <v>4</v>
      </c>
      <c r="BA1082" s="13">
        <v>4</v>
      </c>
      <c r="BB1082" s="14" t="s">
        <v>46</v>
      </c>
      <c r="BC1082" s="14" t="s">
        <v>46</v>
      </c>
      <c r="BD1082" s="15" t="s">
        <v>46</v>
      </c>
      <c r="BE1082" s="14" t="s">
        <v>46</v>
      </c>
      <c r="BF108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82" s="17" t="s">
        <v>46</v>
      </c>
      <c r="BH1082" s="13" t="s">
        <v>50</v>
      </c>
      <c r="BI1082" s="13">
        <v>2.5000000000000001E-2</v>
      </c>
      <c r="BJ1082" s="18">
        <f>ABS(_xlfn.NORM.S.INV(Table1347456[[#This Row],[p_value]]/2))</f>
        <v>2.2414027276049446</v>
      </c>
      <c r="BK1082" s="19">
        <f>(Table1347456[[#This Row],[lnrr]]/Table1347456[[#This Row],[z_from_p]])^2</f>
        <v>3.6089535953663314E-2</v>
      </c>
      <c r="BL1082" s="16">
        <f>Table1347456[[#This Row],[v_from_z_from_p]]</f>
        <v>3.6089535953663314E-2</v>
      </c>
      <c r="BM1082" s="20">
        <f>SQRT(Table1347456[[#This Row],[v]])</f>
        <v>0.18997246104018159</v>
      </c>
      <c r="BN1082" s="20">
        <f>Table1347456[[#This Row],[lnrr]]-(1.96*Table1347456[[#This Row],[se]])</f>
        <v>5.3458768706531212E-2</v>
      </c>
      <c r="BO1082" s="20">
        <f>Table1347456[[#This Row],[lnrr]]+(1.96 * Table1347456[[#This Row],[se]])</f>
        <v>0.79815081598404303</v>
      </c>
    </row>
    <row r="1083" spans="1:67">
      <c r="A1083" s="13" t="s">
        <v>351</v>
      </c>
      <c r="B1083" s="13" t="s">
        <v>352</v>
      </c>
      <c r="C1083" s="13" t="s">
        <v>43</v>
      </c>
      <c r="D1083" s="13" t="s">
        <v>281</v>
      </c>
      <c r="E1083" s="13" t="s">
        <v>353</v>
      </c>
      <c r="F1083" s="13" t="s">
        <v>587</v>
      </c>
      <c r="G1083" s="13" t="s">
        <v>46</v>
      </c>
      <c r="H1083" s="13">
        <v>28.19</v>
      </c>
      <c r="I1083" s="13" t="s">
        <v>46</v>
      </c>
      <c r="K1083" s="13" t="s">
        <v>918</v>
      </c>
      <c r="L1083" s="13" t="s">
        <v>919</v>
      </c>
      <c r="N1083" s="13" t="s">
        <v>614</v>
      </c>
      <c r="O1083" s="13" t="s">
        <v>614</v>
      </c>
      <c r="P1083" s="13" t="s">
        <v>87</v>
      </c>
      <c r="Q1083" s="13" t="s">
        <v>87</v>
      </c>
      <c r="R1083" s="4">
        <v>4</v>
      </c>
      <c r="S1083" s="13" t="s">
        <v>594</v>
      </c>
      <c r="T1083" s="13">
        <v>210</v>
      </c>
      <c r="U1083" s="4" t="s">
        <v>350</v>
      </c>
      <c r="V1083" s="4">
        <v>350</v>
      </c>
      <c r="W1083" s="4" t="s">
        <v>42</v>
      </c>
      <c r="X1083" s="4">
        <v>614.29999999999995</v>
      </c>
      <c r="Y1083" s="4">
        <v>6.25</v>
      </c>
      <c r="AA1083" s="4" t="s">
        <v>50</v>
      </c>
      <c r="AB1083" s="4">
        <v>250</v>
      </c>
      <c r="AC1083" s="4" t="s">
        <v>49</v>
      </c>
      <c r="AD1083" s="4">
        <v>0</v>
      </c>
      <c r="AE1083" s="4" t="s">
        <v>49</v>
      </c>
      <c r="AF1083" s="4">
        <v>0</v>
      </c>
      <c r="AG1083" s="4" t="s">
        <v>712</v>
      </c>
      <c r="AH1083" s="4" t="s">
        <v>711</v>
      </c>
      <c r="AI1083" s="4" t="s">
        <v>988</v>
      </c>
      <c r="AJ1083" s="13">
        <v>0</v>
      </c>
      <c r="AK1083" s="13">
        <v>15</v>
      </c>
      <c r="AM1083" s="13" t="s">
        <v>546</v>
      </c>
      <c r="AP1083" s="13" t="s">
        <v>50</v>
      </c>
      <c r="AQ1083" s="13" t="s">
        <v>50</v>
      </c>
      <c r="AR1083" s="13" t="s">
        <v>49</v>
      </c>
      <c r="AS1083" s="13" t="s">
        <v>49</v>
      </c>
      <c r="AT1083" s="13" t="s">
        <v>992</v>
      </c>
      <c r="AU1083" s="4" t="s">
        <v>1000</v>
      </c>
      <c r="AV1083" s="14">
        <v>14.9</v>
      </c>
      <c r="AW1083" s="14">
        <v>12.1</v>
      </c>
      <c r="AX1083" s="14">
        <f>Table1347456[[#This Row],[treatment_mean]]/Table1347456[[#This Row],[control_mean]]</f>
        <v>1.2314049586776861</v>
      </c>
      <c r="AY1083" s="14">
        <f>LN(Table1347456[[#This Row],[rr]])</f>
        <v>0.20815576034871816</v>
      </c>
      <c r="AZ1083" s="13">
        <v>4</v>
      </c>
      <c r="BA1083" s="13">
        <v>4</v>
      </c>
      <c r="BB1083" s="14" t="s">
        <v>46</v>
      </c>
      <c r="BC1083" s="14" t="s">
        <v>46</v>
      </c>
      <c r="BD1083" s="15" t="s">
        <v>46</v>
      </c>
      <c r="BE1083" s="14" t="s">
        <v>46</v>
      </c>
      <c r="BF108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83" s="17" t="s">
        <v>46</v>
      </c>
      <c r="BH1083" s="13" t="s">
        <v>50</v>
      </c>
      <c r="BI1083" s="13">
        <v>2.5000000000000001E-2</v>
      </c>
      <c r="BJ1083" s="18">
        <f>ABS(_xlfn.NORM.S.INV(Table1347456[[#This Row],[p_value]]/2))</f>
        <v>2.2414027276049446</v>
      </c>
      <c r="BK1083" s="19">
        <f>(Table1347456[[#This Row],[lnrr]]/Table1347456[[#This Row],[z_from_p]])^2</f>
        <v>8.6245625300502525E-3</v>
      </c>
      <c r="BL1083" s="16">
        <f>Table1347456[[#This Row],[v_from_z_from_p]]</f>
        <v>8.6245625300502525E-3</v>
      </c>
      <c r="BM1083" s="20">
        <f>SQRT(Table1347456[[#This Row],[v]])</f>
        <v>9.2868522816131047E-2</v>
      </c>
      <c r="BN1083" s="20">
        <f>Table1347456[[#This Row],[lnrr]]-(1.96*Table1347456[[#This Row],[se]])</f>
        <v>2.6133455629101299E-2</v>
      </c>
      <c r="BO1083" s="20">
        <f>Table1347456[[#This Row],[lnrr]]+(1.96 * Table1347456[[#This Row],[se]])</f>
        <v>0.39017806506833502</v>
      </c>
    </row>
    <row r="1084" spans="1:67">
      <c r="A1084" s="13" t="s">
        <v>351</v>
      </c>
      <c r="B1084" s="13" t="s">
        <v>352</v>
      </c>
      <c r="C1084" s="13" t="s">
        <v>43</v>
      </c>
      <c r="D1084" s="13" t="s">
        <v>281</v>
      </c>
      <c r="E1084" s="13" t="s">
        <v>353</v>
      </c>
      <c r="F1084" s="13" t="s">
        <v>587</v>
      </c>
      <c r="G1084" s="13" t="s">
        <v>46</v>
      </c>
      <c r="H1084" s="13">
        <v>28.19</v>
      </c>
      <c r="I1084" s="13" t="s">
        <v>46</v>
      </c>
      <c r="K1084" s="13" t="s">
        <v>918</v>
      </c>
      <c r="L1084" s="13" t="s">
        <v>919</v>
      </c>
      <c r="N1084" s="13" t="s">
        <v>614</v>
      </c>
      <c r="O1084" s="13" t="s">
        <v>614</v>
      </c>
      <c r="P1084" s="13" t="s">
        <v>87</v>
      </c>
      <c r="Q1084" s="13" t="s">
        <v>87</v>
      </c>
      <c r="R1084" s="4">
        <v>4</v>
      </c>
      <c r="S1084" s="13" t="s">
        <v>594</v>
      </c>
      <c r="T1084" s="13">
        <v>210</v>
      </c>
      <c r="U1084" s="4" t="s">
        <v>350</v>
      </c>
      <c r="V1084" s="4">
        <v>350</v>
      </c>
      <c r="W1084" s="4" t="s">
        <v>42</v>
      </c>
      <c r="X1084" s="4">
        <v>614.29999999999995</v>
      </c>
      <c r="Y1084" s="4">
        <v>12.5</v>
      </c>
      <c r="AA1084" s="4" t="s">
        <v>50</v>
      </c>
      <c r="AB1084" s="4">
        <v>250</v>
      </c>
      <c r="AC1084" s="4" t="s">
        <v>49</v>
      </c>
      <c r="AD1084" s="4">
        <v>0</v>
      </c>
      <c r="AE1084" s="4" t="s">
        <v>49</v>
      </c>
      <c r="AF1084" s="4">
        <v>0</v>
      </c>
      <c r="AG1084" s="4" t="s">
        <v>712</v>
      </c>
      <c r="AH1084" s="4" t="s">
        <v>711</v>
      </c>
      <c r="AI1084" s="4" t="s">
        <v>988</v>
      </c>
      <c r="AJ1084" s="13">
        <v>0</v>
      </c>
      <c r="AK1084" s="13">
        <v>15</v>
      </c>
      <c r="AM1084" s="13" t="s">
        <v>546</v>
      </c>
      <c r="AP1084" s="13" t="s">
        <v>50</v>
      </c>
      <c r="AQ1084" s="13" t="s">
        <v>50</v>
      </c>
      <c r="AR1084" s="13" t="s">
        <v>49</v>
      </c>
      <c r="AS1084" s="13" t="s">
        <v>49</v>
      </c>
      <c r="AT1084" s="13" t="s">
        <v>992</v>
      </c>
      <c r="AU1084" s="4" t="s">
        <v>1000</v>
      </c>
      <c r="AV1084" s="14">
        <v>15.7</v>
      </c>
      <c r="AW1084" s="14">
        <v>12.1</v>
      </c>
      <c r="AX1084" s="14">
        <f>Table1347456[[#This Row],[treatment_mean]]/Table1347456[[#This Row],[control_mean]]</f>
        <v>1.2975206611570247</v>
      </c>
      <c r="AY1084" s="14">
        <f>LN(Table1347456[[#This Row],[rr]])</f>
        <v>0.26045525975156691</v>
      </c>
      <c r="AZ1084" s="13">
        <v>4</v>
      </c>
      <c r="BA1084" s="13">
        <v>4</v>
      </c>
      <c r="BB1084" s="14" t="s">
        <v>46</v>
      </c>
      <c r="BC1084" s="14" t="s">
        <v>46</v>
      </c>
      <c r="BD1084" s="15" t="s">
        <v>46</v>
      </c>
      <c r="BE1084" s="14" t="s">
        <v>46</v>
      </c>
      <c r="BF108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84" s="17" t="s">
        <v>46</v>
      </c>
      <c r="BH1084" s="13" t="s">
        <v>50</v>
      </c>
      <c r="BI1084" s="13">
        <v>2.5000000000000001E-2</v>
      </c>
      <c r="BJ1084" s="18">
        <f>ABS(_xlfn.NORM.S.INV(Table1347456[[#This Row],[p_value]]/2))</f>
        <v>2.2414027276049446</v>
      </c>
      <c r="BK1084" s="19">
        <f>(Table1347456[[#This Row],[lnrr]]/Table1347456[[#This Row],[z_from_p]])^2</f>
        <v>1.3502881992737375E-2</v>
      </c>
      <c r="BL1084" s="16">
        <f>Table1347456[[#This Row],[v_from_z_from_p]]</f>
        <v>1.3502881992737375E-2</v>
      </c>
      <c r="BM1084" s="20">
        <f>SQRT(Table1347456[[#This Row],[v]])</f>
        <v>0.11620190184647312</v>
      </c>
      <c r="BN1084" s="20">
        <f>Table1347456[[#This Row],[lnrr]]-(1.96*Table1347456[[#This Row],[se]])</f>
        <v>3.2699532132479586E-2</v>
      </c>
      <c r="BO1084" s="20">
        <f>Table1347456[[#This Row],[lnrr]]+(1.96 * Table1347456[[#This Row],[se]])</f>
        <v>0.48821098737065427</v>
      </c>
    </row>
    <row r="1085" spans="1:67">
      <c r="A1085" s="13" t="s">
        <v>351</v>
      </c>
      <c r="B1085" s="13" t="s">
        <v>352</v>
      </c>
      <c r="C1085" s="13" t="s">
        <v>43</v>
      </c>
      <c r="D1085" s="13" t="s">
        <v>281</v>
      </c>
      <c r="E1085" s="13" t="s">
        <v>353</v>
      </c>
      <c r="F1085" s="13" t="s">
        <v>587</v>
      </c>
      <c r="G1085" s="13" t="s">
        <v>46</v>
      </c>
      <c r="H1085" s="13">
        <v>28.19</v>
      </c>
      <c r="I1085" s="13" t="s">
        <v>46</v>
      </c>
      <c r="K1085" s="13" t="s">
        <v>918</v>
      </c>
      <c r="L1085" s="13" t="s">
        <v>919</v>
      </c>
      <c r="N1085" s="13" t="s">
        <v>614</v>
      </c>
      <c r="O1085" s="13" t="s">
        <v>614</v>
      </c>
      <c r="P1085" s="13" t="s">
        <v>87</v>
      </c>
      <c r="Q1085" s="13" t="s">
        <v>87</v>
      </c>
      <c r="R1085" s="4">
        <v>4</v>
      </c>
      <c r="S1085" s="13" t="s">
        <v>594</v>
      </c>
      <c r="T1085" s="13">
        <v>210</v>
      </c>
      <c r="U1085" s="4" t="s">
        <v>350</v>
      </c>
      <c r="V1085" s="4">
        <v>350</v>
      </c>
      <c r="W1085" s="4" t="s">
        <v>42</v>
      </c>
      <c r="X1085" s="4">
        <v>614.29999999999995</v>
      </c>
      <c r="Y1085" s="4">
        <v>18.75</v>
      </c>
      <c r="AA1085" s="4" t="s">
        <v>50</v>
      </c>
      <c r="AB1085" s="4">
        <v>250</v>
      </c>
      <c r="AC1085" s="4" t="s">
        <v>49</v>
      </c>
      <c r="AD1085" s="4">
        <v>0</v>
      </c>
      <c r="AE1085" s="4" t="s">
        <v>49</v>
      </c>
      <c r="AF1085" s="4">
        <v>0</v>
      </c>
      <c r="AG1085" s="4" t="s">
        <v>712</v>
      </c>
      <c r="AH1085" s="4" t="s">
        <v>711</v>
      </c>
      <c r="AI1085" s="4" t="s">
        <v>988</v>
      </c>
      <c r="AJ1085" s="13">
        <v>0</v>
      </c>
      <c r="AK1085" s="13">
        <v>15</v>
      </c>
      <c r="AM1085" s="13" t="s">
        <v>546</v>
      </c>
      <c r="AP1085" s="13" t="s">
        <v>50</v>
      </c>
      <c r="AQ1085" s="13" t="s">
        <v>50</v>
      </c>
      <c r="AR1085" s="13" t="s">
        <v>49</v>
      </c>
      <c r="AS1085" s="13" t="s">
        <v>49</v>
      </c>
      <c r="AT1085" s="13" t="s">
        <v>992</v>
      </c>
      <c r="AU1085" s="4" t="s">
        <v>1000</v>
      </c>
      <c r="AV1085" s="14">
        <v>16.399999999999999</v>
      </c>
      <c r="AW1085" s="14">
        <v>12.1</v>
      </c>
      <c r="AX1085" s="14">
        <f>Table1347456[[#This Row],[treatment_mean]]/Table1347456[[#This Row],[control_mean]]</f>
        <v>1.3553719008264462</v>
      </c>
      <c r="AY1085" s="14">
        <f>LN(Table1347456[[#This Row],[rr]])</f>
        <v>0.30407588222745729</v>
      </c>
      <c r="AZ1085" s="13">
        <v>4</v>
      </c>
      <c r="BA1085" s="13">
        <v>4</v>
      </c>
      <c r="BB1085" s="14" t="s">
        <v>46</v>
      </c>
      <c r="BC1085" s="14" t="s">
        <v>46</v>
      </c>
      <c r="BD1085" s="15" t="s">
        <v>46</v>
      </c>
      <c r="BE1085" s="14" t="s">
        <v>46</v>
      </c>
      <c r="BF108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85" s="17" t="s">
        <v>46</v>
      </c>
      <c r="BH1085" s="13" t="s">
        <v>50</v>
      </c>
      <c r="BI1085" s="13">
        <v>2.5000000000000001E-2</v>
      </c>
      <c r="BJ1085" s="18">
        <f>ABS(_xlfn.NORM.S.INV(Table1347456[[#This Row],[p_value]]/2))</f>
        <v>2.2414027276049446</v>
      </c>
      <c r="BK1085" s="19">
        <f>(Table1347456[[#This Row],[lnrr]]/Table1347456[[#This Row],[z_from_p]])^2</f>
        <v>1.8404505736190784E-2</v>
      </c>
      <c r="BL1085" s="16">
        <f>Table1347456[[#This Row],[v_from_z_from_p]]</f>
        <v>1.8404505736190784E-2</v>
      </c>
      <c r="BM1085" s="20">
        <f>SQRT(Table1347456[[#This Row],[v]])</f>
        <v>0.13566320700982556</v>
      </c>
      <c r="BN1085" s="20">
        <f>Table1347456[[#This Row],[lnrr]]-(1.96*Table1347456[[#This Row],[se]])</f>
        <v>3.8175996488199193E-2</v>
      </c>
      <c r="BO1085" s="20">
        <f>Table1347456[[#This Row],[lnrr]]+(1.96 * Table1347456[[#This Row],[se]])</f>
        <v>0.56997576796671545</v>
      </c>
    </row>
    <row r="1086" spans="1:67">
      <c r="A1086" s="13" t="s">
        <v>351</v>
      </c>
      <c r="B1086" s="13" t="s">
        <v>352</v>
      </c>
      <c r="C1086" s="13" t="s">
        <v>43</v>
      </c>
      <c r="D1086" s="13" t="s">
        <v>281</v>
      </c>
      <c r="E1086" s="13" t="s">
        <v>353</v>
      </c>
      <c r="F1086" s="13" t="s">
        <v>587</v>
      </c>
      <c r="G1086" s="13" t="s">
        <v>46</v>
      </c>
      <c r="H1086" s="13">
        <v>28.19</v>
      </c>
      <c r="I1086" s="13" t="s">
        <v>46</v>
      </c>
      <c r="K1086" s="13" t="s">
        <v>918</v>
      </c>
      <c r="L1086" s="13" t="s">
        <v>919</v>
      </c>
      <c r="N1086" s="13" t="s">
        <v>614</v>
      </c>
      <c r="O1086" s="13" t="s">
        <v>614</v>
      </c>
      <c r="P1086" s="13" t="s">
        <v>87</v>
      </c>
      <c r="Q1086" s="13" t="s">
        <v>87</v>
      </c>
      <c r="R1086" s="4">
        <v>4</v>
      </c>
      <c r="S1086" s="13" t="s">
        <v>594</v>
      </c>
      <c r="T1086" s="13">
        <v>210</v>
      </c>
      <c r="U1086" s="4" t="s">
        <v>350</v>
      </c>
      <c r="V1086" s="4">
        <v>350</v>
      </c>
      <c r="W1086" s="4" t="s">
        <v>42</v>
      </c>
      <c r="X1086" s="4">
        <v>614.29999999999995</v>
      </c>
      <c r="Y1086" s="4">
        <v>25</v>
      </c>
      <c r="AA1086" s="4" t="s">
        <v>50</v>
      </c>
      <c r="AB1086" s="4">
        <v>250</v>
      </c>
      <c r="AC1086" s="4" t="s">
        <v>49</v>
      </c>
      <c r="AD1086" s="4">
        <v>0</v>
      </c>
      <c r="AE1086" s="4" t="s">
        <v>49</v>
      </c>
      <c r="AF1086" s="4">
        <v>0</v>
      </c>
      <c r="AG1086" s="4" t="s">
        <v>712</v>
      </c>
      <c r="AH1086" s="4" t="s">
        <v>711</v>
      </c>
      <c r="AI1086" s="4" t="s">
        <v>988</v>
      </c>
      <c r="AJ1086" s="13">
        <v>0</v>
      </c>
      <c r="AK1086" s="13">
        <v>15</v>
      </c>
      <c r="AM1086" s="13" t="s">
        <v>546</v>
      </c>
      <c r="AP1086" s="13" t="s">
        <v>50</v>
      </c>
      <c r="AQ1086" s="13" t="s">
        <v>50</v>
      </c>
      <c r="AR1086" s="13" t="s">
        <v>49</v>
      </c>
      <c r="AS1086" s="13" t="s">
        <v>49</v>
      </c>
      <c r="AT1086" s="13" t="s">
        <v>992</v>
      </c>
      <c r="AU1086" s="4" t="s">
        <v>1000</v>
      </c>
      <c r="AV1086" s="14">
        <v>16.8</v>
      </c>
      <c r="AW1086" s="14">
        <v>12.1</v>
      </c>
      <c r="AX1086" s="14">
        <f>Table1347456[[#This Row],[treatment_mean]]/Table1347456[[#This Row],[control_mean]]</f>
        <v>1.3884297520661157</v>
      </c>
      <c r="AY1086" s="14">
        <f>LN(Table1347456[[#This Row],[rr]])</f>
        <v>0.32817343380651787</v>
      </c>
      <c r="AZ1086" s="13">
        <v>4</v>
      </c>
      <c r="BA1086" s="13">
        <v>4</v>
      </c>
      <c r="BB1086" s="14" t="s">
        <v>46</v>
      </c>
      <c r="BC1086" s="14" t="s">
        <v>46</v>
      </c>
      <c r="BD1086" s="15" t="s">
        <v>46</v>
      </c>
      <c r="BE1086" s="14" t="s">
        <v>46</v>
      </c>
      <c r="BF108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86" s="17" t="s">
        <v>46</v>
      </c>
      <c r="BH1086" s="13" t="s">
        <v>50</v>
      </c>
      <c r="BI1086" s="13">
        <v>2.5000000000000001E-2</v>
      </c>
      <c r="BJ1086" s="18">
        <f>ABS(_xlfn.NORM.S.INV(Table1347456[[#This Row],[p_value]]/2))</f>
        <v>2.2414027276049446</v>
      </c>
      <c r="BK1086" s="19">
        <f>(Table1347456[[#This Row],[lnrr]]/Table1347456[[#This Row],[z_from_p]])^2</f>
        <v>2.1437150174359775E-2</v>
      </c>
      <c r="BL1086" s="16">
        <f>Table1347456[[#This Row],[v_from_z_from_p]]</f>
        <v>2.1437150174359775E-2</v>
      </c>
      <c r="BM1086" s="20">
        <f>SQRT(Table1347456[[#This Row],[v]])</f>
        <v>0.14641431000540819</v>
      </c>
      <c r="BN1086" s="20">
        <f>Table1347456[[#This Row],[lnrr]]-(1.96*Table1347456[[#This Row],[se]])</f>
        <v>4.1201386195917789E-2</v>
      </c>
      <c r="BO1086" s="20">
        <f>Table1347456[[#This Row],[lnrr]]+(1.96 * Table1347456[[#This Row],[se]])</f>
        <v>0.615145481417118</v>
      </c>
    </row>
    <row r="1087" spans="1:67">
      <c r="A1087" s="13" t="s">
        <v>351</v>
      </c>
      <c r="B1087" s="13" t="s">
        <v>352</v>
      </c>
      <c r="C1087" s="13" t="s">
        <v>43</v>
      </c>
      <c r="D1087" s="13" t="s">
        <v>281</v>
      </c>
      <c r="E1087" s="13" t="s">
        <v>353</v>
      </c>
      <c r="F1087" s="13" t="s">
        <v>587</v>
      </c>
      <c r="G1087" s="13" t="s">
        <v>46</v>
      </c>
      <c r="H1087" s="13">
        <v>28.19</v>
      </c>
      <c r="I1087" s="13" t="s">
        <v>46</v>
      </c>
      <c r="K1087" s="13" t="s">
        <v>918</v>
      </c>
      <c r="L1087" s="13" t="s">
        <v>919</v>
      </c>
      <c r="N1087" s="13" t="s">
        <v>81</v>
      </c>
      <c r="O1087" s="13" t="s">
        <v>82</v>
      </c>
      <c r="P1087" s="13" t="s">
        <v>83</v>
      </c>
      <c r="Q1087" s="13" t="s">
        <v>83</v>
      </c>
      <c r="R1087" s="4">
        <v>4</v>
      </c>
      <c r="S1087" s="13" t="s">
        <v>594</v>
      </c>
      <c r="T1087" s="13">
        <v>210</v>
      </c>
      <c r="U1087" s="4" t="s">
        <v>350</v>
      </c>
      <c r="V1087" s="4">
        <v>350</v>
      </c>
      <c r="W1087" s="4" t="s">
        <v>42</v>
      </c>
      <c r="X1087" s="4">
        <v>614.29999999999995</v>
      </c>
      <c r="Y1087" s="4">
        <v>6.25</v>
      </c>
      <c r="AA1087" s="4" t="s">
        <v>50</v>
      </c>
      <c r="AB1087" s="4">
        <v>250</v>
      </c>
      <c r="AC1087" s="4" t="s">
        <v>49</v>
      </c>
      <c r="AD1087" s="4">
        <v>0</v>
      </c>
      <c r="AE1087" s="4" t="s">
        <v>49</v>
      </c>
      <c r="AF1087" s="4">
        <v>0</v>
      </c>
      <c r="AG1087" s="4" t="s">
        <v>712</v>
      </c>
      <c r="AH1087" s="4" t="s">
        <v>711</v>
      </c>
      <c r="AI1087" s="4" t="s">
        <v>988</v>
      </c>
      <c r="AJ1087" s="13">
        <v>0</v>
      </c>
      <c r="AK1087" s="13">
        <v>15</v>
      </c>
      <c r="AM1087" s="13" t="s">
        <v>546</v>
      </c>
      <c r="AP1087" s="13" t="s">
        <v>50</v>
      </c>
      <c r="AQ1087" s="13" t="s">
        <v>50</v>
      </c>
      <c r="AR1087" s="13" t="s">
        <v>49</v>
      </c>
      <c r="AS1087" s="13" t="s">
        <v>49</v>
      </c>
      <c r="AT1087" s="13" t="s">
        <v>992</v>
      </c>
      <c r="AU1087" s="4" t="s">
        <v>1000</v>
      </c>
      <c r="AV1087" s="14">
        <v>3.47</v>
      </c>
      <c r="AW1087" s="14">
        <v>2.46</v>
      </c>
      <c r="AX1087" s="14">
        <f>Table1347456[[#This Row],[treatment_mean]]/Table1347456[[#This Row],[control_mean]]</f>
        <v>1.410569105691057</v>
      </c>
      <c r="AY1087" s="14">
        <f>LN(Table1347456[[#This Row],[rr]])</f>
        <v>0.34399324401449644</v>
      </c>
      <c r="AZ1087" s="13">
        <v>4</v>
      </c>
      <c r="BA1087" s="13">
        <v>4</v>
      </c>
      <c r="BB1087" s="14" t="s">
        <v>46</v>
      </c>
      <c r="BC1087" s="14" t="s">
        <v>46</v>
      </c>
      <c r="BD1087" s="15" t="s">
        <v>46</v>
      </c>
      <c r="BE1087" s="14" t="s">
        <v>46</v>
      </c>
      <c r="BF108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87" s="17" t="s">
        <v>46</v>
      </c>
      <c r="BH1087" s="13" t="s">
        <v>50</v>
      </c>
      <c r="BI1087" s="13">
        <v>2.5000000000000001E-2</v>
      </c>
      <c r="BJ1087" s="18">
        <f>ABS(_xlfn.NORM.S.INV(Table1347456[[#This Row],[p_value]]/2))</f>
        <v>2.2414027276049446</v>
      </c>
      <c r="BK1087" s="19">
        <f>(Table1347456[[#This Row],[lnrr]]/Table1347456[[#This Row],[z_from_p]])^2</f>
        <v>2.3553748535625443E-2</v>
      </c>
      <c r="BL1087" s="16">
        <f>Table1347456[[#This Row],[v_from_z_from_p]]</f>
        <v>2.3553748535625443E-2</v>
      </c>
      <c r="BM1087" s="20">
        <f>SQRT(Table1347456[[#This Row],[v]])</f>
        <v>0.15347230543529813</v>
      </c>
      <c r="BN1087" s="20">
        <f>Table1347456[[#This Row],[lnrr]]-(1.96*Table1347456[[#This Row],[se]])</f>
        <v>4.3187525361312096E-2</v>
      </c>
      <c r="BO1087" s="20">
        <f>Table1347456[[#This Row],[lnrr]]+(1.96 * Table1347456[[#This Row],[se]])</f>
        <v>0.64479896266768078</v>
      </c>
    </row>
    <row r="1088" spans="1:67">
      <c r="A1088" s="13" t="s">
        <v>351</v>
      </c>
      <c r="B1088" s="13" t="s">
        <v>352</v>
      </c>
      <c r="C1088" s="13" t="s">
        <v>43</v>
      </c>
      <c r="D1088" s="13" t="s">
        <v>281</v>
      </c>
      <c r="E1088" s="13" t="s">
        <v>353</v>
      </c>
      <c r="F1088" s="13" t="s">
        <v>587</v>
      </c>
      <c r="G1088" s="13" t="s">
        <v>46</v>
      </c>
      <c r="H1088" s="13">
        <v>28.19</v>
      </c>
      <c r="I1088" s="13" t="s">
        <v>46</v>
      </c>
      <c r="K1088" s="13" t="s">
        <v>918</v>
      </c>
      <c r="L1088" s="13" t="s">
        <v>919</v>
      </c>
      <c r="N1088" s="13" t="s">
        <v>81</v>
      </c>
      <c r="O1088" s="13" t="s">
        <v>82</v>
      </c>
      <c r="P1088" s="13" t="s">
        <v>83</v>
      </c>
      <c r="Q1088" s="13" t="s">
        <v>83</v>
      </c>
      <c r="R1088" s="4">
        <v>4</v>
      </c>
      <c r="S1088" s="13" t="s">
        <v>594</v>
      </c>
      <c r="T1088" s="13">
        <v>210</v>
      </c>
      <c r="U1088" s="4" t="s">
        <v>350</v>
      </c>
      <c r="V1088" s="4">
        <v>350</v>
      </c>
      <c r="W1088" s="4" t="s">
        <v>42</v>
      </c>
      <c r="X1088" s="4">
        <v>614.29999999999995</v>
      </c>
      <c r="Y1088" s="4">
        <v>12.5</v>
      </c>
      <c r="AA1088" s="4" t="s">
        <v>50</v>
      </c>
      <c r="AB1088" s="4">
        <v>250</v>
      </c>
      <c r="AC1088" s="4" t="s">
        <v>49</v>
      </c>
      <c r="AD1088" s="4">
        <v>0</v>
      </c>
      <c r="AE1088" s="4" t="s">
        <v>49</v>
      </c>
      <c r="AF1088" s="4">
        <v>0</v>
      </c>
      <c r="AG1088" s="4" t="s">
        <v>712</v>
      </c>
      <c r="AH1088" s="4" t="s">
        <v>711</v>
      </c>
      <c r="AI1088" s="4" t="s">
        <v>988</v>
      </c>
      <c r="AJ1088" s="13">
        <v>0</v>
      </c>
      <c r="AK1088" s="13">
        <v>15</v>
      </c>
      <c r="AM1088" s="13" t="s">
        <v>546</v>
      </c>
      <c r="AP1088" s="13" t="s">
        <v>50</v>
      </c>
      <c r="AQ1088" s="13" t="s">
        <v>50</v>
      </c>
      <c r="AR1088" s="13" t="s">
        <v>49</v>
      </c>
      <c r="AS1088" s="13" t="s">
        <v>49</v>
      </c>
      <c r="AT1088" s="13" t="s">
        <v>992</v>
      </c>
      <c r="AU1088" s="4" t="s">
        <v>1000</v>
      </c>
      <c r="AV1088" s="14">
        <v>4.03</v>
      </c>
      <c r="AW1088" s="14">
        <v>2.46</v>
      </c>
      <c r="AX1088" s="14">
        <f>Table1347456[[#This Row],[treatment_mean]]/Table1347456[[#This Row],[control_mean]]</f>
        <v>1.6382113821138213</v>
      </c>
      <c r="AY1088" s="14">
        <f>LN(Table1347456[[#This Row],[rr]])</f>
        <v>0.49360502601432032</v>
      </c>
      <c r="AZ1088" s="13">
        <v>4</v>
      </c>
      <c r="BA1088" s="13">
        <v>4</v>
      </c>
      <c r="BB1088" s="14" t="s">
        <v>46</v>
      </c>
      <c r="BC1088" s="14" t="s">
        <v>46</v>
      </c>
      <c r="BD1088" s="15" t="s">
        <v>46</v>
      </c>
      <c r="BE1088" s="14" t="s">
        <v>46</v>
      </c>
      <c r="BF108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88" s="17" t="s">
        <v>46</v>
      </c>
      <c r="BH1088" s="13" t="s">
        <v>50</v>
      </c>
      <c r="BI1088" s="13">
        <v>2.5000000000000001E-2</v>
      </c>
      <c r="BJ1088" s="18">
        <f>ABS(_xlfn.NORM.S.INV(Table1347456[[#This Row],[p_value]]/2))</f>
        <v>2.2414027276049446</v>
      </c>
      <c r="BK1088" s="19">
        <f>(Table1347456[[#This Row],[lnrr]]/Table1347456[[#This Row],[z_from_p]])^2</f>
        <v>4.8497500266187189E-2</v>
      </c>
      <c r="BL1088" s="16">
        <f>Table1347456[[#This Row],[v_from_z_from_p]]</f>
        <v>4.8497500266187189E-2</v>
      </c>
      <c r="BM1088" s="20">
        <f>SQRT(Table1347456[[#This Row],[v]])</f>
        <v>0.22022148002905437</v>
      </c>
      <c r="BN1088" s="20">
        <f>Table1347456[[#This Row],[lnrr]]-(1.96*Table1347456[[#This Row],[se]])</f>
        <v>6.1970925157373791E-2</v>
      </c>
      <c r="BO1088" s="20">
        <f>Table1347456[[#This Row],[lnrr]]+(1.96 * Table1347456[[#This Row],[se]])</f>
        <v>0.92523912687126686</v>
      </c>
    </row>
    <row r="1089" spans="1:67">
      <c r="A1089" s="13" t="s">
        <v>351</v>
      </c>
      <c r="B1089" s="13" t="s">
        <v>352</v>
      </c>
      <c r="C1089" s="13" t="s">
        <v>43</v>
      </c>
      <c r="D1089" s="13" t="s">
        <v>281</v>
      </c>
      <c r="E1089" s="13" t="s">
        <v>353</v>
      </c>
      <c r="F1089" s="13" t="s">
        <v>587</v>
      </c>
      <c r="G1089" s="13" t="s">
        <v>46</v>
      </c>
      <c r="H1089" s="13">
        <v>28.19</v>
      </c>
      <c r="I1089" s="13" t="s">
        <v>46</v>
      </c>
      <c r="K1089" s="13" t="s">
        <v>918</v>
      </c>
      <c r="L1089" s="13" t="s">
        <v>919</v>
      </c>
      <c r="N1089" s="13" t="s">
        <v>81</v>
      </c>
      <c r="O1089" s="13" t="s">
        <v>82</v>
      </c>
      <c r="P1089" s="13" t="s">
        <v>83</v>
      </c>
      <c r="Q1089" s="13" t="s">
        <v>83</v>
      </c>
      <c r="R1089" s="4">
        <v>4</v>
      </c>
      <c r="S1089" s="13" t="s">
        <v>594</v>
      </c>
      <c r="T1089" s="13">
        <v>210</v>
      </c>
      <c r="U1089" s="4" t="s">
        <v>350</v>
      </c>
      <c r="V1089" s="4">
        <v>350</v>
      </c>
      <c r="W1089" s="4" t="s">
        <v>42</v>
      </c>
      <c r="X1089" s="4">
        <v>614.29999999999995</v>
      </c>
      <c r="Y1089" s="4">
        <v>18.75</v>
      </c>
      <c r="AA1089" s="4" t="s">
        <v>50</v>
      </c>
      <c r="AB1089" s="4">
        <v>250</v>
      </c>
      <c r="AC1089" s="4" t="s">
        <v>49</v>
      </c>
      <c r="AD1089" s="4">
        <v>0</v>
      </c>
      <c r="AE1089" s="4" t="s">
        <v>49</v>
      </c>
      <c r="AF1089" s="4">
        <v>0</v>
      </c>
      <c r="AG1089" s="4" t="s">
        <v>712</v>
      </c>
      <c r="AH1089" s="4" t="s">
        <v>711</v>
      </c>
      <c r="AI1089" s="4" t="s">
        <v>988</v>
      </c>
      <c r="AJ1089" s="13">
        <v>0</v>
      </c>
      <c r="AK1089" s="13">
        <v>15</v>
      </c>
      <c r="AM1089" s="13" t="s">
        <v>546</v>
      </c>
      <c r="AP1089" s="13" t="s">
        <v>50</v>
      </c>
      <c r="AQ1089" s="13" t="s">
        <v>50</v>
      </c>
      <c r="AR1089" s="13" t="s">
        <v>49</v>
      </c>
      <c r="AS1089" s="13" t="s">
        <v>49</v>
      </c>
      <c r="AT1089" s="13" t="s">
        <v>992</v>
      </c>
      <c r="AU1089" s="4" t="s">
        <v>1000</v>
      </c>
      <c r="AV1089" s="14">
        <v>4.55</v>
      </c>
      <c r="AW1089" s="14">
        <v>2.46</v>
      </c>
      <c r="AX1089" s="14">
        <f>Table1347456[[#This Row],[treatment_mean]]/Table1347456[[#This Row],[control_mean]]</f>
        <v>1.8495934959349594</v>
      </c>
      <c r="AY1089" s="14">
        <f>LN(Table1347456[[#This Row],[rr]])</f>
        <v>0.61496588301858757</v>
      </c>
      <c r="AZ1089" s="13">
        <v>4</v>
      </c>
      <c r="BA1089" s="13">
        <v>4</v>
      </c>
      <c r="BB1089" s="14" t="s">
        <v>46</v>
      </c>
      <c r="BC1089" s="14" t="s">
        <v>46</v>
      </c>
      <c r="BD1089" s="15" t="s">
        <v>46</v>
      </c>
      <c r="BE1089" s="14" t="s">
        <v>46</v>
      </c>
      <c r="BF108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89" s="17" t="s">
        <v>46</v>
      </c>
      <c r="BH1089" s="13" t="s">
        <v>50</v>
      </c>
      <c r="BI1089" s="13">
        <v>2.5000000000000001E-2</v>
      </c>
      <c r="BJ1089" s="18">
        <f>ABS(_xlfn.NORM.S.INV(Table1347456[[#This Row],[p_value]]/2))</f>
        <v>2.2414027276049446</v>
      </c>
      <c r="BK1089" s="19">
        <f>(Table1347456[[#This Row],[lnrr]]/Table1347456[[#This Row],[z_from_p]])^2</f>
        <v>7.5276991391988221E-2</v>
      </c>
      <c r="BL1089" s="16">
        <f>Table1347456[[#This Row],[v_from_z_from_p]]</f>
        <v>7.5276991391988221E-2</v>
      </c>
      <c r="BM1089" s="20">
        <f>SQRT(Table1347456[[#This Row],[v]])</f>
        <v>0.27436652746278695</v>
      </c>
      <c r="BN1089" s="20">
        <f>Table1347456[[#This Row],[lnrr]]-(1.96*Table1347456[[#This Row],[se]])</f>
        <v>7.7207489191525203E-2</v>
      </c>
      <c r="BO1089" s="20">
        <f>Table1347456[[#This Row],[lnrr]]+(1.96 * Table1347456[[#This Row],[se]])</f>
        <v>1.15272427684565</v>
      </c>
    </row>
    <row r="1090" spans="1:67">
      <c r="A1090" s="13" t="s">
        <v>351</v>
      </c>
      <c r="B1090" s="13" t="s">
        <v>352</v>
      </c>
      <c r="C1090" s="13" t="s">
        <v>43</v>
      </c>
      <c r="D1090" s="13" t="s">
        <v>281</v>
      </c>
      <c r="E1090" s="13" t="s">
        <v>353</v>
      </c>
      <c r="F1090" s="13" t="s">
        <v>587</v>
      </c>
      <c r="G1090" s="13" t="s">
        <v>46</v>
      </c>
      <c r="H1090" s="13">
        <v>28.19</v>
      </c>
      <c r="I1090" s="13" t="s">
        <v>46</v>
      </c>
      <c r="K1090" s="13" t="s">
        <v>918</v>
      </c>
      <c r="L1090" s="13" t="s">
        <v>919</v>
      </c>
      <c r="N1090" s="13" t="s">
        <v>81</v>
      </c>
      <c r="O1090" s="13" t="s">
        <v>82</v>
      </c>
      <c r="P1090" s="13" t="s">
        <v>83</v>
      </c>
      <c r="Q1090" s="13" t="s">
        <v>83</v>
      </c>
      <c r="R1090" s="4">
        <v>4</v>
      </c>
      <c r="S1090" s="13" t="s">
        <v>594</v>
      </c>
      <c r="T1090" s="13">
        <v>210</v>
      </c>
      <c r="U1090" s="4" t="s">
        <v>350</v>
      </c>
      <c r="V1090" s="4">
        <v>350</v>
      </c>
      <c r="W1090" s="4" t="s">
        <v>42</v>
      </c>
      <c r="X1090" s="4">
        <v>614.29999999999995</v>
      </c>
      <c r="Y1090" s="4">
        <v>25</v>
      </c>
      <c r="AA1090" s="4" t="s">
        <v>50</v>
      </c>
      <c r="AB1090" s="4">
        <v>250</v>
      </c>
      <c r="AC1090" s="4" t="s">
        <v>49</v>
      </c>
      <c r="AD1090" s="4">
        <v>0</v>
      </c>
      <c r="AE1090" s="4" t="s">
        <v>49</v>
      </c>
      <c r="AF1090" s="4">
        <v>0</v>
      </c>
      <c r="AG1090" s="4" t="s">
        <v>712</v>
      </c>
      <c r="AH1090" s="4" t="s">
        <v>711</v>
      </c>
      <c r="AI1090" s="4" t="s">
        <v>988</v>
      </c>
      <c r="AJ1090" s="13">
        <v>0</v>
      </c>
      <c r="AK1090" s="13">
        <v>15</v>
      </c>
      <c r="AM1090" s="13" t="s">
        <v>546</v>
      </c>
      <c r="AP1090" s="13" t="s">
        <v>50</v>
      </c>
      <c r="AQ1090" s="13" t="s">
        <v>50</v>
      </c>
      <c r="AR1090" s="13" t="s">
        <v>49</v>
      </c>
      <c r="AS1090" s="13" t="s">
        <v>49</v>
      </c>
      <c r="AT1090" s="13" t="s">
        <v>992</v>
      </c>
      <c r="AU1090" s="4" t="s">
        <v>1000</v>
      </c>
      <c r="AV1090" s="14">
        <v>6.05</v>
      </c>
      <c r="AW1090" s="14">
        <v>2.46</v>
      </c>
      <c r="AX1090" s="14">
        <f>Table1347456[[#This Row],[treatment_mean]]/Table1347456[[#This Row],[control_mean]]</f>
        <v>2.4593495934959351</v>
      </c>
      <c r="AY1090" s="14">
        <f>LN(Table1347456[[#This Row],[rr]])</f>
        <v>0.89989692209847871</v>
      </c>
      <c r="AZ1090" s="13">
        <v>4</v>
      </c>
      <c r="BA1090" s="13">
        <v>4</v>
      </c>
      <c r="BB1090" s="14" t="s">
        <v>46</v>
      </c>
      <c r="BC1090" s="14" t="s">
        <v>46</v>
      </c>
      <c r="BD1090" s="15" t="s">
        <v>46</v>
      </c>
      <c r="BE1090" s="14" t="s">
        <v>46</v>
      </c>
      <c r="BF109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90" s="17" t="s">
        <v>46</v>
      </c>
      <c r="BH1090" s="13" t="s">
        <v>50</v>
      </c>
      <c r="BI1090" s="13">
        <v>2.5000000000000001E-2</v>
      </c>
      <c r="BJ1090" s="18">
        <f>ABS(_xlfn.NORM.S.INV(Table1347456[[#This Row],[p_value]]/2))</f>
        <v>2.2414027276049446</v>
      </c>
      <c r="BK1090" s="19">
        <f>(Table1347456[[#This Row],[lnrr]]/Table1347456[[#This Row],[z_from_p]])^2</f>
        <v>0.1611928376178316</v>
      </c>
      <c r="BL1090" s="16">
        <f>Table1347456[[#This Row],[v_from_z_from_p]]</f>
        <v>0.1611928376178316</v>
      </c>
      <c r="BM1090" s="20">
        <f>SQRT(Table1347456[[#This Row],[v]])</f>
        <v>0.40148827830689104</v>
      </c>
      <c r="BN1090" s="20">
        <f>Table1347456[[#This Row],[lnrr]]-(1.96*Table1347456[[#This Row],[se]])</f>
        <v>0.11297989661697228</v>
      </c>
      <c r="BO1090" s="20">
        <f>Table1347456[[#This Row],[lnrr]]+(1.96 * Table1347456[[#This Row],[se]])</f>
        <v>1.686813947579985</v>
      </c>
    </row>
    <row r="1091" spans="1:67">
      <c r="A1091" s="13" t="s">
        <v>101</v>
      </c>
      <c r="B1091" s="13" t="s">
        <v>354</v>
      </c>
      <c r="C1091" s="13" t="s">
        <v>43</v>
      </c>
      <c r="D1091" s="13" t="s">
        <v>355</v>
      </c>
      <c r="E1091" s="13" t="s">
        <v>91</v>
      </c>
      <c r="F1091" s="13" t="s">
        <v>587</v>
      </c>
      <c r="G1091" s="13" t="s">
        <v>45</v>
      </c>
      <c r="H1091" s="13">
        <v>18.5</v>
      </c>
      <c r="I1091" s="13">
        <v>210.6</v>
      </c>
      <c r="K1091" s="13" t="s">
        <v>920</v>
      </c>
      <c r="L1091" s="13" t="s">
        <v>921</v>
      </c>
      <c r="N1091" s="13" t="s">
        <v>47</v>
      </c>
      <c r="O1091" s="13" t="s">
        <v>645</v>
      </c>
      <c r="P1091" s="13" t="s">
        <v>48</v>
      </c>
      <c r="Q1091" s="13" t="s">
        <v>48</v>
      </c>
      <c r="R1091" s="4">
        <v>4</v>
      </c>
      <c r="S1091" s="13" t="s">
        <v>594</v>
      </c>
      <c r="T1091" s="13">
        <v>200</v>
      </c>
      <c r="U1091" s="4" t="s">
        <v>356</v>
      </c>
      <c r="V1091" s="4">
        <v>450</v>
      </c>
      <c r="W1091" s="4" t="s">
        <v>601</v>
      </c>
      <c r="X1091" s="4">
        <v>625</v>
      </c>
      <c r="Y1091" s="4">
        <v>39</v>
      </c>
      <c r="Z1091" s="4" t="s">
        <v>489</v>
      </c>
      <c r="AA1091" s="4" t="s">
        <v>49</v>
      </c>
      <c r="AB1091" s="4">
        <v>0</v>
      </c>
      <c r="AC1091" s="4" t="s">
        <v>50</v>
      </c>
      <c r="AD1091" s="4" t="s">
        <v>808</v>
      </c>
      <c r="AE1091" s="4" t="s">
        <v>49</v>
      </c>
      <c r="AF1091" s="4">
        <v>0</v>
      </c>
      <c r="AG1091" s="4" t="s">
        <v>698</v>
      </c>
      <c r="AH1091" s="4" t="s">
        <v>46</v>
      </c>
      <c r="AI1091" s="4" t="s">
        <v>78</v>
      </c>
      <c r="AJ1091" s="13">
        <v>0</v>
      </c>
      <c r="AK1091" s="13">
        <v>30</v>
      </c>
      <c r="AM1091" s="13" t="s">
        <v>528</v>
      </c>
      <c r="AP1091" s="13" t="s">
        <v>50</v>
      </c>
      <c r="AQ1091" s="13" t="s">
        <v>49</v>
      </c>
      <c r="AR1091" s="13" t="s">
        <v>49</v>
      </c>
      <c r="AS1091" s="13" t="s">
        <v>49</v>
      </c>
      <c r="AT1091" s="13" t="s">
        <v>993</v>
      </c>
      <c r="AU1091" s="13" t="s">
        <v>1001</v>
      </c>
      <c r="AV1091" s="14">
        <v>3.25</v>
      </c>
      <c r="AW1091" s="14">
        <v>2.96</v>
      </c>
      <c r="AX1091" s="14">
        <f>Table1347456[[#This Row],[treatment_mean]]/Table1347456[[#This Row],[control_mean]]</f>
        <v>1.097972972972973</v>
      </c>
      <c r="AY1091" s="14">
        <f>LN(Table1347456[[#This Row],[rr]])</f>
        <v>9.3465728005677165E-2</v>
      </c>
      <c r="AZ1091" s="13">
        <v>4</v>
      </c>
      <c r="BA1091" s="13">
        <v>4</v>
      </c>
      <c r="BB1091" s="14" t="s">
        <v>46</v>
      </c>
      <c r="BC1091" s="14" t="s">
        <v>46</v>
      </c>
      <c r="BD1091" s="15" t="s">
        <v>46</v>
      </c>
      <c r="BE1091" s="14" t="s">
        <v>46</v>
      </c>
      <c r="BF109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91" s="17" t="s">
        <v>46</v>
      </c>
      <c r="BH1091" s="13" t="s">
        <v>50</v>
      </c>
      <c r="BI1091" s="13">
        <v>0.05</v>
      </c>
      <c r="BJ1091" s="18">
        <f>ABS(_xlfn.NORM.S.INV(Table1347456[[#This Row],[p_value]]/2))</f>
        <v>1.9599639845400538</v>
      </c>
      <c r="BK1091" s="19">
        <f>(Table1347456[[#This Row],[lnrr]]/Table1347456[[#This Row],[z_from_p]])^2</f>
        <v>2.2740950038487515E-3</v>
      </c>
      <c r="BL1091" s="16">
        <f>Table1347456[[#This Row],[v_from_z_from_p]]</f>
        <v>2.2740950038487515E-3</v>
      </c>
      <c r="BM1091" s="20">
        <f>SQRT(Table1347456[[#This Row],[v]])</f>
        <v>4.7687472189755997E-2</v>
      </c>
      <c r="BN1091" s="20">
        <f>Table1347456[[#This Row],[lnrr]]-(1.96*Table1347456[[#This Row],[se]])</f>
        <v>-1.7174862445845651E-6</v>
      </c>
      <c r="BO1091" s="20">
        <f>Table1347456[[#This Row],[lnrr]]+(1.96 * Table1347456[[#This Row],[se]])</f>
        <v>0.18693317349759891</v>
      </c>
    </row>
    <row r="1092" spans="1:67">
      <c r="A1092" s="13" t="s">
        <v>101</v>
      </c>
      <c r="B1092" s="13" t="s">
        <v>354</v>
      </c>
      <c r="C1092" s="13" t="s">
        <v>43</v>
      </c>
      <c r="D1092" s="13" t="s">
        <v>355</v>
      </c>
      <c r="E1092" s="13" t="s">
        <v>91</v>
      </c>
      <c r="F1092" s="13" t="s">
        <v>587</v>
      </c>
      <c r="G1092" s="13" t="s">
        <v>45</v>
      </c>
      <c r="H1092" s="13">
        <v>18.5</v>
      </c>
      <c r="I1092" s="13">
        <v>210.6</v>
      </c>
      <c r="K1092" s="13" t="s">
        <v>920</v>
      </c>
      <c r="L1092" s="13" t="s">
        <v>921</v>
      </c>
      <c r="N1092" s="13" t="s">
        <v>47</v>
      </c>
      <c r="O1092" s="13" t="s">
        <v>645</v>
      </c>
      <c r="P1092" s="13" t="s">
        <v>48</v>
      </c>
      <c r="Q1092" s="13" t="s">
        <v>48</v>
      </c>
      <c r="R1092" s="4">
        <v>4</v>
      </c>
      <c r="S1092" s="13" t="s">
        <v>594</v>
      </c>
      <c r="T1092" s="13">
        <v>200</v>
      </c>
      <c r="U1092" s="4" t="s">
        <v>356</v>
      </c>
      <c r="V1092" s="4">
        <v>450</v>
      </c>
      <c r="W1092" s="4" t="s">
        <v>601</v>
      </c>
      <c r="X1092" s="4">
        <v>625</v>
      </c>
      <c r="Y1092" s="4">
        <v>117</v>
      </c>
      <c r="Z1092" s="4" t="s">
        <v>504</v>
      </c>
      <c r="AA1092" s="4" t="s">
        <v>49</v>
      </c>
      <c r="AB1092" s="4">
        <v>0</v>
      </c>
      <c r="AC1092" s="4" t="s">
        <v>50</v>
      </c>
      <c r="AD1092" s="4" t="s">
        <v>808</v>
      </c>
      <c r="AE1092" s="4" t="s">
        <v>49</v>
      </c>
      <c r="AF1092" s="4">
        <v>0</v>
      </c>
      <c r="AG1092" s="4" t="s">
        <v>698</v>
      </c>
      <c r="AH1092" s="4" t="s">
        <v>46</v>
      </c>
      <c r="AI1092" s="4" t="s">
        <v>78</v>
      </c>
      <c r="AJ1092" s="13">
        <v>0</v>
      </c>
      <c r="AK1092" s="13">
        <v>30</v>
      </c>
      <c r="AM1092" s="13" t="s">
        <v>528</v>
      </c>
      <c r="AP1092" s="13" t="s">
        <v>50</v>
      </c>
      <c r="AQ1092" s="13" t="s">
        <v>49</v>
      </c>
      <c r="AR1092" s="13" t="s">
        <v>49</v>
      </c>
      <c r="AS1092" s="13" t="s">
        <v>49</v>
      </c>
      <c r="AT1092" s="13" t="s">
        <v>993</v>
      </c>
      <c r="AU1092" s="13" t="s">
        <v>1001</v>
      </c>
      <c r="AV1092" s="14">
        <v>4.1100000000000003</v>
      </c>
      <c r="AW1092" s="14">
        <v>2.96</v>
      </c>
      <c r="AX1092" s="14">
        <f>Table1347456[[#This Row],[treatment_mean]]/Table1347456[[#This Row],[control_mean]]</f>
        <v>1.3885135135135136</v>
      </c>
      <c r="AY1092" s="14">
        <f>LN(Table1347456[[#This Row],[rr]])</f>
        <v>0.32823376017217432</v>
      </c>
      <c r="AZ1092" s="13">
        <v>4</v>
      </c>
      <c r="BA1092" s="13">
        <v>4</v>
      </c>
      <c r="BB1092" s="14" t="s">
        <v>46</v>
      </c>
      <c r="BC1092" s="14" t="s">
        <v>46</v>
      </c>
      <c r="BD1092" s="15" t="s">
        <v>46</v>
      </c>
      <c r="BE1092" s="14" t="s">
        <v>46</v>
      </c>
      <c r="BF109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92" s="17" t="s">
        <v>46</v>
      </c>
      <c r="BH1092" s="13" t="s">
        <v>50</v>
      </c>
      <c r="BI1092" s="13">
        <v>0.05</v>
      </c>
      <c r="BJ1092" s="18">
        <f>ABS(_xlfn.NORM.S.INV(Table1347456[[#This Row],[p_value]]/2))</f>
        <v>1.9599639845400538</v>
      </c>
      <c r="BK1092" s="19">
        <f>(Table1347456[[#This Row],[lnrr]]/Table1347456[[#This Row],[z_from_p]])^2</f>
        <v>2.8045960231664561E-2</v>
      </c>
      <c r="BL1092" s="16">
        <f>Table1347456[[#This Row],[v_from_z_from_p]]</f>
        <v>2.8045960231664561E-2</v>
      </c>
      <c r="BM1092" s="20">
        <f>SQRT(Table1347456[[#This Row],[v]])</f>
        <v>0.16746928145682288</v>
      </c>
      <c r="BN1092" s="20">
        <f>Table1347456[[#This Row],[lnrr]]-(1.96*Table1347456[[#This Row],[se]])</f>
        <v>-6.0314831985541772E-6</v>
      </c>
      <c r="BO1092" s="20">
        <f>Table1347456[[#This Row],[lnrr]]+(1.96 * Table1347456[[#This Row],[se]])</f>
        <v>0.65647355182754719</v>
      </c>
    </row>
    <row r="1093" spans="1:67">
      <c r="A1093" s="13" t="s">
        <v>101</v>
      </c>
      <c r="B1093" s="13" t="s">
        <v>354</v>
      </c>
      <c r="C1093" s="13" t="s">
        <v>43</v>
      </c>
      <c r="D1093" s="13" t="s">
        <v>355</v>
      </c>
      <c r="E1093" s="13" t="s">
        <v>91</v>
      </c>
      <c r="F1093" s="13" t="s">
        <v>587</v>
      </c>
      <c r="G1093" s="13" t="s">
        <v>45</v>
      </c>
      <c r="H1093" s="13">
        <v>18.5</v>
      </c>
      <c r="I1093" s="13">
        <v>210.6</v>
      </c>
      <c r="K1093" s="13" t="s">
        <v>920</v>
      </c>
      <c r="L1093" s="13" t="s">
        <v>921</v>
      </c>
      <c r="N1093" s="13" t="s">
        <v>47</v>
      </c>
      <c r="O1093" s="13" t="s">
        <v>645</v>
      </c>
      <c r="P1093" s="13" t="s">
        <v>48</v>
      </c>
      <c r="Q1093" s="13" t="s">
        <v>48</v>
      </c>
      <c r="R1093" s="4">
        <v>4</v>
      </c>
      <c r="S1093" s="13" t="s">
        <v>594</v>
      </c>
      <c r="T1093" s="13">
        <v>200</v>
      </c>
      <c r="U1093" s="4" t="s">
        <v>356</v>
      </c>
      <c r="V1093" s="4">
        <v>450</v>
      </c>
      <c r="W1093" s="4" t="s">
        <v>601</v>
      </c>
      <c r="X1093" s="4">
        <v>625</v>
      </c>
      <c r="Y1093" s="4">
        <v>39</v>
      </c>
      <c r="Z1093" s="4" t="s">
        <v>489</v>
      </c>
      <c r="AA1093" s="4" t="s">
        <v>49</v>
      </c>
      <c r="AB1093" s="4">
        <v>0</v>
      </c>
      <c r="AC1093" s="4" t="s">
        <v>50</v>
      </c>
      <c r="AD1093" s="4" t="s">
        <v>809</v>
      </c>
      <c r="AE1093" s="4" t="s">
        <v>49</v>
      </c>
      <c r="AF1093" s="4">
        <v>0</v>
      </c>
      <c r="AG1093" s="4" t="s">
        <v>698</v>
      </c>
      <c r="AH1093" s="4" t="s">
        <v>46</v>
      </c>
      <c r="AI1093" s="4" t="s">
        <v>78</v>
      </c>
      <c r="AJ1093" s="13">
        <v>0</v>
      </c>
      <c r="AK1093" s="13">
        <v>30</v>
      </c>
      <c r="AM1093" s="13" t="s">
        <v>528</v>
      </c>
      <c r="AP1093" s="13" t="s">
        <v>50</v>
      </c>
      <c r="AQ1093" s="13" t="s">
        <v>49</v>
      </c>
      <c r="AR1093" s="13" t="s">
        <v>49</v>
      </c>
      <c r="AS1093" s="13" t="s">
        <v>49</v>
      </c>
      <c r="AT1093" s="13" t="s">
        <v>993</v>
      </c>
      <c r="AU1093" s="13" t="s">
        <v>1001</v>
      </c>
      <c r="AV1093" s="14">
        <v>3.59</v>
      </c>
      <c r="AW1093" s="14">
        <v>3.28</v>
      </c>
      <c r="AX1093" s="14">
        <f>Table1347456[[#This Row],[treatment_mean]]/Table1347456[[#This Row],[control_mean]]</f>
        <v>1.0945121951219512</v>
      </c>
      <c r="AY1093" s="14">
        <f>LN(Table1347456[[#This Row],[rr]])</f>
        <v>9.0308780104135122E-2</v>
      </c>
      <c r="AZ1093" s="13">
        <v>4</v>
      </c>
      <c r="BA1093" s="13">
        <v>4</v>
      </c>
      <c r="BB1093" s="14" t="s">
        <v>46</v>
      </c>
      <c r="BC1093" s="14" t="s">
        <v>46</v>
      </c>
      <c r="BD1093" s="15" t="s">
        <v>46</v>
      </c>
      <c r="BE1093" s="14" t="s">
        <v>46</v>
      </c>
      <c r="BF109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93" s="17" t="s">
        <v>46</v>
      </c>
      <c r="BH1093" s="13" t="s">
        <v>50</v>
      </c>
      <c r="BI1093" s="13">
        <v>0.05</v>
      </c>
      <c r="BJ1093" s="18">
        <f>ABS(_xlfn.NORM.S.INV(Table1347456[[#This Row],[p_value]]/2))</f>
        <v>1.9599639845400538</v>
      </c>
      <c r="BK1093" s="19">
        <f>(Table1347456[[#This Row],[lnrr]]/Table1347456[[#This Row],[z_from_p]])^2</f>
        <v>2.1230673409700532E-3</v>
      </c>
      <c r="BL1093" s="16">
        <f>Table1347456[[#This Row],[v_from_z_from_p]]</f>
        <v>2.1230673409700532E-3</v>
      </c>
      <c r="BM1093" s="20">
        <f>SQRT(Table1347456[[#This Row],[v]])</f>
        <v>4.6076754887579195E-2</v>
      </c>
      <c r="BN1093" s="20">
        <f>Table1347456[[#This Row],[lnrr]]-(1.96*Table1347456[[#This Row],[se]])</f>
        <v>-1.6594755200965983E-6</v>
      </c>
      <c r="BO1093" s="20">
        <f>Table1347456[[#This Row],[lnrr]]+(1.96 * Table1347456[[#This Row],[se]])</f>
        <v>0.18061921968379036</v>
      </c>
    </row>
    <row r="1094" spans="1:67">
      <c r="A1094" s="13" t="s">
        <v>101</v>
      </c>
      <c r="B1094" s="13" t="s">
        <v>354</v>
      </c>
      <c r="C1094" s="13" t="s">
        <v>43</v>
      </c>
      <c r="D1094" s="13" t="s">
        <v>355</v>
      </c>
      <c r="E1094" s="13" t="s">
        <v>91</v>
      </c>
      <c r="F1094" s="13" t="s">
        <v>587</v>
      </c>
      <c r="G1094" s="13" t="s">
        <v>45</v>
      </c>
      <c r="H1094" s="13">
        <v>18.5</v>
      </c>
      <c r="I1094" s="13">
        <v>210.6</v>
      </c>
      <c r="K1094" s="13" t="s">
        <v>920</v>
      </c>
      <c r="L1094" s="13" t="s">
        <v>921</v>
      </c>
      <c r="N1094" s="13" t="s">
        <v>47</v>
      </c>
      <c r="O1094" s="13" t="s">
        <v>645</v>
      </c>
      <c r="P1094" s="13" t="s">
        <v>48</v>
      </c>
      <c r="Q1094" s="13" t="s">
        <v>48</v>
      </c>
      <c r="R1094" s="4">
        <v>4</v>
      </c>
      <c r="S1094" s="13" t="s">
        <v>594</v>
      </c>
      <c r="T1094" s="13">
        <v>200</v>
      </c>
      <c r="U1094" s="4" t="s">
        <v>356</v>
      </c>
      <c r="V1094" s="4">
        <v>450</v>
      </c>
      <c r="W1094" s="4" t="s">
        <v>601</v>
      </c>
      <c r="X1094" s="4">
        <v>625</v>
      </c>
      <c r="Y1094" s="4">
        <v>117</v>
      </c>
      <c r="Z1094" s="4" t="s">
        <v>504</v>
      </c>
      <c r="AA1094" s="4" t="s">
        <v>49</v>
      </c>
      <c r="AB1094" s="4">
        <v>0</v>
      </c>
      <c r="AC1094" s="4" t="s">
        <v>50</v>
      </c>
      <c r="AD1094" s="4" t="s">
        <v>809</v>
      </c>
      <c r="AE1094" s="4" t="s">
        <v>49</v>
      </c>
      <c r="AF1094" s="4">
        <v>0</v>
      </c>
      <c r="AG1094" s="4" t="s">
        <v>698</v>
      </c>
      <c r="AH1094" s="4" t="s">
        <v>46</v>
      </c>
      <c r="AI1094" s="4" t="s">
        <v>78</v>
      </c>
      <c r="AJ1094" s="13">
        <v>0</v>
      </c>
      <c r="AK1094" s="13">
        <v>30</v>
      </c>
      <c r="AM1094" s="13" t="s">
        <v>528</v>
      </c>
      <c r="AP1094" s="13" t="s">
        <v>50</v>
      </c>
      <c r="AQ1094" s="13" t="s">
        <v>49</v>
      </c>
      <c r="AR1094" s="13" t="s">
        <v>49</v>
      </c>
      <c r="AS1094" s="13" t="s">
        <v>49</v>
      </c>
      <c r="AT1094" s="13" t="s">
        <v>993</v>
      </c>
      <c r="AU1094" s="13" t="s">
        <v>1001</v>
      </c>
      <c r="AV1094" s="14">
        <v>4.7699999999999996</v>
      </c>
      <c r="AW1094" s="14">
        <v>3.28</v>
      </c>
      <c r="AX1094" s="14">
        <f>Table1347456[[#This Row],[treatment_mean]]/Table1347456[[#This Row],[control_mean]]</f>
        <v>1.4542682926829267</v>
      </c>
      <c r="AY1094" s="14">
        <f>LN(Table1347456[[#This Row],[rr]])</f>
        <v>0.37450288250419739</v>
      </c>
      <c r="AZ1094" s="13">
        <v>4</v>
      </c>
      <c r="BA1094" s="13">
        <v>4</v>
      </c>
      <c r="BB1094" s="14" t="s">
        <v>46</v>
      </c>
      <c r="BC1094" s="14" t="s">
        <v>46</v>
      </c>
      <c r="BD1094" s="15" t="s">
        <v>46</v>
      </c>
      <c r="BE1094" s="14" t="s">
        <v>46</v>
      </c>
      <c r="BF109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94" s="17" t="s">
        <v>46</v>
      </c>
      <c r="BH1094" s="13" t="s">
        <v>50</v>
      </c>
      <c r="BI1094" s="13">
        <v>0.05</v>
      </c>
      <c r="BJ1094" s="18">
        <f>ABS(_xlfn.NORM.S.INV(Table1347456[[#This Row],[p_value]]/2))</f>
        <v>1.9599639845400538</v>
      </c>
      <c r="BK1094" s="19">
        <f>(Table1347456[[#This Row],[lnrr]]/Table1347456[[#This Row],[z_from_p]])^2</f>
        <v>3.6510194577228358E-2</v>
      </c>
      <c r="BL1094" s="16">
        <f>Table1347456[[#This Row],[v_from_z_from_p]]</f>
        <v>3.6510194577228358E-2</v>
      </c>
      <c r="BM1094" s="20">
        <f>SQRT(Table1347456[[#This Row],[v]])</f>
        <v>0.19107641031071407</v>
      </c>
      <c r="BN1094" s="20">
        <f>Table1347456[[#This Row],[lnrr]]-(1.96*Table1347456[[#This Row],[se]])</f>
        <v>-6.8817048021752036E-6</v>
      </c>
      <c r="BO1094" s="20">
        <f>Table1347456[[#This Row],[lnrr]]+(1.96 * Table1347456[[#This Row],[se]])</f>
        <v>0.74901264671319701</v>
      </c>
    </row>
    <row r="1095" spans="1:67">
      <c r="A1095" s="13" t="s">
        <v>101</v>
      </c>
      <c r="B1095" s="13" t="s">
        <v>354</v>
      </c>
      <c r="C1095" s="13" t="s">
        <v>43</v>
      </c>
      <c r="D1095" s="13" t="s">
        <v>355</v>
      </c>
      <c r="E1095" s="13" t="s">
        <v>91</v>
      </c>
      <c r="F1095" s="13" t="s">
        <v>587</v>
      </c>
      <c r="G1095" s="13" t="s">
        <v>45</v>
      </c>
      <c r="H1095" s="13">
        <v>18.5</v>
      </c>
      <c r="I1095" s="13">
        <v>210.6</v>
      </c>
      <c r="J1095" s="13" t="s">
        <v>672</v>
      </c>
      <c r="K1095" s="13" t="s">
        <v>920</v>
      </c>
      <c r="L1095" s="13" t="s">
        <v>921</v>
      </c>
      <c r="M1095" s="13" t="s">
        <v>672</v>
      </c>
      <c r="N1095" s="13" t="s">
        <v>106</v>
      </c>
      <c r="O1095" s="13" t="s">
        <v>645</v>
      </c>
      <c r="P1095" s="13" t="s">
        <v>48</v>
      </c>
      <c r="Q1095" s="13" t="s">
        <v>48</v>
      </c>
      <c r="R1095" s="4">
        <v>4</v>
      </c>
      <c r="S1095" s="13" t="s">
        <v>594</v>
      </c>
      <c r="T1095" s="13">
        <v>200</v>
      </c>
      <c r="U1095" s="4" t="s">
        <v>356</v>
      </c>
      <c r="V1095" s="4">
        <v>450</v>
      </c>
      <c r="W1095" s="4" t="s">
        <v>601</v>
      </c>
      <c r="X1095" s="4">
        <v>625</v>
      </c>
      <c r="Y1095" s="4">
        <v>39</v>
      </c>
      <c r="Z1095" s="4" t="s">
        <v>489</v>
      </c>
      <c r="AA1095" s="4" t="s">
        <v>49</v>
      </c>
      <c r="AB1095" s="4">
        <v>0</v>
      </c>
      <c r="AC1095" s="4" t="s">
        <v>50</v>
      </c>
      <c r="AD1095" s="4" t="s">
        <v>808</v>
      </c>
      <c r="AE1095" s="4" t="s">
        <v>49</v>
      </c>
      <c r="AF1095" s="4">
        <v>0</v>
      </c>
      <c r="AG1095" s="4" t="s">
        <v>698</v>
      </c>
      <c r="AH1095" s="4" t="s">
        <v>46</v>
      </c>
      <c r="AI1095" s="4" t="s">
        <v>78</v>
      </c>
      <c r="AJ1095" s="13">
        <v>0</v>
      </c>
      <c r="AK1095" s="13">
        <v>30</v>
      </c>
      <c r="AM1095" s="13" t="s">
        <v>528</v>
      </c>
      <c r="AP1095" s="13" t="s">
        <v>50</v>
      </c>
      <c r="AQ1095" s="13" t="s">
        <v>49</v>
      </c>
      <c r="AR1095" s="13" t="s">
        <v>49</v>
      </c>
      <c r="AS1095" s="13" t="s">
        <v>49</v>
      </c>
      <c r="AT1095" s="13" t="s">
        <v>993</v>
      </c>
      <c r="AU1095" s="13" t="s">
        <v>1001</v>
      </c>
      <c r="AV1095" s="23">
        <v>2.94</v>
      </c>
      <c r="AW1095" s="23">
        <v>2.69</v>
      </c>
      <c r="AX1095" s="14">
        <f>Table1347456[[#This Row],[treatment_mean]]/Table1347456[[#This Row],[control_mean]]</f>
        <v>1.0929368029739777</v>
      </c>
      <c r="AY1095" s="14">
        <f>LN(Table1347456[[#This Row],[rr]])</f>
        <v>8.8868387736842469E-2</v>
      </c>
      <c r="AZ1095" s="13">
        <v>4</v>
      </c>
      <c r="BA1095" s="13">
        <v>4</v>
      </c>
      <c r="BB1095" s="14" t="s">
        <v>46</v>
      </c>
      <c r="BC1095" s="14" t="s">
        <v>46</v>
      </c>
      <c r="BD1095" s="15" t="s">
        <v>46</v>
      </c>
      <c r="BE1095" s="14" t="s">
        <v>46</v>
      </c>
      <c r="BF109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95" s="17" t="s">
        <v>46</v>
      </c>
      <c r="BH1095" s="13" t="s">
        <v>50</v>
      </c>
      <c r="BI1095" s="13">
        <v>0.05</v>
      </c>
      <c r="BJ1095" s="18">
        <f>ABS(_xlfn.NORM.S.INV(Table1347456[[#This Row],[p_value]]/2))</f>
        <v>1.9599639845400538</v>
      </c>
      <c r="BK1095" s="19">
        <f>(Table1347456[[#This Row],[lnrr]]/Table1347456[[#This Row],[z_from_p]])^2</f>
        <v>2.0558831182573328E-3</v>
      </c>
      <c r="BL1095" s="16">
        <f>Table1347456[[#This Row],[v_from_z_from_p]]</f>
        <v>2.0558831182573328E-3</v>
      </c>
      <c r="BM1095" s="20">
        <f>SQRT(Table1347456[[#This Row],[v]])</f>
        <v>4.5341847318534925E-2</v>
      </c>
      <c r="BN1095" s="20">
        <f>Table1347456[[#This Row],[lnrr]]-(1.96*Table1347456[[#This Row],[se]])</f>
        <v>-1.6330074859849386E-6</v>
      </c>
      <c r="BO1095" s="20">
        <f>Table1347456[[#This Row],[lnrr]]+(1.96 * Table1347456[[#This Row],[se]])</f>
        <v>0.17773840848117092</v>
      </c>
    </row>
    <row r="1096" spans="1:67">
      <c r="A1096" s="13" t="s">
        <v>101</v>
      </c>
      <c r="B1096" s="13" t="s">
        <v>354</v>
      </c>
      <c r="C1096" s="13" t="s">
        <v>43</v>
      </c>
      <c r="D1096" s="13" t="s">
        <v>355</v>
      </c>
      <c r="E1096" s="13" t="s">
        <v>91</v>
      </c>
      <c r="F1096" s="13" t="s">
        <v>587</v>
      </c>
      <c r="G1096" s="13" t="s">
        <v>45</v>
      </c>
      <c r="H1096" s="13">
        <v>18.5</v>
      </c>
      <c r="I1096" s="13">
        <v>210.6</v>
      </c>
      <c r="J1096" s="13" t="s">
        <v>672</v>
      </c>
      <c r="K1096" s="13" t="s">
        <v>920</v>
      </c>
      <c r="L1096" s="13" t="s">
        <v>921</v>
      </c>
      <c r="M1096" s="13" t="s">
        <v>672</v>
      </c>
      <c r="N1096" s="13" t="s">
        <v>106</v>
      </c>
      <c r="O1096" s="13" t="s">
        <v>645</v>
      </c>
      <c r="P1096" s="13" t="s">
        <v>48</v>
      </c>
      <c r="Q1096" s="13" t="s">
        <v>48</v>
      </c>
      <c r="R1096" s="4">
        <v>4</v>
      </c>
      <c r="S1096" s="13" t="s">
        <v>594</v>
      </c>
      <c r="T1096" s="13">
        <v>200</v>
      </c>
      <c r="U1096" s="4" t="s">
        <v>356</v>
      </c>
      <c r="V1096" s="4">
        <v>450</v>
      </c>
      <c r="W1096" s="4" t="s">
        <v>601</v>
      </c>
      <c r="X1096" s="4">
        <v>625</v>
      </c>
      <c r="Y1096" s="4">
        <v>117</v>
      </c>
      <c r="Z1096" s="4" t="s">
        <v>504</v>
      </c>
      <c r="AA1096" s="4" t="s">
        <v>49</v>
      </c>
      <c r="AB1096" s="4">
        <v>0</v>
      </c>
      <c r="AC1096" s="4" t="s">
        <v>50</v>
      </c>
      <c r="AD1096" s="4" t="s">
        <v>808</v>
      </c>
      <c r="AE1096" s="4" t="s">
        <v>49</v>
      </c>
      <c r="AF1096" s="4">
        <v>0</v>
      </c>
      <c r="AG1096" s="4" t="s">
        <v>698</v>
      </c>
      <c r="AH1096" s="4" t="s">
        <v>46</v>
      </c>
      <c r="AI1096" s="4" t="s">
        <v>78</v>
      </c>
      <c r="AJ1096" s="13">
        <v>0</v>
      </c>
      <c r="AK1096" s="13">
        <v>30</v>
      </c>
      <c r="AM1096" s="13" t="s">
        <v>528</v>
      </c>
      <c r="AP1096" s="13" t="s">
        <v>50</v>
      </c>
      <c r="AQ1096" s="13" t="s">
        <v>49</v>
      </c>
      <c r="AR1096" s="13" t="s">
        <v>49</v>
      </c>
      <c r="AS1096" s="13" t="s">
        <v>49</v>
      </c>
      <c r="AT1096" s="13" t="s">
        <v>993</v>
      </c>
      <c r="AU1096" s="13" t="s">
        <v>1001</v>
      </c>
      <c r="AV1096" s="23">
        <v>2.88</v>
      </c>
      <c r="AW1096" s="23">
        <v>2.69</v>
      </c>
      <c r="AX1096" s="14">
        <f>Table1347456[[#This Row],[treatment_mean]]/Table1347456[[#This Row],[control_mean]]</f>
        <v>1.0706319702602229</v>
      </c>
      <c r="AY1096" s="14">
        <f>LN(Table1347456[[#This Row],[rr]])</f>
        <v>6.8249100534106724E-2</v>
      </c>
      <c r="AZ1096" s="13">
        <v>4</v>
      </c>
      <c r="BA1096" s="13">
        <v>4</v>
      </c>
      <c r="BB1096" s="14" t="s">
        <v>46</v>
      </c>
      <c r="BC1096" s="14" t="s">
        <v>46</v>
      </c>
      <c r="BD1096" s="15" t="s">
        <v>46</v>
      </c>
      <c r="BE1096" s="14" t="s">
        <v>46</v>
      </c>
      <c r="BF109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96" s="17" t="s">
        <v>46</v>
      </c>
      <c r="BH1096" s="13" t="s">
        <v>50</v>
      </c>
      <c r="BI1096" s="13">
        <v>0.05</v>
      </c>
      <c r="BJ1096" s="18">
        <f>ABS(_xlfn.NORM.S.INV(Table1347456[[#This Row],[p_value]]/2))</f>
        <v>1.9599639845400538</v>
      </c>
      <c r="BK1096" s="19">
        <f>(Table1347456[[#This Row],[lnrr]]/Table1347456[[#This Row],[z_from_p]])^2</f>
        <v>1.2125444892502975E-3</v>
      </c>
      <c r="BL1096" s="16">
        <f>Table1347456[[#This Row],[v_from_z_from_p]]</f>
        <v>1.2125444892502975E-3</v>
      </c>
      <c r="BM1096" s="20">
        <f>SQRT(Table1347456[[#This Row],[v]])</f>
        <v>3.4821609515504844E-2</v>
      </c>
      <c r="BN1096" s="20">
        <f>Table1347456[[#This Row],[lnrr]]-(1.96*Table1347456[[#This Row],[se]])</f>
        <v>-1.2541162827672814E-6</v>
      </c>
      <c r="BO1096" s="20">
        <f>Table1347456[[#This Row],[lnrr]]+(1.96 * Table1347456[[#This Row],[se]])</f>
        <v>0.13649945518449622</v>
      </c>
    </row>
    <row r="1097" spans="1:67">
      <c r="A1097" s="13" t="s">
        <v>101</v>
      </c>
      <c r="B1097" s="13" t="s">
        <v>354</v>
      </c>
      <c r="C1097" s="13" t="s">
        <v>43</v>
      </c>
      <c r="D1097" s="13" t="s">
        <v>355</v>
      </c>
      <c r="E1097" s="13" t="s">
        <v>91</v>
      </c>
      <c r="F1097" s="13" t="s">
        <v>587</v>
      </c>
      <c r="G1097" s="13" t="s">
        <v>45</v>
      </c>
      <c r="H1097" s="13">
        <v>18.5</v>
      </c>
      <c r="I1097" s="13">
        <v>210.6</v>
      </c>
      <c r="J1097" s="13" t="s">
        <v>672</v>
      </c>
      <c r="K1097" s="13" t="s">
        <v>920</v>
      </c>
      <c r="L1097" s="13" t="s">
        <v>921</v>
      </c>
      <c r="M1097" s="13" t="s">
        <v>672</v>
      </c>
      <c r="N1097" s="13" t="s">
        <v>106</v>
      </c>
      <c r="O1097" s="13" t="s">
        <v>645</v>
      </c>
      <c r="P1097" s="13" t="s">
        <v>48</v>
      </c>
      <c r="Q1097" s="13" t="s">
        <v>48</v>
      </c>
      <c r="R1097" s="4">
        <v>4</v>
      </c>
      <c r="S1097" s="13" t="s">
        <v>594</v>
      </c>
      <c r="T1097" s="13">
        <v>200</v>
      </c>
      <c r="U1097" s="4" t="s">
        <v>356</v>
      </c>
      <c r="V1097" s="4">
        <v>450</v>
      </c>
      <c r="W1097" s="4" t="s">
        <v>601</v>
      </c>
      <c r="X1097" s="4">
        <v>625</v>
      </c>
      <c r="Y1097" s="4">
        <v>39</v>
      </c>
      <c r="Z1097" s="4" t="s">
        <v>489</v>
      </c>
      <c r="AA1097" s="4" t="s">
        <v>49</v>
      </c>
      <c r="AB1097" s="4">
        <v>0</v>
      </c>
      <c r="AC1097" s="4" t="s">
        <v>50</v>
      </c>
      <c r="AD1097" s="4" t="s">
        <v>809</v>
      </c>
      <c r="AE1097" s="4" t="s">
        <v>49</v>
      </c>
      <c r="AF1097" s="4">
        <v>0</v>
      </c>
      <c r="AG1097" s="4" t="s">
        <v>698</v>
      </c>
      <c r="AH1097" s="4" t="s">
        <v>46</v>
      </c>
      <c r="AI1097" s="4" t="s">
        <v>78</v>
      </c>
      <c r="AJ1097" s="13">
        <v>0</v>
      </c>
      <c r="AK1097" s="13">
        <v>30</v>
      </c>
      <c r="AM1097" s="13" t="s">
        <v>528</v>
      </c>
      <c r="AP1097" s="13" t="s">
        <v>50</v>
      </c>
      <c r="AQ1097" s="13" t="s">
        <v>49</v>
      </c>
      <c r="AR1097" s="13" t="s">
        <v>49</v>
      </c>
      <c r="AS1097" s="13" t="s">
        <v>49</v>
      </c>
      <c r="AT1097" s="13" t="s">
        <v>993</v>
      </c>
      <c r="AU1097" s="13" t="s">
        <v>1001</v>
      </c>
      <c r="AV1097" s="23">
        <v>3.48</v>
      </c>
      <c r="AW1097" s="23">
        <v>3.26</v>
      </c>
      <c r="AX1097" s="14">
        <f>Table1347456[[#This Row],[treatment_mean]]/Table1347456[[#This Row],[control_mean]]</f>
        <v>1.0674846625766872</v>
      </c>
      <c r="AY1097" s="14">
        <f>LN(Table1347456[[#This Row],[rr]])</f>
        <v>6.5305098407766743E-2</v>
      </c>
      <c r="AZ1097" s="13">
        <v>4</v>
      </c>
      <c r="BA1097" s="13">
        <v>4</v>
      </c>
      <c r="BB1097" s="14" t="s">
        <v>46</v>
      </c>
      <c r="BC1097" s="14" t="s">
        <v>46</v>
      </c>
      <c r="BD1097" s="15" t="s">
        <v>46</v>
      </c>
      <c r="BE1097" s="14" t="s">
        <v>46</v>
      </c>
      <c r="BF109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97" s="17" t="s">
        <v>46</v>
      </c>
      <c r="BH1097" s="13" t="s">
        <v>50</v>
      </c>
      <c r="BI1097" s="13">
        <v>0.05</v>
      </c>
      <c r="BJ1097" s="18">
        <f>ABS(_xlfn.NORM.S.INV(Table1347456[[#This Row],[p_value]]/2))</f>
        <v>1.9599639845400538</v>
      </c>
      <c r="BK1097" s="19">
        <f>(Table1347456[[#This Row],[lnrr]]/Table1347456[[#This Row],[z_from_p]])^2</f>
        <v>1.1101917467066554E-3</v>
      </c>
      <c r="BL1097" s="16">
        <f>Table1347456[[#This Row],[v_from_z_from_p]]</f>
        <v>1.1101917467066554E-3</v>
      </c>
      <c r="BM1097" s="20">
        <f>SQRT(Table1347456[[#This Row],[v]])</f>
        <v>3.331954001343139E-2</v>
      </c>
      <c r="BN1097" s="20">
        <f>Table1347456[[#This Row],[lnrr]]-(1.96*Table1347456[[#This Row],[se]])</f>
        <v>-1.2000185587862644E-6</v>
      </c>
      <c r="BO1097" s="20">
        <f>Table1347456[[#This Row],[lnrr]]+(1.96 * Table1347456[[#This Row],[se]])</f>
        <v>0.13061139683409229</v>
      </c>
    </row>
    <row r="1098" spans="1:67">
      <c r="A1098" s="13" t="s">
        <v>101</v>
      </c>
      <c r="B1098" s="13" t="s">
        <v>354</v>
      </c>
      <c r="C1098" s="13" t="s">
        <v>43</v>
      </c>
      <c r="D1098" s="13" t="s">
        <v>355</v>
      </c>
      <c r="E1098" s="13" t="s">
        <v>91</v>
      </c>
      <c r="F1098" s="13" t="s">
        <v>587</v>
      </c>
      <c r="G1098" s="13" t="s">
        <v>45</v>
      </c>
      <c r="H1098" s="13">
        <v>18.5</v>
      </c>
      <c r="I1098" s="13">
        <v>210.6</v>
      </c>
      <c r="J1098" s="13" t="s">
        <v>672</v>
      </c>
      <c r="K1098" s="13" t="s">
        <v>920</v>
      </c>
      <c r="L1098" s="13" t="s">
        <v>921</v>
      </c>
      <c r="M1098" s="13" t="s">
        <v>672</v>
      </c>
      <c r="N1098" s="13" t="s">
        <v>106</v>
      </c>
      <c r="O1098" s="13" t="s">
        <v>645</v>
      </c>
      <c r="P1098" s="13" t="s">
        <v>48</v>
      </c>
      <c r="Q1098" s="13" t="s">
        <v>48</v>
      </c>
      <c r="R1098" s="4">
        <v>4</v>
      </c>
      <c r="S1098" s="13" t="s">
        <v>594</v>
      </c>
      <c r="T1098" s="13">
        <v>200</v>
      </c>
      <c r="U1098" s="4" t="s">
        <v>356</v>
      </c>
      <c r="V1098" s="4">
        <v>450</v>
      </c>
      <c r="W1098" s="4" t="s">
        <v>601</v>
      </c>
      <c r="X1098" s="4">
        <v>625</v>
      </c>
      <c r="Y1098" s="4">
        <v>117</v>
      </c>
      <c r="Z1098" s="4" t="s">
        <v>504</v>
      </c>
      <c r="AA1098" s="4" t="s">
        <v>49</v>
      </c>
      <c r="AB1098" s="4">
        <v>0</v>
      </c>
      <c r="AC1098" s="4" t="s">
        <v>50</v>
      </c>
      <c r="AD1098" s="4" t="s">
        <v>809</v>
      </c>
      <c r="AE1098" s="4" t="s">
        <v>49</v>
      </c>
      <c r="AF1098" s="4">
        <v>0</v>
      </c>
      <c r="AG1098" s="4" t="s">
        <v>698</v>
      </c>
      <c r="AH1098" s="4" t="s">
        <v>46</v>
      </c>
      <c r="AI1098" s="4" t="s">
        <v>78</v>
      </c>
      <c r="AJ1098" s="13">
        <v>0</v>
      </c>
      <c r="AK1098" s="13">
        <v>30</v>
      </c>
      <c r="AM1098" s="13" t="s">
        <v>528</v>
      </c>
      <c r="AP1098" s="13" t="s">
        <v>50</v>
      </c>
      <c r="AQ1098" s="13" t="s">
        <v>49</v>
      </c>
      <c r="AR1098" s="13" t="s">
        <v>49</v>
      </c>
      <c r="AS1098" s="13" t="s">
        <v>49</v>
      </c>
      <c r="AT1098" s="13" t="s">
        <v>993</v>
      </c>
      <c r="AU1098" s="13" t="s">
        <v>1001</v>
      </c>
      <c r="AV1098" s="23">
        <v>3.38</v>
      </c>
      <c r="AW1098" s="23">
        <v>3.26</v>
      </c>
      <c r="AX1098" s="14">
        <f>Table1347456[[#This Row],[treatment_mean]]/Table1347456[[#This Row],[control_mean]]</f>
        <v>1.0368098159509203</v>
      </c>
      <c r="AY1098" s="14">
        <f>LN(Table1347456[[#This Row],[rr]])</f>
        <v>3.6148514116311148E-2</v>
      </c>
      <c r="AZ1098" s="13">
        <v>4</v>
      </c>
      <c r="BA1098" s="13">
        <v>4</v>
      </c>
      <c r="BB1098" s="14" t="s">
        <v>46</v>
      </c>
      <c r="BC1098" s="14" t="s">
        <v>46</v>
      </c>
      <c r="BD1098" s="15" t="s">
        <v>46</v>
      </c>
      <c r="BE1098" s="14" t="s">
        <v>46</v>
      </c>
      <c r="BF109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98" s="17" t="s">
        <v>46</v>
      </c>
      <c r="BH1098" s="13" t="s">
        <v>50</v>
      </c>
      <c r="BI1098" s="13">
        <v>0.05</v>
      </c>
      <c r="BJ1098" s="18">
        <f>ABS(_xlfn.NORM.S.INV(Table1347456[[#This Row],[p_value]]/2))</f>
        <v>1.9599639845400538</v>
      </c>
      <c r="BK1098" s="19">
        <f>(Table1347456[[#This Row],[lnrr]]/Table1347456[[#This Row],[z_from_p]])^2</f>
        <v>3.4016115590718014E-4</v>
      </c>
      <c r="BL1098" s="16">
        <f>Table1347456[[#This Row],[v_from_z_from_p]]</f>
        <v>3.4016115590718014E-4</v>
      </c>
      <c r="BM1098" s="20">
        <f>SQRT(Table1347456[[#This Row],[v]])</f>
        <v>1.8443458349972765E-2</v>
      </c>
      <c r="BN1098" s="20">
        <f>Table1347456[[#This Row],[lnrr]]-(1.96*Table1347456[[#This Row],[se]])</f>
        <v>-6.6424963546946048E-7</v>
      </c>
      <c r="BO1098" s="20">
        <f>Table1347456[[#This Row],[lnrr]]+(1.96 * Table1347456[[#This Row],[se]])</f>
        <v>7.2297692482257758E-2</v>
      </c>
    </row>
    <row r="1099" spans="1:67">
      <c r="A1099" s="13" t="s">
        <v>101</v>
      </c>
      <c r="B1099" s="13" t="s">
        <v>354</v>
      </c>
      <c r="C1099" s="13" t="s">
        <v>43</v>
      </c>
      <c r="D1099" s="13" t="s">
        <v>355</v>
      </c>
      <c r="E1099" s="13" t="s">
        <v>91</v>
      </c>
      <c r="F1099" s="13" t="s">
        <v>587</v>
      </c>
      <c r="G1099" s="13" t="s">
        <v>45</v>
      </c>
      <c r="H1099" s="13">
        <v>18.5</v>
      </c>
      <c r="I1099" s="13">
        <v>210.6</v>
      </c>
      <c r="K1099" s="13" t="s">
        <v>920</v>
      </c>
      <c r="L1099" s="13" t="s">
        <v>921</v>
      </c>
      <c r="N1099" s="13" t="s">
        <v>357</v>
      </c>
      <c r="O1099" s="13" t="s">
        <v>645</v>
      </c>
      <c r="P1099" s="13" t="s">
        <v>48</v>
      </c>
      <c r="Q1099" s="13" t="s">
        <v>48</v>
      </c>
      <c r="R1099" s="4">
        <v>4</v>
      </c>
      <c r="S1099" s="13" t="s">
        <v>594</v>
      </c>
      <c r="T1099" s="13">
        <v>200</v>
      </c>
      <c r="U1099" s="4" t="s">
        <v>356</v>
      </c>
      <c r="V1099" s="4">
        <v>450</v>
      </c>
      <c r="W1099" s="4" t="s">
        <v>601</v>
      </c>
      <c r="X1099" s="4">
        <v>625</v>
      </c>
      <c r="Y1099" s="4">
        <v>39</v>
      </c>
      <c r="Z1099" s="4" t="s">
        <v>489</v>
      </c>
      <c r="AA1099" s="4" t="s">
        <v>49</v>
      </c>
      <c r="AB1099" s="4">
        <v>0</v>
      </c>
      <c r="AC1099" s="4" t="s">
        <v>50</v>
      </c>
      <c r="AD1099" s="4" t="s">
        <v>808</v>
      </c>
      <c r="AE1099" s="4" t="s">
        <v>49</v>
      </c>
      <c r="AF1099" s="4">
        <v>0</v>
      </c>
      <c r="AG1099" s="4" t="s">
        <v>698</v>
      </c>
      <c r="AH1099" s="4" t="s">
        <v>46</v>
      </c>
      <c r="AI1099" s="4" t="s">
        <v>78</v>
      </c>
      <c r="AJ1099" s="13">
        <v>0</v>
      </c>
      <c r="AK1099" s="13">
        <v>30</v>
      </c>
      <c r="AM1099" s="13" t="s">
        <v>528</v>
      </c>
      <c r="AP1099" s="13" t="s">
        <v>50</v>
      </c>
      <c r="AQ1099" s="13" t="s">
        <v>49</v>
      </c>
      <c r="AR1099" s="13" t="s">
        <v>49</v>
      </c>
      <c r="AS1099" s="13" t="s">
        <v>49</v>
      </c>
      <c r="AT1099" s="13" t="s">
        <v>993</v>
      </c>
      <c r="AU1099" s="13" t="s">
        <v>1001</v>
      </c>
      <c r="AV1099" s="14">
        <v>70.09</v>
      </c>
      <c r="AW1099" s="14">
        <v>65.150000000000006</v>
      </c>
      <c r="AX1099" s="14">
        <f>Table1347456[[#This Row],[treatment_mean]]/Table1347456[[#This Row],[control_mean]]</f>
        <v>1.0758250191864926</v>
      </c>
      <c r="AY1099" s="14">
        <f>LN(Table1347456[[#This Row],[rr]])</f>
        <v>7.3087826941379205E-2</v>
      </c>
      <c r="AZ1099" s="13">
        <v>4</v>
      </c>
      <c r="BA1099" s="13">
        <v>4</v>
      </c>
      <c r="BB1099" s="14" t="s">
        <v>46</v>
      </c>
      <c r="BC1099" s="14" t="s">
        <v>46</v>
      </c>
      <c r="BD1099" s="15" t="s">
        <v>46</v>
      </c>
      <c r="BE1099" s="14" t="s">
        <v>46</v>
      </c>
      <c r="BF109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099" s="17" t="s">
        <v>46</v>
      </c>
      <c r="BH1099" s="13" t="s">
        <v>50</v>
      </c>
      <c r="BI1099" s="13">
        <v>0.05</v>
      </c>
      <c r="BJ1099" s="18">
        <f>ABS(_xlfn.NORM.S.INV(Table1347456[[#This Row],[p_value]]/2))</f>
        <v>1.9599639845400538</v>
      </c>
      <c r="BK1099" s="19">
        <f>(Table1347456[[#This Row],[lnrr]]/Table1347456[[#This Row],[z_from_p]])^2</f>
        <v>1.3905733983757152E-3</v>
      </c>
      <c r="BL1099" s="16">
        <f>Table1347456[[#This Row],[v_from_z_from_p]]</f>
        <v>1.3905733983757152E-3</v>
      </c>
      <c r="BM1099" s="20">
        <f>SQRT(Table1347456[[#This Row],[v]])</f>
        <v>3.7290392842871944E-2</v>
      </c>
      <c r="BN1099" s="20">
        <f>Table1347456[[#This Row],[lnrr]]-(1.96*Table1347456[[#This Row],[se]])</f>
        <v>-1.343030649803012E-6</v>
      </c>
      <c r="BO1099" s="20">
        <f>Table1347456[[#This Row],[lnrr]]+(1.96 * Table1347456[[#This Row],[se]])</f>
        <v>0.14617699691340821</v>
      </c>
    </row>
    <row r="1100" spans="1:67">
      <c r="A1100" s="13" t="s">
        <v>101</v>
      </c>
      <c r="B1100" s="13" t="s">
        <v>354</v>
      </c>
      <c r="C1100" s="13" t="s">
        <v>43</v>
      </c>
      <c r="D1100" s="13" t="s">
        <v>355</v>
      </c>
      <c r="E1100" s="13" t="s">
        <v>91</v>
      </c>
      <c r="F1100" s="13" t="s">
        <v>587</v>
      </c>
      <c r="G1100" s="13" t="s">
        <v>45</v>
      </c>
      <c r="H1100" s="13">
        <v>18.5</v>
      </c>
      <c r="I1100" s="13">
        <v>210.6</v>
      </c>
      <c r="K1100" s="13" t="s">
        <v>920</v>
      </c>
      <c r="L1100" s="13" t="s">
        <v>921</v>
      </c>
      <c r="N1100" s="13" t="s">
        <v>357</v>
      </c>
      <c r="O1100" s="13" t="s">
        <v>645</v>
      </c>
      <c r="P1100" s="13" t="s">
        <v>48</v>
      </c>
      <c r="Q1100" s="13" t="s">
        <v>48</v>
      </c>
      <c r="R1100" s="4">
        <v>4</v>
      </c>
      <c r="S1100" s="13" t="s">
        <v>594</v>
      </c>
      <c r="T1100" s="13">
        <v>200</v>
      </c>
      <c r="U1100" s="4" t="s">
        <v>356</v>
      </c>
      <c r="V1100" s="4">
        <v>450</v>
      </c>
      <c r="W1100" s="4" t="s">
        <v>601</v>
      </c>
      <c r="X1100" s="4">
        <v>625</v>
      </c>
      <c r="Y1100" s="4">
        <v>117</v>
      </c>
      <c r="Z1100" s="4" t="s">
        <v>504</v>
      </c>
      <c r="AA1100" s="4" t="s">
        <v>49</v>
      </c>
      <c r="AB1100" s="4">
        <v>0</v>
      </c>
      <c r="AC1100" s="4" t="s">
        <v>50</v>
      </c>
      <c r="AD1100" s="4" t="s">
        <v>808</v>
      </c>
      <c r="AE1100" s="4" t="s">
        <v>49</v>
      </c>
      <c r="AF1100" s="4">
        <v>0</v>
      </c>
      <c r="AG1100" s="4" t="s">
        <v>698</v>
      </c>
      <c r="AH1100" s="4" t="s">
        <v>46</v>
      </c>
      <c r="AI1100" s="4" t="s">
        <v>78</v>
      </c>
      <c r="AJ1100" s="13">
        <v>0</v>
      </c>
      <c r="AK1100" s="13">
        <v>30</v>
      </c>
      <c r="AM1100" s="13" t="s">
        <v>528</v>
      </c>
      <c r="AP1100" s="13" t="s">
        <v>50</v>
      </c>
      <c r="AQ1100" s="13" t="s">
        <v>49</v>
      </c>
      <c r="AR1100" s="13" t="s">
        <v>49</v>
      </c>
      <c r="AS1100" s="13" t="s">
        <v>49</v>
      </c>
      <c r="AT1100" s="13" t="s">
        <v>993</v>
      </c>
      <c r="AU1100" s="13" t="s">
        <v>1001</v>
      </c>
      <c r="AV1100" s="14">
        <v>74.739999999999995</v>
      </c>
      <c r="AW1100" s="14">
        <v>65.150000000000006</v>
      </c>
      <c r="AX1100" s="14">
        <f>Table1347456[[#This Row],[treatment_mean]]/Table1347456[[#This Row],[control_mean]]</f>
        <v>1.1471987720644665</v>
      </c>
      <c r="AY1100" s="14">
        <f>LN(Table1347456[[#This Row],[rr]])</f>
        <v>0.13732312048648362</v>
      </c>
      <c r="AZ1100" s="13">
        <v>4</v>
      </c>
      <c r="BA1100" s="13">
        <v>4</v>
      </c>
      <c r="BB1100" s="14" t="s">
        <v>46</v>
      </c>
      <c r="BC1100" s="14" t="s">
        <v>46</v>
      </c>
      <c r="BD1100" s="15" t="s">
        <v>46</v>
      </c>
      <c r="BE1100" s="14" t="s">
        <v>46</v>
      </c>
      <c r="BF110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00" s="17" t="s">
        <v>46</v>
      </c>
      <c r="BH1100" s="13" t="s">
        <v>50</v>
      </c>
      <c r="BI1100" s="13">
        <v>0.05</v>
      </c>
      <c r="BJ1100" s="18">
        <f>ABS(_xlfn.NORM.S.INV(Table1347456[[#This Row],[p_value]]/2))</f>
        <v>1.9599639845400538</v>
      </c>
      <c r="BK1100" s="19">
        <f>(Table1347456[[#This Row],[lnrr]]/Table1347456[[#This Row],[z_from_p]])^2</f>
        <v>4.9089786719978042E-3</v>
      </c>
      <c r="BL1100" s="16">
        <f>Table1347456[[#This Row],[v_from_z_from_p]]</f>
        <v>4.9089786719978042E-3</v>
      </c>
      <c r="BM1100" s="20">
        <f>SQRT(Table1347456[[#This Row],[v]])</f>
        <v>7.0064104019089579E-2</v>
      </c>
      <c r="BN1100" s="20">
        <f>Table1347456[[#This Row],[lnrr]]-(1.96*Table1347456[[#This Row],[se]])</f>
        <v>-2.5233909319577474E-6</v>
      </c>
      <c r="BO1100" s="20">
        <f>Table1347456[[#This Row],[lnrr]]+(1.96 * Table1347456[[#This Row],[se]])</f>
        <v>0.27464876436389918</v>
      </c>
    </row>
    <row r="1101" spans="1:67">
      <c r="A1101" s="13" t="s">
        <v>101</v>
      </c>
      <c r="B1101" s="13" t="s">
        <v>354</v>
      </c>
      <c r="C1101" s="13" t="s">
        <v>43</v>
      </c>
      <c r="D1101" s="13" t="s">
        <v>355</v>
      </c>
      <c r="E1101" s="13" t="s">
        <v>91</v>
      </c>
      <c r="F1101" s="13" t="s">
        <v>587</v>
      </c>
      <c r="G1101" s="13" t="s">
        <v>45</v>
      </c>
      <c r="H1101" s="13">
        <v>18.5</v>
      </c>
      <c r="I1101" s="13">
        <v>210.6</v>
      </c>
      <c r="K1101" s="13" t="s">
        <v>920</v>
      </c>
      <c r="L1101" s="13" t="s">
        <v>921</v>
      </c>
      <c r="N1101" s="13" t="s">
        <v>357</v>
      </c>
      <c r="O1101" s="13" t="s">
        <v>645</v>
      </c>
      <c r="P1101" s="13" t="s">
        <v>48</v>
      </c>
      <c r="Q1101" s="13" t="s">
        <v>48</v>
      </c>
      <c r="R1101" s="4">
        <v>4</v>
      </c>
      <c r="S1101" s="13" t="s">
        <v>594</v>
      </c>
      <c r="T1101" s="13">
        <v>200</v>
      </c>
      <c r="U1101" s="4" t="s">
        <v>356</v>
      </c>
      <c r="V1101" s="4">
        <v>450</v>
      </c>
      <c r="W1101" s="4" t="s">
        <v>601</v>
      </c>
      <c r="X1101" s="4">
        <v>625</v>
      </c>
      <c r="Y1101" s="4">
        <v>39</v>
      </c>
      <c r="Z1101" s="4" t="s">
        <v>489</v>
      </c>
      <c r="AA1101" s="4" t="s">
        <v>49</v>
      </c>
      <c r="AB1101" s="4">
        <v>0</v>
      </c>
      <c r="AC1101" s="4" t="s">
        <v>50</v>
      </c>
      <c r="AD1101" s="4" t="s">
        <v>809</v>
      </c>
      <c r="AE1101" s="4" t="s">
        <v>49</v>
      </c>
      <c r="AF1101" s="4">
        <v>0</v>
      </c>
      <c r="AG1101" s="4" t="s">
        <v>698</v>
      </c>
      <c r="AH1101" s="4" t="s">
        <v>46</v>
      </c>
      <c r="AI1101" s="4" t="s">
        <v>78</v>
      </c>
      <c r="AJ1101" s="13">
        <v>0</v>
      </c>
      <c r="AK1101" s="13">
        <v>30</v>
      </c>
      <c r="AM1101" s="13" t="s">
        <v>528</v>
      </c>
      <c r="AP1101" s="13" t="s">
        <v>50</v>
      </c>
      <c r="AQ1101" s="13" t="s">
        <v>49</v>
      </c>
      <c r="AR1101" s="13" t="s">
        <v>49</v>
      </c>
      <c r="AS1101" s="13" t="s">
        <v>49</v>
      </c>
      <c r="AT1101" s="13" t="s">
        <v>993</v>
      </c>
      <c r="AU1101" s="13" t="s">
        <v>1001</v>
      </c>
      <c r="AV1101" s="14">
        <v>71.55</v>
      </c>
      <c r="AW1101" s="14">
        <v>66.739999999999995</v>
      </c>
      <c r="AX1101" s="14">
        <f>Table1347456[[#This Row],[treatment_mean]]/Table1347456[[#This Row],[control_mean]]</f>
        <v>1.0720707222055739</v>
      </c>
      <c r="AY1101" s="14">
        <f>LN(Table1347456[[#This Row],[rr]])</f>
        <v>6.959203267923196E-2</v>
      </c>
      <c r="AZ1101" s="13">
        <v>4</v>
      </c>
      <c r="BA1101" s="13">
        <v>4</v>
      </c>
      <c r="BB1101" s="14" t="s">
        <v>46</v>
      </c>
      <c r="BC1101" s="14" t="s">
        <v>46</v>
      </c>
      <c r="BD1101" s="15" t="s">
        <v>46</v>
      </c>
      <c r="BE1101" s="14" t="s">
        <v>46</v>
      </c>
      <c r="BF110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01" s="17" t="s">
        <v>46</v>
      </c>
      <c r="BH1101" s="13" t="s">
        <v>50</v>
      </c>
      <c r="BI1101" s="13">
        <v>0.05</v>
      </c>
      <c r="BJ1101" s="18">
        <f>ABS(_xlfn.NORM.S.INV(Table1347456[[#This Row],[p_value]]/2))</f>
        <v>1.9599639845400538</v>
      </c>
      <c r="BK1101" s="19">
        <f>(Table1347456[[#This Row],[lnrr]]/Table1347456[[#This Row],[z_from_p]])^2</f>
        <v>1.2607322474309862E-3</v>
      </c>
      <c r="BL1101" s="16">
        <f>Table1347456[[#This Row],[v_from_z_from_p]]</f>
        <v>1.2607322474309862E-3</v>
      </c>
      <c r="BM1101" s="20">
        <f>SQRT(Table1347456[[#This Row],[v]])</f>
        <v>3.550679156768443E-2</v>
      </c>
      <c r="BN1101" s="20">
        <f>Table1347456[[#This Row],[lnrr]]-(1.96*Table1347456[[#This Row],[se]])</f>
        <v>-1.2787934295238612E-6</v>
      </c>
      <c r="BO1101" s="20">
        <f>Table1347456[[#This Row],[lnrr]]+(1.96 * Table1347456[[#This Row],[se]])</f>
        <v>0.13918534415189343</v>
      </c>
    </row>
    <row r="1102" spans="1:67">
      <c r="A1102" s="13" t="s">
        <v>101</v>
      </c>
      <c r="B1102" s="13" t="s">
        <v>354</v>
      </c>
      <c r="C1102" s="13" t="s">
        <v>43</v>
      </c>
      <c r="D1102" s="13" t="s">
        <v>355</v>
      </c>
      <c r="E1102" s="13" t="s">
        <v>91</v>
      </c>
      <c r="F1102" s="13" t="s">
        <v>587</v>
      </c>
      <c r="G1102" s="13" t="s">
        <v>45</v>
      </c>
      <c r="H1102" s="13">
        <v>18.5</v>
      </c>
      <c r="I1102" s="13">
        <v>210.6</v>
      </c>
      <c r="K1102" s="13" t="s">
        <v>920</v>
      </c>
      <c r="L1102" s="13" t="s">
        <v>921</v>
      </c>
      <c r="N1102" s="13" t="s">
        <v>357</v>
      </c>
      <c r="O1102" s="13" t="s">
        <v>645</v>
      </c>
      <c r="P1102" s="13" t="s">
        <v>48</v>
      </c>
      <c r="Q1102" s="13" t="s">
        <v>48</v>
      </c>
      <c r="R1102" s="4">
        <v>4</v>
      </c>
      <c r="S1102" s="13" t="s">
        <v>594</v>
      </c>
      <c r="T1102" s="13">
        <v>200</v>
      </c>
      <c r="U1102" s="4" t="s">
        <v>356</v>
      </c>
      <c r="V1102" s="4">
        <v>450</v>
      </c>
      <c r="W1102" s="4" t="s">
        <v>601</v>
      </c>
      <c r="X1102" s="4">
        <v>625</v>
      </c>
      <c r="Y1102" s="4">
        <v>117</v>
      </c>
      <c r="Z1102" s="4" t="s">
        <v>504</v>
      </c>
      <c r="AA1102" s="4" t="s">
        <v>49</v>
      </c>
      <c r="AB1102" s="4">
        <v>0</v>
      </c>
      <c r="AC1102" s="4" t="s">
        <v>50</v>
      </c>
      <c r="AD1102" s="4" t="s">
        <v>809</v>
      </c>
      <c r="AE1102" s="4" t="s">
        <v>49</v>
      </c>
      <c r="AF1102" s="4">
        <v>0</v>
      </c>
      <c r="AG1102" s="4" t="s">
        <v>698</v>
      </c>
      <c r="AH1102" s="4" t="s">
        <v>46</v>
      </c>
      <c r="AI1102" s="4" t="s">
        <v>78</v>
      </c>
      <c r="AJ1102" s="13">
        <v>0</v>
      </c>
      <c r="AK1102" s="13">
        <v>30</v>
      </c>
      <c r="AM1102" s="13" t="s">
        <v>528</v>
      </c>
      <c r="AP1102" s="13" t="s">
        <v>50</v>
      </c>
      <c r="AQ1102" s="13" t="s">
        <v>49</v>
      </c>
      <c r="AR1102" s="13" t="s">
        <v>49</v>
      </c>
      <c r="AS1102" s="13" t="s">
        <v>49</v>
      </c>
      <c r="AT1102" s="13" t="s">
        <v>993</v>
      </c>
      <c r="AU1102" s="13" t="s">
        <v>1001</v>
      </c>
      <c r="AV1102" s="14">
        <v>76.64</v>
      </c>
      <c r="AW1102" s="14">
        <v>66.739999999999995</v>
      </c>
      <c r="AX1102" s="14">
        <f>Table1347456[[#This Row],[treatment_mean]]/Table1347456[[#This Row],[control_mean]]</f>
        <v>1.1483368294875638</v>
      </c>
      <c r="AY1102" s="14">
        <f>LN(Table1347456[[#This Row],[rr]])</f>
        <v>0.13831466033937723</v>
      </c>
      <c r="AZ1102" s="13">
        <v>4</v>
      </c>
      <c r="BA1102" s="13">
        <v>4</v>
      </c>
      <c r="BB1102" s="14" t="s">
        <v>46</v>
      </c>
      <c r="BC1102" s="14" t="s">
        <v>46</v>
      </c>
      <c r="BD1102" s="15" t="s">
        <v>46</v>
      </c>
      <c r="BE1102" s="14" t="s">
        <v>46</v>
      </c>
      <c r="BF110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02" s="17" t="s">
        <v>46</v>
      </c>
      <c r="BH1102" s="13" t="s">
        <v>50</v>
      </c>
      <c r="BI1102" s="13">
        <v>0.05</v>
      </c>
      <c r="BJ1102" s="18">
        <f>ABS(_xlfn.NORM.S.INV(Table1347456[[#This Row],[p_value]]/2))</f>
        <v>1.9599639845400538</v>
      </c>
      <c r="BK1102" s="19">
        <f>(Table1347456[[#This Row],[lnrr]]/Table1347456[[#This Row],[z_from_p]])^2</f>
        <v>4.9801250404502501E-3</v>
      </c>
      <c r="BL1102" s="16">
        <f>Table1347456[[#This Row],[v_from_z_from_p]]</f>
        <v>4.9801250404502501E-3</v>
      </c>
      <c r="BM1102" s="20">
        <f>SQRT(Table1347456[[#This Row],[v]])</f>
        <v>7.0570000995113E-2</v>
      </c>
      <c r="BN1102" s="20">
        <f>Table1347456[[#This Row],[lnrr]]-(1.96*Table1347456[[#This Row],[se]])</f>
        <v>-2.5416110442377793E-6</v>
      </c>
      <c r="BO1102" s="20">
        <f>Table1347456[[#This Row],[lnrr]]+(1.96 * Table1347456[[#This Row],[se]])</f>
        <v>0.27663186228979869</v>
      </c>
    </row>
    <row r="1103" spans="1:67" ht="15" customHeight="1">
      <c r="A1103" s="13" t="s">
        <v>358</v>
      </c>
      <c r="B1103" s="13" t="s">
        <v>359</v>
      </c>
      <c r="C1103" s="13" t="s">
        <v>43</v>
      </c>
      <c r="D1103" s="13" t="s">
        <v>324</v>
      </c>
      <c r="E1103" s="13" t="s">
        <v>91</v>
      </c>
      <c r="F1103" s="13" t="s">
        <v>587</v>
      </c>
      <c r="G1103" s="13" t="s">
        <v>46</v>
      </c>
      <c r="H1103" s="13">
        <v>25</v>
      </c>
      <c r="I1103" s="13" t="s">
        <v>46</v>
      </c>
      <c r="K1103" s="13" t="s">
        <v>922</v>
      </c>
      <c r="L1103" s="13" t="s">
        <v>923</v>
      </c>
      <c r="N1103" s="13" t="s">
        <v>617</v>
      </c>
      <c r="O1103" s="13" t="s">
        <v>54</v>
      </c>
      <c r="P1103" s="13" t="s">
        <v>85</v>
      </c>
      <c r="Q1103" s="13" t="s">
        <v>48</v>
      </c>
      <c r="R1103" s="4">
        <v>4</v>
      </c>
      <c r="S1103" s="13" t="s">
        <v>594</v>
      </c>
      <c r="T1103" s="13">
        <v>60</v>
      </c>
      <c r="U1103" s="4" t="s">
        <v>93</v>
      </c>
      <c r="V1103" s="4">
        <v>300</v>
      </c>
      <c r="W1103" s="4" t="s">
        <v>42</v>
      </c>
      <c r="X1103" s="4">
        <v>55.41</v>
      </c>
      <c r="Y1103" s="4">
        <v>20</v>
      </c>
      <c r="AA1103" s="4" t="s">
        <v>49</v>
      </c>
      <c r="AB1103" s="4" t="s">
        <v>677</v>
      </c>
      <c r="AC1103" s="4" t="s">
        <v>49</v>
      </c>
      <c r="AD1103" s="4">
        <v>0</v>
      </c>
      <c r="AE1103" s="4" t="s">
        <v>49</v>
      </c>
      <c r="AF1103" s="4">
        <v>0</v>
      </c>
      <c r="AG1103" s="4" t="s">
        <v>46</v>
      </c>
      <c r="AH1103" s="4" t="s">
        <v>691</v>
      </c>
      <c r="AI1103" s="4" t="s">
        <v>64</v>
      </c>
      <c r="AJ1103" s="13">
        <v>0</v>
      </c>
      <c r="AK1103" s="13">
        <v>20</v>
      </c>
      <c r="AP1103" s="13" t="s">
        <v>50</v>
      </c>
      <c r="AQ1103" s="13" t="s">
        <v>49</v>
      </c>
      <c r="AR1103" s="13" t="s">
        <v>49</v>
      </c>
      <c r="AS1103" s="13" t="s">
        <v>49</v>
      </c>
      <c r="AT1103" s="13" t="s">
        <v>992</v>
      </c>
      <c r="AU1103" s="4" t="s">
        <v>1000</v>
      </c>
      <c r="AV1103" s="14">
        <f>1.03/1000</f>
        <v>1.0300000000000001E-3</v>
      </c>
      <c r="AW1103" s="14">
        <f>3.39/1000</f>
        <v>3.3900000000000002E-3</v>
      </c>
      <c r="AX1103" s="14">
        <f>Table1347456[[#This Row],[treatment_mean]]/Table1347456[[#This Row],[control_mean]]</f>
        <v>0.30383480825958703</v>
      </c>
      <c r="AY1103" s="14">
        <f>LN(Table1347456[[#This Row],[rr]])</f>
        <v>-1.1912711191508145</v>
      </c>
      <c r="AZ1103" s="13">
        <v>4</v>
      </c>
      <c r="BA1103" s="13">
        <v>4</v>
      </c>
      <c r="BB1103" s="14">
        <f>0.065/1000</f>
        <v>6.5000000000000008E-5</v>
      </c>
      <c r="BC1103" s="14">
        <f>0.04/1000</f>
        <v>4.0000000000000003E-5</v>
      </c>
      <c r="BD1103" s="15">
        <f>Table1347456[[#This Row],[treatment_se]]*SQRT(Table1347456[[#This Row],[treatment_n]])</f>
        <v>1.3000000000000002E-4</v>
      </c>
      <c r="BE1103" s="14">
        <f>Table1347456[[#This Row],[control_se]]*SQRT(Table1347456[[#This Row],[control_n]])</f>
        <v>8.0000000000000007E-5</v>
      </c>
      <c r="BF110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4.1216937931343421E-3</v>
      </c>
      <c r="BG1103" s="17">
        <f>SQRT(Table1347456[[#This Row],[v_from_sd_and_n]])</f>
        <v>6.4200418948277452E-2</v>
      </c>
      <c r="BH1103" s="13" t="s">
        <v>50</v>
      </c>
      <c r="BI1103" s="13">
        <v>2.5000000000000001E-2</v>
      </c>
      <c r="BJ1103" s="18">
        <f>ABS(_xlfn.NORM.S.INV(Table1347456[[#This Row],[p_value]]/2))</f>
        <v>2.2414027276049446</v>
      </c>
      <c r="BK1103" s="19">
        <f>(Table1347456[[#This Row],[lnrr]]/Table1347456[[#This Row],[z_from_p]])^2</f>
        <v>0.2824759213108915</v>
      </c>
      <c r="BL1103" s="16">
        <f>Table1347456[[#This Row],[v_from_sd_and_n]]</f>
        <v>4.1216937931343421E-3</v>
      </c>
      <c r="BM1103" s="20">
        <f>SQRT(Table1347456[[#This Row],[v]])</f>
        <v>6.4200418948277452E-2</v>
      </c>
      <c r="BN1103" s="20">
        <f>Table1347456[[#This Row],[lnrr]]-(1.96*Table1347456[[#This Row],[se]])</f>
        <v>-1.3171039402894382</v>
      </c>
      <c r="BO1103" s="20">
        <f>Table1347456[[#This Row],[lnrr]]+(1.96 * Table1347456[[#This Row],[se]])</f>
        <v>-1.0654382980121908</v>
      </c>
    </row>
    <row r="1104" spans="1:67">
      <c r="A1104" s="13" t="s">
        <v>358</v>
      </c>
      <c r="B1104" s="13" t="s">
        <v>359</v>
      </c>
      <c r="C1104" s="13" t="s">
        <v>43</v>
      </c>
      <c r="D1104" s="13" t="s">
        <v>324</v>
      </c>
      <c r="E1104" s="13" t="s">
        <v>91</v>
      </c>
      <c r="F1104" s="13" t="s">
        <v>587</v>
      </c>
      <c r="G1104" s="13" t="s">
        <v>46</v>
      </c>
      <c r="H1104" s="13">
        <v>25</v>
      </c>
      <c r="I1104" s="13" t="s">
        <v>46</v>
      </c>
      <c r="K1104" s="13" t="s">
        <v>922</v>
      </c>
      <c r="L1104" s="13" t="s">
        <v>923</v>
      </c>
      <c r="N1104" s="13" t="s">
        <v>53</v>
      </c>
      <c r="O1104" s="13" t="s">
        <v>54</v>
      </c>
      <c r="P1104" s="13" t="s">
        <v>85</v>
      </c>
      <c r="Q1104" s="13" t="s">
        <v>48</v>
      </c>
      <c r="R1104" s="4">
        <v>4</v>
      </c>
      <c r="S1104" s="13" t="s">
        <v>594</v>
      </c>
      <c r="T1104" s="13">
        <v>60</v>
      </c>
      <c r="U1104" s="4" t="s">
        <v>93</v>
      </c>
      <c r="V1104" s="4">
        <v>300</v>
      </c>
      <c r="W1104" s="4" t="s">
        <v>42</v>
      </c>
      <c r="X1104" s="4">
        <v>55.41</v>
      </c>
      <c r="Y1104" s="4">
        <v>20</v>
      </c>
      <c r="AA1104" s="4" t="s">
        <v>49</v>
      </c>
      <c r="AB1104" s="4" t="s">
        <v>677</v>
      </c>
      <c r="AC1104" s="4" t="s">
        <v>49</v>
      </c>
      <c r="AD1104" s="4">
        <v>0</v>
      </c>
      <c r="AE1104" s="4" t="s">
        <v>49</v>
      </c>
      <c r="AF1104" s="4">
        <v>0</v>
      </c>
      <c r="AG1104" s="4" t="s">
        <v>46</v>
      </c>
      <c r="AH1104" s="4" t="s">
        <v>691</v>
      </c>
      <c r="AI1104" s="4" t="s">
        <v>64</v>
      </c>
      <c r="AJ1104" s="13">
        <v>0</v>
      </c>
      <c r="AK1104" s="13">
        <v>20</v>
      </c>
      <c r="AP1104" s="13" t="s">
        <v>50</v>
      </c>
      <c r="AQ1104" s="13" t="s">
        <v>49</v>
      </c>
      <c r="AR1104" s="13" t="s">
        <v>49</v>
      </c>
      <c r="AS1104" s="13" t="s">
        <v>49</v>
      </c>
      <c r="AT1104" s="13" t="s">
        <v>992</v>
      </c>
      <c r="AU1104" s="4" t="s">
        <v>1000</v>
      </c>
      <c r="AV1104" s="14">
        <f>26.85/1000</f>
        <v>2.6850000000000002E-2</v>
      </c>
      <c r="AW1104" s="14">
        <f>14.99/1000</f>
        <v>1.499E-2</v>
      </c>
      <c r="AX1104" s="14">
        <f>Table1347456[[#This Row],[treatment_mean]]/Table1347456[[#This Row],[control_mean]]</f>
        <v>1.7911941294196132</v>
      </c>
      <c r="AY1104" s="14">
        <f>LN(Table1347456[[#This Row],[rr]])</f>
        <v>0.58288250884036741</v>
      </c>
      <c r="AZ1104" s="13">
        <v>4</v>
      </c>
      <c r="BA1104" s="13">
        <v>4</v>
      </c>
      <c r="BB1104" s="14">
        <f>2.86/1000</f>
        <v>2.8599999999999997E-3</v>
      </c>
      <c r="BC1104" s="14">
        <f>1.76/1000</f>
        <v>1.7600000000000001E-3</v>
      </c>
      <c r="BD1104" s="15">
        <f>Table1347456[[#This Row],[treatment_se]]*SQRT(Table1347456[[#This Row],[treatment_n]])</f>
        <v>5.7199999999999994E-3</v>
      </c>
      <c r="BE1104" s="14">
        <f>Table1347456[[#This Row],[control_se]]*SQRT(Table1347456[[#This Row],[control_n]])</f>
        <v>3.5200000000000001E-3</v>
      </c>
      <c r="BF110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2.5131504101129236E-2</v>
      </c>
      <c r="BG1104" s="17">
        <f>SQRT(Table1347456[[#This Row],[v_from_sd_and_n]])</f>
        <v>0.15852919006015653</v>
      </c>
      <c r="BH1104" s="13" t="s">
        <v>50</v>
      </c>
      <c r="BI1104" s="13">
        <v>2.5000000000000001E-2</v>
      </c>
      <c r="BJ1104" s="18">
        <f>ABS(_xlfn.NORM.S.INV(Table1347456[[#This Row],[p_value]]/2))</f>
        <v>2.2414027276049446</v>
      </c>
      <c r="BK1104" s="19">
        <f>(Table1347456[[#This Row],[lnrr]]/Table1347456[[#This Row],[z_from_p]])^2</f>
        <v>6.7627331998463963E-2</v>
      </c>
      <c r="BL1104" s="16">
        <f>Table1347456[[#This Row],[v_from_sd_and_n]]</f>
        <v>2.5131504101129236E-2</v>
      </c>
      <c r="BM1104" s="20">
        <f>SQRT(Table1347456[[#This Row],[v]])</f>
        <v>0.15852919006015653</v>
      </c>
      <c r="BN1104" s="20">
        <f>Table1347456[[#This Row],[lnrr]]-(1.96*Table1347456[[#This Row],[se]])</f>
        <v>0.27216529632246061</v>
      </c>
      <c r="BO1104" s="20">
        <f>Table1347456[[#This Row],[lnrr]]+(1.96 * Table1347456[[#This Row],[se]])</f>
        <v>0.89359972135827426</v>
      </c>
    </row>
    <row r="1105" spans="1:67">
      <c r="A1105" s="13" t="s">
        <v>358</v>
      </c>
      <c r="B1105" s="13" t="s">
        <v>359</v>
      </c>
      <c r="C1105" s="13" t="s">
        <v>43</v>
      </c>
      <c r="D1105" s="13" t="s">
        <v>324</v>
      </c>
      <c r="E1105" s="13" t="s">
        <v>91</v>
      </c>
      <c r="F1105" s="13" t="s">
        <v>587</v>
      </c>
      <c r="G1105" s="13" t="s">
        <v>46</v>
      </c>
      <c r="H1105" s="13">
        <v>25</v>
      </c>
      <c r="I1105" s="13" t="s">
        <v>46</v>
      </c>
      <c r="K1105" s="13" t="s">
        <v>922</v>
      </c>
      <c r="L1105" s="13" t="s">
        <v>923</v>
      </c>
      <c r="N1105" s="13" t="s">
        <v>47</v>
      </c>
      <c r="O1105" s="13" t="s">
        <v>645</v>
      </c>
      <c r="P1105" s="13" t="s">
        <v>48</v>
      </c>
      <c r="Q1105" s="13" t="s">
        <v>48</v>
      </c>
      <c r="R1105" s="4">
        <v>4</v>
      </c>
      <c r="S1105" s="13" t="s">
        <v>594</v>
      </c>
      <c r="T1105" s="13">
        <v>60</v>
      </c>
      <c r="U1105" s="4" t="s">
        <v>93</v>
      </c>
      <c r="V1105" s="4">
        <v>300</v>
      </c>
      <c r="W1105" s="4" t="s">
        <v>42</v>
      </c>
      <c r="X1105" s="4">
        <v>55.41</v>
      </c>
      <c r="Y1105" s="4">
        <v>20</v>
      </c>
      <c r="AA1105" s="4" t="s">
        <v>49</v>
      </c>
      <c r="AB1105" s="4" t="s">
        <v>677</v>
      </c>
      <c r="AC1105" s="4" t="s">
        <v>49</v>
      </c>
      <c r="AD1105" s="4">
        <v>0</v>
      </c>
      <c r="AE1105" s="4" t="s">
        <v>49</v>
      </c>
      <c r="AF1105" s="4">
        <v>0</v>
      </c>
      <c r="AG1105" s="4" t="s">
        <v>46</v>
      </c>
      <c r="AH1105" s="4" t="s">
        <v>691</v>
      </c>
      <c r="AI1105" s="4" t="s">
        <v>64</v>
      </c>
      <c r="AJ1105" s="13">
        <v>0</v>
      </c>
      <c r="AK1105" s="13">
        <v>20</v>
      </c>
      <c r="AP1105" s="13" t="s">
        <v>50</v>
      </c>
      <c r="AQ1105" s="13" t="s">
        <v>49</v>
      </c>
      <c r="AR1105" s="13" t="s">
        <v>49</v>
      </c>
      <c r="AS1105" s="13" t="s">
        <v>49</v>
      </c>
      <c r="AT1105" s="13" t="s">
        <v>992</v>
      </c>
      <c r="AU1105" s="4" t="s">
        <v>1000</v>
      </c>
      <c r="AV1105" s="14">
        <v>0.74</v>
      </c>
      <c r="AW1105" s="14">
        <v>0.26</v>
      </c>
      <c r="AX1105" s="14">
        <f>Table1347456[[#This Row],[treatment_mean]]/Table1347456[[#This Row],[control_mean]]</f>
        <v>2.8461538461538458</v>
      </c>
      <c r="AY1105" s="14">
        <f>LN(Table1347456[[#This Row],[rr]])</f>
        <v>1.0459685551826876</v>
      </c>
      <c r="AZ1105" s="13">
        <v>4</v>
      </c>
      <c r="BA1105" s="13">
        <v>4</v>
      </c>
      <c r="BB1105" s="14">
        <v>0.08</v>
      </c>
      <c r="BC1105" s="14">
        <v>0.05</v>
      </c>
      <c r="BD1105" s="15">
        <f>Table1347456[[#This Row],[treatment_se]]*SQRT(Table1347456[[#This Row],[treatment_n]])</f>
        <v>0.16</v>
      </c>
      <c r="BE1105" s="14">
        <f>Table1347456[[#This Row],[control_se]]*SQRT(Table1347456[[#This Row],[control_n]])</f>
        <v>0.1</v>
      </c>
      <c r="BF110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4.8669611559424453E-2</v>
      </c>
      <c r="BG1105" s="17">
        <f>SQRT(Table1347456[[#This Row],[v_from_sd_and_n]])</f>
        <v>0.22061190257876942</v>
      </c>
      <c r="BH1105" s="13" t="s">
        <v>50</v>
      </c>
      <c r="BI1105" s="13">
        <v>2.5000000000000001E-2</v>
      </c>
      <c r="BJ1105" s="18">
        <f>ABS(_xlfn.NORM.S.INV(Table1347456[[#This Row],[p_value]]/2))</f>
        <v>2.2414027276049446</v>
      </c>
      <c r="BK1105" s="19">
        <f>(Table1347456[[#This Row],[lnrr]]/Table1347456[[#This Row],[z_from_p]])^2</f>
        <v>0.21776970608796684</v>
      </c>
      <c r="BL1105" s="16">
        <f>Table1347456[[#This Row],[v_from_sd_and_n]]</f>
        <v>4.8669611559424453E-2</v>
      </c>
      <c r="BM1105" s="20">
        <f>SQRT(Table1347456[[#This Row],[v]])</f>
        <v>0.22061190257876942</v>
      </c>
      <c r="BN1105" s="20">
        <f>Table1347456[[#This Row],[lnrr]]-(1.96*Table1347456[[#This Row],[se]])</f>
        <v>0.61356922612829956</v>
      </c>
      <c r="BO1105" s="20">
        <f>Table1347456[[#This Row],[lnrr]]+(1.96 * Table1347456[[#This Row],[se]])</f>
        <v>1.4783678842370755</v>
      </c>
    </row>
    <row r="1106" spans="1:67">
      <c r="A1106" s="13" t="s">
        <v>358</v>
      </c>
      <c r="B1106" s="13" t="s">
        <v>359</v>
      </c>
      <c r="C1106" s="13" t="s">
        <v>43</v>
      </c>
      <c r="D1106" s="13" t="s">
        <v>324</v>
      </c>
      <c r="E1106" s="13" t="s">
        <v>91</v>
      </c>
      <c r="F1106" s="13" t="s">
        <v>587</v>
      </c>
      <c r="G1106" s="13" t="s">
        <v>46</v>
      </c>
      <c r="H1106" s="13">
        <v>25</v>
      </c>
      <c r="I1106" s="13" t="s">
        <v>46</v>
      </c>
      <c r="K1106" s="13" t="s">
        <v>922</v>
      </c>
      <c r="L1106" s="13" t="s">
        <v>923</v>
      </c>
      <c r="N1106" s="13" t="s">
        <v>86</v>
      </c>
      <c r="O1106" s="13" t="s">
        <v>644</v>
      </c>
      <c r="P1106" s="13" t="s">
        <v>85</v>
      </c>
      <c r="Q1106" s="13" t="s">
        <v>48</v>
      </c>
      <c r="R1106" s="4">
        <v>4</v>
      </c>
      <c r="S1106" s="13" t="s">
        <v>594</v>
      </c>
      <c r="T1106" s="13">
        <v>60</v>
      </c>
      <c r="U1106" s="4" t="s">
        <v>93</v>
      </c>
      <c r="V1106" s="4">
        <v>300</v>
      </c>
      <c r="W1106" s="4" t="s">
        <v>42</v>
      </c>
      <c r="X1106" s="4">
        <v>55.41</v>
      </c>
      <c r="Y1106" s="4">
        <v>20</v>
      </c>
      <c r="AA1106" s="4" t="s">
        <v>49</v>
      </c>
      <c r="AB1106" s="4" t="s">
        <v>677</v>
      </c>
      <c r="AC1106" s="4" t="s">
        <v>49</v>
      </c>
      <c r="AD1106" s="4">
        <v>0</v>
      </c>
      <c r="AE1106" s="4" t="s">
        <v>49</v>
      </c>
      <c r="AF1106" s="4">
        <v>0</v>
      </c>
      <c r="AG1106" s="4" t="s">
        <v>46</v>
      </c>
      <c r="AH1106" s="4" t="s">
        <v>691</v>
      </c>
      <c r="AI1106" s="4" t="s">
        <v>64</v>
      </c>
      <c r="AJ1106" s="13">
        <v>0</v>
      </c>
      <c r="AK1106" s="13">
        <v>20</v>
      </c>
      <c r="AP1106" s="13" t="s">
        <v>50</v>
      </c>
      <c r="AQ1106" s="13" t="s">
        <v>49</v>
      </c>
      <c r="AR1106" s="13" t="s">
        <v>49</v>
      </c>
      <c r="AS1106" s="13" t="s">
        <v>49</v>
      </c>
      <c r="AT1106" s="13" t="s">
        <v>992</v>
      </c>
      <c r="AU1106" s="4" t="s">
        <v>1000</v>
      </c>
      <c r="AV1106" s="14">
        <f>670.78/1000</f>
        <v>0.67077999999999993</v>
      </c>
      <c r="AW1106" s="14">
        <f>280.02/1000</f>
        <v>0.28001999999999999</v>
      </c>
      <c r="AX1106" s="14">
        <f>Table1347456[[#This Row],[treatment_mean]]/Table1347456[[#This Row],[control_mean]]</f>
        <v>2.3954717520177127</v>
      </c>
      <c r="AY1106" s="14">
        <f>LN(Table1347456[[#This Row],[rr]])</f>
        <v>0.87358018516869984</v>
      </c>
      <c r="AZ1106" s="13">
        <v>4</v>
      </c>
      <c r="BA1106" s="13">
        <v>4</v>
      </c>
      <c r="BB1106" s="14">
        <f>21.74/1000</f>
        <v>2.1739999999999999E-2</v>
      </c>
      <c r="BC1106" s="14">
        <f>15/1000</f>
        <v>1.4999999999999999E-2</v>
      </c>
      <c r="BD1106" s="15">
        <f>Table1347456[[#This Row],[treatment_se]]*SQRT(Table1347456[[#This Row],[treatment_n]])</f>
        <v>4.3479999999999998E-2</v>
      </c>
      <c r="BE1106" s="14">
        <f>Table1347456[[#This Row],[control_se]]*SQRT(Table1347456[[#This Row],[control_n]])</f>
        <v>0.03</v>
      </c>
      <c r="BF110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3.9198980696868134E-3</v>
      </c>
      <c r="BG1106" s="17">
        <f>SQRT(Table1347456[[#This Row],[v_from_sd_and_n]])</f>
        <v>6.2609089353597963E-2</v>
      </c>
      <c r="BH1106" s="13" t="s">
        <v>50</v>
      </c>
      <c r="BI1106" s="13">
        <v>2.5000000000000001E-2</v>
      </c>
      <c r="BJ1106" s="18">
        <f>ABS(_xlfn.NORM.S.INV(Table1347456[[#This Row],[p_value]]/2))</f>
        <v>2.2414027276049446</v>
      </c>
      <c r="BK1106" s="19">
        <f>(Table1347456[[#This Row],[lnrr]]/Table1347456[[#This Row],[z_from_p]])^2</f>
        <v>0.1519027922738943</v>
      </c>
      <c r="BL1106" s="16">
        <f>Table1347456[[#This Row],[v_from_sd_and_n]]</f>
        <v>3.9198980696868134E-3</v>
      </c>
      <c r="BM1106" s="20">
        <f>SQRT(Table1347456[[#This Row],[v]])</f>
        <v>6.2609089353597963E-2</v>
      </c>
      <c r="BN1106" s="20">
        <f>Table1347456[[#This Row],[lnrr]]-(1.96*Table1347456[[#This Row],[se]])</f>
        <v>0.75086637003564782</v>
      </c>
      <c r="BO1106" s="20">
        <f>Table1347456[[#This Row],[lnrr]]+(1.96 * Table1347456[[#This Row],[se]])</f>
        <v>0.99629400030175186</v>
      </c>
    </row>
    <row r="1107" spans="1:67">
      <c r="A1107" s="13" t="s">
        <v>360</v>
      </c>
      <c r="B1107" s="13" t="s">
        <v>361</v>
      </c>
      <c r="C1107" s="13" t="s">
        <v>43</v>
      </c>
      <c r="D1107" s="13" t="s">
        <v>195</v>
      </c>
      <c r="E1107" s="13" t="s">
        <v>249</v>
      </c>
      <c r="F1107" s="13" t="s">
        <v>588</v>
      </c>
      <c r="G1107" s="13" t="s">
        <v>46</v>
      </c>
      <c r="H1107" s="13">
        <v>32</v>
      </c>
      <c r="I1107" s="13">
        <v>1400</v>
      </c>
      <c r="K1107" s="13" t="s">
        <v>924</v>
      </c>
      <c r="L1107" s="13" t="s">
        <v>925</v>
      </c>
      <c r="N1107" s="13" t="s">
        <v>47</v>
      </c>
      <c r="O1107" s="13" t="s">
        <v>645</v>
      </c>
      <c r="P1107" s="13" t="s">
        <v>422</v>
      </c>
      <c r="Q1107" s="13" t="s">
        <v>48</v>
      </c>
      <c r="R1107" s="4">
        <v>3</v>
      </c>
      <c r="S1107" s="13" t="s">
        <v>594</v>
      </c>
      <c r="T1107" s="13">
        <v>336</v>
      </c>
      <c r="U1107" s="4" t="s">
        <v>147</v>
      </c>
      <c r="V1107" s="4">
        <v>580</v>
      </c>
      <c r="W1107" s="4" t="s">
        <v>601</v>
      </c>
      <c r="X1107" s="4">
        <v>520.29999999999995</v>
      </c>
      <c r="Y1107" s="4">
        <v>10</v>
      </c>
      <c r="AA1107" s="4" t="s">
        <v>49</v>
      </c>
      <c r="AB1107" s="4">
        <v>0</v>
      </c>
      <c r="AC1107" s="4" t="s">
        <v>49</v>
      </c>
      <c r="AD1107" s="4">
        <v>0</v>
      </c>
      <c r="AE1107" s="4" t="s">
        <v>49</v>
      </c>
      <c r="AF1107" s="4">
        <v>0</v>
      </c>
      <c r="AG1107" s="4" t="s">
        <v>683</v>
      </c>
      <c r="AH1107" s="4" t="s">
        <v>684</v>
      </c>
      <c r="AI1107" s="4" t="s">
        <v>78</v>
      </c>
      <c r="AJ1107" s="13">
        <v>0</v>
      </c>
      <c r="AK1107" s="13">
        <v>15</v>
      </c>
      <c r="AM1107" s="13" t="s">
        <v>523</v>
      </c>
      <c r="AP1107" s="13" t="s">
        <v>49</v>
      </c>
      <c r="AQ1107" s="13" t="s">
        <v>49</v>
      </c>
      <c r="AR1107" s="13" t="s">
        <v>49</v>
      </c>
      <c r="AS1107" s="13" t="s">
        <v>49</v>
      </c>
      <c r="AT1107" s="13" t="s">
        <v>990</v>
      </c>
      <c r="AU1107" s="13" t="s">
        <v>998</v>
      </c>
      <c r="AV1107" s="14">
        <f>0.2*10</f>
        <v>2</v>
      </c>
      <c r="AW1107" s="14">
        <f>0.16*10</f>
        <v>1.6</v>
      </c>
      <c r="AX1107" s="14">
        <f>Table1347456[[#This Row],[treatment_mean]]/Table1347456[[#This Row],[control_mean]]</f>
        <v>1.25</v>
      </c>
      <c r="AY1107" s="14">
        <f>LN(Table1347456[[#This Row],[rr]])</f>
        <v>0.22314355131420976</v>
      </c>
      <c r="AZ1107" s="13">
        <v>3</v>
      </c>
      <c r="BA1107" s="13">
        <v>3</v>
      </c>
      <c r="BB1107" s="14" t="s">
        <v>46</v>
      </c>
      <c r="BC1107" s="14" t="s">
        <v>46</v>
      </c>
      <c r="BD1107" s="15" t="s">
        <v>46</v>
      </c>
      <c r="BE1107" s="14" t="s">
        <v>46</v>
      </c>
      <c r="BF110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07" s="17" t="s">
        <v>46</v>
      </c>
      <c r="BH1107" s="13" t="s">
        <v>50</v>
      </c>
      <c r="BI1107" s="13">
        <v>0.05</v>
      </c>
      <c r="BJ1107" s="18">
        <f>ABS(_xlfn.NORM.S.INV(Table1347456[[#This Row],[p_value]]/2))</f>
        <v>1.9599639845400538</v>
      </c>
      <c r="BK1107" s="19">
        <f>(Table1347456[[#This Row],[lnrr]]/Table1347456[[#This Row],[z_from_p]])^2</f>
        <v>1.2962014384972666E-2</v>
      </c>
      <c r="BL1107" s="16">
        <f>Table1347456[[#This Row],[v_from_z_from_p]]</f>
        <v>1.2962014384972666E-2</v>
      </c>
      <c r="BM1107" s="20">
        <f>SQRT(Table1347456[[#This Row],[v]])</f>
        <v>0.11385084270646689</v>
      </c>
      <c r="BN1107" s="20">
        <f>Table1347456[[#This Row],[lnrr]]-(1.96*Table1347456[[#This Row],[se]])</f>
        <v>-4.1003904653336143E-6</v>
      </c>
      <c r="BO1107" s="20">
        <f>Table1347456[[#This Row],[lnrr]]+(1.96 * Table1347456[[#This Row],[se]])</f>
        <v>0.44629120301888486</v>
      </c>
    </row>
    <row r="1108" spans="1:67">
      <c r="A1108" s="13" t="s">
        <v>360</v>
      </c>
      <c r="B1108" s="13" t="s">
        <v>361</v>
      </c>
      <c r="C1108" s="13" t="s">
        <v>43</v>
      </c>
      <c r="D1108" s="13" t="s">
        <v>195</v>
      </c>
      <c r="E1108" s="13" t="s">
        <v>249</v>
      </c>
      <c r="F1108" s="13" t="s">
        <v>588</v>
      </c>
      <c r="G1108" s="13" t="s">
        <v>46</v>
      </c>
      <c r="H1108" s="13">
        <v>32</v>
      </c>
      <c r="I1108" s="13">
        <v>1400</v>
      </c>
      <c r="K1108" s="13" t="s">
        <v>924</v>
      </c>
      <c r="L1108" s="13" t="s">
        <v>925</v>
      </c>
      <c r="N1108" s="13" t="s">
        <v>47</v>
      </c>
      <c r="O1108" s="13" t="s">
        <v>645</v>
      </c>
      <c r="P1108" s="13" t="s">
        <v>422</v>
      </c>
      <c r="Q1108" s="13" t="s">
        <v>48</v>
      </c>
      <c r="R1108" s="4">
        <v>3</v>
      </c>
      <c r="S1108" s="13" t="s">
        <v>594</v>
      </c>
      <c r="T1108" s="13">
        <v>336</v>
      </c>
      <c r="U1108" s="4" t="s">
        <v>147</v>
      </c>
      <c r="V1108" s="4">
        <v>580</v>
      </c>
      <c r="W1108" s="4" t="s">
        <v>601</v>
      </c>
      <c r="X1108" s="4">
        <v>520.29999999999995</v>
      </c>
      <c r="Y1108" s="4">
        <v>20</v>
      </c>
      <c r="AA1108" s="4" t="s">
        <v>49</v>
      </c>
      <c r="AB1108" s="4">
        <v>0</v>
      </c>
      <c r="AC1108" s="4" t="s">
        <v>49</v>
      </c>
      <c r="AD1108" s="4">
        <v>0</v>
      </c>
      <c r="AE1108" s="4" t="s">
        <v>49</v>
      </c>
      <c r="AF1108" s="4">
        <v>0</v>
      </c>
      <c r="AG1108" s="4" t="s">
        <v>683</v>
      </c>
      <c r="AH1108" s="4" t="s">
        <v>684</v>
      </c>
      <c r="AI1108" s="4" t="s">
        <v>78</v>
      </c>
      <c r="AJ1108" s="13">
        <v>0</v>
      </c>
      <c r="AK1108" s="13">
        <v>15</v>
      </c>
      <c r="AM1108" s="13" t="s">
        <v>523</v>
      </c>
      <c r="AP1108" s="13" t="s">
        <v>49</v>
      </c>
      <c r="AQ1108" s="13" t="s">
        <v>49</v>
      </c>
      <c r="AR1108" s="13" t="s">
        <v>49</v>
      </c>
      <c r="AS1108" s="13" t="s">
        <v>49</v>
      </c>
      <c r="AT1108" s="13" t="s">
        <v>990</v>
      </c>
      <c r="AU1108" s="13" t="s">
        <v>998</v>
      </c>
      <c r="AV1108" s="14">
        <f>0.24*10</f>
        <v>2.4</v>
      </c>
      <c r="AW1108" s="14">
        <f>0.16*10</f>
        <v>1.6</v>
      </c>
      <c r="AX1108" s="14">
        <f>Table1347456[[#This Row],[treatment_mean]]/Table1347456[[#This Row],[control_mean]]</f>
        <v>1.4999999999999998</v>
      </c>
      <c r="AY1108" s="14">
        <f>LN(Table1347456[[#This Row],[rr]])</f>
        <v>0.40546510810816422</v>
      </c>
      <c r="AZ1108" s="13">
        <v>3</v>
      </c>
      <c r="BA1108" s="13">
        <v>3</v>
      </c>
      <c r="BB1108" s="14" t="s">
        <v>46</v>
      </c>
      <c r="BC1108" s="14" t="s">
        <v>46</v>
      </c>
      <c r="BD1108" s="15" t="s">
        <v>46</v>
      </c>
      <c r="BE1108" s="14" t="s">
        <v>46</v>
      </c>
      <c r="BF110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08" s="17" t="s">
        <v>46</v>
      </c>
      <c r="BH1108" s="13" t="s">
        <v>50</v>
      </c>
      <c r="BI1108" s="13">
        <v>0.05</v>
      </c>
      <c r="BJ1108" s="18">
        <f>ABS(_xlfn.NORM.S.INV(Table1347456[[#This Row],[p_value]]/2))</f>
        <v>1.9599639845400538</v>
      </c>
      <c r="BK1108" s="19">
        <f>(Table1347456[[#This Row],[lnrr]]/Table1347456[[#This Row],[z_from_p]])^2</f>
        <v>4.2796750288594532E-2</v>
      </c>
      <c r="BL1108" s="16">
        <f>Table1347456[[#This Row],[v_from_z_from_p]]</f>
        <v>4.2796750288594532E-2</v>
      </c>
      <c r="BM1108" s="20">
        <f>SQRT(Table1347456[[#This Row],[v]])</f>
        <v>0.20687375447019501</v>
      </c>
      <c r="BN1108" s="20">
        <f>Table1347456[[#This Row],[lnrr]]-(1.96*Table1347456[[#This Row],[se]])</f>
        <v>-7.4506534180063255E-6</v>
      </c>
      <c r="BO1108" s="20">
        <f>Table1347456[[#This Row],[lnrr]]+(1.96 * Table1347456[[#This Row],[se]])</f>
        <v>0.81093766686974644</v>
      </c>
    </row>
    <row r="1109" spans="1:67">
      <c r="A1109" s="13" t="s">
        <v>360</v>
      </c>
      <c r="B1109" s="13" t="s">
        <v>361</v>
      </c>
      <c r="C1109" s="13" t="s">
        <v>43</v>
      </c>
      <c r="D1109" s="13" t="s">
        <v>195</v>
      </c>
      <c r="E1109" s="13" t="s">
        <v>249</v>
      </c>
      <c r="F1109" s="13" t="s">
        <v>588</v>
      </c>
      <c r="G1109" s="13" t="s">
        <v>46</v>
      </c>
      <c r="H1109" s="13">
        <v>32</v>
      </c>
      <c r="I1109" s="13">
        <v>1400</v>
      </c>
      <c r="K1109" s="13" t="s">
        <v>924</v>
      </c>
      <c r="L1109" s="13" t="s">
        <v>925</v>
      </c>
      <c r="N1109" s="13" t="s">
        <v>47</v>
      </c>
      <c r="O1109" s="13" t="s">
        <v>645</v>
      </c>
      <c r="P1109" s="13" t="s">
        <v>422</v>
      </c>
      <c r="Q1109" s="13" t="s">
        <v>48</v>
      </c>
      <c r="R1109" s="4">
        <v>3</v>
      </c>
      <c r="S1109" s="13" t="s">
        <v>594</v>
      </c>
      <c r="T1109" s="13">
        <v>336</v>
      </c>
      <c r="U1109" s="4" t="s">
        <v>147</v>
      </c>
      <c r="V1109" s="4">
        <v>580</v>
      </c>
      <c r="W1109" s="4" t="s">
        <v>601</v>
      </c>
      <c r="X1109" s="4">
        <v>520.29999999999995</v>
      </c>
      <c r="Y1109" s="4">
        <v>30</v>
      </c>
      <c r="AA1109" s="4" t="s">
        <v>49</v>
      </c>
      <c r="AB1109" s="4">
        <v>0</v>
      </c>
      <c r="AC1109" s="4" t="s">
        <v>49</v>
      </c>
      <c r="AD1109" s="4">
        <v>0</v>
      </c>
      <c r="AE1109" s="4" t="s">
        <v>49</v>
      </c>
      <c r="AF1109" s="4">
        <v>0</v>
      </c>
      <c r="AG1109" s="4" t="s">
        <v>683</v>
      </c>
      <c r="AH1109" s="4" t="s">
        <v>684</v>
      </c>
      <c r="AI1109" s="4" t="s">
        <v>78</v>
      </c>
      <c r="AJ1109" s="13">
        <v>0</v>
      </c>
      <c r="AK1109" s="13">
        <v>15</v>
      </c>
      <c r="AM1109" s="13" t="s">
        <v>523</v>
      </c>
      <c r="AP1109" s="13" t="s">
        <v>49</v>
      </c>
      <c r="AQ1109" s="13" t="s">
        <v>49</v>
      </c>
      <c r="AR1109" s="13" t="s">
        <v>49</v>
      </c>
      <c r="AS1109" s="13" t="s">
        <v>49</v>
      </c>
      <c r="AT1109" s="13" t="s">
        <v>990</v>
      </c>
      <c r="AU1109" s="13" t="s">
        <v>998</v>
      </c>
      <c r="AV1109" s="14">
        <f>0.28*10</f>
        <v>2.8000000000000003</v>
      </c>
      <c r="AW1109" s="14">
        <f>0.16*10</f>
        <v>1.6</v>
      </c>
      <c r="AX1109" s="14">
        <f>Table1347456[[#This Row],[treatment_mean]]/Table1347456[[#This Row],[control_mean]]</f>
        <v>1.75</v>
      </c>
      <c r="AY1109" s="14">
        <f>LN(Table1347456[[#This Row],[rr]])</f>
        <v>0.55961578793542266</v>
      </c>
      <c r="AZ1109" s="13">
        <v>3</v>
      </c>
      <c r="BA1109" s="13">
        <v>3</v>
      </c>
      <c r="BB1109" s="14" t="s">
        <v>46</v>
      </c>
      <c r="BC1109" s="14" t="s">
        <v>46</v>
      </c>
      <c r="BD1109" s="15" t="s">
        <v>46</v>
      </c>
      <c r="BE1109" s="14" t="s">
        <v>46</v>
      </c>
      <c r="BF110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09" s="17" t="s">
        <v>46</v>
      </c>
      <c r="BH1109" s="13" t="s">
        <v>50</v>
      </c>
      <c r="BI1109" s="13">
        <v>0.05</v>
      </c>
      <c r="BJ1109" s="18">
        <f>ABS(_xlfn.NORM.S.INV(Table1347456[[#This Row],[p_value]]/2))</f>
        <v>1.9599639845400538</v>
      </c>
      <c r="BK1109" s="19">
        <f>(Table1347456[[#This Row],[lnrr]]/Table1347456[[#This Row],[z_from_p]])^2</f>
        <v>8.1523672314153917E-2</v>
      </c>
      <c r="BL1109" s="16">
        <f>Table1347456[[#This Row],[v_from_z_from_p]]</f>
        <v>8.1523672314153917E-2</v>
      </c>
      <c r="BM1109" s="20">
        <f>SQRT(Table1347456[[#This Row],[v]])</f>
        <v>0.28552350571214608</v>
      </c>
      <c r="BN1109" s="20">
        <f>Table1347456[[#This Row],[lnrr]]-(1.96*Table1347456[[#This Row],[se]])</f>
        <v>-1.0283260383658899E-5</v>
      </c>
      <c r="BO1109" s="20">
        <f>Table1347456[[#This Row],[lnrr]]+(1.96 * Table1347456[[#This Row],[se]])</f>
        <v>1.119241859131229</v>
      </c>
    </row>
    <row r="1110" spans="1:67">
      <c r="A1110" s="13" t="s">
        <v>360</v>
      </c>
      <c r="B1110" s="13" t="s">
        <v>361</v>
      </c>
      <c r="C1110" s="13" t="s">
        <v>43</v>
      </c>
      <c r="D1110" s="13" t="s">
        <v>195</v>
      </c>
      <c r="E1110" s="13" t="s">
        <v>249</v>
      </c>
      <c r="F1110" s="13" t="s">
        <v>588</v>
      </c>
      <c r="G1110" s="13" t="s">
        <v>46</v>
      </c>
      <c r="H1110" s="13">
        <v>32</v>
      </c>
      <c r="I1110" s="13">
        <v>1400</v>
      </c>
      <c r="K1110" s="13" t="s">
        <v>924</v>
      </c>
      <c r="L1110" s="13" t="s">
        <v>925</v>
      </c>
      <c r="N1110" s="13" t="s">
        <v>47</v>
      </c>
      <c r="O1110" s="13" t="s">
        <v>645</v>
      </c>
      <c r="P1110" s="13" t="s">
        <v>422</v>
      </c>
      <c r="Q1110" s="13" t="s">
        <v>48</v>
      </c>
      <c r="R1110" s="4">
        <v>3</v>
      </c>
      <c r="S1110" s="13" t="s">
        <v>594</v>
      </c>
      <c r="T1110" s="13">
        <v>336</v>
      </c>
      <c r="U1110" s="4" t="s">
        <v>147</v>
      </c>
      <c r="V1110" s="4">
        <v>580</v>
      </c>
      <c r="W1110" s="4" t="s">
        <v>601</v>
      </c>
      <c r="X1110" s="4">
        <v>520.29999999999995</v>
      </c>
      <c r="Y1110" s="4">
        <v>10</v>
      </c>
      <c r="AA1110" s="4" t="s">
        <v>49</v>
      </c>
      <c r="AB1110" s="4">
        <v>0</v>
      </c>
      <c r="AC1110" s="4" t="s">
        <v>50</v>
      </c>
      <c r="AD1110" s="4">
        <v>7.5</v>
      </c>
      <c r="AE1110" s="4" t="s">
        <v>49</v>
      </c>
      <c r="AF1110" s="4">
        <v>0</v>
      </c>
      <c r="AG1110" s="4" t="s">
        <v>683</v>
      </c>
      <c r="AH1110" s="4" t="s">
        <v>684</v>
      </c>
      <c r="AI1110" s="4" t="s">
        <v>78</v>
      </c>
      <c r="AJ1110" s="13">
        <v>0</v>
      </c>
      <c r="AK1110" s="13">
        <v>15</v>
      </c>
      <c r="AM1110" s="13" t="s">
        <v>523</v>
      </c>
      <c r="AP1110" s="13" t="s">
        <v>49</v>
      </c>
      <c r="AQ1110" s="13" t="s">
        <v>49</v>
      </c>
      <c r="AR1110" s="13" t="s">
        <v>49</v>
      </c>
      <c r="AS1110" s="13" t="s">
        <v>49</v>
      </c>
      <c r="AT1110" s="13" t="s">
        <v>993</v>
      </c>
      <c r="AU1110" s="13" t="s">
        <v>1001</v>
      </c>
      <c r="AV1110" s="14">
        <f>0.36*10</f>
        <v>3.5999999999999996</v>
      </c>
      <c r="AW1110" s="14">
        <f>0.32*10</f>
        <v>3.2</v>
      </c>
      <c r="AX1110" s="14">
        <f>Table1347456[[#This Row],[treatment_mean]]/Table1347456[[#This Row],[control_mean]]</f>
        <v>1.1249999999999998</v>
      </c>
      <c r="AY1110" s="14">
        <f>LN(Table1347456[[#This Row],[rr]])</f>
        <v>0.11778303565638326</v>
      </c>
      <c r="AZ1110" s="13">
        <v>3</v>
      </c>
      <c r="BA1110" s="13">
        <v>3</v>
      </c>
      <c r="BB1110" s="14" t="s">
        <v>46</v>
      </c>
      <c r="BC1110" s="14" t="s">
        <v>46</v>
      </c>
      <c r="BD1110" s="15" t="s">
        <v>46</v>
      </c>
      <c r="BE1110" s="14" t="s">
        <v>46</v>
      </c>
      <c r="BF111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10" s="17" t="s">
        <v>46</v>
      </c>
      <c r="BH1110" s="13" t="s">
        <v>50</v>
      </c>
      <c r="BI1110" s="13">
        <v>0.05</v>
      </c>
      <c r="BJ1110" s="18">
        <f>ABS(_xlfn.NORM.S.INV(Table1347456[[#This Row],[p_value]]/2))</f>
        <v>1.9599639845400538</v>
      </c>
      <c r="BK1110" s="19">
        <f>(Table1347456[[#This Row],[lnrr]]/Table1347456[[#This Row],[z_from_p]])^2</f>
        <v>3.6113477030390567E-3</v>
      </c>
      <c r="BL1110" s="16">
        <f>Table1347456[[#This Row],[v_from_z_from_p]]</f>
        <v>3.6113477030390567E-3</v>
      </c>
      <c r="BM1110" s="20">
        <f>SQRT(Table1347456[[#This Row],[v]])</f>
        <v>6.0094489789323087E-2</v>
      </c>
      <c r="BN1110" s="20">
        <f>Table1347456[[#This Row],[lnrr]]-(1.96*Table1347456[[#This Row],[se]])</f>
        <v>-2.1643306899882253E-6</v>
      </c>
      <c r="BO1110" s="20">
        <f>Table1347456[[#This Row],[lnrr]]+(1.96 * Table1347456[[#This Row],[se]])</f>
        <v>0.23556823564345652</v>
      </c>
    </row>
    <row r="1111" spans="1:67">
      <c r="A1111" s="13" t="s">
        <v>360</v>
      </c>
      <c r="B1111" s="13" t="s">
        <v>361</v>
      </c>
      <c r="C1111" s="13" t="s">
        <v>43</v>
      </c>
      <c r="D1111" s="13" t="s">
        <v>195</v>
      </c>
      <c r="E1111" s="13" t="s">
        <v>249</v>
      </c>
      <c r="F1111" s="13" t="s">
        <v>588</v>
      </c>
      <c r="G1111" s="13" t="s">
        <v>46</v>
      </c>
      <c r="H1111" s="13">
        <v>32</v>
      </c>
      <c r="I1111" s="13">
        <v>1400</v>
      </c>
      <c r="K1111" s="13" t="s">
        <v>924</v>
      </c>
      <c r="L1111" s="13" t="s">
        <v>925</v>
      </c>
      <c r="N1111" s="13" t="s">
        <v>47</v>
      </c>
      <c r="O1111" s="13" t="s">
        <v>645</v>
      </c>
      <c r="P1111" s="13" t="s">
        <v>422</v>
      </c>
      <c r="Q1111" s="13" t="s">
        <v>48</v>
      </c>
      <c r="R1111" s="4">
        <v>3</v>
      </c>
      <c r="S1111" s="13" t="s">
        <v>594</v>
      </c>
      <c r="T1111" s="13">
        <v>336</v>
      </c>
      <c r="U1111" s="4" t="s">
        <v>147</v>
      </c>
      <c r="V1111" s="4">
        <v>580</v>
      </c>
      <c r="W1111" s="4" t="s">
        <v>601</v>
      </c>
      <c r="X1111" s="4">
        <v>520.29999999999995</v>
      </c>
      <c r="Y1111" s="4">
        <v>20</v>
      </c>
      <c r="AA1111" s="4" t="s">
        <v>49</v>
      </c>
      <c r="AB1111" s="4">
        <v>0</v>
      </c>
      <c r="AC1111" s="4" t="s">
        <v>50</v>
      </c>
      <c r="AD1111" s="4">
        <v>7.5</v>
      </c>
      <c r="AE1111" s="4" t="s">
        <v>49</v>
      </c>
      <c r="AF1111" s="4">
        <v>0</v>
      </c>
      <c r="AG1111" s="4" t="s">
        <v>683</v>
      </c>
      <c r="AH1111" s="4" t="s">
        <v>684</v>
      </c>
      <c r="AI1111" s="4" t="s">
        <v>78</v>
      </c>
      <c r="AJ1111" s="13">
        <v>0</v>
      </c>
      <c r="AK1111" s="13">
        <v>15</v>
      </c>
      <c r="AM1111" s="13" t="s">
        <v>523</v>
      </c>
      <c r="AP1111" s="13" t="s">
        <v>49</v>
      </c>
      <c r="AQ1111" s="13" t="s">
        <v>49</v>
      </c>
      <c r="AR1111" s="13" t="s">
        <v>49</v>
      </c>
      <c r="AS1111" s="13" t="s">
        <v>49</v>
      </c>
      <c r="AT1111" s="13" t="s">
        <v>993</v>
      </c>
      <c r="AU1111" s="13" t="s">
        <v>1001</v>
      </c>
      <c r="AV1111" s="14">
        <f>0.4*10</f>
        <v>4</v>
      </c>
      <c r="AW1111" s="14">
        <f>0.32*10</f>
        <v>3.2</v>
      </c>
      <c r="AX1111" s="14">
        <f>Table1347456[[#This Row],[treatment_mean]]/Table1347456[[#This Row],[control_mean]]</f>
        <v>1.25</v>
      </c>
      <c r="AY1111" s="14">
        <f>LN(Table1347456[[#This Row],[rr]])</f>
        <v>0.22314355131420976</v>
      </c>
      <c r="AZ1111" s="13">
        <v>3</v>
      </c>
      <c r="BA1111" s="13">
        <v>3</v>
      </c>
      <c r="BB1111" s="14" t="s">
        <v>46</v>
      </c>
      <c r="BC1111" s="14" t="s">
        <v>46</v>
      </c>
      <c r="BD1111" s="15" t="s">
        <v>46</v>
      </c>
      <c r="BE1111" s="14" t="s">
        <v>46</v>
      </c>
      <c r="BF111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11" s="17" t="s">
        <v>46</v>
      </c>
      <c r="BH1111" s="13" t="s">
        <v>50</v>
      </c>
      <c r="BI1111" s="13">
        <v>0.05</v>
      </c>
      <c r="BJ1111" s="18">
        <f>ABS(_xlfn.NORM.S.INV(Table1347456[[#This Row],[p_value]]/2))</f>
        <v>1.9599639845400538</v>
      </c>
      <c r="BK1111" s="19">
        <f>(Table1347456[[#This Row],[lnrr]]/Table1347456[[#This Row],[z_from_p]])^2</f>
        <v>1.2962014384972666E-2</v>
      </c>
      <c r="BL1111" s="16">
        <f>Table1347456[[#This Row],[v_from_z_from_p]]</f>
        <v>1.2962014384972666E-2</v>
      </c>
      <c r="BM1111" s="20">
        <f>SQRT(Table1347456[[#This Row],[v]])</f>
        <v>0.11385084270646689</v>
      </c>
      <c r="BN1111" s="20">
        <f>Table1347456[[#This Row],[lnrr]]-(1.96*Table1347456[[#This Row],[se]])</f>
        <v>-4.1003904653336143E-6</v>
      </c>
      <c r="BO1111" s="20">
        <f>Table1347456[[#This Row],[lnrr]]+(1.96 * Table1347456[[#This Row],[se]])</f>
        <v>0.44629120301888486</v>
      </c>
    </row>
    <row r="1112" spans="1:67">
      <c r="A1112" s="13" t="s">
        <v>360</v>
      </c>
      <c r="B1112" s="13" t="s">
        <v>361</v>
      </c>
      <c r="C1112" s="13" t="s">
        <v>43</v>
      </c>
      <c r="D1112" s="13" t="s">
        <v>195</v>
      </c>
      <c r="E1112" s="13" t="s">
        <v>249</v>
      </c>
      <c r="F1112" s="13" t="s">
        <v>588</v>
      </c>
      <c r="G1112" s="13" t="s">
        <v>46</v>
      </c>
      <c r="H1112" s="13">
        <v>32</v>
      </c>
      <c r="I1112" s="13">
        <v>1400</v>
      </c>
      <c r="K1112" s="13" t="s">
        <v>924</v>
      </c>
      <c r="L1112" s="13" t="s">
        <v>925</v>
      </c>
      <c r="N1112" s="13" t="s">
        <v>47</v>
      </c>
      <c r="O1112" s="13" t="s">
        <v>645</v>
      </c>
      <c r="P1112" s="13" t="s">
        <v>422</v>
      </c>
      <c r="Q1112" s="13" t="s">
        <v>48</v>
      </c>
      <c r="R1112" s="4">
        <v>3</v>
      </c>
      <c r="S1112" s="13" t="s">
        <v>594</v>
      </c>
      <c r="T1112" s="13">
        <v>336</v>
      </c>
      <c r="U1112" s="4" t="s">
        <v>147</v>
      </c>
      <c r="V1112" s="4">
        <v>580</v>
      </c>
      <c r="W1112" s="4" t="s">
        <v>601</v>
      </c>
      <c r="X1112" s="4">
        <v>520.29999999999995</v>
      </c>
      <c r="Y1112" s="4">
        <v>30</v>
      </c>
      <c r="AA1112" s="4" t="s">
        <v>49</v>
      </c>
      <c r="AB1112" s="4">
        <v>0</v>
      </c>
      <c r="AC1112" s="4" t="s">
        <v>50</v>
      </c>
      <c r="AD1112" s="4">
        <v>7.5</v>
      </c>
      <c r="AE1112" s="4" t="s">
        <v>49</v>
      </c>
      <c r="AF1112" s="4">
        <v>0</v>
      </c>
      <c r="AG1112" s="4" t="s">
        <v>683</v>
      </c>
      <c r="AH1112" s="4" t="s">
        <v>684</v>
      </c>
      <c r="AI1112" s="4" t="s">
        <v>78</v>
      </c>
      <c r="AJ1112" s="13">
        <v>0</v>
      </c>
      <c r="AK1112" s="13">
        <v>15</v>
      </c>
      <c r="AM1112" s="13" t="s">
        <v>523</v>
      </c>
      <c r="AP1112" s="13" t="s">
        <v>49</v>
      </c>
      <c r="AQ1112" s="13" t="s">
        <v>49</v>
      </c>
      <c r="AR1112" s="13" t="s">
        <v>49</v>
      </c>
      <c r="AS1112" s="13" t="s">
        <v>49</v>
      </c>
      <c r="AT1112" s="13" t="s">
        <v>993</v>
      </c>
      <c r="AU1112" s="13" t="s">
        <v>1001</v>
      </c>
      <c r="AV1112" s="14">
        <f>0.44*10</f>
        <v>4.4000000000000004</v>
      </c>
      <c r="AW1112" s="14">
        <f>0.32*10</f>
        <v>3.2</v>
      </c>
      <c r="AX1112" s="14">
        <f>Table1347456[[#This Row],[treatment_mean]]/Table1347456[[#This Row],[control_mean]]</f>
        <v>1.375</v>
      </c>
      <c r="AY1112" s="14">
        <f>LN(Table1347456[[#This Row],[rr]])</f>
        <v>0.31845373111853459</v>
      </c>
      <c r="AZ1112" s="13">
        <v>3</v>
      </c>
      <c r="BA1112" s="13">
        <v>3</v>
      </c>
      <c r="BB1112" s="14" t="s">
        <v>46</v>
      </c>
      <c r="BC1112" s="14" t="s">
        <v>46</v>
      </c>
      <c r="BD1112" s="15" t="s">
        <v>46</v>
      </c>
      <c r="BE1112" s="14" t="s">
        <v>46</v>
      </c>
      <c r="BF111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12" s="17" t="s">
        <v>46</v>
      </c>
      <c r="BH1112" s="13" t="s">
        <v>50</v>
      </c>
      <c r="BI1112" s="13">
        <v>0.05</v>
      </c>
      <c r="BJ1112" s="18">
        <f>ABS(_xlfn.NORM.S.INV(Table1347456[[#This Row],[p_value]]/2))</f>
        <v>1.9599639845400538</v>
      </c>
      <c r="BK1112" s="19">
        <f>(Table1347456[[#This Row],[lnrr]]/Table1347456[[#This Row],[z_from_p]])^2</f>
        <v>2.639954860820071E-2</v>
      </c>
      <c r="BL1112" s="16">
        <f>Table1347456[[#This Row],[v_from_z_from_p]]</f>
        <v>2.639954860820071E-2</v>
      </c>
      <c r="BM1112" s="20">
        <f>SQRT(Table1347456[[#This Row],[v]])</f>
        <v>0.16247937902454179</v>
      </c>
      <c r="BN1112" s="20">
        <f>Table1347456[[#This Row],[lnrr]]-(1.96*Table1347456[[#This Row],[se]])</f>
        <v>-5.8517695672999359E-6</v>
      </c>
      <c r="BO1112" s="20">
        <f>Table1347456[[#This Row],[lnrr]]+(1.96 * Table1347456[[#This Row],[se]])</f>
        <v>0.63691331400663653</v>
      </c>
    </row>
    <row r="1113" spans="1:67">
      <c r="A1113" s="13" t="s">
        <v>360</v>
      </c>
      <c r="B1113" s="13" t="s">
        <v>361</v>
      </c>
      <c r="C1113" s="13" t="s">
        <v>43</v>
      </c>
      <c r="D1113" s="13" t="s">
        <v>195</v>
      </c>
      <c r="E1113" s="13" t="s">
        <v>249</v>
      </c>
      <c r="F1113" s="13" t="s">
        <v>588</v>
      </c>
      <c r="G1113" s="13" t="s">
        <v>46</v>
      </c>
      <c r="H1113" s="13">
        <v>32</v>
      </c>
      <c r="I1113" s="13">
        <v>1400</v>
      </c>
      <c r="J1113" s="13" t="s">
        <v>656</v>
      </c>
      <c r="K1113" s="13" t="s">
        <v>924</v>
      </c>
      <c r="L1113" s="13" t="s">
        <v>925</v>
      </c>
      <c r="M1113" s="13" t="s">
        <v>803</v>
      </c>
      <c r="N1113" s="13" t="s">
        <v>119</v>
      </c>
      <c r="O1113" s="13" t="s">
        <v>645</v>
      </c>
      <c r="P1113" s="13" t="s">
        <v>85</v>
      </c>
      <c r="Q1113" s="13" t="s">
        <v>48</v>
      </c>
      <c r="R1113" s="4">
        <v>3</v>
      </c>
      <c r="S1113" s="13" t="s">
        <v>594</v>
      </c>
      <c r="T1113" s="13">
        <v>336</v>
      </c>
      <c r="U1113" s="4" t="s">
        <v>147</v>
      </c>
      <c r="V1113" s="4">
        <v>580</v>
      </c>
      <c r="W1113" s="4" t="s">
        <v>601</v>
      </c>
      <c r="X1113" s="4">
        <v>520.29999999999995</v>
      </c>
      <c r="Y1113" s="4">
        <v>10</v>
      </c>
      <c r="AA1113" s="4" t="s">
        <v>49</v>
      </c>
      <c r="AB1113" s="4">
        <v>0</v>
      </c>
      <c r="AC1113" s="4" t="s">
        <v>49</v>
      </c>
      <c r="AD1113" s="4">
        <v>0</v>
      </c>
      <c r="AE1113" s="4" t="s">
        <v>49</v>
      </c>
      <c r="AF1113" s="4">
        <v>0</v>
      </c>
      <c r="AG1113" s="4" t="s">
        <v>683</v>
      </c>
      <c r="AH1113" s="4" t="s">
        <v>684</v>
      </c>
      <c r="AI1113" s="4" t="s">
        <v>78</v>
      </c>
      <c r="AJ1113" s="13">
        <v>0</v>
      </c>
      <c r="AK1113" s="13">
        <v>15</v>
      </c>
      <c r="AM1113" s="13" t="s">
        <v>523</v>
      </c>
      <c r="AP1113" s="13" t="s">
        <v>49</v>
      </c>
      <c r="AQ1113" s="13" t="s">
        <v>49</v>
      </c>
      <c r="AR1113" s="13" t="s">
        <v>49</v>
      </c>
      <c r="AS1113" s="13" t="s">
        <v>49</v>
      </c>
      <c r="AT1113" s="13" t="s">
        <v>990</v>
      </c>
      <c r="AU1113" s="13" t="s">
        <v>998</v>
      </c>
      <c r="AV1113" s="23">
        <f>4.52/1000</f>
        <v>4.5199999999999997E-3</v>
      </c>
      <c r="AW1113" s="23">
        <f>3.82/1000</f>
        <v>3.82E-3</v>
      </c>
      <c r="AX1113" s="14">
        <f>Table1347456[[#This Row],[treatment_mean]]/Table1347456[[#This Row],[control_mean]]</f>
        <v>1.1832460732984291</v>
      </c>
      <c r="AY1113" s="14">
        <f>LN(Table1347456[[#This Row],[rr]])</f>
        <v>0.16826157122565585</v>
      </c>
      <c r="AZ1113" s="13">
        <v>3</v>
      </c>
      <c r="BA1113" s="13">
        <v>3</v>
      </c>
      <c r="BB1113" s="14" t="s">
        <v>46</v>
      </c>
      <c r="BC1113" s="14" t="s">
        <v>46</v>
      </c>
      <c r="BD1113" s="15" t="s">
        <v>46</v>
      </c>
      <c r="BE1113" s="14" t="s">
        <v>46</v>
      </c>
      <c r="BF111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13" s="17" t="s">
        <v>46</v>
      </c>
      <c r="BH1113" s="13" t="s">
        <v>50</v>
      </c>
      <c r="BI1113" s="13">
        <v>0.05</v>
      </c>
      <c r="BJ1113" s="18">
        <f>ABS(_xlfn.NORM.S.INV(Table1347456[[#This Row],[p_value]]/2))</f>
        <v>1.9599639845400538</v>
      </c>
      <c r="BK1113" s="19">
        <f>(Table1347456[[#This Row],[lnrr]]/Table1347456[[#This Row],[z_from_p]])^2</f>
        <v>7.3701053877783572E-3</v>
      </c>
      <c r="BL1113" s="16">
        <f>Table1347456[[#This Row],[v_from_z_from_p]]</f>
        <v>7.3701053877783572E-3</v>
      </c>
      <c r="BM1113" s="20">
        <f>SQRT(Table1347456[[#This Row],[v]])</f>
        <v>8.584931792261577E-2</v>
      </c>
      <c r="BN1113" s="20">
        <f>Table1347456[[#This Row],[lnrr]]-(1.96*Table1347456[[#This Row],[se]])</f>
        <v>-3.091902671059632E-6</v>
      </c>
      <c r="BO1113" s="20">
        <f>Table1347456[[#This Row],[lnrr]]+(1.96 * Table1347456[[#This Row],[se]])</f>
        <v>0.33652623435398277</v>
      </c>
    </row>
    <row r="1114" spans="1:67">
      <c r="A1114" s="13" t="s">
        <v>360</v>
      </c>
      <c r="B1114" s="13" t="s">
        <v>361</v>
      </c>
      <c r="C1114" s="13" t="s">
        <v>43</v>
      </c>
      <c r="D1114" s="13" t="s">
        <v>195</v>
      </c>
      <c r="E1114" s="13" t="s">
        <v>249</v>
      </c>
      <c r="F1114" s="13" t="s">
        <v>588</v>
      </c>
      <c r="G1114" s="13" t="s">
        <v>46</v>
      </c>
      <c r="H1114" s="13">
        <v>32</v>
      </c>
      <c r="I1114" s="13">
        <v>1400</v>
      </c>
      <c r="J1114" s="13" t="s">
        <v>656</v>
      </c>
      <c r="K1114" s="13" t="s">
        <v>924</v>
      </c>
      <c r="L1114" s="13" t="s">
        <v>925</v>
      </c>
      <c r="M1114" s="13" t="s">
        <v>803</v>
      </c>
      <c r="N1114" s="13" t="s">
        <v>119</v>
      </c>
      <c r="O1114" s="13" t="s">
        <v>645</v>
      </c>
      <c r="P1114" s="13" t="s">
        <v>85</v>
      </c>
      <c r="Q1114" s="13" t="s">
        <v>48</v>
      </c>
      <c r="R1114" s="4">
        <v>3</v>
      </c>
      <c r="S1114" s="13" t="s">
        <v>594</v>
      </c>
      <c r="T1114" s="13">
        <v>336</v>
      </c>
      <c r="U1114" s="4" t="s">
        <v>147</v>
      </c>
      <c r="V1114" s="4">
        <v>580</v>
      </c>
      <c r="W1114" s="4" t="s">
        <v>601</v>
      </c>
      <c r="X1114" s="4">
        <v>520.29999999999995</v>
      </c>
      <c r="Y1114" s="4">
        <v>20</v>
      </c>
      <c r="AA1114" s="4" t="s">
        <v>49</v>
      </c>
      <c r="AB1114" s="4">
        <v>0</v>
      </c>
      <c r="AC1114" s="4" t="s">
        <v>49</v>
      </c>
      <c r="AD1114" s="4">
        <v>0</v>
      </c>
      <c r="AE1114" s="4" t="s">
        <v>49</v>
      </c>
      <c r="AF1114" s="4">
        <v>0</v>
      </c>
      <c r="AG1114" s="4" t="s">
        <v>683</v>
      </c>
      <c r="AH1114" s="4" t="s">
        <v>684</v>
      </c>
      <c r="AI1114" s="4" t="s">
        <v>78</v>
      </c>
      <c r="AJ1114" s="13">
        <v>0</v>
      </c>
      <c r="AK1114" s="13">
        <v>15</v>
      </c>
      <c r="AM1114" s="13" t="s">
        <v>523</v>
      </c>
      <c r="AP1114" s="13" t="s">
        <v>49</v>
      </c>
      <c r="AQ1114" s="13" t="s">
        <v>49</v>
      </c>
      <c r="AR1114" s="13" t="s">
        <v>49</v>
      </c>
      <c r="AS1114" s="13" t="s">
        <v>49</v>
      </c>
      <c r="AT1114" s="13" t="s">
        <v>990</v>
      </c>
      <c r="AU1114" s="13" t="s">
        <v>998</v>
      </c>
      <c r="AV1114" s="23">
        <f>5.34/1000</f>
        <v>5.3400000000000001E-3</v>
      </c>
      <c r="AW1114" s="23">
        <f>3.82/1000</f>
        <v>3.82E-3</v>
      </c>
      <c r="AX1114" s="14">
        <f>Table1347456[[#This Row],[treatment_mean]]/Table1347456[[#This Row],[control_mean]]</f>
        <v>1.3979057591623036</v>
      </c>
      <c r="AY1114" s="14">
        <f>LN(Table1347456[[#This Row],[rr]])</f>
        <v>0.33497523035361965</v>
      </c>
      <c r="AZ1114" s="13">
        <v>3</v>
      </c>
      <c r="BA1114" s="13">
        <v>3</v>
      </c>
      <c r="BB1114" s="14" t="s">
        <v>46</v>
      </c>
      <c r="BC1114" s="14" t="s">
        <v>46</v>
      </c>
      <c r="BD1114" s="15" t="s">
        <v>46</v>
      </c>
      <c r="BE1114" s="14" t="s">
        <v>46</v>
      </c>
      <c r="BF111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14" s="17" t="s">
        <v>46</v>
      </c>
      <c r="BH1114" s="13" t="s">
        <v>50</v>
      </c>
      <c r="BI1114" s="13">
        <v>0.05</v>
      </c>
      <c r="BJ1114" s="18">
        <f>ABS(_xlfn.NORM.S.INV(Table1347456[[#This Row],[p_value]]/2))</f>
        <v>1.9599639845400538</v>
      </c>
      <c r="BK1114" s="19">
        <f>(Table1347456[[#This Row],[lnrr]]/Table1347456[[#This Row],[z_from_p]])^2</f>
        <v>2.9209841934524569E-2</v>
      </c>
      <c r="BL1114" s="16">
        <f>Table1347456[[#This Row],[v_from_z_from_p]]</f>
        <v>2.9209841934524569E-2</v>
      </c>
      <c r="BM1114" s="20">
        <f>SQRT(Table1347456[[#This Row],[v]])</f>
        <v>0.17090887026285256</v>
      </c>
      <c r="BN1114" s="20">
        <f>Table1347456[[#This Row],[lnrr]]-(1.96*Table1347456[[#This Row],[se]])</f>
        <v>-6.1553615713916265E-6</v>
      </c>
      <c r="BO1114" s="20">
        <f>Table1347456[[#This Row],[lnrr]]+(1.96 * Table1347456[[#This Row],[se]])</f>
        <v>0.66995661606881063</v>
      </c>
    </row>
    <row r="1115" spans="1:67">
      <c r="A1115" s="13" t="s">
        <v>360</v>
      </c>
      <c r="B1115" s="13" t="s">
        <v>361</v>
      </c>
      <c r="C1115" s="13" t="s">
        <v>43</v>
      </c>
      <c r="D1115" s="13" t="s">
        <v>195</v>
      </c>
      <c r="E1115" s="13" t="s">
        <v>249</v>
      </c>
      <c r="F1115" s="13" t="s">
        <v>588</v>
      </c>
      <c r="G1115" s="13" t="s">
        <v>46</v>
      </c>
      <c r="H1115" s="13">
        <v>32</v>
      </c>
      <c r="I1115" s="13">
        <v>1400</v>
      </c>
      <c r="J1115" s="13" t="s">
        <v>656</v>
      </c>
      <c r="K1115" s="13" t="s">
        <v>924</v>
      </c>
      <c r="L1115" s="13" t="s">
        <v>925</v>
      </c>
      <c r="M1115" s="13" t="s">
        <v>803</v>
      </c>
      <c r="N1115" s="13" t="s">
        <v>119</v>
      </c>
      <c r="O1115" s="13" t="s">
        <v>645</v>
      </c>
      <c r="P1115" s="13" t="s">
        <v>85</v>
      </c>
      <c r="Q1115" s="13" t="s">
        <v>48</v>
      </c>
      <c r="R1115" s="4">
        <v>3</v>
      </c>
      <c r="S1115" s="13" t="s">
        <v>594</v>
      </c>
      <c r="T1115" s="13">
        <v>336</v>
      </c>
      <c r="U1115" s="4" t="s">
        <v>147</v>
      </c>
      <c r="V1115" s="4">
        <v>580</v>
      </c>
      <c r="W1115" s="4" t="s">
        <v>601</v>
      </c>
      <c r="X1115" s="4">
        <v>520.29999999999995</v>
      </c>
      <c r="Y1115" s="4">
        <v>30</v>
      </c>
      <c r="AA1115" s="4" t="s">
        <v>49</v>
      </c>
      <c r="AB1115" s="4">
        <v>0</v>
      </c>
      <c r="AC1115" s="4" t="s">
        <v>49</v>
      </c>
      <c r="AD1115" s="4">
        <v>0</v>
      </c>
      <c r="AE1115" s="4" t="s">
        <v>49</v>
      </c>
      <c r="AF1115" s="4">
        <v>0</v>
      </c>
      <c r="AG1115" s="4" t="s">
        <v>683</v>
      </c>
      <c r="AH1115" s="4" t="s">
        <v>684</v>
      </c>
      <c r="AI1115" s="4" t="s">
        <v>78</v>
      </c>
      <c r="AJ1115" s="13">
        <v>0</v>
      </c>
      <c r="AK1115" s="13">
        <v>15</v>
      </c>
      <c r="AM1115" s="13" t="s">
        <v>523</v>
      </c>
      <c r="AP1115" s="13" t="s">
        <v>49</v>
      </c>
      <c r="AQ1115" s="13" t="s">
        <v>49</v>
      </c>
      <c r="AR1115" s="13" t="s">
        <v>49</v>
      </c>
      <c r="AS1115" s="13" t="s">
        <v>49</v>
      </c>
      <c r="AT1115" s="13" t="s">
        <v>990</v>
      </c>
      <c r="AU1115" s="13" t="s">
        <v>998</v>
      </c>
      <c r="AV1115" s="23">
        <f>5.8/1000</f>
        <v>5.7999999999999996E-3</v>
      </c>
      <c r="AW1115" s="23">
        <f>3.82/1000</f>
        <v>3.82E-3</v>
      </c>
      <c r="AX1115" s="14">
        <f>Table1347456[[#This Row],[treatment_mean]]/Table1347456[[#This Row],[control_mean]]</f>
        <v>1.5183246073298429</v>
      </c>
      <c r="AY1115" s="14">
        <f>LN(Table1347456[[#This Row],[rr]])</f>
        <v>0.41760749493388982</v>
      </c>
      <c r="AZ1115" s="13">
        <v>3</v>
      </c>
      <c r="BA1115" s="13">
        <v>3</v>
      </c>
      <c r="BB1115" s="14" t="s">
        <v>46</v>
      </c>
      <c r="BC1115" s="14" t="s">
        <v>46</v>
      </c>
      <c r="BD1115" s="15" t="s">
        <v>46</v>
      </c>
      <c r="BE1115" s="14" t="s">
        <v>46</v>
      </c>
      <c r="BF111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15" s="17" t="s">
        <v>46</v>
      </c>
      <c r="BH1115" s="13" t="s">
        <v>50</v>
      </c>
      <c r="BI1115" s="13">
        <v>0.05</v>
      </c>
      <c r="BJ1115" s="18">
        <f>ABS(_xlfn.NORM.S.INV(Table1347456[[#This Row],[p_value]]/2))</f>
        <v>1.9599639845400538</v>
      </c>
      <c r="BK1115" s="19">
        <f>(Table1347456[[#This Row],[lnrr]]/Table1347456[[#This Row],[z_from_p]])^2</f>
        <v>4.5398383261452402E-2</v>
      </c>
      <c r="BL1115" s="16">
        <f>Table1347456[[#This Row],[v_from_z_from_p]]</f>
        <v>4.5398383261452402E-2</v>
      </c>
      <c r="BM1115" s="20">
        <f>SQRT(Table1347456[[#This Row],[v]])</f>
        <v>0.21306896362786487</v>
      </c>
      <c r="BN1115" s="20">
        <f>Table1347456[[#This Row],[lnrr]]-(1.96*Table1347456[[#This Row],[se]])</f>
        <v>-7.6737767253365341E-6</v>
      </c>
      <c r="BO1115" s="20">
        <f>Table1347456[[#This Row],[lnrr]]+(1.96 * Table1347456[[#This Row],[se]])</f>
        <v>0.83522266364450504</v>
      </c>
    </row>
    <row r="1116" spans="1:67">
      <c r="A1116" s="13" t="s">
        <v>360</v>
      </c>
      <c r="B1116" s="13" t="s">
        <v>361</v>
      </c>
      <c r="C1116" s="13" t="s">
        <v>43</v>
      </c>
      <c r="D1116" s="13" t="s">
        <v>195</v>
      </c>
      <c r="E1116" s="13" t="s">
        <v>249</v>
      </c>
      <c r="F1116" s="13" t="s">
        <v>588</v>
      </c>
      <c r="G1116" s="13" t="s">
        <v>46</v>
      </c>
      <c r="H1116" s="13">
        <v>32</v>
      </c>
      <c r="I1116" s="13">
        <v>1400</v>
      </c>
      <c r="J1116" s="13" t="s">
        <v>656</v>
      </c>
      <c r="K1116" s="13" t="s">
        <v>924</v>
      </c>
      <c r="L1116" s="13" t="s">
        <v>925</v>
      </c>
      <c r="M1116" s="13" t="s">
        <v>803</v>
      </c>
      <c r="N1116" s="13" t="s">
        <v>119</v>
      </c>
      <c r="O1116" s="13" t="s">
        <v>645</v>
      </c>
      <c r="P1116" s="13" t="s">
        <v>85</v>
      </c>
      <c r="Q1116" s="13" t="s">
        <v>48</v>
      </c>
      <c r="R1116" s="4">
        <v>3</v>
      </c>
      <c r="S1116" s="13" t="s">
        <v>594</v>
      </c>
      <c r="T1116" s="13">
        <v>336</v>
      </c>
      <c r="U1116" s="4" t="s">
        <v>147</v>
      </c>
      <c r="V1116" s="4">
        <v>580</v>
      </c>
      <c r="W1116" s="4" t="s">
        <v>601</v>
      </c>
      <c r="X1116" s="4">
        <v>520.29999999999995</v>
      </c>
      <c r="Y1116" s="4">
        <v>10</v>
      </c>
      <c r="AA1116" s="4" t="s">
        <v>49</v>
      </c>
      <c r="AB1116" s="4">
        <v>0</v>
      </c>
      <c r="AC1116" s="4" t="s">
        <v>50</v>
      </c>
      <c r="AD1116" s="4">
        <v>7.5</v>
      </c>
      <c r="AE1116" s="4" t="s">
        <v>49</v>
      </c>
      <c r="AF1116" s="4">
        <v>0</v>
      </c>
      <c r="AG1116" s="4" t="s">
        <v>683</v>
      </c>
      <c r="AH1116" s="4" t="s">
        <v>684</v>
      </c>
      <c r="AI1116" s="4" t="s">
        <v>78</v>
      </c>
      <c r="AJ1116" s="13">
        <v>0</v>
      </c>
      <c r="AK1116" s="13">
        <v>15</v>
      </c>
      <c r="AM1116" s="13" t="s">
        <v>523</v>
      </c>
      <c r="AP1116" s="13" t="s">
        <v>49</v>
      </c>
      <c r="AQ1116" s="13" t="s">
        <v>49</v>
      </c>
      <c r="AR1116" s="13" t="s">
        <v>49</v>
      </c>
      <c r="AS1116" s="13" t="s">
        <v>49</v>
      </c>
      <c r="AT1116" s="13" t="s">
        <v>993</v>
      </c>
      <c r="AU1116" s="13" t="s">
        <v>1001</v>
      </c>
      <c r="AV1116" s="23">
        <f>7.061/1000</f>
        <v>7.0609999999999996E-3</v>
      </c>
      <c r="AW1116" s="23">
        <f>7.06/1000</f>
        <v>7.0599999999999994E-3</v>
      </c>
      <c r="AX1116" s="14">
        <f>Table1347456[[#This Row],[treatment_mean]]/Table1347456[[#This Row],[control_mean]]</f>
        <v>1.00014164305949</v>
      </c>
      <c r="AY1116" s="17">
        <f>LN(Table1347456[[#This Row],[rr]])</f>
        <v>1.4163302905904722E-4</v>
      </c>
      <c r="AZ1116" s="13">
        <v>3</v>
      </c>
      <c r="BA1116" s="13">
        <v>3</v>
      </c>
      <c r="BB1116" s="14" t="s">
        <v>46</v>
      </c>
      <c r="BC1116" s="14" t="s">
        <v>46</v>
      </c>
      <c r="BD1116" s="15" t="s">
        <v>46</v>
      </c>
      <c r="BE1116" s="14" t="s">
        <v>46</v>
      </c>
      <c r="BF111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16" s="17" t="s">
        <v>46</v>
      </c>
      <c r="BH1116" s="13" t="s">
        <v>50</v>
      </c>
      <c r="BI1116" s="13">
        <v>0.05</v>
      </c>
      <c r="BJ1116" s="18">
        <f>ABS(_xlfn.NORM.S.INV(Table1347456[[#This Row],[p_value]]/2))</f>
        <v>1.9599639845400538</v>
      </c>
      <c r="BK1116" s="19">
        <f>(Table1347456[[#This Row],[lnrr]]/Table1347456[[#This Row],[z_from_p]])^2</f>
        <v>5.2219523511165036E-9</v>
      </c>
      <c r="BL1116" s="16">
        <f>Table1347456[[#This Row],[v_from_z_from_p]]</f>
        <v>5.2219523511165036E-9</v>
      </c>
      <c r="BM1116" s="20">
        <f>SQRT(Table1347456[[#This Row],[v]])</f>
        <v>7.2263077370926461E-5</v>
      </c>
      <c r="BN1116" s="20">
        <f>Table1347456[[#This Row],[lnrr]]-(1.96*Table1347456[[#This Row],[se]])</f>
        <v>-2.6025879686498825E-9</v>
      </c>
      <c r="BO1116" s="20">
        <f>Table1347456[[#This Row],[lnrr]]+(1.96 * Table1347456[[#This Row],[se]])</f>
        <v>2.8326866070606309E-4</v>
      </c>
    </row>
    <row r="1117" spans="1:67">
      <c r="A1117" s="13" t="s">
        <v>360</v>
      </c>
      <c r="B1117" s="13" t="s">
        <v>361</v>
      </c>
      <c r="C1117" s="13" t="s">
        <v>43</v>
      </c>
      <c r="D1117" s="13" t="s">
        <v>195</v>
      </c>
      <c r="E1117" s="13" t="s">
        <v>249</v>
      </c>
      <c r="F1117" s="13" t="s">
        <v>588</v>
      </c>
      <c r="G1117" s="13" t="s">
        <v>46</v>
      </c>
      <c r="H1117" s="13">
        <v>32</v>
      </c>
      <c r="I1117" s="13">
        <v>1400</v>
      </c>
      <c r="J1117" s="13" t="s">
        <v>656</v>
      </c>
      <c r="K1117" s="13" t="s">
        <v>924</v>
      </c>
      <c r="L1117" s="13" t="s">
        <v>925</v>
      </c>
      <c r="M1117" s="13" t="s">
        <v>803</v>
      </c>
      <c r="N1117" s="13" t="s">
        <v>119</v>
      </c>
      <c r="O1117" s="13" t="s">
        <v>645</v>
      </c>
      <c r="P1117" s="13" t="s">
        <v>85</v>
      </c>
      <c r="Q1117" s="13" t="s">
        <v>48</v>
      </c>
      <c r="R1117" s="4">
        <v>3</v>
      </c>
      <c r="S1117" s="13" t="s">
        <v>594</v>
      </c>
      <c r="T1117" s="13">
        <v>336</v>
      </c>
      <c r="U1117" s="4" t="s">
        <v>147</v>
      </c>
      <c r="V1117" s="4">
        <v>580</v>
      </c>
      <c r="W1117" s="4" t="s">
        <v>601</v>
      </c>
      <c r="X1117" s="4">
        <v>520.29999999999995</v>
      </c>
      <c r="Y1117" s="4">
        <v>20</v>
      </c>
      <c r="AA1117" s="4" t="s">
        <v>49</v>
      </c>
      <c r="AB1117" s="4">
        <v>0</v>
      </c>
      <c r="AC1117" s="4" t="s">
        <v>50</v>
      </c>
      <c r="AD1117" s="4">
        <v>7.5</v>
      </c>
      <c r="AE1117" s="4" t="s">
        <v>49</v>
      </c>
      <c r="AF1117" s="4">
        <v>0</v>
      </c>
      <c r="AG1117" s="4" t="s">
        <v>683</v>
      </c>
      <c r="AH1117" s="4" t="s">
        <v>684</v>
      </c>
      <c r="AI1117" s="4" t="s">
        <v>78</v>
      </c>
      <c r="AJ1117" s="13">
        <v>0</v>
      </c>
      <c r="AK1117" s="13">
        <v>15</v>
      </c>
      <c r="AM1117" s="13" t="s">
        <v>523</v>
      </c>
      <c r="AP1117" s="13" t="s">
        <v>49</v>
      </c>
      <c r="AQ1117" s="13" t="s">
        <v>49</v>
      </c>
      <c r="AR1117" s="13" t="s">
        <v>49</v>
      </c>
      <c r="AS1117" s="13" t="s">
        <v>49</v>
      </c>
      <c r="AT1117" s="13" t="s">
        <v>993</v>
      </c>
      <c r="AU1117" s="13" t="s">
        <v>1001</v>
      </c>
      <c r="AV1117" s="23">
        <f>8.88/1000</f>
        <v>8.8800000000000007E-3</v>
      </c>
      <c r="AW1117" s="23">
        <f>7.06/1000</f>
        <v>7.0599999999999994E-3</v>
      </c>
      <c r="AX1117" s="14">
        <f>Table1347456[[#This Row],[treatment_mean]]/Table1347456[[#This Row],[control_mean]]</f>
        <v>1.2577903682719549</v>
      </c>
      <c r="AY1117" s="14">
        <f>LN(Table1347456[[#This Row],[rr]])</f>
        <v>0.22935650549892816</v>
      </c>
      <c r="AZ1117" s="13">
        <v>3</v>
      </c>
      <c r="BA1117" s="13">
        <v>3</v>
      </c>
      <c r="BB1117" s="14" t="s">
        <v>46</v>
      </c>
      <c r="BC1117" s="14" t="s">
        <v>46</v>
      </c>
      <c r="BD1117" s="15" t="s">
        <v>46</v>
      </c>
      <c r="BE1117" s="14" t="s">
        <v>46</v>
      </c>
      <c r="BF111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17" s="17" t="s">
        <v>46</v>
      </c>
      <c r="BH1117" s="13" t="s">
        <v>50</v>
      </c>
      <c r="BI1117" s="13">
        <v>0.05</v>
      </c>
      <c r="BJ1117" s="18">
        <f>ABS(_xlfn.NORM.S.INV(Table1347456[[#This Row],[p_value]]/2))</f>
        <v>1.9599639845400538</v>
      </c>
      <c r="BK1117" s="19">
        <f>(Table1347456[[#This Row],[lnrr]]/Table1347456[[#This Row],[z_from_p]])^2</f>
        <v>1.3693861907694385E-2</v>
      </c>
      <c r="BL1117" s="16">
        <f>Table1347456[[#This Row],[v_from_z_from_p]]</f>
        <v>1.3693861907694385E-2</v>
      </c>
      <c r="BM1117" s="20">
        <f>SQRT(Table1347456[[#This Row],[v]])</f>
        <v>0.11702077553876655</v>
      </c>
      <c r="BN1117" s="20">
        <f>Table1347456[[#This Row],[lnrr]]-(1.96*Table1347456[[#This Row],[se]])</f>
        <v>-4.2145570542662103E-6</v>
      </c>
      <c r="BO1117" s="20">
        <f>Table1347456[[#This Row],[lnrr]]+(1.96 * Table1347456[[#This Row],[se]])</f>
        <v>0.45871722555491057</v>
      </c>
    </row>
    <row r="1118" spans="1:67">
      <c r="A1118" s="13" t="s">
        <v>360</v>
      </c>
      <c r="B1118" s="13" t="s">
        <v>361</v>
      </c>
      <c r="C1118" s="13" t="s">
        <v>43</v>
      </c>
      <c r="D1118" s="13" t="s">
        <v>195</v>
      </c>
      <c r="E1118" s="13" t="s">
        <v>249</v>
      </c>
      <c r="F1118" s="13" t="s">
        <v>588</v>
      </c>
      <c r="G1118" s="13" t="s">
        <v>46</v>
      </c>
      <c r="H1118" s="13">
        <v>32</v>
      </c>
      <c r="I1118" s="13">
        <v>1400</v>
      </c>
      <c r="J1118" s="13" t="s">
        <v>656</v>
      </c>
      <c r="K1118" s="13" t="s">
        <v>924</v>
      </c>
      <c r="L1118" s="13" t="s">
        <v>925</v>
      </c>
      <c r="M1118" s="13" t="s">
        <v>803</v>
      </c>
      <c r="N1118" s="13" t="s">
        <v>119</v>
      </c>
      <c r="O1118" s="13" t="s">
        <v>645</v>
      </c>
      <c r="P1118" s="13" t="s">
        <v>85</v>
      </c>
      <c r="Q1118" s="13" t="s">
        <v>48</v>
      </c>
      <c r="R1118" s="4">
        <v>3</v>
      </c>
      <c r="S1118" s="13" t="s">
        <v>594</v>
      </c>
      <c r="T1118" s="13">
        <v>336</v>
      </c>
      <c r="U1118" s="4" t="s">
        <v>147</v>
      </c>
      <c r="V1118" s="4">
        <v>580</v>
      </c>
      <c r="W1118" s="4" t="s">
        <v>601</v>
      </c>
      <c r="X1118" s="4">
        <v>520.29999999999995</v>
      </c>
      <c r="Y1118" s="4">
        <v>30</v>
      </c>
      <c r="AA1118" s="4" t="s">
        <v>49</v>
      </c>
      <c r="AB1118" s="4">
        <v>0</v>
      </c>
      <c r="AC1118" s="4" t="s">
        <v>50</v>
      </c>
      <c r="AD1118" s="4">
        <v>7.5</v>
      </c>
      <c r="AE1118" s="4" t="s">
        <v>49</v>
      </c>
      <c r="AF1118" s="4">
        <v>0</v>
      </c>
      <c r="AG1118" s="4" t="s">
        <v>683</v>
      </c>
      <c r="AH1118" s="4" t="s">
        <v>684</v>
      </c>
      <c r="AI1118" s="4" t="s">
        <v>78</v>
      </c>
      <c r="AJ1118" s="13">
        <v>0</v>
      </c>
      <c r="AK1118" s="13">
        <v>15</v>
      </c>
      <c r="AM1118" s="13" t="s">
        <v>523</v>
      </c>
      <c r="AP1118" s="13" t="s">
        <v>49</v>
      </c>
      <c r="AQ1118" s="13" t="s">
        <v>49</v>
      </c>
      <c r="AR1118" s="13" t="s">
        <v>49</v>
      </c>
      <c r="AS1118" s="13" t="s">
        <v>49</v>
      </c>
      <c r="AT1118" s="13" t="s">
        <v>993</v>
      </c>
      <c r="AU1118" s="13" t="s">
        <v>1001</v>
      </c>
      <c r="AV1118" s="23">
        <f>13.08/1000</f>
        <v>1.308E-2</v>
      </c>
      <c r="AW1118" s="23">
        <f>7.06/1000</f>
        <v>7.0599999999999994E-3</v>
      </c>
      <c r="AX1118" s="14">
        <f>Table1347456[[#This Row],[treatment_mean]]/Table1347456[[#This Row],[control_mean]]</f>
        <v>1.8526912181303117</v>
      </c>
      <c r="AY1118" s="14">
        <f>LN(Table1347456[[#This Row],[rr]])</f>
        <v>0.61663929452390198</v>
      </c>
      <c r="AZ1118" s="13">
        <v>3</v>
      </c>
      <c r="BA1118" s="13">
        <v>3</v>
      </c>
      <c r="BB1118" s="14" t="s">
        <v>46</v>
      </c>
      <c r="BC1118" s="14" t="s">
        <v>46</v>
      </c>
      <c r="BD1118" s="15" t="s">
        <v>46</v>
      </c>
      <c r="BE1118" s="14" t="s">
        <v>46</v>
      </c>
      <c r="BF111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18" s="17" t="s">
        <v>46</v>
      </c>
      <c r="BH1118" s="13" t="s">
        <v>50</v>
      </c>
      <c r="BI1118" s="13">
        <v>0.05</v>
      </c>
      <c r="BJ1118" s="18">
        <f>ABS(_xlfn.NORM.S.INV(Table1347456[[#This Row],[p_value]]/2))</f>
        <v>1.9599639845400538</v>
      </c>
      <c r="BK1118" s="19">
        <f>(Table1347456[[#This Row],[lnrr]]/Table1347456[[#This Row],[z_from_p]])^2</f>
        <v>9.8984275843995148E-2</v>
      </c>
      <c r="BL1118" s="16">
        <f>Table1347456[[#This Row],[v_from_z_from_p]]</f>
        <v>9.8984275843995148E-2</v>
      </c>
      <c r="BM1118" s="20">
        <f>SQRT(Table1347456[[#This Row],[v]])</f>
        <v>0.31461766613461989</v>
      </c>
      <c r="BN1118" s="20">
        <f>Table1347456[[#This Row],[lnrr]]-(1.96*Table1347456[[#This Row],[se]])</f>
        <v>-1.133109995299364E-5</v>
      </c>
      <c r="BO1118" s="20">
        <f>Table1347456[[#This Row],[lnrr]]+(1.96 * Table1347456[[#This Row],[se]])</f>
        <v>1.233289920147757</v>
      </c>
    </row>
    <row r="1119" spans="1:67">
      <c r="A1119" s="13" t="s">
        <v>360</v>
      </c>
      <c r="B1119" s="13" t="s">
        <v>361</v>
      </c>
      <c r="C1119" s="13" t="s">
        <v>43</v>
      </c>
      <c r="D1119" s="13" t="s">
        <v>195</v>
      </c>
      <c r="E1119" s="13" t="s">
        <v>249</v>
      </c>
      <c r="F1119" s="13" t="s">
        <v>588</v>
      </c>
      <c r="G1119" s="13" t="s">
        <v>46</v>
      </c>
      <c r="H1119" s="13">
        <v>32</v>
      </c>
      <c r="I1119" s="13">
        <v>1400</v>
      </c>
      <c r="K1119" s="13" t="s">
        <v>924</v>
      </c>
      <c r="L1119" s="13" t="s">
        <v>925</v>
      </c>
      <c r="N1119" s="13" t="s">
        <v>121</v>
      </c>
      <c r="O1119" s="13" t="s">
        <v>645</v>
      </c>
      <c r="P1119" s="13" t="s">
        <v>87</v>
      </c>
      <c r="Q1119" s="13" t="s">
        <v>48</v>
      </c>
      <c r="R1119" s="4">
        <v>3</v>
      </c>
      <c r="S1119" s="13" t="s">
        <v>594</v>
      </c>
      <c r="T1119" s="13">
        <v>336</v>
      </c>
      <c r="U1119" s="4" t="s">
        <v>147</v>
      </c>
      <c r="V1119" s="4">
        <v>580</v>
      </c>
      <c r="W1119" s="4" t="s">
        <v>601</v>
      </c>
      <c r="X1119" s="4">
        <v>520.29999999999995</v>
      </c>
      <c r="Y1119" s="4">
        <v>10</v>
      </c>
      <c r="AA1119" s="4" t="s">
        <v>49</v>
      </c>
      <c r="AB1119" s="4">
        <v>0</v>
      </c>
      <c r="AC1119" s="4" t="s">
        <v>49</v>
      </c>
      <c r="AD1119" s="4">
        <v>0</v>
      </c>
      <c r="AE1119" s="4" t="s">
        <v>49</v>
      </c>
      <c r="AF1119" s="4">
        <v>0</v>
      </c>
      <c r="AG1119" s="4" t="s">
        <v>683</v>
      </c>
      <c r="AH1119" s="4" t="s">
        <v>684</v>
      </c>
      <c r="AI1119" s="4" t="s">
        <v>78</v>
      </c>
      <c r="AJ1119" s="13">
        <v>0</v>
      </c>
      <c r="AK1119" s="13">
        <v>15</v>
      </c>
      <c r="AM1119" s="13" t="s">
        <v>523</v>
      </c>
      <c r="AP1119" s="13" t="s">
        <v>49</v>
      </c>
      <c r="AQ1119" s="13" t="s">
        <v>49</v>
      </c>
      <c r="AR1119" s="13" t="s">
        <v>49</v>
      </c>
      <c r="AS1119" s="13" t="s">
        <v>49</v>
      </c>
      <c r="AT1119" s="13" t="s">
        <v>990</v>
      </c>
      <c r="AU1119" s="13" t="s">
        <v>998</v>
      </c>
      <c r="AV1119" s="14">
        <v>0.64</v>
      </c>
      <c r="AW1119" s="14">
        <f>(0.29*39.1*10)/1000</f>
        <v>0.11339</v>
      </c>
      <c r="AX1119" s="14">
        <f>Table1347456[[#This Row],[treatment_mean]]/Table1347456[[#This Row],[control_mean]]</f>
        <v>5.644236705176823</v>
      </c>
      <c r="AY1119" s="14">
        <f>LN(Table1347456[[#This Row],[rr]])</f>
        <v>1.730634972369969</v>
      </c>
      <c r="AZ1119" s="13">
        <v>3</v>
      </c>
      <c r="BA1119" s="13">
        <v>3</v>
      </c>
      <c r="BB1119" s="14" t="s">
        <v>46</v>
      </c>
      <c r="BC1119" s="14" t="s">
        <v>46</v>
      </c>
      <c r="BD1119" s="15" t="s">
        <v>46</v>
      </c>
      <c r="BE1119" s="14" t="s">
        <v>46</v>
      </c>
      <c r="BF111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19" s="17" t="s">
        <v>46</v>
      </c>
      <c r="BH1119" s="13" t="s">
        <v>50</v>
      </c>
      <c r="BI1119" s="13">
        <v>0.05</v>
      </c>
      <c r="BJ1119" s="18">
        <f>ABS(_xlfn.NORM.S.INV(Table1347456[[#This Row],[p_value]]/2))</f>
        <v>1.9599639845400538</v>
      </c>
      <c r="BK1119" s="19">
        <f>(Table1347456[[#This Row],[lnrr]]/Table1347456[[#This Row],[z_from_p]])^2</f>
        <v>0.77967708294965143</v>
      </c>
      <c r="BL1119" s="16">
        <f>Table1347456[[#This Row],[v_from_z_from_p]]</f>
        <v>0.77967708294965143</v>
      </c>
      <c r="BM1119" s="20">
        <f>SQRT(Table1347456[[#This Row],[v]])</f>
        <v>0.88299325192758493</v>
      </c>
      <c r="BN1119" s="20">
        <f>Table1347456[[#This Row],[lnrr]]-(1.96*Table1347456[[#This Row],[se]])</f>
        <v>-3.1801408097331674E-5</v>
      </c>
      <c r="BO1119" s="20">
        <f>Table1347456[[#This Row],[lnrr]]+(1.96 * Table1347456[[#This Row],[se]])</f>
        <v>3.4613017461480355</v>
      </c>
    </row>
    <row r="1120" spans="1:67">
      <c r="A1120" s="13" t="s">
        <v>360</v>
      </c>
      <c r="B1120" s="13" t="s">
        <v>361</v>
      </c>
      <c r="C1120" s="13" t="s">
        <v>43</v>
      </c>
      <c r="D1120" s="13" t="s">
        <v>195</v>
      </c>
      <c r="E1120" s="13" t="s">
        <v>249</v>
      </c>
      <c r="F1120" s="13" t="s">
        <v>588</v>
      </c>
      <c r="G1120" s="13" t="s">
        <v>46</v>
      </c>
      <c r="H1120" s="13">
        <v>32</v>
      </c>
      <c r="I1120" s="13">
        <v>1400</v>
      </c>
      <c r="K1120" s="13" t="s">
        <v>924</v>
      </c>
      <c r="L1120" s="13" t="s">
        <v>925</v>
      </c>
      <c r="N1120" s="13" t="s">
        <v>121</v>
      </c>
      <c r="O1120" s="13" t="s">
        <v>645</v>
      </c>
      <c r="P1120" s="13" t="s">
        <v>87</v>
      </c>
      <c r="Q1120" s="13" t="s">
        <v>48</v>
      </c>
      <c r="R1120" s="4">
        <v>3</v>
      </c>
      <c r="S1120" s="13" t="s">
        <v>594</v>
      </c>
      <c r="T1120" s="13">
        <v>336</v>
      </c>
      <c r="U1120" s="4" t="s">
        <v>147</v>
      </c>
      <c r="V1120" s="4">
        <v>580</v>
      </c>
      <c r="W1120" s="4" t="s">
        <v>601</v>
      </c>
      <c r="X1120" s="4">
        <v>520.29999999999995</v>
      </c>
      <c r="Y1120" s="4">
        <v>20</v>
      </c>
      <c r="AA1120" s="4" t="s">
        <v>49</v>
      </c>
      <c r="AB1120" s="4">
        <v>0</v>
      </c>
      <c r="AC1120" s="4" t="s">
        <v>49</v>
      </c>
      <c r="AD1120" s="4">
        <v>0</v>
      </c>
      <c r="AE1120" s="4" t="s">
        <v>49</v>
      </c>
      <c r="AF1120" s="4">
        <v>0</v>
      </c>
      <c r="AG1120" s="4" t="s">
        <v>683</v>
      </c>
      <c r="AH1120" s="4" t="s">
        <v>684</v>
      </c>
      <c r="AI1120" s="4" t="s">
        <v>78</v>
      </c>
      <c r="AJ1120" s="13">
        <v>0</v>
      </c>
      <c r="AK1120" s="13">
        <v>15</v>
      </c>
      <c r="AM1120" s="13" t="s">
        <v>523</v>
      </c>
      <c r="AP1120" s="13" t="s">
        <v>49</v>
      </c>
      <c r="AQ1120" s="13" t="s">
        <v>49</v>
      </c>
      <c r="AR1120" s="13" t="s">
        <v>49</v>
      </c>
      <c r="AS1120" s="13" t="s">
        <v>49</v>
      </c>
      <c r="AT1120" s="13" t="s">
        <v>990</v>
      </c>
      <c r="AU1120" s="13" t="s">
        <v>998</v>
      </c>
      <c r="AV1120" s="14">
        <v>0.82</v>
      </c>
      <c r="AW1120" s="14">
        <f>(0.29*39.1*10)/1000</f>
        <v>0.11339</v>
      </c>
      <c r="AX1120" s="14">
        <f>Table1347456[[#This Row],[treatment_mean]]/Table1347456[[#This Row],[control_mean]]</f>
        <v>7.231678278507804</v>
      </c>
      <c r="AY1120" s="14">
        <f>LN(Table1347456[[#This Row],[rr]])</f>
        <v>1.9784711362745502</v>
      </c>
      <c r="AZ1120" s="13">
        <v>3</v>
      </c>
      <c r="BA1120" s="13">
        <v>3</v>
      </c>
      <c r="BB1120" s="14" t="s">
        <v>46</v>
      </c>
      <c r="BC1120" s="14" t="s">
        <v>46</v>
      </c>
      <c r="BD1120" s="15" t="s">
        <v>46</v>
      </c>
      <c r="BE1120" s="14" t="s">
        <v>46</v>
      </c>
      <c r="BF112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20" s="17" t="s">
        <v>46</v>
      </c>
      <c r="BH1120" s="13" t="s">
        <v>50</v>
      </c>
      <c r="BI1120" s="13">
        <v>0.05</v>
      </c>
      <c r="BJ1120" s="18">
        <f>ABS(_xlfn.NORM.S.INV(Table1347456[[#This Row],[p_value]]/2))</f>
        <v>1.9599639845400538</v>
      </c>
      <c r="BK1120" s="19">
        <f>(Table1347456[[#This Row],[lnrr]]/Table1347456[[#This Row],[z_from_p]])^2</f>
        <v>1.0189743583829995</v>
      </c>
      <c r="BL1120" s="16">
        <f>Table1347456[[#This Row],[v_from_z_from_p]]</f>
        <v>1.0189743583829995</v>
      </c>
      <c r="BM1120" s="20">
        <f>SQRT(Table1347456[[#This Row],[v]])</f>
        <v>1.0094425978642865</v>
      </c>
      <c r="BN1120" s="20">
        <f>Table1347456[[#This Row],[lnrr]]-(1.96*Table1347456[[#This Row],[se]])</f>
        <v>-3.6355539451360386E-5</v>
      </c>
      <c r="BO1120" s="20">
        <f>Table1347456[[#This Row],[lnrr]]+(1.96 * Table1347456[[#This Row],[se]])</f>
        <v>3.9569786280885517</v>
      </c>
    </row>
    <row r="1121" spans="1:67">
      <c r="A1121" s="13" t="s">
        <v>360</v>
      </c>
      <c r="B1121" s="13" t="s">
        <v>361</v>
      </c>
      <c r="C1121" s="13" t="s">
        <v>43</v>
      </c>
      <c r="D1121" s="13" t="s">
        <v>195</v>
      </c>
      <c r="E1121" s="13" t="s">
        <v>249</v>
      </c>
      <c r="F1121" s="13" t="s">
        <v>588</v>
      </c>
      <c r="G1121" s="13" t="s">
        <v>46</v>
      </c>
      <c r="H1121" s="13">
        <v>32</v>
      </c>
      <c r="I1121" s="13">
        <v>1400</v>
      </c>
      <c r="K1121" s="13" t="s">
        <v>924</v>
      </c>
      <c r="L1121" s="13" t="s">
        <v>925</v>
      </c>
      <c r="N1121" s="13" t="s">
        <v>121</v>
      </c>
      <c r="O1121" s="13" t="s">
        <v>645</v>
      </c>
      <c r="P1121" s="13" t="s">
        <v>87</v>
      </c>
      <c r="Q1121" s="13" t="s">
        <v>48</v>
      </c>
      <c r="R1121" s="4">
        <v>3</v>
      </c>
      <c r="S1121" s="13" t="s">
        <v>594</v>
      </c>
      <c r="T1121" s="13">
        <v>336</v>
      </c>
      <c r="U1121" s="4" t="s">
        <v>147</v>
      </c>
      <c r="V1121" s="4">
        <v>580</v>
      </c>
      <c r="W1121" s="4" t="s">
        <v>601</v>
      </c>
      <c r="X1121" s="4">
        <v>520.29999999999995</v>
      </c>
      <c r="Y1121" s="4">
        <v>30</v>
      </c>
      <c r="AA1121" s="4" t="s">
        <v>49</v>
      </c>
      <c r="AB1121" s="4">
        <v>0</v>
      </c>
      <c r="AC1121" s="4" t="s">
        <v>49</v>
      </c>
      <c r="AD1121" s="4">
        <v>0</v>
      </c>
      <c r="AE1121" s="4" t="s">
        <v>49</v>
      </c>
      <c r="AF1121" s="4">
        <v>0</v>
      </c>
      <c r="AG1121" s="4" t="s">
        <v>683</v>
      </c>
      <c r="AH1121" s="4" t="s">
        <v>684</v>
      </c>
      <c r="AI1121" s="4" t="s">
        <v>78</v>
      </c>
      <c r="AJ1121" s="13">
        <v>0</v>
      </c>
      <c r="AK1121" s="13">
        <v>15</v>
      </c>
      <c r="AM1121" s="13" t="s">
        <v>523</v>
      </c>
      <c r="AP1121" s="13" t="s">
        <v>49</v>
      </c>
      <c r="AQ1121" s="13" t="s">
        <v>49</v>
      </c>
      <c r="AR1121" s="13" t="s">
        <v>49</v>
      </c>
      <c r="AS1121" s="13" t="s">
        <v>49</v>
      </c>
      <c r="AT1121" s="13" t="s">
        <v>990</v>
      </c>
      <c r="AU1121" s="13" t="s">
        <v>998</v>
      </c>
      <c r="AV1121" s="14">
        <v>1.01</v>
      </c>
      <c r="AW1121" s="14">
        <f>(0.29*39.1*10)/1000</f>
        <v>0.11339</v>
      </c>
      <c r="AX1121" s="14">
        <f>Table1347456[[#This Row],[treatment_mean]]/Table1347456[[#This Row],[control_mean]]</f>
        <v>8.9073110503571744</v>
      </c>
      <c r="AY1121" s="14">
        <f>LN(Table1347456[[#This Row],[rr]])</f>
        <v>2.1868724058515565</v>
      </c>
      <c r="AZ1121" s="13">
        <v>3</v>
      </c>
      <c r="BA1121" s="13">
        <v>3</v>
      </c>
      <c r="BB1121" s="14" t="s">
        <v>46</v>
      </c>
      <c r="BC1121" s="14" t="s">
        <v>46</v>
      </c>
      <c r="BD1121" s="15" t="s">
        <v>46</v>
      </c>
      <c r="BE1121" s="14" t="s">
        <v>46</v>
      </c>
      <c r="BF112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21" s="17" t="s">
        <v>46</v>
      </c>
      <c r="BH1121" s="13" t="s">
        <v>50</v>
      </c>
      <c r="BI1121" s="13">
        <v>0.05</v>
      </c>
      <c r="BJ1121" s="18">
        <f>ABS(_xlfn.NORM.S.INV(Table1347456[[#This Row],[p_value]]/2))</f>
        <v>1.9599639845400538</v>
      </c>
      <c r="BK1121" s="19">
        <f>(Table1347456[[#This Row],[lnrr]]/Table1347456[[#This Row],[z_from_p]])^2</f>
        <v>1.2449465535623854</v>
      </c>
      <c r="BL1121" s="16">
        <f>Table1347456[[#This Row],[v_from_z_from_p]]</f>
        <v>1.2449465535623854</v>
      </c>
      <c r="BM1121" s="20">
        <f>SQRT(Table1347456[[#This Row],[v]])</f>
        <v>1.1157717300426577</v>
      </c>
      <c r="BN1121" s="20">
        <f>Table1347456[[#This Row],[lnrr]]-(1.96*Table1347456[[#This Row],[se]])</f>
        <v>-4.0185032052608705E-5</v>
      </c>
      <c r="BO1121" s="20">
        <f>Table1347456[[#This Row],[lnrr]]+(1.96 * Table1347456[[#This Row],[se]])</f>
        <v>4.3737849967351661</v>
      </c>
    </row>
    <row r="1122" spans="1:67">
      <c r="A1122" s="13" t="s">
        <v>360</v>
      </c>
      <c r="B1122" s="13" t="s">
        <v>361</v>
      </c>
      <c r="C1122" s="13" t="s">
        <v>43</v>
      </c>
      <c r="D1122" s="13" t="s">
        <v>195</v>
      </c>
      <c r="E1122" s="13" t="s">
        <v>249</v>
      </c>
      <c r="F1122" s="13" t="s">
        <v>588</v>
      </c>
      <c r="G1122" s="13" t="s">
        <v>46</v>
      </c>
      <c r="H1122" s="13">
        <v>32</v>
      </c>
      <c r="I1122" s="13">
        <v>1400</v>
      </c>
      <c r="K1122" s="13" t="s">
        <v>924</v>
      </c>
      <c r="L1122" s="13" t="s">
        <v>925</v>
      </c>
      <c r="N1122" s="13" t="s">
        <v>121</v>
      </c>
      <c r="O1122" s="13" t="s">
        <v>645</v>
      </c>
      <c r="P1122" s="13" t="s">
        <v>87</v>
      </c>
      <c r="Q1122" s="13" t="s">
        <v>48</v>
      </c>
      <c r="R1122" s="4">
        <v>3</v>
      </c>
      <c r="S1122" s="13" t="s">
        <v>594</v>
      </c>
      <c r="T1122" s="13">
        <v>336</v>
      </c>
      <c r="U1122" s="4" t="s">
        <v>147</v>
      </c>
      <c r="V1122" s="4">
        <v>580</v>
      </c>
      <c r="W1122" s="4" t="s">
        <v>601</v>
      </c>
      <c r="X1122" s="4">
        <v>520.29999999999995</v>
      </c>
      <c r="Y1122" s="4">
        <v>10</v>
      </c>
      <c r="AA1122" s="4" t="s">
        <v>49</v>
      </c>
      <c r="AB1122" s="4">
        <v>0</v>
      </c>
      <c r="AC1122" s="4" t="s">
        <v>50</v>
      </c>
      <c r="AD1122" s="4">
        <v>7.5</v>
      </c>
      <c r="AE1122" s="4" t="s">
        <v>49</v>
      </c>
      <c r="AF1122" s="4">
        <v>0</v>
      </c>
      <c r="AG1122" s="4" t="s">
        <v>683</v>
      </c>
      <c r="AH1122" s="4" t="s">
        <v>684</v>
      </c>
      <c r="AI1122" s="4" t="s">
        <v>78</v>
      </c>
      <c r="AJ1122" s="13">
        <v>0</v>
      </c>
      <c r="AK1122" s="13">
        <v>15</v>
      </c>
      <c r="AM1122" s="13" t="s">
        <v>523</v>
      </c>
      <c r="AP1122" s="13" t="s">
        <v>49</v>
      </c>
      <c r="AQ1122" s="13" t="s">
        <v>49</v>
      </c>
      <c r="AR1122" s="13" t="s">
        <v>49</v>
      </c>
      <c r="AS1122" s="13" t="s">
        <v>49</v>
      </c>
      <c r="AT1122" s="13" t="s">
        <v>993</v>
      </c>
      <c r="AU1122" s="13" t="s">
        <v>1001</v>
      </c>
      <c r="AV1122" s="14">
        <v>1.01</v>
      </c>
      <c r="AW1122" s="14">
        <f>(0.58*39.1*10)/1000</f>
        <v>0.22678000000000001</v>
      </c>
      <c r="AX1122" s="14">
        <f>Table1347456[[#This Row],[treatment_mean]]/Table1347456[[#This Row],[control_mean]]</f>
        <v>4.4536555251785872</v>
      </c>
      <c r="AY1122" s="14">
        <f>LN(Table1347456[[#This Row],[rr]])</f>
        <v>1.4937252252916113</v>
      </c>
      <c r="AZ1122" s="13">
        <v>3</v>
      </c>
      <c r="BA1122" s="13">
        <v>3</v>
      </c>
      <c r="BB1122" s="14" t="s">
        <v>46</v>
      </c>
      <c r="BC1122" s="14" t="s">
        <v>46</v>
      </c>
      <c r="BD1122" s="15" t="s">
        <v>46</v>
      </c>
      <c r="BE1122" s="14" t="s">
        <v>46</v>
      </c>
      <c r="BF112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22" s="17" t="s">
        <v>46</v>
      </c>
      <c r="BH1122" s="13" t="s">
        <v>50</v>
      </c>
      <c r="BI1122" s="13">
        <v>0.05</v>
      </c>
      <c r="BJ1122" s="18">
        <f>ABS(_xlfn.NORM.S.INV(Table1347456[[#This Row],[p_value]]/2))</f>
        <v>1.9599639845400538</v>
      </c>
      <c r="BK1122" s="19">
        <f>(Table1347456[[#This Row],[lnrr]]/Table1347456[[#This Row],[z_from_p]])^2</f>
        <v>0.5808249294910599</v>
      </c>
      <c r="BL1122" s="16">
        <f>Table1347456[[#This Row],[v_from_z_from_p]]</f>
        <v>0.5808249294910599</v>
      </c>
      <c r="BM1122" s="20">
        <f>SQRT(Table1347456[[#This Row],[v]])</f>
        <v>0.76211871089159067</v>
      </c>
      <c r="BN1122" s="20">
        <f>Table1347456[[#This Row],[lnrr]]-(1.96*Table1347456[[#This Row],[se]])</f>
        <v>-2.7448055906376112E-5</v>
      </c>
      <c r="BO1122" s="20">
        <f>Table1347456[[#This Row],[lnrr]]+(1.96 * Table1347456[[#This Row],[se]])</f>
        <v>2.987477898639129</v>
      </c>
    </row>
    <row r="1123" spans="1:67">
      <c r="A1123" s="13" t="s">
        <v>360</v>
      </c>
      <c r="B1123" s="13" t="s">
        <v>361</v>
      </c>
      <c r="C1123" s="13" t="s">
        <v>43</v>
      </c>
      <c r="D1123" s="13" t="s">
        <v>195</v>
      </c>
      <c r="E1123" s="13" t="s">
        <v>249</v>
      </c>
      <c r="F1123" s="13" t="s">
        <v>588</v>
      </c>
      <c r="G1123" s="13" t="s">
        <v>46</v>
      </c>
      <c r="H1123" s="13">
        <v>32</v>
      </c>
      <c r="I1123" s="13">
        <v>1400</v>
      </c>
      <c r="K1123" s="13" t="s">
        <v>924</v>
      </c>
      <c r="L1123" s="13" t="s">
        <v>925</v>
      </c>
      <c r="N1123" s="13" t="s">
        <v>121</v>
      </c>
      <c r="O1123" s="13" t="s">
        <v>645</v>
      </c>
      <c r="P1123" s="13" t="s">
        <v>87</v>
      </c>
      <c r="Q1123" s="13" t="s">
        <v>48</v>
      </c>
      <c r="R1123" s="4">
        <v>3</v>
      </c>
      <c r="S1123" s="13" t="s">
        <v>594</v>
      </c>
      <c r="T1123" s="13">
        <v>336</v>
      </c>
      <c r="U1123" s="4" t="s">
        <v>147</v>
      </c>
      <c r="V1123" s="4">
        <v>580</v>
      </c>
      <c r="W1123" s="4" t="s">
        <v>601</v>
      </c>
      <c r="X1123" s="4">
        <v>520.29999999999995</v>
      </c>
      <c r="Y1123" s="4">
        <v>20</v>
      </c>
      <c r="AA1123" s="4" t="s">
        <v>49</v>
      </c>
      <c r="AB1123" s="4">
        <v>0</v>
      </c>
      <c r="AC1123" s="4" t="s">
        <v>50</v>
      </c>
      <c r="AD1123" s="4">
        <v>7.5</v>
      </c>
      <c r="AE1123" s="4" t="s">
        <v>49</v>
      </c>
      <c r="AF1123" s="4">
        <v>0</v>
      </c>
      <c r="AG1123" s="4" t="s">
        <v>683</v>
      </c>
      <c r="AH1123" s="4" t="s">
        <v>684</v>
      </c>
      <c r="AI1123" s="4" t="s">
        <v>78</v>
      </c>
      <c r="AJ1123" s="13">
        <v>0</v>
      </c>
      <c r="AK1123" s="13">
        <v>15</v>
      </c>
      <c r="AM1123" s="13" t="s">
        <v>523</v>
      </c>
      <c r="AP1123" s="13" t="s">
        <v>49</v>
      </c>
      <c r="AQ1123" s="13" t="s">
        <v>49</v>
      </c>
      <c r="AR1123" s="13" t="s">
        <v>49</v>
      </c>
      <c r="AS1123" s="13" t="s">
        <v>49</v>
      </c>
      <c r="AT1123" s="13" t="s">
        <v>993</v>
      </c>
      <c r="AU1123" s="13" t="s">
        <v>1001</v>
      </c>
      <c r="AV1123" s="14">
        <v>1.08</v>
      </c>
      <c r="AW1123" s="14">
        <f>(0.58*39.1*10)/1000</f>
        <v>0.22678000000000001</v>
      </c>
      <c r="AX1123" s="14">
        <f>Table1347456[[#This Row],[treatment_mean]]/Table1347456[[#This Row],[control_mean]]</f>
        <v>4.7623247199929448</v>
      </c>
      <c r="AY1123" s="14">
        <f>LN(Table1347456[[#This Row],[rr]])</f>
        <v>1.5607359355745716</v>
      </c>
      <c r="AZ1123" s="13">
        <v>3</v>
      </c>
      <c r="BA1123" s="13">
        <v>3</v>
      </c>
      <c r="BB1123" s="14" t="s">
        <v>46</v>
      </c>
      <c r="BC1123" s="14" t="s">
        <v>46</v>
      </c>
      <c r="BD1123" s="15" t="s">
        <v>46</v>
      </c>
      <c r="BE1123" s="14" t="s">
        <v>46</v>
      </c>
      <c r="BF112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23" s="17" t="s">
        <v>46</v>
      </c>
      <c r="BH1123" s="13" t="s">
        <v>50</v>
      </c>
      <c r="BI1123" s="13">
        <v>0.05</v>
      </c>
      <c r="BJ1123" s="18">
        <f>ABS(_xlfn.NORM.S.INV(Table1347456[[#This Row],[p_value]]/2))</f>
        <v>1.9599639845400538</v>
      </c>
      <c r="BK1123" s="19">
        <f>(Table1347456[[#This Row],[lnrr]]/Table1347456[[#This Row],[z_from_p]])^2</f>
        <v>0.63410719059945142</v>
      </c>
      <c r="BL1123" s="16">
        <f>Table1347456[[#This Row],[v_from_z_from_p]]</f>
        <v>0.63410719059945142</v>
      </c>
      <c r="BM1123" s="20">
        <f>SQRT(Table1347456[[#This Row],[v]])</f>
        <v>0.79630847703603624</v>
      </c>
      <c r="BN1123" s="20">
        <f>Table1347456[[#This Row],[lnrr]]-(1.96*Table1347456[[#This Row],[se]])</f>
        <v>-2.8679416059329554E-5</v>
      </c>
      <c r="BO1123" s="20">
        <f>Table1347456[[#This Row],[lnrr]]+(1.96 * Table1347456[[#This Row],[se]])</f>
        <v>3.1215005505652025</v>
      </c>
    </row>
    <row r="1124" spans="1:67">
      <c r="A1124" s="13" t="s">
        <v>360</v>
      </c>
      <c r="B1124" s="13" t="s">
        <v>361</v>
      </c>
      <c r="C1124" s="13" t="s">
        <v>43</v>
      </c>
      <c r="D1124" s="13" t="s">
        <v>195</v>
      </c>
      <c r="E1124" s="13" t="s">
        <v>249</v>
      </c>
      <c r="F1124" s="13" t="s">
        <v>588</v>
      </c>
      <c r="G1124" s="13" t="s">
        <v>46</v>
      </c>
      <c r="H1124" s="13">
        <v>32</v>
      </c>
      <c r="I1124" s="13">
        <v>1400</v>
      </c>
      <c r="K1124" s="13" t="s">
        <v>924</v>
      </c>
      <c r="L1124" s="13" t="s">
        <v>925</v>
      </c>
      <c r="N1124" s="13" t="s">
        <v>121</v>
      </c>
      <c r="O1124" s="13" t="s">
        <v>645</v>
      </c>
      <c r="P1124" s="13" t="s">
        <v>87</v>
      </c>
      <c r="Q1124" s="13" t="s">
        <v>48</v>
      </c>
      <c r="R1124" s="4">
        <v>3</v>
      </c>
      <c r="S1124" s="13" t="s">
        <v>594</v>
      </c>
      <c r="T1124" s="13">
        <v>336</v>
      </c>
      <c r="U1124" s="4" t="s">
        <v>147</v>
      </c>
      <c r="V1124" s="4">
        <v>580</v>
      </c>
      <c r="W1124" s="4" t="s">
        <v>601</v>
      </c>
      <c r="X1124" s="4">
        <v>520.29999999999995</v>
      </c>
      <c r="Y1124" s="4">
        <v>30</v>
      </c>
      <c r="AA1124" s="4" t="s">
        <v>49</v>
      </c>
      <c r="AB1124" s="4">
        <v>0</v>
      </c>
      <c r="AC1124" s="4" t="s">
        <v>50</v>
      </c>
      <c r="AD1124" s="4">
        <v>7.5</v>
      </c>
      <c r="AE1124" s="4" t="s">
        <v>49</v>
      </c>
      <c r="AF1124" s="4">
        <v>0</v>
      </c>
      <c r="AG1124" s="4" t="s">
        <v>683</v>
      </c>
      <c r="AH1124" s="4" t="s">
        <v>684</v>
      </c>
      <c r="AI1124" s="4" t="s">
        <v>78</v>
      </c>
      <c r="AJ1124" s="13">
        <v>0</v>
      </c>
      <c r="AK1124" s="13">
        <v>15</v>
      </c>
      <c r="AM1124" s="13" t="s">
        <v>523</v>
      </c>
      <c r="AP1124" s="13" t="s">
        <v>49</v>
      </c>
      <c r="AQ1124" s="13" t="s">
        <v>49</v>
      </c>
      <c r="AR1124" s="13" t="s">
        <v>49</v>
      </c>
      <c r="AS1124" s="13" t="s">
        <v>49</v>
      </c>
      <c r="AT1124" s="13" t="s">
        <v>993</v>
      </c>
      <c r="AU1124" s="13" t="s">
        <v>1001</v>
      </c>
      <c r="AV1124" s="14">
        <v>1.17</v>
      </c>
      <c r="AW1124" s="14">
        <f>(0.58*39.1*10)/1000</f>
        <v>0.22678000000000001</v>
      </c>
      <c r="AX1124" s="14">
        <f>Table1347456[[#This Row],[treatment_mean]]/Table1347456[[#This Row],[control_mean]]</f>
        <v>5.1591851133256892</v>
      </c>
      <c r="AY1124" s="14">
        <f>LN(Table1347456[[#This Row],[rr]])</f>
        <v>1.640778643248108</v>
      </c>
      <c r="AZ1124" s="13">
        <v>3</v>
      </c>
      <c r="BA1124" s="13">
        <v>3</v>
      </c>
      <c r="BB1124" s="14" t="s">
        <v>46</v>
      </c>
      <c r="BC1124" s="14" t="s">
        <v>46</v>
      </c>
      <c r="BD1124" s="15" t="s">
        <v>46</v>
      </c>
      <c r="BE1124" s="14" t="s">
        <v>46</v>
      </c>
      <c r="BF112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24" s="17" t="s">
        <v>46</v>
      </c>
      <c r="BH1124" s="13" t="s">
        <v>50</v>
      </c>
      <c r="BI1124" s="13">
        <v>0.05</v>
      </c>
      <c r="BJ1124" s="18">
        <f>ABS(_xlfn.NORM.S.INV(Table1347456[[#This Row],[p_value]]/2))</f>
        <v>1.9599639845400538</v>
      </c>
      <c r="BK1124" s="19">
        <f>(Table1347456[[#This Row],[lnrr]]/Table1347456[[#This Row],[z_from_p]])^2</f>
        <v>0.70081567492962193</v>
      </c>
      <c r="BL1124" s="16">
        <f>Table1347456[[#This Row],[v_from_z_from_p]]</f>
        <v>0.70081567492962193</v>
      </c>
      <c r="BM1124" s="20">
        <f>SQRT(Table1347456[[#This Row],[v]])</f>
        <v>0.83714734361976084</v>
      </c>
      <c r="BN1124" s="20">
        <f>Table1347456[[#This Row],[lnrr]]-(1.96*Table1347456[[#This Row],[se]])</f>
        <v>-3.0150246623339427E-5</v>
      </c>
      <c r="BO1124" s="20">
        <f>Table1347456[[#This Row],[lnrr]]+(1.96 * Table1347456[[#This Row],[se]])</f>
        <v>3.2815874367428393</v>
      </c>
    </row>
    <row r="1125" spans="1:67">
      <c r="A1125" s="13" t="s">
        <v>360</v>
      </c>
      <c r="B1125" s="13" t="s">
        <v>361</v>
      </c>
      <c r="C1125" s="13" t="s">
        <v>43</v>
      </c>
      <c r="D1125" s="13" t="s">
        <v>195</v>
      </c>
      <c r="E1125" s="13" t="s">
        <v>249</v>
      </c>
      <c r="F1125" s="13" t="s">
        <v>588</v>
      </c>
      <c r="G1125" s="13" t="s">
        <v>46</v>
      </c>
      <c r="H1125" s="13">
        <v>32</v>
      </c>
      <c r="I1125" s="13">
        <v>1400</v>
      </c>
      <c r="K1125" s="13" t="s">
        <v>924</v>
      </c>
      <c r="L1125" s="13" t="s">
        <v>925</v>
      </c>
      <c r="N1125" s="13" t="s">
        <v>122</v>
      </c>
      <c r="O1125" s="13" t="s">
        <v>645</v>
      </c>
      <c r="P1125" s="13" t="s">
        <v>48</v>
      </c>
      <c r="Q1125" s="13" t="s">
        <v>48</v>
      </c>
      <c r="R1125" s="4">
        <v>3</v>
      </c>
      <c r="S1125" s="13" t="s">
        <v>594</v>
      </c>
      <c r="T1125" s="13">
        <v>336</v>
      </c>
      <c r="U1125" s="4" t="s">
        <v>147</v>
      </c>
      <c r="V1125" s="4">
        <v>580</v>
      </c>
      <c r="W1125" s="4" t="s">
        <v>601</v>
      </c>
      <c r="X1125" s="4">
        <v>520.29999999999995</v>
      </c>
      <c r="Y1125" s="4">
        <v>10</v>
      </c>
      <c r="AA1125" s="4" t="s">
        <v>49</v>
      </c>
      <c r="AB1125" s="4">
        <v>0</v>
      </c>
      <c r="AC1125" s="4" t="s">
        <v>49</v>
      </c>
      <c r="AD1125" s="4">
        <v>0</v>
      </c>
      <c r="AE1125" s="4" t="s">
        <v>49</v>
      </c>
      <c r="AF1125" s="4">
        <v>0</v>
      </c>
      <c r="AG1125" s="4" t="s">
        <v>683</v>
      </c>
      <c r="AH1125" s="4" t="s">
        <v>684</v>
      </c>
      <c r="AI1125" s="4" t="s">
        <v>78</v>
      </c>
      <c r="AJ1125" s="13">
        <v>0</v>
      </c>
      <c r="AK1125" s="13">
        <v>15</v>
      </c>
      <c r="AM1125" s="13" t="s">
        <v>523</v>
      </c>
      <c r="AP1125" s="13" t="s">
        <v>49</v>
      </c>
      <c r="AQ1125" s="13" t="s">
        <v>49</v>
      </c>
      <c r="AR1125" s="13" t="s">
        <v>49</v>
      </c>
      <c r="AS1125" s="13" t="s">
        <v>49</v>
      </c>
      <c r="AT1125" s="13" t="s">
        <v>990</v>
      </c>
      <c r="AU1125" s="13" t="s">
        <v>998</v>
      </c>
      <c r="AV1125" s="14">
        <v>36.6</v>
      </c>
      <c r="AW1125" s="14">
        <v>27.6</v>
      </c>
      <c r="AX1125" s="14">
        <f>Table1347456[[#This Row],[treatment_mean]]/Table1347456[[#This Row],[control_mean]]</f>
        <v>1.326086956521739</v>
      </c>
      <c r="AY1125" s="14">
        <f>LN(Table1347456[[#This Row],[rr]])</f>
        <v>0.28223246768421617</v>
      </c>
      <c r="AZ1125" s="13">
        <v>3</v>
      </c>
      <c r="BA1125" s="13">
        <v>3</v>
      </c>
      <c r="BB1125" s="14" t="s">
        <v>46</v>
      </c>
      <c r="BC1125" s="14" t="s">
        <v>46</v>
      </c>
      <c r="BD1125" s="15" t="s">
        <v>46</v>
      </c>
      <c r="BE1125" s="14" t="s">
        <v>46</v>
      </c>
      <c r="BF112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25" s="17" t="s">
        <v>46</v>
      </c>
      <c r="BH1125" s="13" t="s">
        <v>50</v>
      </c>
      <c r="BI1125" s="13">
        <v>0.05</v>
      </c>
      <c r="BJ1125" s="18">
        <f>ABS(_xlfn.NORM.S.INV(Table1347456[[#This Row],[p_value]]/2))</f>
        <v>1.9599639845400538</v>
      </c>
      <c r="BK1125" s="19">
        <f>(Table1347456[[#This Row],[lnrr]]/Table1347456[[#This Row],[z_from_p]])^2</f>
        <v>2.0735655263572236E-2</v>
      </c>
      <c r="BL1125" s="16">
        <f>Table1347456[[#This Row],[v_from_z_from_p]]</f>
        <v>2.0735655263572236E-2</v>
      </c>
      <c r="BM1125" s="20">
        <f>SQRT(Table1347456[[#This Row],[v]])</f>
        <v>0.14399880299353962</v>
      </c>
      <c r="BN1125" s="20">
        <f>Table1347456[[#This Row],[lnrr]]-(1.96*Table1347456[[#This Row],[se]])</f>
        <v>-5.1861831215083143E-6</v>
      </c>
      <c r="BO1125" s="20">
        <f>Table1347456[[#This Row],[lnrr]]+(1.96 * Table1347456[[#This Row],[se]])</f>
        <v>0.56447012155155385</v>
      </c>
    </row>
    <row r="1126" spans="1:67">
      <c r="A1126" s="13" t="s">
        <v>360</v>
      </c>
      <c r="B1126" s="13" t="s">
        <v>361</v>
      </c>
      <c r="C1126" s="13" t="s">
        <v>43</v>
      </c>
      <c r="D1126" s="13" t="s">
        <v>195</v>
      </c>
      <c r="E1126" s="13" t="s">
        <v>249</v>
      </c>
      <c r="F1126" s="13" t="s">
        <v>588</v>
      </c>
      <c r="G1126" s="13" t="s">
        <v>46</v>
      </c>
      <c r="H1126" s="13">
        <v>32</v>
      </c>
      <c r="I1126" s="13">
        <v>1400</v>
      </c>
      <c r="K1126" s="13" t="s">
        <v>924</v>
      </c>
      <c r="L1126" s="13" t="s">
        <v>925</v>
      </c>
      <c r="N1126" s="13" t="s">
        <v>122</v>
      </c>
      <c r="O1126" s="13" t="s">
        <v>645</v>
      </c>
      <c r="P1126" s="13" t="s">
        <v>48</v>
      </c>
      <c r="Q1126" s="13" t="s">
        <v>48</v>
      </c>
      <c r="R1126" s="4">
        <v>3</v>
      </c>
      <c r="S1126" s="13" t="s">
        <v>594</v>
      </c>
      <c r="T1126" s="13">
        <v>336</v>
      </c>
      <c r="U1126" s="4" t="s">
        <v>147</v>
      </c>
      <c r="V1126" s="4">
        <v>580</v>
      </c>
      <c r="W1126" s="4" t="s">
        <v>601</v>
      </c>
      <c r="X1126" s="4">
        <v>520.29999999999995</v>
      </c>
      <c r="Y1126" s="4">
        <v>20</v>
      </c>
      <c r="AA1126" s="4" t="s">
        <v>49</v>
      </c>
      <c r="AB1126" s="4">
        <v>0</v>
      </c>
      <c r="AC1126" s="4" t="s">
        <v>49</v>
      </c>
      <c r="AD1126" s="4">
        <v>0</v>
      </c>
      <c r="AE1126" s="4" t="s">
        <v>49</v>
      </c>
      <c r="AF1126" s="4">
        <v>0</v>
      </c>
      <c r="AG1126" s="4" t="s">
        <v>683</v>
      </c>
      <c r="AH1126" s="4" t="s">
        <v>684</v>
      </c>
      <c r="AI1126" s="4" t="s">
        <v>78</v>
      </c>
      <c r="AJ1126" s="13">
        <v>0</v>
      </c>
      <c r="AK1126" s="13">
        <v>15</v>
      </c>
      <c r="AM1126" s="13" t="s">
        <v>523</v>
      </c>
      <c r="AP1126" s="13" t="s">
        <v>49</v>
      </c>
      <c r="AQ1126" s="13" t="s">
        <v>49</v>
      </c>
      <c r="AR1126" s="13" t="s">
        <v>49</v>
      </c>
      <c r="AS1126" s="13" t="s">
        <v>49</v>
      </c>
      <c r="AT1126" s="13" t="s">
        <v>990</v>
      </c>
      <c r="AU1126" s="13" t="s">
        <v>998</v>
      </c>
      <c r="AV1126" s="14">
        <v>42</v>
      </c>
      <c r="AW1126" s="14">
        <v>27.6</v>
      </c>
      <c r="AX1126" s="14">
        <f>Table1347456[[#This Row],[treatment_mean]]/Table1347456[[#This Row],[control_mean]]</f>
        <v>1.5217391304347825</v>
      </c>
      <c r="AY1126" s="14">
        <f>LN(Table1347456[[#This Row],[rr]])</f>
        <v>0.41985384556026389</v>
      </c>
      <c r="AZ1126" s="13">
        <v>3</v>
      </c>
      <c r="BA1126" s="13">
        <v>3</v>
      </c>
      <c r="BB1126" s="14" t="s">
        <v>46</v>
      </c>
      <c r="BC1126" s="14" t="s">
        <v>46</v>
      </c>
      <c r="BD1126" s="15" t="s">
        <v>46</v>
      </c>
      <c r="BE1126" s="14" t="s">
        <v>46</v>
      </c>
      <c r="BF112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26" s="17" t="s">
        <v>46</v>
      </c>
      <c r="BH1126" s="13" t="s">
        <v>50</v>
      </c>
      <c r="BI1126" s="13">
        <v>0.05</v>
      </c>
      <c r="BJ1126" s="18">
        <f>ABS(_xlfn.NORM.S.INV(Table1347456[[#This Row],[p_value]]/2))</f>
        <v>1.9599639845400538</v>
      </c>
      <c r="BK1126" s="19">
        <f>(Table1347456[[#This Row],[lnrr]]/Table1347456[[#This Row],[z_from_p]])^2</f>
        <v>4.5888101333308021E-2</v>
      </c>
      <c r="BL1126" s="16">
        <f>Table1347456[[#This Row],[v_from_z_from_p]]</f>
        <v>4.5888101333308021E-2</v>
      </c>
      <c r="BM1126" s="20">
        <f>SQRT(Table1347456[[#This Row],[v]])</f>
        <v>0.21421508194641203</v>
      </c>
      <c r="BN1126" s="20">
        <f>Table1347456[[#This Row],[lnrr]]-(1.96*Table1347456[[#This Row],[se]])</f>
        <v>-7.7150547037052597E-6</v>
      </c>
      <c r="BO1126" s="20">
        <f>Table1347456[[#This Row],[lnrr]]+(1.96 * Table1347456[[#This Row],[se]])</f>
        <v>0.83971540617523144</v>
      </c>
    </row>
    <row r="1127" spans="1:67">
      <c r="A1127" s="13" t="s">
        <v>360</v>
      </c>
      <c r="B1127" s="13" t="s">
        <v>361</v>
      </c>
      <c r="C1127" s="13" t="s">
        <v>43</v>
      </c>
      <c r="D1127" s="13" t="s">
        <v>195</v>
      </c>
      <c r="E1127" s="13" t="s">
        <v>249</v>
      </c>
      <c r="F1127" s="13" t="s">
        <v>588</v>
      </c>
      <c r="G1127" s="13" t="s">
        <v>46</v>
      </c>
      <c r="H1127" s="13">
        <v>32</v>
      </c>
      <c r="I1127" s="13">
        <v>1400</v>
      </c>
      <c r="K1127" s="13" t="s">
        <v>924</v>
      </c>
      <c r="L1127" s="13" t="s">
        <v>925</v>
      </c>
      <c r="N1127" s="13" t="s">
        <v>122</v>
      </c>
      <c r="O1127" s="13" t="s">
        <v>645</v>
      </c>
      <c r="P1127" s="13" t="s">
        <v>48</v>
      </c>
      <c r="Q1127" s="13" t="s">
        <v>48</v>
      </c>
      <c r="R1127" s="4">
        <v>3</v>
      </c>
      <c r="S1127" s="13" t="s">
        <v>594</v>
      </c>
      <c r="T1127" s="13">
        <v>336</v>
      </c>
      <c r="U1127" s="4" t="s">
        <v>147</v>
      </c>
      <c r="V1127" s="4">
        <v>580</v>
      </c>
      <c r="W1127" s="4" t="s">
        <v>601</v>
      </c>
      <c r="X1127" s="4">
        <v>520.29999999999995</v>
      </c>
      <c r="Y1127" s="4">
        <v>30</v>
      </c>
      <c r="AA1127" s="4" t="s">
        <v>49</v>
      </c>
      <c r="AB1127" s="4">
        <v>0</v>
      </c>
      <c r="AC1127" s="4" t="s">
        <v>49</v>
      </c>
      <c r="AD1127" s="4">
        <v>0</v>
      </c>
      <c r="AE1127" s="4" t="s">
        <v>49</v>
      </c>
      <c r="AF1127" s="4">
        <v>0</v>
      </c>
      <c r="AG1127" s="4" t="s">
        <v>683</v>
      </c>
      <c r="AH1127" s="4" t="s">
        <v>684</v>
      </c>
      <c r="AI1127" s="4" t="s">
        <v>78</v>
      </c>
      <c r="AJ1127" s="13">
        <v>0</v>
      </c>
      <c r="AK1127" s="13">
        <v>15</v>
      </c>
      <c r="AM1127" s="13" t="s">
        <v>523</v>
      </c>
      <c r="AP1127" s="13" t="s">
        <v>49</v>
      </c>
      <c r="AQ1127" s="13" t="s">
        <v>49</v>
      </c>
      <c r="AR1127" s="13" t="s">
        <v>49</v>
      </c>
      <c r="AS1127" s="13" t="s">
        <v>49</v>
      </c>
      <c r="AT1127" s="13" t="s">
        <v>990</v>
      </c>
      <c r="AU1127" s="13" t="s">
        <v>998</v>
      </c>
      <c r="AV1127" s="14">
        <v>46.2</v>
      </c>
      <c r="AW1127" s="14">
        <v>27.6</v>
      </c>
      <c r="AX1127" s="14">
        <f>Table1347456[[#This Row],[treatment_mean]]/Table1347456[[#This Row],[control_mean]]</f>
        <v>1.673913043478261</v>
      </c>
      <c r="AY1127" s="14">
        <f>LN(Table1347456[[#This Row],[rr]])</f>
        <v>0.51516402536458894</v>
      </c>
      <c r="AZ1127" s="13">
        <v>3</v>
      </c>
      <c r="BA1127" s="13">
        <v>3</v>
      </c>
      <c r="BB1127" s="14" t="s">
        <v>46</v>
      </c>
      <c r="BC1127" s="14" t="s">
        <v>46</v>
      </c>
      <c r="BD1127" s="15" t="s">
        <v>46</v>
      </c>
      <c r="BE1127" s="14" t="s">
        <v>46</v>
      </c>
      <c r="BF112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27" s="17" t="s">
        <v>46</v>
      </c>
      <c r="BH1127" s="13" t="s">
        <v>50</v>
      </c>
      <c r="BI1127" s="13">
        <v>0.05</v>
      </c>
      <c r="BJ1127" s="18">
        <f>ABS(_xlfn.NORM.S.INV(Table1347456[[#This Row],[p_value]]/2))</f>
        <v>1.9599639845400538</v>
      </c>
      <c r="BK1127" s="19">
        <f>(Table1347456[[#This Row],[lnrr]]/Table1347456[[#This Row],[z_from_p]])^2</f>
        <v>6.908676766236739E-2</v>
      </c>
      <c r="BL1127" s="16">
        <f>Table1347456[[#This Row],[v_from_z_from_p]]</f>
        <v>6.908676766236739E-2</v>
      </c>
      <c r="BM1127" s="20">
        <f>SQRT(Table1347456[[#This Row],[v]])</f>
        <v>0.26284361826448704</v>
      </c>
      <c r="BN1127" s="20">
        <f>Table1347456[[#This Row],[lnrr]]-(1.96*Table1347456[[#This Row],[se]])</f>
        <v>-9.4664338056160702E-6</v>
      </c>
      <c r="BO1127" s="20">
        <f>Table1347456[[#This Row],[lnrr]]+(1.96 * Table1347456[[#This Row],[se]])</f>
        <v>1.0303375171629834</v>
      </c>
    </row>
    <row r="1128" spans="1:67">
      <c r="A1128" s="13" t="s">
        <v>360</v>
      </c>
      <c r="B1128" s="13" t="s">
        <v>361</v>
      </c>
      <c r="C1128" s="13" t="s">
        <v>43</v>
      </c>
      <c r="D1128" s="13" t="s">
        <v>195</v>
      </c>
      <c r="E1128" s="13" t="s">
        <v>249</v>
      </c>
      <c r="F1128" s="13" t="s">
        <v>588</v>
      </c>
      <c r="G1128" s="13" t="s">
        <v>46</v>
      </c>
      <c r="H1128" s="13">
        <v>32</v>
      </c>
      <c r="I1128" s="13">
        <v>1400</v>
      </c>
      <c r="K1128" s="13" t="s">
        <v>924</v>
      </c>
      <c r="L1128" s="13" t="s">
        <v>925</v>
      </c>
      <c r="N1128" s="13" t="s">
        <v>122</v>
      </c>
      <c r="O1128" s="13" t="s">
        <v>645</v>
      </c>
      <c r="P1128" s="13" t="s">
        <v>48</v>
      </c>
      <c r="Q1128" s="13" t="s">
        <v>48</v>
      </c>
      <c r="R1128" s="4">
        <v>3</v>
      </c>
      <c r="S1128" s="13" t="s">
        <v>594</v>
      </c>
      <c r="T1128" s="13">
        <v>336</v>
      </c>
      <c r="U1128" s="4" t="s">
        <v>147</v>
      </c>
      <c r="V1128" s="4">
        <v>580</v>
      </c>
      <c r="W1128" s="4" t="s">
        <v>601</v>
      </c>
      <c r="X1128" s="4">
        <v>520.29999999999995</v>
      </c>
      <c r="Y1128" s="4">
        <v>10</v>
      </c>
      <c r="AA1128" s="4" t="s">
        <v>49</v>
      </c>
      <c r="AB1128" s="4">
        <v>0</v>
      </c>
      <c r="AC1128" s="4" t="s">
        <v>50</v>
      </c>
      <c r="AD1128" s="4">
        <v>7.5</v>
      </c>
      <c r="AE1128" s="4" t="s">
        <v>49</v>
      </c>
      <c r="AF1128" s="4">
        <v>0</v>
      </c>
      <c r="AG1128" s="4" t="s">
        <v>683</v>
      </c>
      <c r="AH1128" s="4" t="s">
        <v>684</v>
      </c>
      <c r="AI1128" s="4" t="s">
        <v>78</v>
      </c>
      <c r="AJ1128" s="13">
        <v>0</v>
      </c>
      <c r="AK1128" s="13">
        <v>15</v>
      </c>
      <c r="AM1128" s="13" t="s">
        <v>523</v>
      </c>
      <c r="AP1128" s="13" t="s">
        <v>49</v>
      </c>
      <c r="AQ1128" s="13" t="s">
        <v>49</v>
      </c>
      <c r="AR1128" s="13" t="s">
        <v>49</v>
      </c>
      <c r="AS1128" s="13" t="s">
        <v>49</v>
      </c>
      <c r="AT1128" s="13" t="s">
        <v>993</v>
      </c>
      <c r="AU1128" s="13" t="s">
        <v>1001</v>
      </c>
      <c r="AV1128" s="14">
        <v>51.2</v>
      </c>
      <c r="AW1128" s="14">
        <v>46.6</v>
      </c>
      <c r="AX1128" s="14">
        <f>Table1347456[[#This Row],[treatment_mean]]/Table1347456[[#This Row],[control_mean]]</f>
        <v>1.0987124463519313</v>
      </c>
      <c r="AY1128" s="14">
        <f>LN(Table1347456[[#This Row],[rr]])</f>
        <v>9.4138990913861909E-2</v>
      </c>
      <c r="AZ1128" s="13">
        <v>3</v>
      </c>
      <c r="BA1128" s="13">
        <v>3</v>
      </c>
      <c r="BB1128" s="14" t="s">
        <v>46</v>
      </c>
      <c r="BC1128" s="14" t="s">
        <v>46</v>
      </c>
      <c r="BD1128" s="15" t="s">
        <v>46</v>
      </c>
      <c r="BE1128" s="14" t="s">
        <v>46</v>
      </c>
      <c r="BF112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28" s="17" t="s">
        <v>46</v>
      </c>
      <c r="BH1128" s="13" t="s">
        <v>50</v>
      </c>
      <c r="BI1128" s="13">
        <v>0.05</v>
      </c>
      <c r="BJ1128" s="18">
        <f>ABS(_xlfn.NORM.S.INV(Table1347456[[#This Row],[p_value]]/2))</f>
        <v>1.9599639845400538</v>
      </c>
      <c r="BK1128" s="19">
        <f>(Table1347456[[#This Row],[lnrr]]/Table1347456[[#This Row],[z_from_p]])^2</f>
        <v>2.306975038373273E-3</v>
      </c>
      <c r="BL1128" s="16">
        <f>Table1347456[[#This Row],[v_from_z_from_p]]</f>
        <v>2.306975038373273E-3</v>
      </c>
      <c r="BM1128" s="20">
        <f>SQRT(Table1347456[[#This Row],[v]])</f>
        <v>4.8030979985560079E-2</v>
      </c>
      <c r="BN1128" s="20">
        <f>Table1347456[[#This Row],[lnrr]]-(1.96*Table1347456[[#This Row],[se]])</f>
        <v>-1.7298578358498906E-6</v>
      </c>
      <c r="BO1128" s="20">
        <f>Table1347456[[#This Row],[lnrr]]+(1.96 * Table1347456[[#This Row],[se]])</f>
        <v>0.18827971168555968</v>
      </c>
    </row>
    <row r="1129" spans="1:67">
      <c r="A1129" s="13" t="s">
        <v>360</v>
      </c>
      <c r="B1129" s="13" t="s">
        <v>361</v>
      </c>
      <c r="C1129" s="13" t="s">
        <v>43</v>
      </c>
      <c r="D1129" s="13" t="s">
        <v>195</v>
      </c>
      <c r="E1129" s="13" t="s">
        <v>249</v>
      </c>
      <c r="F1129" s="13" t="s">
        <v>588</v>
      </c>
      <c r="G1129" s="13" t="s">
        <v>46</v>
      </c>
      <c r="H1129" s="13">
        <v>32</v>
      </c>
      <c r="I1129" s="13">
        <v>1400</v>
      </c>
      <c r="K1129" s="13" t="s">
        <v>924</v>
      </c>
      <c r="L1129" s="13" t="s">
        <v>925</v>
      </c>
      <c r="N1129" s="13" t="s">
        <v>122</v>
      </c>
      <c r="O1129" s="13" t="s">
        <v>645</v>
      </c>
      <c r="P1129" s="13" t="s">
        <v>48</v>
      </c>
      <c r="Q1129" s="13" t="s">
        <v>48</v>
      </c>
      <c r="R1129" s="4">
        <v>3</v>
      </c>
      <c r="S1129" s="13" t="s">
        <v>594</v>
      </c>
      <c r="T1129" s="13">
        <v>336</v>
      </c>
      <c r="U1129" s="4" t="s">
        <v>147</v>
      </c>
      <c r="V1129" s="4">
        <v>580</v>
      </c>
      <c r="W1129" s="4" t="s">
        <v>601</v>
      </c>
      <c r="X1129" s="4">
        <v>520.29999999999995</v>
      </c>
      <c r="Y1129" s="4">
        <v>20</v>
      </c>
      <c r="AA1129" s="4" t="s">
        <v>49</v>
      </c>
      <c r="AB1129" s="4">
        <v>0</v>
      </c>
      <c r="AC1129" s="4" t="s">
        <v>50</v>
      </c>
      <c r="AD1129" s="4">
        <v>7.5</v>
      </c>
      <c r="AE1129" s="4" t="s">
        <v>49</v>
      </c>
      <c r="AF1129" s="4">
        <v>0</v>
      </c>
      <c r="AG1129" s="4" t="s">
        <v>683</v>
      </c>
      <c r="AH1129" s="4" t="s">
        <v>684</v>
      </c>
      <c r="AI1129" s="4" t="s">
        <v>78</v>
      </c>
      <c r="AJ1129" s="13">
        <v>0</v>
      </c>
      <c r="AK1129" s="13">
        <v>15</v>
      </c>
      <c r="AM1129" s="13" t="s">
        <v>523</v>
      </c>
      <c r="AP1129" s="13" t="s">
        <v>49</v>
      </c>
      <c r="AQ1129" s="13" t="s">
        <v>49</v>
      </c>
      <c r="AR1129" s="13" t="s">
        <v>49</v>
      </c>
      <c r="AS1129" s="13" t="s">
        <v>49</v>
      </c>
      <c r="AT1129" s="13" t="s">
        <v>993</v>
      </c>
      <c r="AU1129" s="13" t="s">
        <v>1001</v>
      </c>
      <c r="AV1129" s="14">
        <v>56.6</v>
      </c>
      <c r="AW1129" s="14">
        <v>46.6</v>
      </c>
      <c r="AX1129" s="14">
        <f>Table1347456[[#This Row],[treatment_mean]]/Table1347456[[#This Row],[control_mean]]</f>
        <v>1.2145922746781115</v>
      </c>
      <c r="AY1129" s="14">
        <f>LN(Table1347456[[#This Row],[rr]])</f>
        <v>0.19440844407753696</v>
      </c>
      <c r="AZ1129" s="13">
        <v>3</v>
      </c>
      <c r="BA1129" s="13">
        <v>3</v>
      </c>
      <c r="BB1129" s="14" t="s">
        <v>46</v>
      </c>
      <c r="BC1129" s="14" t="s">
        <v>46</v>
      </c>
      <c r="BD1129" s="15" t="s">
        <v>46</v>
      </c>
      <c r="BE1129" s="14" t="s">
        <v>46</v>
      </c>
      <c r="BF112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29" s="17" t="s">
        <v>46</v>
      </c>
      <c r="BH1129" s="13" t="s">
        <v>50</v>
      </c>
      <c r="BI1129" s="13">
        <v>0.05</v>
      </c>
      <c r="BJ1129" s="18">
        <f>ABS(_xlfn.NORM.S.INV(Table1347456[[#This Row],[p_value]]/2))</f>
        <v>1.9599639845400538</v>
      </c>
      <c r="BK1129" s="19">
        <f>(Table1347456[[#This Row],[lnrr]]/Table1347456[[#This Row],[z_from_p]])^2</f>
        <v>9.8386172786877873E-3</v>
      </c>
      <c r="BL1129" s="16">
        <f>Table1347456[[#This Row],[v_from_z_from_p]]</f>
        <v>9.8386172786877873E-3</v>
      </c>
      <c r="BM1129" s="20">
        <f>SQRT(Table1347456[[#This Row],[v]])</f>
        <v>9.918980430814342E-2</v>
      </c>
      <c r="BN1129" s="20">
        <f>Table1347456[[#This Row],[lnrr]]-(1.96*Table1347456[[#This Row],[se]])</f>
        <v>-3.5723664241482656E-6</v>
      </c>
      <c r="BO1129" s="20">
        <f>Table1347456[[#This Row],[lnrr]]+(1.96 * Table1347456[[#This Row],[se]])</f>
        <v>0.3888204605214981</v>
      </c>
    </row>
    <row r="1130" spans="1:67">
      <c r="A1130" s="13" t="s">
        <v>360</v>
      </c>
      <c r="B1130" s="13" t="s">
        <v>361</v>
      </c>
      <c r="C1130" s="13" t="s">
        <v>43</v>
      </c>
      <c r="D1130" s="13" t="s">
        <v>195</v>
      </c>
      <c r="E1130" s="13" t="s">
        <v>249</v>
      </c>
      <c r="F1130" s="13" t="s">
        <v>588</v>
      </c>
      <c r="G1130" s="13" t="s">
        <v>46</v>
      </c>
      <c r="H1130" s="13">
        <v>32</v>
      </c>
      <c r="I1130" s="13">
        <v>1400</v>
      </c>
      <c r="K1130" s="13" t="s">
        <v>924</v>
      </c>
      <c r="L1130" s="13" t="s">
        <v>925</v>
      </c>
      <c r="N1130" s="13" t="s">
        <v>122</v>
      </c>
      <c r="O1130" s="13" t="s">
        <v>645</v>
      </c>
      <c r="P1130" s="13" t="s">
        <v>48</v>
      </c>
      <c r="Q1130" s="13" t="s">
        <v>48</v>
      </c>
      <c r="R1130" s="4">
        <v>3</v>
      </c>
      <c r="S1130" s="13" t="s">
        <v>594</v>
      </c>
      <c r="T1130" s="13">
        <v>336</v>
      </c>
      <c r="U1130" s="4" t="s">
        <v>147</v>
      </c>
      <c r="V1130" s="4">
        <v>580</v>
      </c>
      <c r="W1130" s="4" t="s">
        <v>601</v>
      </c>
      <c r="X1130" s="4">
        <v>520.29999999999995</v>
      </c>
      <c r="Y1130" s="4">
        <v>30</v>
      </c>
      <c r="AA1130" s="4" t="s">
        <v>49</v>
      </c>
      <c r="AB1130" s="4">
        <v>0</v>
      </c>
      <c r="AC1130" s="4" t="s">
        <v>50</v>
      </c>
      <c r="AD1130" s="4">
        <v>7.5</v>
      </c>
      <c r="AE1130" s="4" t="s">
        <v>49</v>
      </c>
      <c r="AF1130" s="4">
        <v>0</v>
      </c>
      <c r="AG1130" s="4" t="s">
        <v>683</v>
      </c>
      <c r="AH1130" s="4" t="s">
        <v>684</v>
      </c>
      <c r="AI1130" s="4" t="s">
        <v>78</v>
      </c>
      <c r="AJ1130" s="13">
        <v>0</v>
      </c>
      <c r="AK1130" s="13">
        <v>15</v>
      </c>
      <c r="AM1130" s="13" t="s">
        <v>523</v>
      </c>
      <c r="AP1130" s="13" t="s">
        <v>49</v>
      </c>
      <c r="AQ1130" s="13" t="s">
        <v>49</v>
      </c>
      <c r="AR1130" s="13" t="s">
        <v>49</v>
      </c>
      <c r="AS1130" s="13" t="s">
        <v>49</v>
      </c>
      <c r="AT1130" s="13" t="s">
        <v>993</v>
      </c>
      <c r="AU1130" s="13" t="s">
        <v>1001</v>
      </c>
      <c r="AV1130" s="14">
        <v>77.2</v>
      </c>
      <c r="AW1130" s="14">
        <v>46.6</v>
      </c>
      <c r="AX1130" s="14">
        <f>Table1347456[[#This Row],[treatment_mean]]/Table1347456[[#This Row],[control_mean]]</f>
        <v>1.6566523605150214</v>
      </c>
      <c r="AY1130" s="14">
        <f>LN(Table1347456[[#This Row],[rr]])</f>
        <v>0.50479891589913028</v>
      </c>
      <c r="AZ1130" s="13">
        <v>3</v>
      </c>
      <c r="BA1130" s="13">
        <v>3</v>
      </c>
      <c r="BB1130" s="14" t="s">
        <v>46</v>
      </c>
      <c r="BC1130" s="14" t="s">
        <v>46</v>
      </c>
      <c r="BD1130" s="15" t="s">
        <v>46</v>
      </c>
      <c r="BE1130" s="14" t="s">
        <v>46</v>
      </c>
      <c r="BF113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30" s="17" t="s">
        <v>46</v>
      </c>
      <c r="BH1130" s="13" t="s">
        <v>50</v>
      </c>
      <c r="BI1130" s="13">
        <v>0.05</v>
      </c>
      <c r="BJ1130" s="18">
        <f>ABS(_xlfn.NORM.S.INV(Table1347456[[#This Row],[p_value]]/2))</f>
        <v>1.9599639845400538</v>
      </c>
      <c r="BK1130" s="19">
        <f>(Table1347456[[#This Row],[lnrr]]/Table1347456[[#This Row],[z_from_p]])^2</f>
        <v>6.6334681012379756E-2</v>
      </c>
      <c r="BL1130" s="16">
        <f>Table1347456[[#This Row],[v_from_z_from_p]]</f>
        <v>6.6334681012379756E-2</v>
      </c>
      <c r="BM1130" s="20">
        <f>SQRT(Table1347456[[#This Row],[v]])</f>
        <v>0.25755519993271297</v>
      </c>
      <c r="BN1130" s="20">
        <f>Table1347456[[#This Row],[lnrr]]-(1.96*Table1347456[[#This Row],[se]])</f>
        <v>-9.2759689871435569E-6</v>
      </c>
      <c r="BO1130" s="20">
        <f>Table1347456[[#This Row],[lnrr]]+(1.96 * Table1347456[[#This Row],[se]])</f>
        <v>1.0096071077672477</v>
      </c>
    </row>
    <row r="1131" spans="1:67">
      <c r="A1131" s="13" t="s">
        <v>360</v>
      </c>
      <c r="B1131" s="13" t="s">
        <v>361</v>
      </c>
      <c r="C1131" s="13" t="s">
        <v>43</v>
      </c>
      <c r="D1131" s="13" t="s">
        <v>195</v>
      </c>
      <c r="E1131" s="13" t="s">
        <v>249</v>
      </c>
      <c r="F1131" s="13" t="s">
        <v>588</v>
      </c>
      <c r="G1131" s="13" t="s">
        <v>46</v>
      </c>
      <c r="H1131" s="13">
        <v>32</v>
      </c>
      <c r="I1131" s="13">
        <v>1400</v>
      </c>
      <c r="J1131" s="13" t="s">
        <v>656</v>
      </c>
      <c r="K1131" s="13" t="s">
        <v>924</v>
      </c>
      <c r="L1131" s="13" t="s">
        <v>925</v>
      </c>
      <c r="M1131" s="13" t="s">
        <v>803</v>
      </c>
      <c r="N1131" s="13" t="s">
        <v>119</v>
      </c>
      <c r="O1131" s="13" t="s">
        <v>645</v>
      </c>
      <c r="P1131" s="13" t="s">
        <v>48</v>
      </c>
      <c r="Q1131" s="13" t="s">
        <v>48</v>
      </c>
      <c r="R1131" s="4">
        <v>3</v>
      </c>
      <c r="S1131" s="13" t="s">
        <v>594</v>
      </c>
      <c r="T1131" s="13">
        <v>336</v>
      </c>
      <c r="U1131" s="4" t="s">
        <v>147</v>
      </c>
      <c r="V1131" s="4">
        <v>580</v>
      </c>
      <c r="W1131" s="4" t="s">
        <v>601</v>
      </c>
      <c r="X1131" s="4">
        <v>520.29999999999995</v>
      </c>
      <c r="Y1131" s="4">
        <v>10</v>
      </c>
      <c r="AA1131" s="4" t="s">
        <v>49</v>
      </c>
      <c r="AB1131" s="4">
        <v>0</v>
      </c>
      <c r="AC1131" s="4" t="s">
        <v>49</v>
      </c>
      <c r="AD1131" s="4">
        <v>0</v>
      </c>
      <c r="AE1131" s="4" t="s">
        <v>49</v>
      </c>
      <c r="AF1131" s="4">
        <v>0</v>
      </c>
      <c r="AG1131" s="4" t="s">
        <v>683</v>
      </c>
      <c r="AH1131" s="4" t="s">
        <v>684</v>
      </c>
      <c r="AI1131" s="4" t="s">
        <v>78</v>
      </c>
      <c r="AJ1131" s="13">
        <v>0</v>
      </c>
      <c r="AK1131" s="13">
        <v>15</v>
      </c>
      <c r="AM1131" s="13" t="s">
        <v>523</v>
      </c>
      <c r="AP1131" s="13" t="s">
        <v>49</v>
      </c>
      <c r="AQ1131" s="13" t="s">
        <v>49</v>
      </c>
      <c r="AR1131" s="13" t="s">
        <v>49</v>
      </c>
      <c r="AS1131" s="13" t="s">
        <v>49</v>
      </c>
      <c r="AT1131" s="13" t="s">
        <v>990</v>
      </c>
      <c r="AU1131" s="13" t="s">
        <v>998</v>
      </c>
      <c r="AV1131" s="23">
        <v>1.6</v>
      </c>
      <c r="AW1131" s="23">
        <v>1.2</v>
      </c>
      <c r="AX1131" s="14">
        <f>Table1347456[[#This Row],[treatment_mean]]/Table1347456[[#This Row],[control_mean]]</f>
        <v>1.3333333333333335</v>
      </c>
      <c r="AY1131" s="14">
        <f>LN(Table1347456[[#This Row],[rr]])</f>
        <v>0.28768207245178101</v>
      </c>
      <c r="AZ1131" s="13">
        <v>3</v>
      </c>
      <c r="BA1131" s="13">
        <v>3</v>
      </c>
      <c r="BB1131" s="14" t="s">
        <v>46</v>
      </c>
      <c r="BC1131" s="14" t="s">
        <v>46</v>
      </c>
      <c r="BD1131" s="15" t="s">
        <v>46</v>
      </c>
      <c r="BE1131" s="14" t="s">
        <v>46</v>
      </c>
      <c r="BF113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31" s="17" t="s">
        <v>46</v>
      </c>
      <c r="BH1131" s="13" t="s">
        <v>50</v>
      </c>
      <c r="BI1131" s="13">
        <v>0.05</v>
      </c>
      <c r="BJ1131" s="18">
        <f>ABS(_xlfn.NORM.S.INV(Table1347456[[#This Row],[p_value]]/2))</f>
        <v>1.9599639845400538</v>
      </c>
      <c r="BK1131" s="19">
        <f>(Table1347456[[#This Row],[lnrr]]/Table1347456[[#This Row],[z_from_p]])^2</f>
        <v>2.1544152540257468E-2</v>
      </c>
      <c r="BL1131" s="16">
        <f>Table1347456[[#This Row],[v_from_z_from_p]]</f>
        <v>2.1544152540257468E-2</v>
      </c>
      <c r="BM1131" s="20">
        <f>SQRT(Table1347456[[#This Row],[v]])</f>
        <v>0.14677926468087196</v>
      </c>
      <c r="BN1131" s="20">
        <f>Table1347456[[#This Row],[lnrr]]-(1.96*Table1347456[[#This Row],[se]])</f>
        <v>-5.2863227280042224E-6</v>
      </c>
      <c r="BO1131" s="20">
        <f>Table1347456[[#This Row],[lnrr]]+(1.96 * Table1347456[[#This Row],[se]])</f>
        <v>0.57536943122629003</v>
      </c>
    </row>
    <row r="1132" spans="1:67">
      <c r="A1132" s="13" t="s">
        <v>360</v>
      </c>
      <c r="B1132" s="13" t="s">
        <v>361</v>
      </c>
      <c r="C1132" s="13" t="s">
        <v>43</v>
      </c>
      <c r="D1132" s="13" t="s">
        <v>195</v>
      </c>
      <c r="E1132" s="13" t="s">
        <v>249</v>
      </c>
      <c r="F1132" s="13" t="s">
        <v>588</v>
      </c>
      <c r="G1132" s="13" t="s">
        <v>46</v>
      </c>
      <c r="H1132" s="13">
        <v>32</v>
      </c>
      <c r="I1132" s="13">
        <v>1400</v>
      </c>
      <c r="J1132" s="13" t="s">
        <v>656</v>
      </c>
      <c r="K1132" s="13" t="s">
        <v>924</v>
      </c>
      <c r="L1132" s="13" t="s">
        <v>925</v>
      </c>
      <c r="M1132" s="13" t="s">
        <v>803</v>
      </c>
      <c r="N1132" s="13" t="s">
        <v>119</v>
      </c>
      <c r="O1132" s="13" t="s">
        <v>645</v>
      </c>
      <c r="P1132" s="13" t="s">
        <v>48</v>
      </c>
      <c r="Q1132" s="13" t="s">
        <v>48</v>
      </c>
      <c r="R1132" s="4">
        <v>3</v>
      </c>
      <c r="S1132" s="13" t="s">
        <v>594</v>
      </c>
      <c r="T1132" s="13">
        <v>336</v>
      </c>
      <c r="U1132" s="4" t="s">
        <v>147</v>
      </c>
      <c r="V1132" s="4">
        <v>580</v>
      </c>
      <c r="W1132" s="4" t="s">
        <v>601</v>
      </c>
      <c r="X1132" s="4">
        <v>520.29999999999995</v>
      </c>
      <c r="Y1132" s="4">
        <v>20</v>
      </c>
      <c r="AA1132" s="4" t="s">
        <v>49</v>
      </c>
      <c r="AB1132" s="4">
        <v>0</v>
      </c>
      <c r="AC1132" s="4" t="s">
        <v>49</v>
      </c>
      <c r="AD1132" s="4">
        <v>0</v>
      </c>
      <c r="AE1132" s="4" t="s">
        <v>49</v>
      </c>
      <c r="AF1132" s="4">
        <v>0</v>
      </c>
      <c r="AG1132" s="4" t="s">
        <v>683</v>
      </c>
      <c r="AH1132" s="4" t="s">
        <v>684</v>
      </c>
      <c r="AI1132" s="4" t="s">
        <v>78</v>
      </c>
      <c r="AJ1132" s="13">
        <v>0</v>
      </c>
      <c r="AK1132" s="13">
        <v>15</v>
      </c>
      <c r="AM1132" s="13" t="s">
        <v>523</v>
      </c>
      <c r="AP1132" s="13" t="s">
        <v>49</v>
      </c>
      <c r="AQ1132" s="13" t="s">
        <v>49</v>
      </c>
      <c r="AR1132" s="13" t="s">
        <v>49</v>
      </c>
      <c r="AS1132" s="13" t="s">
        <v>49</v>
      </c>
      <c r="AT1132" s="13" t="s">
        <v>990</v>
      </c>
      <c r="AU1132" s="13" t="s">
        <v>998</v>
      </c>
      <c r="AV1132" s="23">
        <v>2</v>
      </c>
      <c r="AW1132" s="23">
        <v>1.2</v>
      </c>
      <c r="AX1132" s="14">
        <f>Table1347456[[#This Row],[treatment_mean]]/Table1347456[[#This Row],[control_mean]]</f>
        <v>1.6666666666666667</v>
      </c>
      <c r="AY1132" s="14">
        <f>LN(Table1347456[[#This Row],[rr]])</f>
        <v>0.51082562376599072</v>
      </c>
      <c r="AZ1132" s="13">
        <v>3</v>
      </c>
      <c r="BA1132" s="13">
        <v>3</v>
      </c>
      <c r="BB1132" s="14" t="s">
        <v>46</v>
      </c>
      <c r="BC1132" s="14" t="s">
        <v>46</v>
      </c>
      <c r="BD1132" s="15" t="s">
        <v>46</v>
      </c>
      <c r="BE1132" s="14" t="s">
        <v>46</v>
      </c>
      <c r="BF113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32" s="17" t="s">
        <v>46</v>
      </c>
      <c r="BH1132" s="13" t="s">
        <v>50</v>
      </c>
      <c r="BI1132" s="13">
        <v>0.05</v>
      </c>
      <c r="BJ1132" s="18">
        <f>ABS(_xlfn.NORM.S.INV(Table1347456[[#This Row],[p_value]]/2))</f>
        <v>1.9599639845400538</v>
      </c>
      <c r="BK1132" s="19">
        <f>(Table1347456[[#This Row],[lnrr]]/Table1347456[[#This Row],[z_from_p]])^2</f>
        <v>6.792805287673577E-2</v>
      </c>
      <c r="BL1132" s="16">
        <f>Table1347456[[#This Row],[v_from_z_from_p]]</f>
        <v>6.792805287673577E-2</v>
      </c>
      <c r="BM1132" s="20">
        <f>SQRT(Table1347456[[#This Row],[v]])</f>
        <v>0.26063010738733883</v>
      </c>
      <c r="BN1132" s="20">
        <f>Table1347456[[#This Row],[lnrr]]-(1.96*Table1347456[[#This Row],[se]])</f>
        <v>-9.3867131933933479E-6</v>
      </c>
      <c r="BO1132" s="20">
        <f>Table1347456[[#This Row],[lnrr]]+(1.96 * Table1347456[[#This Row],[se]])</f>
        <v>1.0216606342451748</v>
      </c>
    </row>
    <row r="1133" spans="1:67">
      <c r="A1133" s="13" t="s">
        <v>360</v>
      </c>
      <c r="B1133" s="13" t="s">
        <v>361</v>
      </c>
      <c r="C1133" s="13" t="s">
        <v>43</v>
      </c>
      <c r="D1133" s="13" t="s">
        <v>195</v>
      </c>
      <c r="E1133" s="13" t="s">
        <v>249</v>
      </c>
      <c r="F1133" s="13" t="s">
        <v>588</v>
      </c>
      <c r="G1133" s="13" t="s">
        <v>46</v>
      </c>
      <c r="H1133" s="13">
        <v>32</v>
      </c>
      <c r="I1133" s="13">
        <v>1400</v>
      </c>
      <c r="J1133" s="13" t="s">
        <v>656</v>
      </c>
      <c r="K1133" s="13" t="s">
        <v>924</v>
      </c>
      <c r="L1133" s="13" t="s">
        <v>925</v>
      </c>
      <c r="M1133" s="13" t="s">
        <v>803</v>
      </c>
      <c r="N1133" s="13" t="s">
        <v>119</v>
      </c>
      <c r="O1133" s="13" t="s">
        <v>645</v>
      </c>
      <c r="P1133" s="13" t="s">
        <v>48</v>
      </c>
      <c r="Q1133" s="13" t="s">
        <v>48</v>
      </c>
      <c r="R1133" s="4">
        <v>3</v>
      </c>
      <c r="S1133" s="13" t="s">
        <v>594</v>
      </c>
      <c r="T1133" s="13">
        <v>336</v>
      </c>
      <c r="U1133" s="4" t="s">
        <v>147</v>
      </c>
      <c r="V1133" s="4">
        <v>580</v>
      </c>
      <c r="W1133" s="4" t="s">
        <v>601</v>
      </c>
      <c r="X1133" s="4">
        <v>520.29999999999995</v>
      </c>
      <c r="Y1133" s="4">
        <v>30</v>
      </c>
      <c r="AA1133" s="4" t="s">
        <v>49</v>
      </c>
      <c r="AB1133" s="4">
        <v>0</v>
      </c>
      <c r="AC1133" s="4" t="s">
        <v>49</v>
      </c>
      <c r="AD1133" s="4">
        <v>0</v>
      </c>
      <c r="AE1133" s="4" t="s">
        <v>49</v>
      </c>
      <c r="AF1133" s="4">
        <v>0</v>
      </c>
      <c r="AG1133" s="4" t="s">
        <v>683</v>
      </c>
      <c r="AH1133" s="4" t="s">
        <v>684</v>
      </c>
      <c r="AI1133" s="4" t="s">
        <v>78</v>
      </c>
      <c r="AJ1133" s="13">
        <v>0</v>
      </c>
      <c r="AK1133" s="13">
        <v>15</v>
      </c>
      <c r="AM1133" s="13" t="s">
        <v>523</v>
      </c>
      <c r="AP1133" s="13" t="s">
        <v>49</v>
      </c>
      <c r="AQ1133" s="13" t="s">
        <v>49</v>
      </c>
      <c r="AR1133" s="13" t="s">
        <v>49</v>
      </c>
      <c r="AS1133" s="13" t="s">
        <v>49</v>
      </c>
      <c r="AT1133" s="13" t="s">
        <v>990</v>
      </c>
      <c r="AU1133" s="13" t="s">
        <v>998</v>
      </c>
      <c r="AV1133" s="23">
        <v>2.6</v>
      </c>
      <c r="AW1133" s="23">
        <v>1.2</v>
      </c>
      <c r="AX1133" s="14">
        <f>Table1347456[[#This Row],[treatment_mean]]/Table1347456[[#This Row],[control_mean]]</f>
        <v>2.166666666666667</v>
      </c>
      <c r="AY1133" s="14">
        <f>LN(Table1347456[[#This Row],[rr]])</f>
        <v>0.77318988823348189</v>
      </c>
      <c r="AZ1133" s="13">
        <v>3</v>
      </c>
      <c r="BA1133" s="13">
        <v>3</v>
      </c>
      <c r="BB1133" s="14" t="s">
        <v>46</v>
      </c>
      <c r="BC1133" s="14" t="s">
        <v>46</v>
      </c>
      <c r="BD1133" s="15" t="s">
        <v>46</v>
      </c>
      <c r="BE1133" s="14" t="s">
        <v>46</v>
      </c>
      <c r="BF113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33" s="17" t="s">
        <v>46</v>
      </c>
      <c r="BH1133" s="13" t="s">
        <v>50</v>
      </c>
      <c r="BI1133" s="13">
        <v>0.05</v>
      </c>
      <c r="BJ1133" s="18">
        <f>ABS(_xlfn.NORM.S.INV(Table1347456[[#This Row],[p_value]]/2))</f>
        <v>1.9599639845400538</v>
      </c>
      <c r="BK1133" s="19">
        <f>(Table1347456[[#This Row],[lnrr]]/Table1347456[[#This Row],[z_from_p]])^2</f>
        <v>0.15562384791059192</v>
      </c>
      <c r="BL1133" s="16">
        <f>Table1347456[[#This Row],[v_from_z_from_p]]</f>
        <v>0.15562384791059192</v>
      </c>
      <c r="BM1133" s="20">
        <f>SQRT(Table1347456[[#This Row],[v]])</f>
        <v>0.39449188573479166</v>
      </c>
      <c r="BN1133" s="20">
        <f>Table1347456[[#This Row],[lnrr]]-(1.96*Table1347456[[#This Row],[se]])</f>
        <v>-1.4207806709798376E-5</v>
      </c>
      <c r="BO1133" s="20">
        <f>Table1347456[[#This Row],[lnrr]]+(1.96 * Table1347456[[#This Row],[se]])</f>
        <v>1.5463939842736736</v>
      </c>
    </row>
    <row r="1134" spans="1:67">
      <c r="A1134" s="13" t="s">
        <v>360</v>
      </c>
      <c r="B1134" s="13" t="s">
        <v>361</v>
      </c>
      <c r="C1134" s="13" t="s">
        <v>43</v>
      </c>
      <c r="D1134" s="13" t="s">
        <v>195</v>
      </c>
      <c r="E1134" s="13" t="s">
        <v>249</v>
      </c>
      <c r="F1134" s="13" t="s">
        <v>588</v>
      </c>
      <c r="G1134" s="13" t="s">
        <v>46</v>
      </c>
      <c r="H1134" s="13">
        <v>32</v>
      </c>
      <c r="I1134" s="13">
        <v>1400</v>
      </c>
      <c r="J1134" s="13" t="s">
        <v>656</v>
      </c>
      <c r="K1134" s="13" t="s">
        <v>924</v>
      </c>
      <c r="L1134" s="13" t="s">
        <v>925</v>
      </c>
      <c r="M1134" s="13" t="s">
        <v>803</v>
      </c>
      <c r="N1134" s="13" t="s">
        <v>119</v>
      </c>
      <c r="O1134" s="13" t="s">
        <v>645</v>
      </c>
      <c r="P1134" s="13" t="s">
        <v>48</v>
      </c>
      <c r="Q1134" s="13" t="s">
        <v>48</v>
      </c>
      <c r="R1134" s="4">
        <v>3</v>
      </c>
      <c r="S1134" s="13" t="s">
        <v>594</v>
      </c>
      <c r="T1134" s="13">
        <v>336</v>
      </c>
      <c r="U1134" s="4" t="s">
        <v>147</v>
      </c>
      <c r="V1134" s="4">
        <v>580</v>
      </c>
      <c r="W1134" s="4" t="s">
        <v>601</v>
      </c>
      <c r="X1134" s="4">
        <v>520.29999999999995</v>
      </c>
      <c r="Y1134" s="4">
        <v>10</v>
      </c>
      <c r="AA1134" s="4" t="s">
        <v>49</v>
      </c>
      <c r="AB1134" s="4">
        <v>0</v>
      </c>
      <c r="AC1134" s="4" t="s">
        <v>50</v>
      </c>
      <c r="AD1134" s="4">
        <v>7.5</v>
      </c>
      <c r="AE1134" s="4" t="s">
        <v>49</v>
      </c>
      <c r="AF1134" s="4">
        <v>0</v>
      </c>
      <c r="AG1134" s="4" t="s">
        <v>683</v>
      </c>
      <c r="AH1134" s="4" t="s">
        <v>684</v>
      </c>
      <c r="AI1134" s="4" t="s">
        <v>78</v>
      </c>
      <c r="AJ1134" s="13">
        <v>0</v>
      </c>
      <c r="AK1134" s="13">
        <v>15</v>
      </c>
      <c r="AM1134" s="13" t="s">
        <v>523</v>
      </c>
      <c r="AP1134" s="13" t="s">
        <v>49</v>
      </c>
      <c r="AQ1134" s="13" t="s">
        <v>49</v>
      </c>
      <c r="AR1134" s="13" t="s">
        <v>49</v>
      </c>
      <c r="AS1134" s="13" t="s">
        <v>49</v>
      </c>
      <c r="AT1134" s="13" t="s">
        <v>993</v>
      </c>
      <c r="AU1134" s="13" t="s">
        <v>1001</v>
      </c>
      <c r="AV1134" s="23">
        <v>4.2</v>
      </c>
      <c r="AW1134" s="23">
        <v>3.2</v>
      </c>
      <c r="AX1134" s="14">
        <f>Table1347456[[#This Row],[treatment_mean]]/Table1347456[[#This Row],[control_mean]]</f>
        <v>1.3125</v>
      </c>
      <c r="AY1134" s="14">
        <f>LN(Table1347456[[#This Row],[rr]])</f>
        <v>0.27193371548364176</v>
      </c>
      <c r="AZ1134" s="13">
        <v>3</v>
      </c>
      <c r="BA1134" s="13">
        <v>3</v>
      </c>
      <c r="BB1134" s="14" t="s">
        <v>46</v>
      </c>
      <c r="BC1134" s="14" t="s">
        <v>46</v>
      </c>
      <c r="BD1134" s="15" t="s">
        <v>46</v>
      </c>
      <c r="BE1134" s="14" t="s">
        <v>46</v>
      </c>
      <c r="BF113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34" s="17" t="s">
        <v>46</v>
      </c>
      <c r="BH1134" s="13" t="s">
        <v>50</v>
      </c>
      <c r="BI1134" s="13">
        <v>0.05</v>
      </c>
      <c r="BJ1134" s="18">
        <f>ABS(_xlfn.NORM.S.INV(Table1347456[[#This Row],[p_value]]/2))</f>
        <v>1.9599639845400538</v>
      </c>
      <c r="BK1134" s="19">
        <f>(Table1347456[[#This Row],[lnrr]]/Table1347456[[#This Row],[z_from_p]])^2</f>
        <v>1.9249964419344304E-2</v>
      </c>
      <c r="BL1134" s="16">
        <f>Table1347456[[#This Row],[v_from_z_from_p]]</f>
        <v>1.9249964419344304E-2</v>
      </c>
      <c r="BM1134" s="20">
        <f>SQRT(Table1347456[[#This Row],[v]])</f>
        <v>0.13874424103127417</v>
      </c>
      <c r="BN1134" s="20">
        <f>Table1347456[[#This Row],[lnrr]]-(1.96*Table1347456[[#This Row],[se]])</f>
        <v>-4.9969376555991651E-6</v>
      </c>
      <c r="BO1134" s="20">
        <f>Table1347456[[#This Row],[lnrr]]+(1.96 * Table1347456[[#This Row],[se]])</f>
        <v>0.54387242790493917</v>
      </c>
    </row>
    <row r="1135" spans="1:67">
      <c r="A1135" s="13" t="s">
        <v>360</v>
      </c>
      <c r="B1135" s="13" t="s">
        <v>361</v>
      </c>
      <c r="C1135" s="13" t="s">
        <v>43</v>
      </c>
      <c r="D1135" s="13" t="s">
        <v>195</v>
      </c>
      <c r="E1135" s="13" t="s">
        <v>249</v>
      </c>
      <c r="F1135" s="13" t="s">
        <v>588</v>
      </c>
      <c r="G1135" s="13" t="s">
        <v>46</v>
      </c>
      <c r="H1135" s="13">
        <v>32</v>
      </c>
      <c r="I1135" s="13">
        <v>1400</v>
      </c>
      <c r="J1135" s="13" t="s">
        <v>656</v>
      </c>
      <c r="K1135" s="13" t="s">
        <v>924</v>
      </c>
      <c r="L1135" s="13" t="s">
        <v>925</v>
      </c>
      <c r="M1135" s="13" t="s">
        <v>803</v>
      </c>
      <c r="N1135" s="13" t="s">
        <v>119</v>
      </c>
      <c r="O1135" s="13" t="s">
        <v>645</v>
      </c>
      <c r="P1135" s="13" t="s">
        <v>48</v>
      </c>
      <c r="Q1135" s="13" t="s">
        <v>48</v>
      </c>
      <c r="R1135" s="4">
        <v>3</v>
      </c>
      <c r="S1135" s="13" t="s">
        <v>594</v>
      </c>
      <c r="T1135" s="13">
        <v>336</v>
      </c>
      <c r="U1135" s="4" t="s">
        <v>147</v>
      </c>
      <c r="V1135" s="4">
        <v>580</v>
      </c>
      <c r="W1135" s="4" t="s">
        <v>601</v>
      </c>
      <c r="X1135" s="4">
        <v>520.29999999999995</v>
      </c>
      <c r="Y1135" s="4">
        <v>20</v>
      </c>
      <c r="AA1135" s="4" t="s">
        <v>49</v>
      </c>
      <c r="AB1135" s="4">
        <v>0</v>
      </c>
      <c r="AC1135" s="4" t="s">
        <v>50</v>
      </c>
      <c r="AD1135" s="4">
        <v>7.5</v>
      </c>
      <c r="AE1135" s="4" t="s">
        <v>49</v>
      </c>
      <c r="AF1135" s="4">
        <v>0</v>
      </c>
      <c r="AG1135" s="4" t="s">
        <v>683</v>
      </c>
      <c r="AH1135" s="4" t="s">
        <v>684</v>
      </c>
      <c r="AI1135" s="4" t="s">
        <v>78</v>
      </c>
      <c r="AJ1135" s="13">
        <v>0</v>
      </c>
      <c r="AK1135" s="13">
        <v>15</v>
      </c>
      <c r="AM1135" s="13" t="s">
        <v>523</v>
      </c>
      <c r="AP1135" s="13" t="s">
        <v>49</v>
      </c>
      <c r="AQ1135" s="13" t="s">
        <v>49</v>
      </c>
      <c r="AR1135" s="13" t="s">
        <v>49</v>
      </c>
      <c r="AS1135" s="13" t="s">
        <v>49</v>
      </c>
      <c r="AT1135" s="13" t="s">
        <v>993</v>
      </c>
      <c r="AU1135" s="13" t="s">
        <v>1001</v>
      </c>
      <c r="AV1135" s="23">
        <v>5</v>
      </c>
      <c r="AW1135" s="23">
        <v>3.2</v>
      </c>
      <c r="AX1135" s="14">
        <f>Table1347456[[#This Row],[treatment_mean]]/Table1347456[[#This Row],[control_mean]]</f>
        <v>1.5625</v>
      </c>
      <c r="AY1135" s="14">
        <f>LN(Table1347456[[#This Row],[rr]])</f>
        <v>0.44628710262841953</v>
      </c>
      <c r="AZ1135" s="13">
        <v>3</v>
      </c>
      <c r="BA1135" s="13">
        <v>3</v>
      </c>
      <c r="BB1135" s="14" t="s">
        <v>46</v>
      </c>
      <c r="BC1135" s="14" t="s">
        <v>46</v>
      </c>
      <c r="BD1135" s="15" t="s">
        <v>46</v>
      </c>
      <c r="BE1135" s="14" t="s">
        <v>46</v>
      </c>
      <c r="BF113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35" s="17" t="s">
        <v>46</v>
      </c>
      <c r="BH1135" s="13" t="s">
        <v>50</v>
      </c>
      <c r="BI1135" s="13">
        <v>0.05</v>
      </c>
      <c r="BJ1135" s="18">
        <f>ABS(_xlfn.NORM.S.INV(Table1347456[[#This Row],[p_value]]/2))</f>
        <v>1.9599639845400538</v>
      </c>
      <c r="BK1135" s="19">
        <f>(Table1347456[[#This Row],[lnrr]]/Table1347456[[#This Row],[z_from_p]])^2</f>
        <v>5.1848057539890663E-2</v>
      </c>
      <c r="BL1135" s="16">
        <f>Table1347456[[#This Row],[v_from_z_from_p]]</f>
        <v>5.1848057539890663E-2</v>
      </c>
      <c r="BM1135" s="20">
        <f>SQRT(Table1347456[[#This Row],[v]])</f>
        <v>0.22770168541293379</v>
      </c>
      <c r="BN1135" s="20">
        <f>Table1347456[[#This Row],[lnrr]]-(1.96*Table1347456[[#This Row],[se]])</f>
        <v>-8.2007809306672286E-6</v>
      </c>
      <c r="BO1135" s="20">
        <f>Table1347456[[#This Row],[lnrr]]+(1.96 * Table1347456[[#This Row],[se]])</f>
        <v>0.89258240603776973</v>
      </c>
    </row>
    <row r="1136" spans="1:67">
      <c r="A1136" s="13" t="s">
        <v>360</v>
      </c>
      <c r="B1136" s="13" t="s">
        <v>361</v>
      </c>
      <c r="C1136" s="13" t="s">
        <v>43</v>
      </c>
      <c r="D1136" s="13" t="s">
        <v>195</v>
      </c>
      <c r="E1136" s="13" t="s">
        <v>249</v>
      </c>
      <c r="F1136" s="13" t="s">
        <v>588</v>
      </c>
      <c r="G1136" s="13" t="s">
        <v>46</v>
      </c>
      <c r="H1136" s="13">
        <v>32</v>
      </c>
      <c r="I1136" s="13">
        <v>1400</v>
      </c>
      <c r="J1136" s="13" t="s">
        <v>656</v>
      </c>
      <c r="K1136" s="13" t="s">
        <v>924</v>
      </c>
      <c r="L1136" s="13" t="s">
        <v>925</v>
      </c>
      <c r="M1136" s="13" t="s">
        <v>803</v>
      </c>
      <c r="N1136" s="13" t="s">
        <v>119</v>
      </c>
      <c r="O1136" s="13" t="s">
        <v>645</v>
      </c>
      <c r="P1136" s="13" t="s">
        <v>48</v>
      </c>
      <c r="Q1136" s="13" t="s">
        <v>48</v>
      </c>
      <c r="R1136" s="4">
        <v>3</v>
      </c>
      <c r="S1136" s="13" t="s">
        <v>594</v>
      </c>
      <c r="T1136" s="13">
        <v>336</v>
      </c>
      <c r="U1136" s="4" t="s">
        <v>147</v>
      </c>
      <c r="V1136" s="4">
        <v>580</v>
      </c>
      <c r="W1136" s="4" t="s">
        <v>601</v>
      </c>
      <c r="X1136" s="4">
        <v>520.29999999999995</v>
      </c>
      <c r="Y1136" s="4">
        <v>30</v>
      </c>
      <c r="AA1136" s="4" t="s">
        <v>49</v>
      </c>
      <c r="AB1136" s="4">
        <v>0</v>
      </c>
      <c r="AC1136" s="4" t="s">
        <v>50</v>
      </c>
      <c r="AD1136" s="4">
        <v>7.5</v>
      </c>
      <c r="AE1136" s="4" t="s">
        <v>49</v>
      </c>
      <c r="AF1136" s="4">
        <v>0</v>
      </c>
      <c r="AG1136" s="4" t="s">
        <v>683</v>
      </c>
      <c r="AH1136" s="4" t="s">
        <v>684</v>
      </c>
      <c r="AI1136" s="4" t="s">
        <v>78</v>
      </c>
      <c r="AJ1136" s="13">
        <v>0</v>
      </c>
      <c r="AK1136" s="13">
        <v>15</v>
      </c>
      <c r="AM1136" s="13" t="s">
        <v>523</v>
      </c>
      <c r="AP1136" s="13" t="s">
        <v>49</v>
      </c>
      <c r="AQ1136" s="13" t="s">
        <v>49</v>
      </c>
      <c r="AR1136" s="13" t="s">
        <v>49</v>
      </c>
      <c r="AS1136" s="13" t="s">
        <v>49</v>
      </c>
      <c r="AT1136" s="13" t="s">
        <v>993</v>
      </c>
      <c r="AU1136" s="13" t="s">
        <v>1001</v>
      </c>
      <c r="AV1136" s="23">
        <v>5.8</v>
      </c>
      <c r="AW1136" s="23">
        <v>3.2</v>
      </c>
      <c r="AX1136" s="14">
        <f>Table1347456[[#This Row],[treatment_mean]]/Table1347456[[#This Row],[control_mean]]</f>
        <v>1.8124999999999998</v>
      </c>
      <c r="AY1136" s="14">
        <f>LN(Table1347456[[#This Row],[rr]])</f>
        <v>0.59470710774669266</v>
      </c>
      <c r="AZ1136" s="13">
        <v>3</v>
      </c>
      <c r="BA1136" s="13">
        <v>3</v>
      </c>
      <c r="BB1136" s="14" t="s">
        <v>46</v>
      </c>
      <c r="BC1136" s="14" t="s">
        <v>46</v>
      </c>
      <c r="BD1136" s="15" t="s">
        <v>46</v>
      </c>
      <c r="BE1136" s="14" t="s">
        <v>46</v>
      </c>
      <c r="BF113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36" s="17" t="s">
        <v>46</v>
      </c>
      <c r="BH1136" s="13" t="s">
        <v>50</v>
      </c>
      <c r="BI1136" s="13">
        <v>0.05</v>
      </c>
      <c r="BJ1136" s="18">
        <f>ABS(_xlfn.NORM.S.INV(Table1347456[[#This Row],[p_value]]/2))</f>
        <v>1.9599639845400538</v>
      </c>
      <c r="BK1136" s="19">
        <f>(Table1347456[[#This Row],[lnrr]]/Table1347456[[#This Row],[z_from_p]])^2</f>
        <v>9.2068289811975526E-2</v>
      </c>
      <c r="BL1136" s="16">
        <f>Table1347456[[#This Row],[v_from_z_from_p]]</f>
        <v>9.2068289811975526E-2</v>
      </c>
      <c r="BM1136" s="20">
        <f>SQRT(Table1347456[[#This Row],[v]])</f>
        <v>0.30342756930110276</v>
      </c>
      <c r="BN1136" s="20">
        <f>Table1347456[[#This Row],[lnrr]]-(1.96*Table1347456[[#This Row],[se]])</f>
        <v>-1.0928083468697558E-5</v>
      </c>
      <c r="BO1136" s="20">
        <f>Table1347456[[#This Row],[lnrr]]+(1.96 * Table1347456[[#This Row],[se]])</f>
        <v>1.1894251435768539</v>
      </c>
    </row>
    <row r="1137" spans="1:67">
      <c r="A1137" s="13" t="s">
        <v>360</v>
      </c>
      <c r="B1137" s="13" t="s">
        <v>361</v>
      </c>
      <c r="C1137" s="13" t="s">
        <v>43</v>
      </c>
      <c r="D1137" s="13" t="s">
        <v>195</v>
      </c>
      <c r="E1137" s="13" t="s">
        <v>249</v>
      </c>
      <c r="F1137" s="13" t="s">
        <v>588</v>
      </c>
      <c r="G1137" s="13" t="s">
        <v>46</v>
      </c>
      <c r="H1137" s="13">
        <v>32</v>
      </c>
      <c r="I1137" s="13">
        <v>1400</v>
      </c>
      <c r="K1137" s="13" t="s">
        <v>924</v>
      </c>
      <c r="L1137" s="13" t="s">
        <v>925</v>
      </c>
      <c r="N1137" s="13" t="s">
        <v>121</v>
      </c>
      <c r="O1137" s="13" t="s">
        <v>645</v>
      </c>
      <c r="P1137" s="13" t="s">
        <v>48</v>
      </c>
      <c r="Q1137" s="13" t="s">
        <v>48</v>
      </c>
      <c r="R1137" s="4">
        <v>3</v>
      </c>
      <c r="S1137" s="13" t="s">
        <v>594</v>
      </c>
      <c r="T1137" s="13">
        <v>336</v>
      </c>
      <c r="U1137" s="4" t="s">
        <v>147</v>
      </c>
      <c r="V1137" s="4">
        <v>580</v>
      </c>
      <c r="W1137" s="4" t="s">
        <v>601</v>
      </c>
      <c r="X1137" s="4">
        <v>520.29999999999995</v>
      </c>
      <c r="Y1137" s="4">
        <v>10</v>
      </c>
      <c r="AA1137" s="4" t="s">
        <v>49</v>
      </c>
      <c r="AB1137" s="4">
        <v>0</v>
      </c>
      <c r="AC1137" s="4" t="s">
        <v>49</v>
      </c>
      <c r="AD1137" s="4">
        <v>0</v>
      </c>
      <c r="AE1137" s="4" t="s">
        <v>49</v>
      </c>
      <c r="AF1137" s="4">
        <v>0</v>
      </c>
      <c r="AG1137" s="4" t="s">
        <v>683</v>
      </c>
      <c r="AH1137" s="4" t="s">
        <v>684</v>
      </c>
      <c r="AI1137" s="4" t="s">
        <v>78</v>
      </c>
      <c r="AJ1137" s="13">
        <v>0</v>
      </c>
      <c r="AK1137" s="13">
        <v>15</v>
      </c>
      <c r="AM1137" s="13" t="s">
        <v>523</v>
      </c>
      <c r="AP1137" s="13" t="s">
        <v>49</v>
      </c>
      <c r="AQ1137" s="13" t="s">
        <v>49</v>
      </c>
      <c r="AR1137" s="13" t="s">
        <v>49</v>
      </c>
      <c r="AS1137" s="13" t="s">
        <v>49</v>
      </c>
      <c r="AT1137" s="13" t="s">
        <v>990</v>
      </c>
      <c r="AU1137" s="13" t="s">
        <v>998</v>
      </c>
      <c r="AV1137" s="14">
        <v>44.2</v>
      </c>
      <c r="AW1137" s="14">
        <v>29.4</v>
      </c>
      <c r="AX1137" s="14">
        <f>Table1347456[[#This Row],[treatment_mean]]/Table1347456[[#This Row],[control_mean]]</f>
        <v>1.5034013605442178</v>
      </c>
      <c r="AY1137" s="14">
        <f>LN(Table1347456[[#This Row],[rr]])</f>
        <v>0.4077301147390166</v>
      </c>
      <c r="AZ1137" s="13">
        <v>3</v>
      </c>
      <c r="BA1137" s="13">
        <v>3</v>
      </c>
      <c r="BB1137" s="14" t="s">
        <v>46</v>
      </c>
      <c r="BC1137" s="14" t="s">
        <v>46</v>
      </c>
      <c r="BD1137" s="15" t="s">
        <v>46</v>
      </c>
      <c r="BE1137" s="14" t="s">
        <v>46</v>
      </c>
      <c r="BF113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37" s="17" t="s">
        <v>46</v>
      </c>
      <c r="BH1137" s="13" t="s">
        <v>50</v>
      </c>
      <c r="BI1137" s="13">
        <v>0.05</v>
      </c>
      <c r="BJ1137" s="18">
        <f>ABS(_xlfn.NORM.S.INV(Table1347456[[#This Row],[p_value]]/2))</f>
        <v>1.9599639845400538</v>
      </c>
      <c r="BK1137" s="19">
        <f>(Table1347456[[#This Row],[lnrr]]/Table1347456[[#This Row],[z_from_p]])^2</f>
        <v>4.3276227658494745E-2</v>
      </c>
      <c r="BL1137" s="16">
        <f>Table1347456[[#This Row],[v_from_z_from_p]]</f>
        <v>4.3276227658494745E-2</v>
      </c>
      <c r="BM1137" s="20">
        <f>SQRT(Table1347456[[#This Row],[v]])</f>
        <v>0.2080293913332795</v>
      </c>
      <c r="BN1137" s="20">
        <f>Table1347456[[#This Row],[lnrr]]-(1.96*Table1347456[[#This Row],[se]])</f>
        <v>-7.4922742112071283E-6</v>
      </c>
      <c r="BO1137" s="20">
        <f>Table1347456[[#This Row],[lnrr]]+(1.96 * Table1347456[[#This Row],[se]])</f>
        <v>0.81546772175224436</v>
      </c>
    </row>
    <row r="1138" spans="1:67">
      <c r="A1138" s="13" t="s">
        <v>360</v>
      </c>
      <c r="B1138" s="13" t="s">
        <v>361</v>
      </c>
      <c r="C1138" s="13" t="s">
        <v>43</v>
      </c>
      <c r="D1138" s="13" t="s">
        <v>195</v>
      </c>
      <c r="E1138" s="13" t="s">
        <v>249</v>
      </c>
      <c r="F1138" s="13" t="s">
        <v>588</v>
      </c>
      <c r="G1138" s="13" t="s">
        <v>46</v>
      </c>
      <c r="H1138" s="13">
        <v>32</v>
      </c>
      <c r="I1138" s="13">
        <v>1400</v>
      </c>
      <c r="K1138" s="13" t="s">
        <v>924</v>
      </c>
      <c r="L1138" s="13" t="s">
        <v>925</v>
      </c>
      <c r="N1138" s="13" t="s">
        <v>121</v>
      </c>
      <c r="O1138" s="13" t="s">
        <v>645</v>
      </c>
      <c r="P1138" s="13" t="s">
        <v>48</v>
      </c>
      <c r="Q1138" s="13" t="s">
        <v>48</v>
      </c>
      <c r="R1138" s="4">
        <v>3</v>
      </c>
      <c r="S1138" s="13" t="s">
        <v>594</v>
      </c>
      <c r="T1138" s="13">
        <v>336</v>
      </c>
      <c r="U1138" s="4" t="s">
        <v>147</v>
      </c>
      <c r="V1138" s="4">
        <v>580</v>
      </c>
      <c r="W1138" s="4" t="s">
        <v>601</v>
      </c>
      <c r="X1138" s="4">
        <v>520.29999999999995</v>
      </c>
      <c r="Y1138" s="4">
        <v>20</v>
      </c>
      <c r="AA1138" s="4" t="s">
        <v>49</v>
      </c>
      <c r="AB1138" s="4">
        <v>0</v>
      </c>
      <c r="AC1138" s="4" t="s">
        <v>49</v>
      </c>
      <c r="AD1138" s="4">
        <v>0</v>
      </c>
      <c r="AE1138" s="4" t="s">
        <v>49</v>
      </c>
      <c r="AF1138" s="4">
        <v>0</v>
      </c>
      <c r="AG1138" s="4" t="s">
        <v>683</v>
      </c>
      <c r="AH1138" s="4" t="s">
        <v>684</v>
      </c>
      <c r="AI1138" s="4" t="s">
        <v>78</v>
      </c>
      <c r="AJ1138" s="13">
        <v>0</v>
      </c>
      <c r="AK1138" s="13">
        <v>15</v>
      </c>
      <c r="AM1138" s="13" t="s">
        <v>523</v>
      </c>
      <c r="AP1138" s="13" t="s">
        <v>49</v>
      </c>
      <c r="AQ1138" s="13" t="s">
        <v>49</v>
      </c>
      <c r="AR1138" s="13" t="s">
        <v>49</v>
      </c>
      <c r="AS1138" s="13" t="s">
        <v>49</v>
      </c>
      <c r="AT1138" s="13" t="s">
        <v>990</v>
      </c>
      <c r="AU1138" s="13" t="s">
        <v>998</v>
      </c>
      <c r="AV1138" s="14">
        <v>49.6</v>
      </c>
      <c r="AW1138" s="14">
        <v>29.4</v>
      </c>
      <c r="AX1138" s="14">
        <f>Table1347456[[#This Row],[treatment_mean]]/Table1347456[[#This Row],[control_mean]]</f>
        <v>1.6870748299319729</v>
      </c>
      <c r="AY1138" s="14">
        <f>LN(Table1347456[[#This Row],[rr]])</f>
        <v>0.52299615938624588</v>
      </c>
      <c r="AZ1138" s="13">
        <v>3</v>
      </c>
      <c r="BA1138" s="13">
        <v>3</v>
      </c>
      <c r="BB1138" s="14" t="s">
        <v>46</v>
      </c>
      <c r="BC1138" s="14" t="s">
        <v>46</v>
      </c>
      <c r="BD1138" s="15" t="s">
        <v>46</v>
      </c>
      <c r="BE1138" s="14" t="s">
        <v>46</v>
      </c>
      <c r="BF113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38" s="17" t="s">
        <v>46</v>
      </c>
      <c r="BH1138" s="13" t="s">
        <v>50</v>
      </c>
      <c r="BI1138" s="13">
        <v>0.05</v>
      </c>
      <c r="BJ1138" s="18">
        <f>ABS(_xlfn.NORM.S.INV(Table1347456[[#This Row],[p_value]]/2))</f>
        <v>1.9599639845400538</v>
      </c>
      <c r="BK1138" s="19">
        <f>(Table1347456[[#This Row],[lnrr]]/Table1347456[[#This Row],[z_from_p]])^2</f>
        <v>7.120341398930824E-2</v>
      </c>
      <c r="BL1138" s="16">
        <f>Table1347456[[#This Row],[v_from_z_from_p]]</f>
        <v>7.120341398930824E-2</v>
      </c>
      <c r="BM1138" s="20">
        <f>SQRT(Table1347456[[#This Row],[v]])</f>
        <v>0.26683967843877388</v>
      </c>
      <c r="BN1138" s="20">
        <f>Table1347456[[#This Row],[lnrr]]-(1.96*Table1347456[[#This Row],[se]])</f>
        <v>-9.6103537509106829E-6</v>
      </c>
      <c r="BO1138" s="20">
        <f>Table1347456[[#This Row],[lnrr]]+(1.96 * Table1347456[[#This Row],[se]])</f>
        <v>1.0460019291262426</v>
      </c>
    </row>
    <row r="1139" spans="1:67">
      <c r="A1139" s="13" t="s">
        <v>360</v>
      </c>
      <c r="B1139" s="13" t="s">
        <v>361</v>
      </c>
      <c r="C1139" s="13" t="s">
        <v>43</v>
      </c>
      <c r="D1139" s="13" t="s">
        <v>195</v>
      </c>
      <c r="E1139" s="13" t="s">
        <v>249</v>
      </c>
      <c r="F1139" s="13" t="s">
        <v>588</v>
      </c>
      <c r="G1139" s="13" t="s">
        <v>46</v>
      </c>
      <c r="H1139" s="13">
        <v>32</v>
      </c>
      <c r="I1139" s="13">
        <v>1400</v>
      </c>
      <c r="K1139" s="13" t="s">
        <v>924</v>
      </c>
      <c r="L1139" s="13" t="s">
        <v>925</v>
      </c>
      <c r="N1139" s="13" t="s">
        <v>121</v>
      </c>
      <c r="O1139" s="13" t="s">
        <v>645</v>
      </c>
      <c r="P1139" s="13" t="s">
        <v>48</v>
      </c>
      <c r="Q1139" s="13" t="s">
        <v>48</v>
      </c>
      <c r="R1139" s="4">
        <v>3</v>
      </c>
      <c r="S1139" s="13" t="s">
        <v>594</v>
      </c>
      <c r="T1139" s="13">
        <v>336</v>
      </c>
      <c r="U1139" s="4" t="s">
        <v>147</v>
      </c>
      <c r="V1139" s="4">
        <v>580</v>
      </c>
      <c r="W1139" s="4" t="s">
        <v>601</v>
      </c>
      <c r="X1139" s="4">
        <v>520.29999999999995</v>
      </c>
      <c r="Y1139" s="4">
        <v>30</v>
      </c>
      <c r="AA1139" s="4" t="s">
        <v>49</v>
      </c>
      <c r="AB1139" s="4">
        <v>0</v>
      </c>
      <c r="AC1139" s="4" t="s">
        <v>49</v>
      </c>
      <c r="AD1139" s="4">
        <v>0</v>
      </c>
      <c r="AE1139" s="4" t="s">
        <v>49</v>
      </c>
      <c r="AF1139" s="4">
        <v>0</v>
      </c>
      <c r="AG1139" s="4" t="s">
        <v>683</v>
      </c>
      <c r="AH1139" s="4" t="s">
        <v>684</v>
      </c>
      <c r="AI1139" s="4" t="s">
        <v>78</v>
      </c>
      <c r="AJ1139" s="13">
        <v>0</v>
      </c>
      <c r="AK1139" s="13">
        <v>15</v>
      </c>
      <c r="AM1139" s="13" t="s">
        <v>523</v>
      </c>
      <c r="AP1139" s="13" t="s">
        <v>49</v>
      </c>
      <c r="AQ1139" s="13" t="s">
        <v>49</v>
      </c>
      <c r="AR1139" s="13" t="s">
        <v>49</v>
      </c>
      <c r="AS1139" s="13" t="s">
        <v>49</v>
      </c>
      <c r="AT1139" s="13" t="s">
        <v>990</v>
      </c>
      <c r="AU1139" s="13" t="s">
        <v>998</v>
      </c>
      <c r="AV1139" s="14">
        <v>53.4</v>
      </c>
      <c r="AW1139" s="14">
        <v>29.4</v>
      </c>
      <c r="AX1139" s="14">
        <f>Table1347456[[#This Row],[treatment_mean]]/Table1347456[[#This Row],[control_mean]]</f>
        <v>1.8163265306122449</v>
      </c>
      <c r="AY1139" s="14">
        <f>LN(Table1347456[[#This Row],[rr]])</f>
        <v>0.59681607162151329</v>
      </c>
      <c r="AZ1139" s="13">
        <v>3</v>
      </c>
      <c r="BA1139" s="13">
        <v>3</v>
      </c>
      <c r="BB1139" s="14" t="s">
        <v>46</v>
      </c>
      <c r="BC1139" s="14" t="s">
        <v>46</v>
      </c>
      <c r="BD1139" s="15" t="s">
        <v>46</v>
      </c>
      <c r="BE1139" s="14" t="s">
        <v>46</v>
      </c>
      <c r="BF113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39" s="17" t="s">
        <v>46</v>
      </c>
      <c r="BH1139" s="13" t="s">
        <v>50</v>
      </c>
      <c r="BI1139" s="13">
        <v>0.05</v>
      </c>
      <c r="BJ1139" s="18">
        <f>ABS(_xlfn.NORM.S.INV(Table1347456[[#This Row],[p_value]]/2))</f>
        <v>1.9599639845400538</v>
      </c>
      <c r="BK1139" s="19">
        <f>(Table1347456[[#This Row],[lnrr]]/Table1347456[[#This Row],[z_from_p]])^2</f>
        <v>9.2722436962469998E-2</v>
      </c>
      <c r="BL1139" s="16">
        <f>Table1347456[[#This Row],[v_from_z_from_p]]</f>
        <v>9.2722436962469998E-2</v>
      </c>
      <c r="BM1139" s="20">
        <f>SQRT(Table1347456[[#This Row],[v]])</f>
        <v>0.30450359105020419</v>
      </c>
      <c r="BN1139" s="20">
        <f>Table1347456[[#This Row],[lnrr]]-(1.96*Table1347456[[#This Row],[se]])</f>
        <v>-1.0966836886949771E-5</v>
      </c>
      <c r="BO1139" s="20">
        <f>Table1347456[[#This Row],[lnrr]]+(1.96 * Table1347456[[#This Row],[se]])</f>
        <v>1.1936431100799134</v>
      </c>
    </row>
    <row r="1140" spans="1:67">
      <c r="A1140" s="13" t="s">
        <v>360</v>
      </c>
      <c r="B1140" s="13" t="s">
        <v>361</v>
      </c>
      <c r="C1140" s="13" t="s">
        <v>43</v>
      </c>
      <c r="D1140" s="13" t="s">
        <v>195</v>
      </c>
      <c r="E1140" s="13" t="s">
        <v>249</v>
      </c>
      <c r="F1140" s="13" t="s">
        <v>588</v>
      </c>
      <c r="G1140" s="13" t="s">
        <v>46</v>
      </c>
      <c r="H1140" s="13">
        <v>32</v>
      </c>
      <c r="I1140" s="13">
        <v>1400</v>
      </c>
      <c r="K1140" s="13" t="s">
        <v>924</v>
      </c>
      <c r="L1140" s="13" t="s">
        <v>925</v>
      </c>
      <c r="N1140" s="13" t="s">
        <v>121</v>
      </c>
      <c r="O1140" s="13" t="s">
        <v>645</v>
      </c>
      <c r="P1140" s="13" t="s">
        <v>48</v>
      </c>
      <c r="Q1140" s="13" t="s">
        <v>48</v>
      </c>
      <c r="R1140" s="4">
        <v>3</v>
      </c>
      <c r="S1140" s="13" t="s">
        <v>594</v>
      </c>
      <c r="T1140" s="13">
        <v>336</v>
      </c>
      <c r="U1140" s="4" t="s">
        <v>147</v>
      </c>
      <c r="V1140" s="4">
        <v>580</v>
      </c>
      <c r="W1140" s="4" t="s">
        <v>601</v>
      </c>
      <c r="X1140" s="4">
        <v>520.29999999999995</v>
      </c>
      <c r="Y1140" s="4">
        <v>10</v>
      </c>
      <c r="AA1140" s="4" t="s">
        <v>49</v>
      </c>
      <c r="AB1140" s="4">
        <v>0</v>
      </c>
      <c r="AC1140" s="4" t="s">
        <v>50</v>
      </c>
      <c r="AD1140" s="4">
        <v>7.5</v>
      </c>
      <c r="AE1140" s="4" t="s">
        <v>49</v>
      </c>
      <c r="AF1140" s="4">
        <v>0</v>
      </c>
      <c r="AG1140" s="4" t="s">
        <v>683</v>
      </c>
      <c r="AH1140" s="4" t="s">
        <v>684</v>
      </c>
      <c r="AI1140" s="4" t="s">
        <v>78</v>
      </c>
      <c r="AJ1140" s="13">
        <v>0</v>
      </c>
      <c r="AK1140" s="13">
        <v>15</v>
      </c>
      <c r="AM1140" s="13" t="s">
        <v>523</v>
      </c>
      <c r="AP1140" s="13" t="s">
        <v>49</v>
      </c>
      <c r="AQ1140" s="13" t="s">
        <v>49</v>
      </c>
      <c r="AR1140" s="13" t="s">
        <v>49</v>
      </c>
      <c r="AS1140" s="13" t="s">
        <v>49</v>
      </c>
      <c r="AT1140" s="13" t="s">
        <v>993</v>
      </c>
      <c r="AU1140" s="13" t="s">
        <v>1001</v>
      </c>
      <c r="AV1140" s="14">
        <v>46</v>
      </c>
      <c r="AW1140" s="14">
        <v>38.6</v>
      </c>
      <c r="AX1140" s="14">
        <f>Table1347456[[#This Row],[treatment_mean]]/Table1347456[[#This Row],[control_mean]]</f>
        <v>1.1917098445595855</v>
      </c>
      <c r="AY1140" s="14">
        <f>LN(Table1347456[[#This Row],[rr]])</f>
        <v>0.17538912001830984</v>
      </c>
      <c r="AZ1140" s="13">
        <v>3</v>
      </c>
      <c r="BA1140" s="13">
        <v>3</v>
      </c>
      <c r="BB1140" s="14" t="s">
        <v>46</v>
      </c>
      <c r="BC1140" s="14" t="s">
        <v>46</v>
      </c>
      <c r="BD1140" s="15" t="s">
        <v>46</v>
      </c>
      <c r="BE1140" s="14" t="s">
        <v>46</v>
      </c>
      <c r="BF114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40" s="17" t="s">
        <v>46</v>
      </c>
      <c r="BH1140" s="13" t="s">
        <v>50</v>
      </c>
      <c r="BI1140" s="13">
        <v>0.05</v>
      </c>
      <c r="BJ1140" s="18">
        <f>ABS(_xlfn.NORM.S.INV(Table1347456[[#This Row],[p_value]]/2))</f>
        <v>1.9599639845400538</v>
      </c>
      <c r="BK1140" s="19">
        <f>(Table1347456[[#This Row],[lnrr]]/Table1347456[[#This Row],[z_from_p]])^2</f>
        <v>8.0077243715549543E-3</v>
      </c>
      <c r="BL1140" s="16">
        <f>Table1347456[[#This Row],[v_from_z_from_p]]</f>
        <v>8.0077243715549543E-3</v>
      </c>
      <c r="BM1140" s="20">
        <f>SQRT(Table1347456[[#This Row],[v]])</f>
        <v>8.9485889231514903E-2</v>
      </c>
      <c r="BN1140" s="20">
        <f>Table1347456[[#This Row],[lnrr]]-(1.96*Table1347456[[#This Row],[se]])</f>
        <v>-3.2228754593688347E-6</v>
      </c>
      <c r="BO1140" s="20">
        <f>Table1347456[[#This Row],[lnrr]]+(1.96 * Table1347456[[#This Row],[se]])</f>
        <v>0.35078146291207901</v>
      </c>
    </row>
    <row r="1141" spans="1:67">
      <c r="A1141" s="13" t="s">
        <v>360</v>
      </c>
      <c r="B1141" s="13" t="s">
        <v>361</v>
      </c>
      <c r="C1141" s="13" t="s">
        <v>43</v>
      </c>
      <c r="D1141" s="13" t="s">
        <v>195</v>
      </c>
      <c r="E1141" s="13" t="s">
        <v>249</v>
      </c>
      <c r="F1141" s="13" t="s">
        <v>588</v>
      </c>
      <c r="G1141" s="13" t="s">
        <v>46</v>
      </c>
      <c r="H1141" s="13">
        <v>32</v>
      </c>
      <c r="I1141" s="13">
        <v>1400</v>
      </c>
      <c r="K1141" s="13" t="s">
        <v>924</v>
      </c>
      <c r="L1141" s="13" t="s">
        <v>925</v>
      </c>
      <c r="N1141" s="13" t="s">
        <v>121</v>
      </c>
      <c r="O1141" s="13" t="s">
        <v>645</v>
      </c>
      <c r="P1141" s="13" t="s">
        <v>48</v>
      </c>
      <c r="Q1141" s="13" t="s">
        <v>48</v>
      </c>
      <c r="R1141" s="4">
        <v>3</v>
      </c>
      <c r="S1141" s="13" t="s">
        <v>594</v>
      </c>
      <c r="T1141" s="13">
        <v>336</v>
      </c>
      <c r="U1141" s="4" t="s">
        <v>147</v>
      </c>
      <c r="V1141" s="4">
        <v>580</v>
      </c>
      <c r="W1141" s="4" t="s">
        <v>601</v>
      </c>
      <c r="X1141" s="4">
        <v>520.29999999999995</v>
      </c>
      <c r="Y1141" s="4">
        <v>20</v>
      </c>
      <c r="AA1141" s="4" t="s">
        <v>49</v>
      </c>
      <c r="AB1141" s="4">
        <v>0</v>
      </c>
      <c r="AC1141" s="4" t="s">
        <v>50</v>
      </c>
      <c r="AD1141" s="4">
        <v>7.5</v>
      </c>
      <c r="AE1141" s="4" t="s">
        <v>49</v>
      </c>
      <c r="AF1141" s="4">
        <v>0</v>
      </c>
      <c r="AG1141" s="4" t="s">
        <v>683</v>
      </c>
      <c r="AH1141" s="4" t="s">
        <v>684</v>
      </c>
      <c r="AI1141" s="4" t="s">
        <v>78</v>
      </c>
      <c r="AJ1141" s="13">
        <v>0</v>
      </c>
      <c r="AK1141" s="13">
        <v>15</v>
      </c>
      <c r="AM1141" s="13" t="s">
        <v>523</v>
      </c>
      <c r="AP1141" s="13" t="s">
        <v>49</v>
      </c>
      <c r="AQ1141" s="13" t="s">
        <v>49</v>
      </c>
      <c r="AR1141" s="13" t="s">
        <v>49</v>
      </c>
      <c r="AS1141" s="13" t="s">
        <v>49</v>
      </c>
      <c r="AT1141" s="13" t="s">
        <v>993</v>
      </c>
      <c r="AU1141" s="13" t="s">
        <v>1001</v>
      </c>
      <c r="AV1141" s="14">
        <v>68</v>
      </c>
      <c r="AW1141" s="14">
        <v>38.6</v>
      </c>
      <c r="AX1141" s="14">
        <f>Table1347456[[#This Row],[treatment_mean]]/Table1347456[[#This Row],[control_mean]]</f>
        <v>1.7616580310880829</v>
      </c>
      <c r="AY1141" s="14">
        <f>LN(Table1347456[[#This Row],[rr]])</f>
        <v>0.56625542870532153</v>
      </c>
      <c r="AZ1141" s="13">
        <v>3</v>
      </c>
      <c r="BA1141" s="13">
        <v>3</v>
      </c>
      <c r="BB1141" s="14" t="s">
        <v>46</v>
      </c>
      <c r="BC1141" s="14" t="s">
        <v>46</v>
      </c>
      <c r="BD1141" s="15" t="s">
        <v>46</v>
      </c>
      <c r="BE1141" s="14" t="s">
        <v>46</v>
      </c>
      <c r="BF114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41" s="17" t="s">
        <v>46</v>
      </c>
      <c r="BH1141" s="13" t="s">
        <v>50</v>
      </c>
      <c r="BI1141" s="13">
        <v>0.05</v>
      </c>
      <c r="BJ1141" s="18">
        <f>ABS(_xlfn.NORM.S.INV(Table1347456[[#This Row],[p_value]]/2))</f>
        <v>1.9599639845400538</v>
      </c>
      <c r="BK1141" s="19">
        <f>(Table1347456[[#This Row],[lnrr]]/Table1347456[[#This Row],[z_from_p]])^2</f>
        <v>8.3469646690188679E-2</v>
      </c>
      <c r="BL1141" s="16">
        <f>Table1347456[[#This Row],[v_from_z_from_p]]</f>
        <v>8.3469646690188679E-2</v>
      </c>
      <c r="BM1141" s="20">
        <f>SQRT(Table1347456[[#This Row],[v]])</f>
        <v>0.28891113978209404</v>
      </c>
      <c r="BN1141" s="20">
        <f>Table1347456[[#This Row],[lnrr]]-(1.96*Table1347456[[#This Row],[se]])</f>
        <v>-1.0405267582780375E-5</v>
      </c>
      <c r="BO1141" s="20">
        <f>Table1347456[[#This Row],[lnrr]]+(1.96 * Table1347456[[#This Row],[se]])</f>
        <v>1.1325212626782259</v>
      </c>
    </row>
    <row r="1142" spans="1:67">
      <c r="A1142" s="13" t="s">
        <v>360</v>
      </c>
      <c r="B1142" s="13" t="s">
        <v>361</v>
      </c>
      <c r="C1142" s="13" t="s">
        <v>43</v>
      </c>
      <c r="D1142" s="13" t="s">
        <v>195</v>
      </c>
      <c r="E1142" s="13" t="s">
        <v>249</v>
      </c>
      <c r="F1142" s="13" t="s">
        <v>588</v>
      </c>
      <c r="G1142" s="13" t="s">
        <v>46</v>
      </c>
      <c r="H1142" s="13">
        <v>32</v>
      </c>
      <c r="I1142" s="13">
        <v>1400</v>
      </c>
      <c r="K1142" s="13" t="s">
        <v>924</v>
      </c>
      <c r="L1142" s="13" t="s">
        <v>925</v>
      </c>
      <c r="N1142" s="13" t="s">
        <v>121</v>
      </c>
      <c r="O1142" s="13" t="s">
        <v>645</v>
      </c>
      <c r="P1142" s="13" t="s">
        <v>48</v>
      </c>
      <c r="Q1142" s="13" t="s">
        <v>48</v>
      </c>
      <c r="R1142" s="4">
        <v>3</v>
      </c>
      <c r="S1142" s="13" t="s">
        <v>594</v>
      </c>
      <c r="T1142" s="13">
        <v>336</v>
      </c>
      <c r="U1142" s="4" t="s">
        <v>147</v>
      </c>
      <c r="V1142" s="4">
        <v>580</v>
      </c>
      <c r="W1142" s="4" t="s">
        <v>601</v>
      </c>
      <c r="X1142" s="4">
        <v>520.29999999999995</v>
      </c>
      <c r="Y1142" s="4">
        <v>30</v>
      </c>
      <c r="AA1142" s="4" t="s">
        <v>49</v>
      </c>
      <c r="AB1142" s="4">
        <v>0</v>
      </c>
      <c r="AC1142" s="4" t="s">
        <v>50</v>
      </c>
      <c r="AD1142" s="4">
        <v>7.5</v>
      </c>
      <c r="AE1142" s="4" t="s">
        <v>49</v>
      </c>
      <c r="AF1142" s="4">
        <v>0</v>
      </c>
      <c r="AG1142" s="4" t="s">
        <v>683</v>
      </c>
      <c r="AH1142" s="4" t="s">
        <v>684</v>
      </c>
      <c r="AI1142" s="4" t="s">
        <v>78</v>
      </c>
      <c r="AJ1142" s="13">
        <v>0</v>
      </c>
      <c r="AK1142" s="13">
        <v>15</v>
      </c>
      <c r="AM1142" s="13" t="s">
        <v>523</v>
      </c>
      <c r="AP1142" s="13" t="s">
        <v>49</v>
      </c>
      <c r="AQ1142" s="13" t="s">
        <v>49</v>
      </c>
      <c r="AR1142" s="13" t="s">
        <v>49</v>
      </c>
      <c r="AS1142" s="13" t="s">
        <v>49</v>
      </c>
      <c r="AT1142" s="13" t="s">
        <v>993</v>
      </c>
      <c r="AU1142" s="13" t="s">
        <v>1001</v>
      </c>
      <c r="AV1142" s="14">
        <v>81</v>
      </c>
      <c r="AW1142" s="14">
        <v>38.6</v>
      </c>
      <c r="AX1142" s="14">
        <f>Table1347456[[#This Row],[treatment_mean]]/Table1347456[[#This Row],[control_mean]]</f>
        <v>2.0984455958549222</v>
      </c>
      <c r="AY1142" s="14">
        <f>LN(Table1347456[[#This Row],[rr]])</f>
        <v>0.74119687820165359</v>
      </c>
      <c r="AZ1142" s="13">
        <v>3</v>
      </c>
      <c r="BA1142" s="13">
        <v>3</v>
      </c>
      <c r="BB1142" s="14" t="s">
        <v>46</v>
      </c>
      <c r="BC1142" s="14" t="s">
        <v>46</v>
      </c>
      <c r="BD1142" s="15" t="s">
        <v>46</v>
      </c>
      <c r="BE1142" s="14" t="s">
        <v>46</v>
      </c>
      <c r="BF114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42" s="17" t="s">
        <v>46</v>
      </c>
      <c r="BH1142" s="13" t="s">
        <v>50</v>
      </c>
      <c r="BI1142" s="13">
        <v>0.05</v>
      </c>
      <c r="BJ1142" s="18">
        <f>ABS(_xlfn.NORM.S.INV(Table1347456[[#This Row],[p_value]]/2))</f>
        <v>1.9599639845400538</v>
      </c>
      <c r="BK1142" s="19">
        <f>(Table1347456[[#This Row],[lnrr]]/Table1347456[[#This Row],[z_from_p]])^2</f>
        <v>0.14301150627891129</v>
      </c>
      <c r="BL1142" s="16">
        <f>Table1347456[[#This Row],[v_from_z_from_p]]</f>
        <v>0.14301150627891129</v>
      </c>
      <c r="BM1142" s="20">
        <f>SQRT(Table1347456[[#This Row],[v]])</f>
        <v>0.37816862148902741</v>
      </c>
      <c r="BN1142" s="20">
        <f>Table1347456[[#This Row],[lnrr]]-(1.96*Table1347456[[#This Row],[se]])</f>
        <v>-1.3619916840124091E-5</v>
      </c>
      <c r="BO1142" s="20">
        <f>Table1347456[[#This Row],[lnrr]]+(1.96 * Table1347456[[#This Row],[se]])</f>
        <v>1.4824073763201473</v>
      </c>
    </row>
    <row r="1143" spans="1:67">
      <c r="A1143" s="13" t="s">
        <v>272</v>
      </c>
      <c r="B1143" s="13" t="s">
        <v>582</v>
      </c>
      <c r="C1143" s="13" t="s">
        <v>43</v>
      </c>
      <c r="D1143" s="13" t="s">
        <v>363</v>
      </c>
      <c r="E1143" s="13" t="s">
        <v>132</v>
      </c>
      <c r="F1143" s="13" t="s">
        <v>589</v>
      </c>
      <c r="G1143" s="13" t="s">
        <v>364</v>
      </c>
      <c r="H1143" s="13">
        <v>18</v>
      </c>
      <c r="I1143" s="13">
        <v>1150</v>
      </c>
      <c r="K1143" s="13" t="s">
        <v>926</v>
      </c>
      <c r="L1143" s="13" t="s">
        <v>927</v>
      </c>
      <c r="N1143" s="13" t="s">
        <v>47</v>
      </c>
      <c r="O1143" s="13" t="s">
        <v>645</v>
      </c>
      <c r="P1143" s="13" t="s">
        <v>85</v>
      </c>
      <c r="Q1143" s="13" t="s">
        <v>48</v>
      </c>
      <c r="R1143" s="4">
        <v>5</v>
      </c>
      <c r="S1143" s="13" t="s">
        <v>596</v>
      </c>
      <c r="T1143" s="13">
        <v>90</v>
      </c>
      <c r="U1143" s="4" t="s">
        <v>365</v>
      </c>
      <c r="V1143" s="4">
        <v>450</v>
      </c>
      <c r="W1143" s="4" t="s">
        <v>601</v>
      </c>
      <c r="X1143" s="4">
        <v>271</v>
      </c>
      <c r="Y1143" s="4">
        <v>42</v>
      </c>
      <c r="Z1143" s="4" t="s">
        <v>547</v>
      </c>
      <c r="AA1143" s="4" t="s">
        <v>49</v>
      </c>
      <c r="AB1143" s="4">
        <v>0</v>
      </c>
      <c r="AC1143" s="4" t="s">
        <v>49</v>
      </c>
      <c r="AD1143" s="4">
        <v>0</v>
      </c>
      <c r="AE1143" s="4" t="s">
        <v>49</v>
      </c>
      <c r="AF1143" s="4">
        <v>0</v>
      </c>
      <c r="AG1143" s="4" t="s">
        <v>46</v>
      </c>
      <c r="AH1143" s="4" t="s">
        <v>680</v>
      </c>
      <c r="AI1143" s="4" t="s">
        <v>64</v>
      </c>
      <c r="AJ1143" s="13">
        <v>0</v>
      </c>
      <c r="AK1143" s="13">
        <v>20</v>
      </c>
      <c r="AL1143" s="13" t="s">
        <v>548</v>
      </c>
      <c r="AP1143" s="13" t="s">
        <v>49</v>
      </c>
      <c r="AQ1143" s="13" t="s">
        <v>49</v>
      </c>
      <c r="AR1143" s="13" t="s">
        <v>50</v>
      </c>
      <c r="AS1143" s="13" t="s">
        <v>49</v>
      </c>
      <c r="AT1143" s="13" t="s">
        <v>990</v>
      </c>
      <c r="AU1143" s="13" t="s">
        <v>998</v>
      </c>
      <c r="AV1143" s="14">
        <f>9.2/1000</f>
        <v>9.1999999999999998E-3</v>
      </c>
      <c r="AW1143" s="14">
        <f>6.8/1000</f>
        <v>6.7999999999999996E-3</v>
      </c>
      <c r="AX1143" s="14">
        <f>Table1347456[[#This Row],[treatment_mean]]/Table1347456[[#This Row],[control_mean]]</f>
        <v>1.3529411764705883</v>
      </c>
      <c r="AY1143" s="14">
        <f>LN(Table1347456[[#This Row],[rr]])</f>
        <v>0.30228087187293368</v>
      </c>
      <c r="AZ1143" s="13">
        <v>5</v>
      </c>
      <c r="BA1143" s="13">
        <v>5</v>
      </c>
      <c r="BB1143" s="14" t="s">
        <v>46</v>
      </c>
      <c r="BC1143" s="14" t="s">
        <v>46</v>
      </c>
      <c r="BD1143" s="15" t="s">
        <v>46</v>
      </c>
      <c r="BE1143" s="14" t="s">
        <v>46</v>
      </c>
      <c r="BF114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43" s="17" t="s">
        <v>46</v>
      </c>
      <c r="BH1143" s="13" t="s">
        <v>50</v>
      </c>
      <c r="BI1143" s="13">
        <v>2.5000000000000001E-2</v>
      </c>
      <c r="BJ1143" s="18">
        <f>ABS(_xlfn.NORM.S.INV(Table1347456[[#This Row],[p_value]]/2))</f>
        <v>2.2414027276049446</v>
      </c>
      <c r="BK1143" s="19">
        <f>(Table1347456[[#This Row],[lnrr]]/Table1347456[[#This Row],[z_from_p]])^2</f>
        <v>1.8187857386374719E-2</v>
      </c>
      <c r="BL1143" s="16">
        <f>Table1347456[[#This Row],[v_from_z_from_p]]</f>
        <v>1.8187857386374719E-2</v>
      </c>
      <c r="BM1143" s="20">
        <f>SQRT(Table1347456[[#This Row],[v]])</f>
        <v>0.13486236460323064</v>
      </c>
      <c r="BN1143" s="20">
        <f>Table1347456[[#This Row],[lnrr]]-(1.96*Table1347456[[#This Row],[se]])</f>
        <v>3.7950637250601604E-2</v>
      </c>
      <c r="BO1143" s="20">
        <f>Table1347456[[#This Row],[lnrr]]+(1.96 * Table1347456[[#This Row],[se]])</f>
        <v>0.56661110649526569</v>
      </c>
    </row>
    <row r="1144" spans="1:67">
      <c r="A1144" s="13" t="s">
        <v>272</v>
      </c>
      <c r="B1144" s="13" t="s">
        <v>362</v>
      </c>
      <c r="C1144" s="13" t="s">
        <v>43</v>
      </c>
      <c r="D1144" s="13" t="s">
        <v>363</v>
      </c>
      <c r="E1144" s="13" t="s">
        <v>132</v>
      </c>
      <c r="F1144" s="13" t="s">
        <v>589</v>
      </c>
      <c r="G1144" s="13" t="s">
        <v>364</v>
      </c>
      <c r="H1144" s="13">
        <v>18</v>
      </c>
      <c r="I1144" s="13">
        <v>1150</v>
      </c>
      <c r="K1144" s="13" t="s">
        <v>926</v>
      </c>
      <c r="L1144" s="13" t="s">
        <v>927</v>
      </c>
      <c r="N1144" s="13" t="s">
        <v>47</v>
      </c>
      <c r="O1144" s="13" t="s">
        <v>645</v>
      </c>
      <c r="P1144" s="13" t="s">
        <v>85</v>
      </c>
      <c r="Q1144" s="13" t="s">
        <v>48</v>
      </c>
      <c r="R1144" s="4">
        <v>5</v>
      </c>
      <c r="S1144" s="13" t="s">
        <v>596</v>
      </c>
      <c r="T1144" s="13">
        <v>90</v>
      </c>
      <c r="U1144" s="4" t="s">
        <v>365</v>
      </c>
      <c r="V1144" s="4">
        <v>450</v>
      </c>
      <c r="W1144" s="4" t="s">
        <v>601</v>
      </c>
      <c r="X1144" s="4">
        <v>271</v>
      </c>
      <c r="Y1144" s="4">
        <v>84</v>
      </c>
      <c r="Z1144" s="4" t="s">
        <v>549</v>
      </c>
      <c r="AA1144" s="4" t="s">
        <v>49</v>
      </c>
      <c r="AB1144" s="4">
        <v>0</v>
      </c>
      <c r="AC1144" s="4" t="s">
        <v>49</v>
      </c>
      <c r="AD1144" s="4">
        <v>0</v>
      </c>
      <c r="AE1144" s="4" t="s">
        <v>49</v>
      </c>
      <c r="AF1144" s="4">
        <v>0</v>
      </c>
      <c r="AG1144" s="4" t="s">
        <v>682</v>
      </c>
      <c r="AH1144" s="4" t="s">
        <v>680</v>
      </c>
      <c r="AI1144" s="4" t="s">
        <v>64</v>
      </c>
      <c r="AJ1144" s="13">
        <v>0</v>
      </c>
      <c r="AK1144" s="13">
        <v>20</v>
      </c>
      <c r="AL1144" s="13" t="s">
        <v>548</v>
      </c>
      <c r="AP1144" s="13" t="s">
        <v>49</v>
      </c>
      <c r="AQ1144" s="13" t="s">
        <v>49</v>
      </c>
      <c r="AR1144" s="13" t="s">
        <v>50</v>
      </c>
      <c r="AS1144" s="13" t="s">
        <v>49</v>
      </c>
      <c r="AT1144" s="13" t="s">
        <v>990</v>
      </c>
      <c r="AU1144" s="13" t="s">
        <v>998</v>
      </c>
      <c r="AV1144" s="14">
        <f>12.4/1000</f>
        <v>1.24E-2</v>
      </c>
      <c r="AW1144" s="14">
        <f>6.8/1000</f>
        <v>6.7999999999999996E-3</v>
      </c>
      <c r="AX1144" s="14">
        <f>Table1347456[[#This Row],[treatment_mean]]/Table1347456[[#This Row],[control_mean]]</f>
        <v>1.8235294117647058</v>
      </c>
      <c r="AY1144" s="14">
        <f>LN(Table1347456[[#This Row],[rr]])</f>
        <v>0.60077386042893011</v>
      </c>
      <c r="AZ1144" s="13">
        <v>5</v>
      </c>
      <c r="BA1144" s="13">
        <v>5</v>
      </c>
      <c r="BB1144" s="14" t="s">
        <v>46</v>
      </c>
      <c r="BC1144" s="14" t="s">
        <v>46</v>
      </c>
      <c r="BD1144" s="15" t="s">
        <v>46</v>
      </c>
      <c r="BE1144" s="14" t="s">
        <v>46</v>
      </c>
      <c r="BF114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44" s="17" t="s">
        <v>46</v>
      </c>
      <c r="BH1144" s="13" t="s">
        <v>50</v>
      </c>
      <c r="BI1144" s="13">
        <v>2.5000000000000001E-2</v>
      </c>
      <c r="BJ1144" s="18">
        <f>ABS(_xlfn.NORM.S.INV(Table1347456[[#This Row],[p_value]]/2))</f>
        <v>2.2414027276049446</v>
      </c>
      <c r="BK1144" s="19">
        <f>(Table1347456[[#This Row],[lnrr]]/Table1347456[[#This Row],[z_from_p]])^2</f>
        <v>7.1842636938315149E-2</v>
      </c>
      <c r="BL1144" s="16">
        <f>Table1347456[[#This Row],[v_from_z_from_p]]</f>
        <v>7.1842636938315149E-2</v>
      </c>
      <c r="BM1144" s="20">
        <f>SQRT(Table1347456[[#This Row],[v]])</f>
        <v>0.26803476815203497</v>
      </c>
      <c r="BN1144" s="20">
        <f>Table1347456[[#This Row],[lnrr]]-(1.96*Table1347456[[#This Row],[se]])</f>
        <v>7.5425714850941517E-2</v>
      </c>
      <c r="BO1144" s="20">
        <f>Table1347456[[#This Row],[lnrr]]+(1.96 * Table1347456[[#This Row],[se]])</f>
        <v>1.1261220060069186</v>
      </c>
    </row>
    <row r="1145" spans="1:67">
      <c r="A1145" s="13" t="s">
        <v>272</v>
      </c>
      <c r="B1145" s="13" t="s">
        <v>362</v>
      </c>
      <c r="C1145" s="13" t="s">
        <v>43</v>
      </c>
      <c r="D1145" s="13" t="s">
        <v>363</v>
      </c>
      <c r="E1145" s="13" t="s">
        <v>132</v>
      </c>
      <c r="F1145" s="13" t="s">
        <v>589</v>
      </c>
      <c r="G1145" s="13" t="s">
        <v>364</v>
      </c>
      <c r="H1145" s="13">
        <v>18</v>
      </c>
      <c r="I1145" s="13">
        <v>1150</v>
      </c>
      <c r="K1145" s="13" t="s">
        <v>926</v>
      </c>
      <c r="L1145" s="13" t="s">
        <v>927</v>
      </c>
      <c r="N1145" s="13" t="s">
        <v>47</v>
      </c>
      <c r="O1145" s="13" t="s">
        <v>645</v>
      </c>
      <c r="P1145" s="13" t="s">
        <v>85</v>
      </c>
      <c r="Q1145" s="13" t="s">
        <v>48</v>
      </c>
      <c r="R1145" s="4">
        <v>5</v>
      </c>
      <c r="S1145" s="13" t="s">
        <v>596</v>
      </c>
      <c r="T1145" s="13">
        <v>90</v>
      </c>
      <c r="U1145" s="4" t="s">
        <v>365</v>
      </c>
      <c r="V1145" s="4">
        <v>450</v>
      </c>
      <c r="W1145" s="4" t="s">
        <v>601</v>
      </c>
      <c r="X1145" s="4">
        <v>271</v>
      </c>
      <c r="Y1145" s="4">
        <v>126</v>
      </c>
      <c r="Z1145" s="4" t="s">
        <v>550</v>
      </c>
      <c r="AA1145" s="4" t="s">
        <v>49</v>
      </c>
      <c r="AB1145" s="4">
        <v>0</v>
      </c>
      <c r="AC1145" s="4" t="s">
        <v>49</v>
      </c>
      <c r="AD1145" s="4">
        <v>0</v>
      </c>
      <c r="AE1145" s="4" t="s">
        <v>49</v>
      </c>
      <c r="AF1145" s="4">
        <v>0</v>
      </c>
      <c r="AG1145" s="4" t="s">
        <v>682</v>
      </c>
      <c r="AH1145" s="4" t="s">
        <v>680</v>
      </c>
      <c r="AI1145" s="4" t="s">
        <v>64</v>
      </c>
      <c r="AJ1145" s="13">
        <v>0</v>
      </c>
      <c r="AK1145" s="13">
        <v>20</v>
      </c>
      <c r="AL1145" s="13" t="s">
        <v>548</v>
      </c>
      <c r="AP1145" s="13" t="s">
        <v>49</v>
      </c>
      <c r="AQ1145" s="13" t="s">
        <v>49</v>
      </c>
      <c r="AR1145" s="13" t="s">
        <v>50</v>
      </c>
      <c r="AS1145" s="13" t="s">
        <v>49</v>
      </c>
      <c r="AT1145" s="13" t="s">
        <v>990</v>
      </c>
      <c r="AU1145" s="13" t="s">
        <v>998</v>
      </c>
      <c r="AV1145" s="14">
        <f>15.2/1000</f>
        <v>1.52E-2</v>
      </c>
      <c r="AW1145" s="14">
        <f>6.8/1000</f>
        <v>6.7999999999999996E-3</v>
      </c>
      <c r="AX1145" s="14">
        <f>Table1347456[[#This Row],[treatment_mean]]/Table1347456[[#This Row],[control_mean]]</f>
        <v>2.2352941176470589</v>
      </c>
      <c r="AY1145" s="14">
        <f>LN(Table1347456[[#This Row],[rr]])</f>
        <v>0.80437281567016972</v>
      </c>
      <c r="AZ1145" s="13">
        <v>5</v>
      </c>
      <c r="BA1145" s="13">
        <v>5</v>
      </c>
      <c r="BB1145" s="14" t="s">
        <v>46</v>
      </c>
      <c r="BC1145" s="14" t="s">
        <v>46</v>
      </c>
      <c r="BD1145" s="15" t="s">
        <v>46</v>
      </c>
      <c r="BE1145" s="14" t="s">
        <v>46</v>
      </c>
      <c r="BF114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45" s="17" t="s">
        <v>46</v>
      </c>
      <c r="BH1145" s="13" t="s">
        <v>50</v>
      </c>
      <c r="BI1145" s="13">
        <v>2.5000000000000001E-2</v>
      </c>
      <c r="BJ1145" s="18">
        <f>ABS(_xlfn.NORM.S.INV(Table1347456[[#This Row],[p_value]]/2))</f>
        <v>2.2414027276049446</v>
      </c>
      <c r="BK1145" s="19">
        <f>(Table1347456[[#This Row],[lnrr]]/Table1347456[[#This Row],[z_from_p]])^2</f>
        <v>0.12878787505633502</v>
      </c>
      <c r="BL1145" s="16">
        <f>Table1347456[[#This Row],[v_from_z_from_p]]</f>
        <v>0.12878787505633502</v>
      </c>
      <c r="BM1145" s="20">
        <f>SQRT(Table1347456[[#This Row],[v]])</f>
        <v>0.35887027608362193</v>
      </c>
      <c r="BN1145" s="20">
        <f>Table1347456[[#This Row],[lnrr]]-(1.96*Table1347456[[#This Row],[se]])</f>
        <v>0.10098707454627076</v>
      </c>
      <c r="BO1145" s="20">
        <f>Table1347456[[#This Row],[lnrr]]+(1.96 * Table1347456[[#This Row],[se]])</f>
        <v>1.5077585567940686</v>
      </c>
    </row>
    <row r="1146" spans="1:67">
      <c r="A1146" s="13" t="s">
        <v>272</v>
      </c>
      <c r="B1146" s="13" t="s">
        <v>362</v>
      </c>
      <c r="C1146" s="13" t="s">
        <v>43</v>
      </c>
      <c r="D1146" s="13" t="s">
        <v>363</v>
      </c>
      <c r="E1146" s="13" t="s">
        <v>132</v>
      </c>
      <c r="F1146" s="13" t="s">
        <v>589</v>
      </c>
      <c r="G1146" s="13" t="s">
        <v>364</v>
      </c>
      <c r="H1146" s="13">
        <v>18</v>
      </c>
      <c r="I1146" s="13">
        <v>1150</v>
      </c>
      <c r="K1146" s="13" t="s">
        <v>926</v>
      </c>
      <c r="L1146" s="13" t="s">
        <v>927</v>
      </c>
      <c r="N1146" s="13" t="s">
        <v>47</v>
      </c>
      <c r="O1146" s="13" t="s">
        <v>645</v>
      </c>
      <c r="P1146" s="13" t="s">
        <v>85</v>
      </c>
      <c r="Q1146" s="13" t="s">
        <v>48</v>
      </c>
      <c r="R1146" s="4">
        <v>5</v>
      </c>
      <c r="S1146" s="13" t="s">
        <v>596</v>
      </c>
      <c r="T1146" s="13">
        <v>90</v>
      </c>
      <c r="U1146" s="4" t="s">
        <v>365</v>
      </c>
      <c r="V1146" s="4">
        <v>450</v>
      </c>
      <c r="W1146" s="4" t="s">
        <v>601</v>
      </c>
      <c r="X1146" s="4">
        <v>271</v>
      </c>
      <c r="Y1146" s="4">
        <v>168</v>
      </c>
      <c r="Z1146" s="4" t="s">
        <v>551</v>
      </c>
      <c r="AA1146" s="4" t="s">
        <v>49</v>
      </c>
      <c r="AB1146" s="4">
        <v>0</v>
      </c>
      <c r="AC1146" s="4" t="s">
        <v>49</v>
      </c>
      <c r="AD1146" s="4">
        <v>0</v>
      </c>
      <c r="AE1146" s="4" t="s">
        <v>49</v>
      </c>
      <c r="AF1146" s="4">
        <v>0</v>
      </c>
      <c r="AG1146" s="4" t="s">
        <v>682</v>
      </c>
      <c r="AH1146" s="4" t="s">
        <v>680</v>
      </c>
      <c r="AI1146" s="4" t="s">
        <v>64</v>
      </c>
      <c r="AJ1146" s="13">
        <v>0</v>
      </c>
      <c r="AK1146" s="13">
        <v>20</v>
      </c>
      <c r="AL1146" s="13" t="s">
        <v>548</v>
      </c>
      <c r="AP1146" s="13" t="s">
        <v>49</v>
      </c>
      <c r="AQ1146" s="13" t="s">
        <v>49</v>
      </c>
      <c r="AR1146" s="13" t="s">
        <v>50</v>
      </c>
      <c r="AS1146" s="13" t="s">
        <v>49</v>
      </c>
      <c r="AT1146" s="13" t="s">
        <v>990</v>
      </c>
      <c r="AU1146" s="13" t="s">
        <v>998</v>
      </c>
      <c r="AV1146" s="14">
        <f>17.6/1000</f>
        <v>1.7600000000000001E-2</v>
      </c>
      <c r="AW1146" s="14">
        <f>6.8/1000</f>
        <v>6.7999999999999996E-3</v>
      </c>
      <c r="AX1146" s="14">
        <f>Table1347456[[#This Row],[treatment_mean]]/Table1347456[[#This Row],[control_mean]]</f>
        <v>2.5882352941176472</v>
      </c>
      <c r="AY1146" s="14">
        <f>LN(Table1347456[[#This Row],[rr]])</f>
        <v>0.95097628986204519</v>
      </c>
      <c r="AZ1146" s="13">
        <v>5</v>
      </c>
      <c r="BA1146" s="13">
        <v>5</v>
      </c>
      <c r="BB1146" s="14" t="s">
        <v>46</v>
      </c>
      <c r="BC1146" s="14" t="s">
        <v>46</v>
      </c>
      <c r="BD1146" s="15" t="s">
        <v>46</v>
      </c>
      <c r="BE1146" s="14" t="s">
        <v>46</v>
      </c>
      <c r="BF114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46" s="17" t="s">
        <v>46</v>
      </c>
      <c r="BH1146" s="13" t="s">
        <v>50</v>
      </c>
      <c r="BI1146" s="13">
        <v>2.5000000000000001E-2</v>
      </c>
      <c r="BJ1146" s="18">
        <f>ABS(_xlfn.NORM.S.INV(Table1347456[[#This Row],[p_value]]/2))</f>
        <v>2.2414027276049446</v>
      </c>
      <c r="BK1146" s="19">
        <f>(Table1347456[[#This Row],[lnrr]]/Table1347456[[#This Row],[z_from_p]])^2</f>
        <v>0.18001122441094378</v>
      </c>
      <c r="BL1146" s="16">
        <f>Table1347456[[#This Row],[v_from_z_from_p]]</f>
        <v>0.18001122441094378</v>
      </c>
      <c r="BM1146" s="20">
        <f>SQRT(Table1347456[[#This Row],[v]])</f>
        <v>0.42427729660087138</v>
      </c>
      <c r="BN1146" s="20">
        <f>Table1347456[[#This Row],[lnrr]]-(1.96*Table1347456[[#This Row],[se]])</f>
        <v>0.11939278852433732</v>
      </c>
      <c r="BO1146" s="20">
        <f>Table1347456[[#This Row],[lnrr]]+(1.96 * Table1347456[[#This Row],[se]])</f>
        <v>1.7825597911997531</v>
      </c>
    </row>
    <row r="1147" spans="1:67">
      <c r="A1147" s="13" t="s">
        <v>272</v>
      </c>
      <c r="B1147" s="13" t="s">
        <v>362</v>
      </c>
      <c r="C1147" s="13" t="s">
        <v>43</v>
      </c>
      <c r="D1147" s="13" t="s">
        <v>363</v>
      </c>
      <c r="E1147" s="13" t="s">
        <v>132</v>
      </c>
      <c r="F1147" s="13" t="s">
        <v>589</v>
      </c>
      <c r="G1147" s="13" t="s">
        <v>364</v>
      </c>
      <c r="H1147" s="13">
        <v>18</v>
      </c>
      <c r="I1147" s="13">
        <v>1150</v>
      </c>
      <c r="K1147" s="13" t="s">
        <v>926</v>
      </c>
      <c r="L1147" s="13" t="s">
        <v>927</v>
      </c>
      <c r="N1147" s="13" t="s">
        <v>47</v>
      </c>
      <c r="O1147" s="13" t="s">
        <v>645</v>
      </c>
      <c r="P1147" s="13" t="s">
        <v>85</v>
      </c>
      <c r="Q1147" s="13" t="s">
        <v>48</v>
      </c>
      <c r="R1147" s="4">
        <v>5</v>
      </c>
      <c r="S1147" s="13" t="s">
        <v>596</v>
      </c>
      <c r="T1147" s="13">
        <v>90</v>
      </c>
      <c r="U1147" s="4" t="s">
        <v>220</v>
      </c>
      <c r="V1147" s="4">
        <v>450</v>
      </c>
      <c r="W1147" s="4" t="s">
        <v>601</v>
      </c>
      <c r="X1147" s="4">
        <v>271</v>
      </c>
      <c r="Y1147" s="4">
        <v>73</v>
      </c>
      <c r="Z1147" s="4" t="s">
        <v>549</v>
      </c>
      <c r="AA1147" s="4" t="s">
        <v>49</v>
      </c>
      <c r="AB1147" s="4">
        <v>0</v>
      </c>
      <c r="AC1147" s="4" t="s">
        <v>49</v>
      </c>
      <c r="AD1147" s="4">
        <v>0</v>
      </c>
      <c r="AE1147" s="4" t="s">
        <v>49</v>
      </c>
      <c r="AF1147" s="4">
        <v>0</v>
      </c>
      <c r="AG1147" s="4" t="s">
        <v>681</v>
      </c>
      <c r="AH1147" s="4" t="s">
        <v>680</v>
      </c>
      <c r="AI1147" s="4" t="s">
        <v>64</v>
      </c>
      <c r="AJ1147" s="13">
        <v>0</v>
      </c>
      <c r="AK1147" s="13">
        <v>20</v>
      </c>
      <c r="AL1147" s="13" t="s">
        <v>548</v>
      </c>
      <c r="AP1147" s="13" t="s">
        <v>49</v>
      </c>
      <c r="AQ1147" s="13" t="s">
        <v>49</v>
      </c>
      <c r="AR1147" s="13" t="s">
        <v>50</v>
      </c>
      <c r="AS1147" s="13" t="s">
        <v>49</v>
      </c>
      <c r="AT1147" s="13" t="s">
        <v>990</v>
      </c>
      <c r="AU1147" s="13" t="s">
        <v>998</v>
      </c>
      <c r="AV1147" s="14">
        <f>19.8/1000</f>
        <v>1.9800000000000002E-2</v>
      </c>
      <c r="AW1147" s="14">
        <f>6.8/1000</f>
        <v>6.7999999999999996E-3</v>
      </c>
      <c r="AX1147" s="14">
        <f>Table1347456[[#This Row],[treatment_mean]]/Table1347456[[#This Row],[control_mean]]</f>
        <v>2.9117647058823533</v>
      </c>
      <c r="AY1147" s="14">
        <f>LN(Table1347456[[#This Row],[rr]])</f>
        <v>1.0687593255184287</v>
      </c>
      <c r="AZ1147" s="13">
        <v>5</v>
      </c>
      <c r="BA1147" s="13">
        <v>5</v>
      </c>
      <c r="BB1147" s="14" t="s">
        <v>46</v>
      </c>
      <c r="BC1147" s="14" t="s">
        <v>46</v>
      </c>
      <c r="BD1147" s="15" t="s">
        <v>46</v>
      </c>
      <c r="BE1147" s="14" t="s">
        <v>46</v>
      </c>
      <c r="BF114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47" s="17" t="s">
        <v>46</v>
      </c>
      <c r="BH1147" s="13" t="s">
        <v>50</v>
      </c>
      <c r="BI1147" s="13">
        <v>2.5000000000000001E-2</v>
      </c>
      <c r="BJ1147" s="18">
        <f>ABS(_xlfn.NORM.S.INV(Table1347456[[#This Row],[p_value]]/2))</f>
        <v>2.2414027276049446</v>
      </c>
      <c r="BK1147" s="19">
        <f>(Table1347456[[#This Row],[lnrr]]/Table1347456[[#This Row],[z_from_p]])^2</f>
        <v>0.22736313150698631</v>
      </c>
      <c r="BL1147" s="16">
        <f>Table1347456[[#This Row],[v_from_z_from_p]]</f>
        <v>0.22736313150698631</v>
      </c>
      <c r="BM1147" s="20">
        <f>SQRT(Table1347456[[#This Row],[v]])</f>
        <v>0.47682610195645364</v>
      </c>
      <c r="BN1147" s="20">
        <f>Table1347456[[#This Row],[lnrr]]-(1.96*Table1347456[[#This Row],[se]])</f>
        <v>0.13418016568377955</v>
      </c>
      <c r="BO1147" s="20">
        <f>Table1347456[[#This Row],[lnrr]]+(1.96 * Table1347456[[#This Row],[se]])</f>
        <v>2.003338485353078</v>
      </c>
    </row>
    <row r="1148" spans="1:67">
      <c r="A1148" s="13" t="s">
        <v>272</v>
      </c>
      <c r="B1148" s="13" t="s">
        <v>582</v>
      </c>
      <c r="C1148" s="13" t="s">
        <v>43</v>
      </c>
      <c r="D1148" s="13" t="s">
        <v>363</v>
      </c>
      <c r="E1148" s="13" t="s">
        <v>132</v>
      </c>
      <c r="F1148" s="13" t="s">
        <v>589</v>
      </c>
      <c r="G1148" s="13" t="s">
        <v>364</v>
      </c>
      <c r="H1148" s="13">
        <v>18</v>
      </c>
      <c r="I1148" s="13">
        <v>1150</v>
      </c>
      <c r="K1148" s="13" t="s">
        <v>926</v>
      </c>
      <c r="L1148" s="13" t="s">
        <v>927</v>
      </c>
      <c r="N1148" s="13" t="s">
        <v>614</v>
      </c>
      <c r="O1148" s="13" t="s">
        <v>614</v>
      </c>
      <c r="P1148" s="13" t="s">
        <v>521</v>
      </c>
      <c r="Q1148" s="13" t="s">
        <v>87</v>
      </c>
      <c r="R1148" s="4">
        <v>5</v>
      </c>
      <c r="S1148" s="13" t="s">
        <v>596</v>
      </c>
      <c r="T1148" s="13">
        <v>90</v>
      </c>
      <c r="U1148" s="4" t="s">
        <v>365</v>
      </c>
      <c r="V1148" s="4">
        <v>450</v>
      </c>
      <c r="W1148" s="4" t="s">
        <v>601</v>
      </c>
      <c r="X1148" s="4">
        <v>271</v>
      </c>
      <c r="Y1148" s="4">
        <v>42</v>
      </c>
      <c r="Z1148" s="4" t="s">
        <v>547</v>
      </c>
      <c r="AA1148" s="4" t="s">
        <v>49</v>
      </c>
      <c r="AB1148" s="4">
        <v>0</v>
      </c>
      <c r="AC1148" s="4" t="s">
        <v>49</v>
      </c>
      <c r="AD1148" s="4">
        <v>0</v>
      </c>
      <c r="AE1148" s="4" t="s">
        <v>49</v>
      </c>
      <c r="AF1148" s="4">
        <v>0</v>
      </c>
      <c r="AG1148" s="4" t="s">
        <v>46</v>
      </c>
      <c r="AH1148" s="4" t="s">
        <v>680</v>
      </c>
      <c r="AI1148" s="4" t="s">
        <v>64</v>
      </c>
      <c r="AJ1148" s="13">
        <v>0</v>
      </c>
      <c r="AK1148" s="13">
        <v>20</v>
      </c>
      <c r="AL1148" s="13" t="s">
        <v>548</v>
      </c>
      <c r="AP1148" s="13" t="s">
        <v>49</v>
      </c>
      <c r="AQ1148" s="13" t="s">
        <v>49</v>
      </c>
      <c r="AR1148" s="13" t="s">
        <v>50</v>
      </c>
      <c r="AS1148" s="13" t="s">
        <v>49</v>
      </c>
      <c r="AT1148" s="13" t="s">
        <v>990</v>
      </c>
      <c r="AU1148" s="13" t="s">
        <v>998</v>
      </c>
      <c r="AV1148" s="14">
        <f>8.04/10</f>
        <v>0.80399999999999994</v>
      </c>
      <c r="AW1148" s="14">
        <f>6.11/10</f>
        <v>0.61099999999999999</v>
      </c>
      <c r="AX1148" s="14">
        <f>Table1347456[[#This Row],[treatment_mean]]/Table1347456[[#This Row],[control_mean]]</f>
        <v>1.3158756137479541</v>
      </c>
      <c r="AY1148" s="14">
        <f>LN(Table1347456[[#This Row],[rr]])</f>
        <v>0.27450231000737102</v>
      </c>
      <c r="AZ1148" s="13">
        <v>5</v>
      </c>
      <c r="BA1148" s="13">
        <v>5</v>
      </c>
      <c r="BB1148" s="14" t="s">
        <v>46</v>
      </c>
      <c r="BC1148" s="14" t="s">
        <v>46</v>
      </c>
      <c r="BD1148" s="15" t="s">
        <v>46</v>
      </c>
      <c r="BE1148" s="14" t="s">
        <v>46</v>
      </c>
      <c r="BF114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48" s="17" t="s">
        <v>46</v>
      </c>
      <c r="BH1148" s="13" t="s">
        <v>50</v>
      </c>
      <c r="BI1148" s="13">
        <v>2.5000000000000001E-2</v>
      </c>
      <c r="BJ1148" s="18">
        <f>ABS(_xlfn.NORM.S.INV(Table1347456[[#This Row],[p_value]]/2))</f>
        <v>2.2414027276049446</v>
      </c>
      <c r="BK1148" s="19">
        <f>(Table1347456[[#This Row],[lnrr]]/Table1347456[[#This Row],[z_from_p]])^2</f>
        <v>1.4998651519941361E-2</v>
      </c>
      <c r="BL1148" s="16">
        <f>Table1347456[[#This Row],[v_from_z_from_p]]</f>
        <v>1.4998651519941361E-2</v>
      </c>
      <c r="BM1148" s="20">
        <f>SQRT(Table1347456[[#This Row],[v]])</f>
        <v>0.12246898186864036</v>
      </c>
      <c r="BN1148" s="20">
        <f>Table1347456[[#This Row],[lnrr]]-(1.96*Table1347456[[#This Row],[se]])</f>
        <v>3.446310554483592E-2</v>
      </c>
      <c r="BO1148" s="20">
        <f>Table1347456[[#This Row],[lnrr]]+(1.96 * Table1347456[[#This Row],[se]])</f>
        <v>0.51454151446990615</v>
      </c>
    </row>
    <row r="1149" spans="1:67">
      <c r="A1149" s="13" t="s">
        <v>272</v>
      </c>
      <c r="B1149" s="13" t="s">
        <v>362</v>
      </c>
      <c r="C1149" s="13" t="s">
        <v>43</v>
      </c>
      <c r="D1149" s="13" t="s">
        <v>363</v>
      </c>
      <c r="E1149" s="13" t="s">
        <v>132</v>
      </c>
      <c r="F1149" s="13" t="s">
        <v>589</v>
      </c>
      <c r="G1149" s="13" t="s">
        <v>364</v>
      </c>
      <c r="H1149" s="13">
        <v>18</v>
      </c>
      <c r="I1149" s="13">
        <v>1150</v>
      </c>
      <c r="K1149" s="13" t="s">
        <v>926</v>
      </c>
      <c r="L1149" s="13" t="s">
        <v>927</v>
      </c>
      <c r="N1149" s="13" t="s">
        <v>614</v>
      </c>
      <c r="O1149" s="13" t="s">
        <v>614</v>
      </c>
      <c r="P1149" s="13" t="s">
        <v>521</v>
      </c>
      <c r="Q1149" s="13" t="s">
        <v>87</v>
      </c>
      <c r="R1149" s="4">
        <v>5</v>
      </c>
      <c r="S1149" s="13" t="s">
        <v>596</v>
      </c>
      <c r="T1149" s="13">
        <v>90</v>
      </c>
      <c r="U1149" s="4" t="s">
        <v>365</v>
      </c>
      <c r="V1149" s="4">
        <v>450</v>
      </c>
      <c r="W1149" s="4" t="s">
        <v>601</v>
      </c>
      <c r="X1149" s="4">
        <v>271</v>
      </c>
      <c r="Y1149" s="4">
        <v>84</v>
      </c>
      <c r="Z1149" s="4" t="s">
        <v>549</v>
      </c>
      <c r="AA1149" s="4" t="s">
        <v>49</v>
      </c>
      <c r="AB1149" s="4">
        <v>0</v>
      </c>
      <c r="AC1149" s="4" t="s">
        <v>49</v>
      </c>
      <c r="AD1149" s="4">
        <v>0</v>
      </c>
      <c r="AE1149" s="4" t="s">
        <v>49</v>
      </c>
      <c r="AF1149" s="4">
        <v>0</v>
      </c>
      <c r="AG1149" s="4" t="s">
        <v>682</v>
      </c>
      <c r="AH1149" s="4" t="s">
        <v>680</v>
      </c>
      <c r="AI1149" s="4" t="s">
        <v>64</v>
      </c>
      <c r="AJ1149" s="13">
        <v>0</v>
      </c>
      <c r="AK1149" s="13">
        <v>20</v>
      </c>
      <c r="AL1149" s="13" t="s">
        <v>548</v>
      </c>
      <c r="AP1149" s="13" t="s">
        <v>49</v>
      </c>
      <c r="AQ1149" s="13" t="s">
        <v>49</v>
      </c>
      <c r="AR1149" s="13" t="s">
        <v>50</v>
      </c>
      <c r="AS1149" s="13" t="s">
        <v>49</v>
      </c>
      <c r="AT1149" s="13" t="s">
        <v>990</v>
      </c>
      <c r="AU1149" s="13" t="s">
        <v>998</v>
      </c>
      <c r="AV1149" s="14">
        <f>9.4/10</f>
        <v>0.94000000000000006</v>
      </c>
      <c r="AW1149" s="14">
        <f>6.11/10</f>
        <v>0.61099999999999999</v>
      </c>
      <c r="AX1149" s="14">
        <f>Table1347456[[#This Row],[treatment_mean]]/Table1347456[[#This Row],[control_mean]]</f>
        <v>1.5384615384615385</v>
      </c>
      <c r="AY1149" s="14">
        <f>LN(Table1347456[[#This Row],[rr]])</f>
        <v>0.43078291609245434</v>
      </c>
      <c r="AZ1149" s="13">
        <v>5</v>
      </c>
      <c r="BA1149" s="13">
        <v>5</v>
      </c>
      <c r="BB1149" s="14" t="s">
        <v>46</v>
      </c>
      <c r="BC1149" s="14" t="s">
        <v>46</v>
      </c>
      <c r="BD1149" s="15" t="s">
        <v>46</v>
      </c>
      <c r="BE1149" s="14" t="s">
        <v>46</v>
      </c>
      <c r="BF114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49" s="17" t="s">
        <v>46</v>
      </c>
      <c r="BH1149" s="13" t="s">
        <v>50</v>
      </c>
      <c r="BI1149" s="13">
        <v>2.5000000000000001E-2</v>
      </c>
      <c r="BJ1149" s="18">
        <f>ABS(_xlfn.NORM.S.INV(Table1347456[[#This Row],[p_value]]/2))</f>
        <v>2.2414027276049446</v>
      </c>
      <c r="BK1149" s="19">
        <f>(Table1347456[[#This Row],[lnrr]]/Table1347456[[#This Row],[z_from_p]])^2</f>
        <v>3.6938321028387427E-2</v>
      </c>
      <c r="BL1149" s="16">
        <f>Table1347456[[#This Row],[v_from_z_from_p]]</f>
        <v>3.6938321028387427E-2</v>
      </c>
      <c r="BM1149" s="20">
        <f>SQRT(Table1347456[[#This Row],[v]])</f>
        <v>0.19219344689241469</v>
      </c>
      <c r="BN1149" s="20">
        <f>Table1347456[[#This Row],[lnrr]]-(1.96*Table1347456[[#This Row],[se]])</f>
        <v>5.4083760183321561E-2</v>
      </c>
      <c r="BO1149" s="20">
        <f>Table1347456[[#This Row],[lnrr]]+(1.96 * Table1347456[[#This Row],[se]])</f>
        <v>0.80748207200158717</v>
      </c>
    </row>
    <row r="1150" spans="1:67">
      <c r="A1150" s="13" t="s">
        <v>272</v>
      </c>
      <c r="B1150" s="13" t="s">
        <v>362</v>
      </c>
      <c r="C1150" s="13" t="s">
        <v>43</v>
      </c>
      <c r="D1150" s="13" t="s">
        <v>363</v>
      </c>
      <c r="E1150" s="13" t="s">
        <v>132</v>
      </c>
      <c r="F1150" s="13" t="s">
        <v>589</v>
      </c>
      <c r="G1150" s="13" t="s">
        <v>364</v>
      </c>
      <c r="H1150" s="13">
        <v>18</v>
      </c>
      <c r="I1150" s="13">
        <v>1150</v>
      </c>
      <c r="K1150" s="13" t="s">
        <v>926</v>
      </c>
      <c r="L1150" s="13" t="s">
        <v>927</v>
      </c>
      <c r="N1150" s="13" t="s">
        <v>614</v>
      </c>
      <c r="O1150" s="13" t="s">
        <v>614</v>
      </c>
      <c r="P1150" s="13" t="s">
        <v>521</v>
      </c>
      <c r="Q1150" s="13" t="s">
        <v>87</v>
      </c>
      <c r="R1150" s="4">
        <v>5</v>
      </c>
      <c r="S1150" s="13" t="s">
        <v>596</v>
      </c>
      <c r="T1150" s="13">
        <v>90</v>
      </c>
      <c r="U1150" s="4" t="s">
        <v>365</v>
      </c>
      <c r="V1150" s="4">
        <v>450</v>
      </c>
      <c r="W1150" s="4" t="s">
        <v>601</v>
      </c>
      <c r="X1150" s="4">
        <v>271</v>
      </c>
      <c r="Y1150" s="4">
        <v>126</v>
      </c>
      <c r="Z1150" s="4" t="s">
        <v>550</v>
      </c>
      <c r="AA1150" s="4" t="s">
        <v>49</v>
      </c>
      <c r="AB1150" s="4">
        <v>0</v>
      </c>
      <c r="AC1150" s="4" t="s">
        <v>49</v>
      </c>
      <c r="AD1150" s="4">
        <v>0</v>
      </c>
      <c r="AE1150" s="4" t="s">
        <v>49</v>
      </c>
      <c r="AF1150" s="4">
        <v>0</v>
      </c>
      <c r="AG1150" s="4" t="s">
        <v>682</v>
      </c>
      <c r="AH1150" s="4" t="s">
        <v>680</v>
      </c>
      <c r="AI1150" s="4" t="s">
        <v>64</v>
      </c>
      <c r="AJ1150" s="13">
        <v>0</v>
      </c>
      <c r="AK1150" s="13">
        <v>20</v>
      </c>
      <c r="AL1150" s="13" t="s">
        <v>548</v>
      </c>
      <c r="AP1150" s="13" t="s">
        <v>49</v>
      </c>
      <c r="AQ1150" s="13" t="s">
        <v>49</v>
      </c>
      <c r="AR1150" s="13" t="s">
        <v>50</v>
      </c>
      <c r="AS1150" s="13" t="s">
        <v>49</v>
      </c>
      <c r="AT1150" s="13" t="s">
        <v>990</v>
      </c>
      <c r="AU1150" s="13" t="s">
        <v>998</v>
      </c>
      <c r="AV1150" s="14">
        <f>9.81/10</f>
        <v>0.98100000000000009</v>
      </c>
      <c r="AW1150" s="14">
        <f>6.11/10</f>
        <v>0.61099999999999999</v>
      </c>
      <c r="AX1150" s="14">
        <f>Table1347456[[#This Row],[treatment_mean]]/Table1347456[[#This Row],[control_mean]]</f>
        <v>1.6055646481178398</v>
      </c>
      <c r="AY1150" s="14">
        <f>LN(Table1347456[[#This Row],[rr]])</f>
        <v>0.4734755003937679</v>
      </c>
      <c r="AZ1150" s="13">
        <v>5</v>
      </c>
      <c r="BA1150" s="13">
        <v>5</v>
      </c>
      <c r="BB1150" s="14" t="s">
        <v>46</v>
      </c>
      <c r="BC1150" s="14" t="s">
        <v>46</v>
      </c>
      <c r="BD1150" s="15" t="s">
        <v>46</v>
      </c>
      <c r="BE1150" s="14" t="s">
        <v>46</v>
      </c>
      <c r="BF115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50" s="17" t="s">
        <v>46</v>
      </c>
      <c r="BH1150" s="13" t="s">
        <v>50</v>
      </c>
      <c r="BI1150" s="13">
        <v>2.5000000000000001E-2</v>
      </c>
      <c r="BJ1150" s="18">
        <f>ABS(_xlfn.NORM.S.INV(Table1347456[[#This Row],[p_value]]/2))</f>
        <v>2.2414027276049446</v>
      </c>
      <c r="BK1150" s="19">
        <f>(Table1347456[[#This Row],[lnrr]]/Table1347456[[#This Row],[z_from_p]])^2</f>
        <v>4.4622636961635834E-2</v>
      </c>
      <c r="BL1150" s="16">
        <f>Table1347456[[#This Row],[v_from_z_from_p]]</f>
        <v>4.4622636961635834E-2</v>
      </c>
      <c r="BM1150" s="20">
        <f>SQRT(Table1347456[[#This Row],[v]])</f>
        <v>0.2112407085806044</v>
      </c>
      <c r="BN1150" s="20">
        <f>Table1347456[[#This Row],[lnrr]]-(1.96*Table1347456[[#This Row],[se]])</f>
        <v>5.9443711575783265E-2</v>
      </c>
      <c r="BO1150" s="20">
        <f>Table1347456[[#This Row],[lnrr]]+(1.96 * Table1347456[[#This Row],[se]])</f>
        <v>0.88750728921175259</v>
      </c>
    </row>
    <row r="1151" spans="1:67">
      <c r="A1151" s="13" t="s">
        <v>272</v>
      </c>
      <c r="B1151" s="13" t="s">
        <v>362</v>
      </c>
      <c r="C1151" s="13" t="s">
        <v>43</v>
      </c>
      <c r="D1151" s="13" t="s">
        <v>363</v>
      </c>
      <c r="E1151" s="13" t="s">
        <v>132</v>
      </c>
      <c r="F1151" s="13" t="s">
        <v>589</v>
      </c>
      <c r="G1151" s="13" t="s">
        <v>364</v>
      </c>
      <c r="H1151" s="13">
        <v>18</v>
      </c>
      <c r="I1151" s="13">
        <v>1150</v>
      </c>
      <c r="K1151" s="13" t="s">
        <v>926</v>
      </c>
      <c r="L1151" s="13" t="s">
        <v>927</v>
      </c>
      <c r="N1151" s="13" t="s">
        <v>614</v>
      </c>
      <c r="O1151" s="13" t="s">
        <v>614</v>
      </c>
      <c r="P1151" s="13" t="s">
        <v>521</v>
      </c>
      <c r="Q1151" s="13" t="s">
        <v>87</v>
      </c>
      <c r="R1151" s="4">
        <v>5</v>
      </c>
      <c r="S1151" s="13" t="s">
        <v>596</v>
      </c>
      <c r="T1151" s="13">
        <v>90</v>
      </c>
      <c r="U1151" s="4" t="s">
        <v>365</v>
      </c>
      <c r="V1151" s="4">
        <v>450</v>
      </c>
      <c r="W1151" s="4" t="s">
        <v>601</v>
      </c>
      <c r="X1151" s="4">
        <v>271</v>
      </c>
      <c r="Y1151" s="4">
        <v>168</v>
      </c>
      <c r="Z1151" s="4" t="s">
        <v>551</v>
      </c>
      <c r="AA1151" s="4" t="s">
        <v>49</v>
      </c>
      <c r="AB1151" s="4">
        <v>0</v>
      </c>
      <c r="AC1151" s="4" t="s">
        <v>49</v>
      </c>
      <c r="AD1151" s="4">
        <v>0</v>
      </c>
      <c r="AE1151" s="4" t="s">
        <v>49</v>
      </c>
      <c r="AF1151" s="4">
        <v>0</v>
      </c>
      <c r="AG1151" s="4" t="s">
        <v>682</v>
      </c>
      <c r="AH1151" s="4" t="s">
        <v>680</v>
      </c>
      <c r="AI1151" s="4" t="s">
        <v>64</v>
      </c>
      <c r="AJ1151" s="13">
        <v>0</v>
      </c>
      <c r="AK1151" s="13">
        <v>20</v>
      </c>
      <c r="AL1151" s="13" t="s">
        <v>548</v>
      </c>
      <c r="AP1151" s="13" t="s">
        <v>49</v>
      </c>
      <c r="AQ1151" s="13" t="s">
        <v>49</v>
      </c>
      <c r="AR1151" s="13" t="s">
        <v>50</v>
      </c>
      <c r="AS1151" s="13" t="s">
        <v>49</v>
      </c>
      <c r="AT1151" s="13" t="s">
        <v>990</v>
      </c>
      <c r="AU1151" s="13" t="s">
        <v>998</v>
      </c>
      <c r="AV1151" s="14">
        <f>11.64/10</f>
        <v>1.1640000000000001</v>
      </c>
      <c r="AW1151" s="14">
        <f>6.11/10</f>
        <v>0.61099999999999999</v>
      </c>
      <c r="AX1151" s="14">
        <f>Table1347456[[#This Row],[treatment_mean]]/Table1347456[[#This Row],[control_mean]]</f>
        <v>1.9050736497545011</v>
      </c>
      <c r="AY1151" s="14">
        <f>LN(Table1347456[[#This Row],[rr]])</f>
        <v>0.644520669119788</v>
      </c>
      <c r="AZ1151" s="13">
        <v>5</v>
      </c>
      <c r="BA1151" s="13">
        <v>5</v>
      </c>
      <c r="BB1151" s="14" t="s">
        <v>46</v>
      </c>
      <c r="BC1151" s="14" t="s">
        <v>46</v>
      </c>
      <c r="BD1151" s="15" t="s">
        <v>46</v>
      </c>
      <c r="BE1151" s="14" t="s">
        <v>46</v>
      </c>
      <c r="BF115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51" s="17" t="s">
        <v>46</v>
      </c>
      <c r="BH1151" s="13" t="s">
        <v>50</v>
      </c>
      <c r="BI1151" s="13">
        <v>2.5000000000000001E-2</v>
      </c>
      <c r="BJ1151" s="18">
        <f>ABS(_xlfn.NORM.S.INV(Table1347456[[#This Row],[p_value]]/2))</f>
        <v>2.2414027276049446</v>
      </c>
      <c r="BK1151" s="19">
        <f>(Table1347456[[#This Row],[lnrr]]/Table1347456[[#This Row],[z_from_p]])^2</f>
        <v>8.2686366178339243E-2</v>
      </c>
      <c r="BL1151" s="16">
        <f>Table1347456[[#This Row],[v_from_z_from_p]]</f>
        <v>8.2686366178339243E-2</v>
      </c>
      <c r="BM1151" s="20">
        <f>SQRT(Table1347456[[#This Row],[v]])</f>
        <v>0.28755237119234339</v>
      </c>
      <c r="BN1151" s="20">
        <f>Table1347456[[#This Row],[lnrr]]-(1.96*Table1347456[[#This Row],[se]])</f>
        <v>8.091802158279493E-2</v>
      </c>
      <c r="BO1151" s="20">
        <f>Table1347456[[#This Row],[lnrr]]+(1.96 * Table1347456[[#This Row],[se]])</f>
        <v>1.2081233166567811</v>
      </c>
    </row>
    <row r="1152" spans="1:67">
      <c r="A1152" s="13" t="s">
        <v>272</v>
      </c>
      <c r="B1152" s="13" t="s">
        <v>362</v>
      </c>
      <c r="C1152" s="13" t="s">
        <v>43</v>
      </c>
      <c r="D1152" s="13" t="s">
        <v>363</v>
      </c>
      <c r="E1152" s="13" t="s">
        <v>132</v>
      </c>
      <c r="F1152" s="13" t="s">
        <v>589</v>
      </c>
      <c r="G1152" s="13" t="s">
        <v>364</v>
      </c>
      <c r="H1152" s="13">
        <v>18</v>
      </c>
      <c r="I1152" s="13">
        <v>1150</v>
      </c>
      <c r="K1152" s="13" t="s">
        <v>926</v>
      </c>
      <c r="L1152" s="13" t="s">
        <v>927</v>
      </c>
      <c r="N1152" s="13" t="s">
        <v>614</v>
      </c>
      <c r="O1152" s="13" t="s">
        <v>614</v>
      </c>
      <c r="P1152" s="13" t="s">
        <v>521</v>
      </c>
      <c r="Q1152" s="13" t="s">
        <v>87</v>
      </c>
      <c r="R1152" s="4">
        <v>5</v>
      </c>
      <c r="S1152" s="13" t="s">
        <v>596</v>
      </c>
      <c r="T1152" s="13">
        <v>90</v>
      </c>
      <c r="U1152" s="4" t="s">
        <v>220</v>
      </c>
      <c r="V1152" s="4">
        <v>450</v>
      </c>
      <c r="W1152" s="4" t="s">
        <v>601</v>
      </c>
      <c r="X1152" s="4">
        <v>271</v>
      </c>
      <c r="Y1152" s="4">
        <v>73</v>
      </c>
      <c r="Z1152" s="4" t="s">
        <v>549</v>
      </c>
      <c r="AA1152" s="4" t="s">
        <v>49</v>
      </c>
      <c r="AB1152" s="4">
        <v>0</v>
      </c>
      <c r="AC1152" s="4" t="s">
        <v>49</v>
      </c>
      <c r="AD1152" s="4">
        <v>0</v>
      </c>
      <c r="AE1152" s="4" t="s">
        <v>49</v>
      </c>
      <c r="AF1152" s="4">
        <v>0</v>
      </c>
      <c r="AG1152" s="4" t="s">
        <v>681</v>
      </c>
      <c r="AH1152" s="4" t="s">
        <v>680</v>
      </c>
      <c r="AI1152" s="4" t="s">
        <v>64</v>
      </c>
      <c r="AJ1152" s="13">
        <v>0</v>
      </c>
      <c r="AK1152" s="13">
        <v>20</v>
      </c>
      <c r="AL1152" s="13" t="s">
        <v>548</v>
      </c>
      <c r="AP1152" s="13" t="s">
        <v>49</v>
      </c>
      <c r="AQ1152" s="13" t="s">
        <v>49</v>
      </c>
      <c r="AR1152" s="13" t="s">
        <v>50</v>
      </c>
      <c r="AS1152" s="13" t="s">
        <v>49</v>
      </c>
      <c r="AT1152" s="13" t="s">
        <v>990</v>
      </c>
      <c r="AU1152" s="13" t="s">
        <v>998</v>
      </c>
      <c r="AV1152" s="14">
        <f>19.8/10</f>
        <v>1.98</v>
      </c>
      <c r="AW1152" s="14">
        <f>6.11/10</f>
        <v>0.61099999999999999</v>
      </c>
      <c r="AX1152" s="14">
        <f>Table1347456[[#This Row],[treatment_mean]]/Table1347456[[#This Row],[control_mean]]</f>
        <v>3.2405891980360066</v>
      </c>
      <c r="AY1152" s="14">
        <f>LN(Table1347456[[#This Row],[rr]])</f>
        <v>1.1757551645169857</v>
      </c>
      <c r="AZ1152" s="13">
        <v>5</v>
      </c>
      <c r="BA1152" s="13">
        <v>5</v>
      </c>
      <c r="BB1152" s="14" t="s">
        <v>46</v>
      </c>
      <c r="BC1152" s="14" t="s">
        <v>46</v>
      </c>
      <c r="BD1152" s="15" t="s">
        <v>46</v>
      </c>
      <c r="BE1152" s="14" t="s">
        <v>46</v>
      </c>
      <c r="BF115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52" s="17" t="s">
        <v>46</v>
      </c>
      <c r="BH1152" s="13" t="s">
        <v>50</v>
      </c>
      <c r="BI1152" s="13">
        <v>2.5000000000000001E-2</v>
      </c>
      <c r="BJ1152" s="18">
        <f>ABS(_xlfn.NORM.S.INV(Table1347456[[#This Row],[p_value]]/2))</f>
        <v>2.2414027276049446</v>
      </c>
      <c r="BK1152" s="19">
        <f>(Table1347456[[#This Row],[lnrr]]/Table1347456[[#This Row],[z_from_p]])^2</f>
        <v>0.27516551039290466</v>
      </c>
      <c r="BL1152" s="16">
        <f>Table1347456[[#This Row],[v_from_z_from_p]]</f>
        <v>0.27516551039290466</v>
      </c>
      <c r="BM1152" s="20">
        <f>SQRT(Table1347456[[#This Row],[v]])</f>
        <v>0.52456220831556732</v>
      </c>
      <c r="BN1152" s="20">
        <f>Table1347456[[#This Row],[lnrr]]-(1.96*Table1347456[[#This Row],[se]])</f>
        <v>0.14761323621847366</v>
      </c>
      <c r="BO1152" s="20">
        <f>Table1347456[[#This Row],[lnrr]]+(1.96 * Table1347456[[#This Row],[se]])</f>
        <v>2.2038970928154979</v>
      </c>
    </row>
    <row r="1153" spans="1:67">
      <c r="A1153" s="13" t="s">
        <v>272</v>
      </c>
      <c r="B1153" s="13" t="s">
        <v>582</v>
      </c>
      <c r="C1153" s="13" t="s">
        <v>43</v>
      </c>
      <c r="D1153" s="13" t="s">
        <v>363</v>
      </c>
      <c r="E1153" s="13" t="s">
        <v>132</v>
      </c>
      <c r="F1153" s="13" t="s">
        <v>589</v>
      </c>
      <c r="G1153" s="13" t="s">
        <v>364</v>
      </c>
      <c r="H1153" s="13">
        <v>18</v>
      </c>
      <c r="I1153" s="13">
        <v>1150</v>
      </c>
      <c r="K1153" s="13" t="s">
        <v>926</v>
      </c>
      <c r="L1153" s="13" t="s">
        <v>927</v>
      </c>
      <c r="N1153" s="13" t="s">
        <v>624</v>
      </c>
      <c r="O1153" s="13" t="s">
        <v>644</v>
      </c>
      <c r="P1153" s="13" t="s">
        <v>48</v>
      </c>
      <c r="Q1153" s="13" t="s">
        <v>48</v>
      </c>
      <c r="R1153" s="4">
        <v>5</v>
      </c>
      <c r="S1153" s="13" t="s">
        <v>596</v>
      </c>
      <c r="T1153" s="13">
        <v>90</v>
      </c>
      <c r="U1153" s="4" t="s">
        <v>365</v>
      </c>
      <c r="V1153" s="4">
        <v>450</v>
      </c>
      <c r="W1153" s="4" t="s">
        <v>601</v>
      </c>
      <c r="X1153" s="4">
        <v>271</v>
      </c>
      <c r="Y1153" s="4">
        <v>42</v>
      </c>
      <c r="Z1153" s="4" t="s">
        <v>547</v>
      </c>
      <c r="AA1153" s="4" t="s">
        <v>49</v>
      </c>
      <c r="AB1153" s="4">
        <v>0</v>
      </c>
      <c r="AC1153" s="4" t="s">
        <v>49</v>
      </c>
      <c r="AD1153" s="4">
        <v>0</v>
      </c>
      <c r="AE1153" s="4" t="s">
        <v>49</v>
      </c>
      <c r="AF1153" s="4">
        <v>0</v>
      </c>
      <c r="AG1153" s="4" t="s">
        <v>46</v>
      </c>
      <c r="AH1153" s="4" t="s">
        <v>680</v>
      </c>
      <c r="AI1153" s="4" t="s">
        <v>64</v>
      </c>
      <c r="AJ1153" s="13">
        <v>0</v>
      </c>
      <c r="AK1153" s="13">
        <v>20</v>
      </c>
      <c r="AL1153" s="13" t="s">
        <v>548</v>
      </c>
      <c r="AP1153" s="13" t="s">
        <v>49</v>
      </c>
      <c r="AQ1153" s="13" t="s">
        <v>49</v>
      </c>
      <c r="AR1153" s="13" t="s">
        <v>50</v>
      </c>
      <c r="AS1153" s="13" t="s">
        <v>49</v>
      </c>
      <c r="AT1153" s="13" t="s">
        <v>990</v>
      </c>
      <c r="AU1153" s="13" t="s">
        <v>998</v>
      </c>
      <c r="AV1153" s="14">
        <v>62.4</v>
      </c>
      <c r="AW1153" s="14">
        <v>35.1</v>
      </c>
      <c r="AX1153" s="14">
        <f>Table1347456[[#This Row],[treatment_mean]]/Table1347456[[#This Row],[control_mean]]</f>
        <v>1.7777777777777777</v>
      </c>
      <c r="AY1153" s="14">
        <f>LN(Table1347456[[#This Row],[rr]])</f>
        <v>0.5753641449035618</v>
      </c>
      <c r="AZ1153" s="13">
        <v>5</v>
      </c>
      <c r="BA1153" s="13">
        <v>5</v>
      </c>
      <c r="BB1153" s="14" t="s">
        <v>46</v>
      </c>
      <c r="BC1153" s="14" t="s">
        <v>46</v>
      </c>
      <c r="BD1153" s="15" t="s">
        <v>46</v>
      </c>
      <c r="BE1153" s="14" t="s">
        <v>46</v>
      </c>
      <c r="BF115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53" s="17" t="s">
        <v>46</v>
      </c>
      <c r="BH1153" s="13" t="s">
        <v>50</v>
      </c>
      <c r="BI1153" s="13">
        <v>2.5000000000000001E-2</v>
      </c>
      <c r="BJ1153" s="18">
        <f>ABS(_xlfn.NORM.S.INV(Table1347456[[#This Row],[p_value]]/2))</f>
        <v>2.2414027276049446</v>
      </c>
      <c r="BK1153" s="19">
        <f>(Table1347456[[#This Row],[lnrr]]/Table1347456[[#This Row],[z_from_p]])^2</f>
        <v>6.5893988617114707E-2</v>
      </c>
      <c r="BL1153" s="16">
        <f>Table1347456[[#This Row],[v_from_z_from_p]]</f>
        <v>6.5893988617114707E-2</v>
      </c>
      <c r="BM1153" s="20">
        <f>SQRT(Table1347456[[#This Row],[v]])</f>
        <v>0.25669824428132482</v>
      </c>
      <c r="BN1153" s="20">
        <f>Table1347456[[#This Row],[lnrr]]-(1.96*Table1347456[[#This Row],[se]])</f>
        <v>7.2235586112165184E-2</v>
      </c>
      <c r="BO1153" s="20">
        <f>Table1347456[[#This Row],[lnrr]]+(1.96 * Table1347456[[#This Row],[se]])</f>
        <v>1.0784927036949585</v>
      </c>
    </row>
    <row r="1154" spans="1:67">
      <c r="A1154" s="13" t="s">
        <v>272</v>
      </c>
      <c r="B1154" s="13" t="s">
        <v>362</v>
      </c>
      <c r="C1154" s="13" t="s">
        <v>43</v>
      </c>
      <c r="D1154" s="13" t="s">
        <v>363</v>
      </c>
      <c r="E1154" s="13" t="s">
        <v>132</v>
      </c>
      <c r="F1154" s="13" t="s">
        <v>589</v>
      </c>
      <c r="G1154" s="13" t="s">
        <v>364</v>
      </c>
      <c r="H1154" s="13">
        <v>18</v>
      </c>
      <c r="I1154" s="13">
        <v>1150</v>
      </c>
      <c r="K1154" s="13" t="s">
        <v>926</v>
      </c>
      <c r="L1154" s="13" t="s">
        <v>927</v>
      </c>
      <c r="N1154" s="13" t="s">
        <v>624</v>
      </c>
      <c r="O1154" s="13" t="s">
        <v>644</v>
      </c>
      <c r="P1154" s="13" t="s">
        <v>48</v>
      </c>
      <c r="Q1154" s="13" t="s">
        <v>48</v>
      </c>
      <c r="R1154" s="4">
        <v>5</v>
      </c>
      <c r="S1154" s="13" t="s">
        <v>596</v>
      </c>
      <c r="T1154" s="13">
        <v>90</v>
      </c>
      <c r="U1154" s="4" t="s">
        <v>365</v>
      </c>
      <c r="V1154" s="4">
        <v>450</v>
      </c>
      <c r="W1154" s="4" t="s">
        <v>601</v>
      </c>
      <c r="X1154" s="4">
        <v>271</v>
      </c>
      <c r="Y1154" s="4">
        <v>84</v>
      </c>
      <c r="Z1154" s="4" t="s">
        <v>549</v>
      </c>
      <c r="AA1154" s="4" t="s">
        <v>49</v>
      </c>
      <c r="AB1154" s="4">
        <v>0</v>
      </c>
      <c r="AC1154" s="4" t="s">
        <v>49</v>
      </c>
      <c r="AD1154" s="4">
        <v>0</v>
      </c>
      <c r="AE1154" s="4" t="s">
        <v>49</v>
      </c>
      <c r="AF1154" s="4">
        <v>0</v>
      </c>
      <c r="AG1154" s="4" t="s">
        <v>682</v>
      </c>
      <c r="AH1154" s="4" t="s">
        <v>680</v>
      </c>
      <c r="AI1154" s="4" t="s">
        <v>64</v>
      </c>
      <c r="AJ1154" s="13">
        <v>0</v>
      </c>
      <c r="AK1154" s="13">
        <v>20</v>
      </c>
      <c r="AL1154" s="13" t="s">
        <v>548</v>
      </c>
      <c r="AP1154" s="13" t="s">
        <v>49</v>
      </c>
      <c r="AQ1154" s="13" t="s">
        <v>49</v>
      </c>
      <c r="AR1154" s="13" t="s">
        <v>50</v>
      </c>
      <c r="AS1154" s="13" t="s">
        <v>49</v>
      </c>
      <c r="AT1154" s="13" t="s">
        <v>990</v>
      </c>
      <c r="AU1154" s="13" t="s">
        <v>998</v>
      </c>
      <c r="AV1154" s="14">
        <v>81.900000000000006</v>
      </c>
      <c r="AW1154" s="14">
        <v>35.1</v>
      </c>
      <c r="AX1154" s="14">
        <f>Table1347456[[#This Row],[treatment_mean]]/Table1347456[[#This Row],[control_mean]]</f>
        <v>2.3333333333333335</v>
      </c>
      <c r="AY1154" s="14">
        <f>LN(Table1347456[[#This Row],[rr]])</f>
        <v>0.84729786038720367</v>
      </c>
      <c r="AZ1154" s="13">
        <v>5</v>
      </c>
      <c r="BA1154" s="13">
        <v>5</v>
      </c>
      <c r="BB1154" s="14" t="s">
        <v>46</v>
      </c>
      <c r="BC1154" s="14" t="s">
        <v>46</v>
      </c>
      <c r="BD1154" s="15" t="s">
        <v>46</v>
      </c>
      <c r="BE1154" s="14" t="s">
        <v>46</v>
      </c>
      <c r="BF115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54" s="17" t="s">
        <v>46</v>
      </c>
      <c r="BH1154" s="13" t="s">
        <v>50</v>
      </c>
      <c r="BI1154" s="13">
        <v>2.5000000000000001E-2</v>
      </c>
      <c r="BJ1154" s="18">
        <f>ABS(_xlfn.NORM.S.INV(Table1347456[[#This Row],[p_value]]/2))</f>
        <v>2.2414027276049446</v>
      </c>
      <c r="BK1154" s="19">
        <f>(Table1347456[[#This Row],[lnrr]]/Table1347456[[#This Row],[z_from_p]])^2</f>
        <v>0.14290006529794344</v>
      </c>
      <c r="BL1154" s="16">
        <f>Table1347456[[#This Row],[v_from_z_from_p]]</f>
        <v>0.14290006529794344</v>
      </c>
      <c r="BM1154" s="20">
        <f>SQRT(Table1347456[[#This Row],[v]])</f>
        <v>0.37802124979681162</v>
      </c>
      <c r="BN1154" s="20">
        <f>Table1347456[[#This Row],[lnrr]]-(1.96*Table1347456[[#This Row],[se]])</f>
        <v>0.1063762107854529</v>
      </c>
      <c r="BO1154" s="20">
        <f>Table1347456[[#This Row],[lnrr]]+(1.96 * Table1347456[[#This Row],[se]])</f>
        <v>1.5882195099889544</v>
      </c>
    </row>
    <row r="1155" spans="1:67">
      <c r="A1155" s="13" t="s">
        <v>272</v>
      </c>
      <c r="B1155" s="13" t="s">
        <v>362</v>
      </c>
      <c r="C1155" s="13" t="s">
        <v>43</v>
      </c>
      <c r="D1155" s="13" t="s">
        <v>363</v>
      </c>
      <c r="E1155" s="13" t="s">
        <v>132</v>
      </c>
      <c r="F1155" s="13" t="s">
        <v>589</v>
      </c>
      <c r="G1155" s="13" t="s">
        <v>364</v>
      </c>
      <c r="H1155" s="13">
        <v>18</v>
      </c>
      <c r="I1155" s="13">
        <v>1150</v>
      </c>
      <c r="K1155" s="13" t="s">
        <v>926</v>
      </c>
      <c r="L1155" s="13" t="s">
        <v>927</v>
      </c>
      <c r="N1155" s="13" t="s">
        <v>624</v>
      </c>
      <c r="O1155" s="13" t="s">
        <v>644</v>
      </c>
      <c r="P1155" s="13" t="s">
        <v>48</v>
      </c>
      <c r="Q1155" s="13" t="s">
        <v>48</v>
      </c>
      <c r="R1155" s="4">
        <v>5</v>
      </c>
      <c r="S1155" s="13" t="s">
        <v>596</v>
      </c>
      <c r="T1155" s="13">
        <v>90</v>
      </c>
      <c r="U1155" s="4" t="s">
        <v>365</v>
      </c>
      <c r="V1155" s="4">
        <v>450</v>
      </c>
      <c r="W1155" s="4" t="s">
        <v>601</v>
      </c>
      <c r="X1155" s="4">
        <v>271</v>
      </c>
      <c r="Y1155" s="4">
        <v>126</v>
      </c>
      <c r="Z1155" s="4" t="s">
        <v>550</v>
      </c>
      <c r="AA1155" s="4" t="s">
        <v>49</v>
      </c>
      <c r="AB1155" s="4">
        <v>0</v>
      </c>
      <c r="AC1155" s="4" t="s">
        <v>49</v>
      </c>
      <c r="AD1155" s="4">
        <v>0</v>
      </c>
      <c r="AE1155" s="4" t="s">
        <v>49</v>
      </c>
      <c r="AF1155" s="4">
        <v>0</v>
      </c>
      <c r="AG1155" s="4" t="s">
        <v>682</v>
      </c>
      <c r="AH1155" s="4" t="s">
        <v>680</v>
      </c>
      <c r="AI1155" s="4" t="s">
        <v>64</v>
      </c>
      <c r="AJ1155" s="13">
        <v>0</v>
      </c>
      <c r="AK1155" s="13">
        <v>20</v>
      </c>
      <c r="AL1155" s="13" t="s">
        <v>548</v>
      </c>
      <c r="AP1155" s="13" t="s">
        <v>49</v>
      </c>
      <c r="AQ1155" s="13" t="s">
        <v>49</v>
      </c>
      <c r="AR1155" s="13" t="s">
        <v>50</v>
      </c>
      <c r="AS1155" s="13" t="s">
        <v>49</v>
      </c>
      <c r="AT1155" s="13" t="s">
        <v>990</v>
      </c>
      <c r="AU1155" s="13" t="s">
        <v>998</v>
      </c>
      <c r="AV1155" s="14">
        <v>89.7</v>
      </c>
      <c r="AW1155" s="14">
        <v>35.1</v>
      </c>
      <c r="AX1155" s="14">
        <f>Table1347456[[#This Row],[treatment_mean]]/Table1347456[[#This Row],[control_mean]]</f>
        <v>2.5555555555555554</v>
      </c>
      <c r="AY1155" s="14">
        <f>LN(Table1347456[[#This Row],[rr]])</f>
        <v>0.93826963859293022</v>
      </c>
      <c r="AZ1155" s="13">
        <v>5</v>
      </c>
      <c r="BA1155" s="13">
        <v>5</v>
      </c>
      <c r="BB1155" s="14" t="s">
        <v>46</v>
      </c>
      <c r="BC1155" s="14" t="s">
        <v>46</v>
      </c>
      <c r="BD1155" s="15" t="s">
        <v>46</v>
      </c>
      <c r="BE1155" s="14" t="s">
        <v>46</v>
      </c>
      <c r="BF115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55" s="17" t="s">
        <v>46</v>
      </c>
      <c r="BH1155" s="13" t="s">
        <v>50</v>
      </c>
      <c r="BI1155" s="13">
        <v>2.5000000000000001E-2</v>
      </c>
      <c r="BJ1155" s="18">
        <f>ABS(_xlfn.NORM.S.INV(Table1347456[[#This Row],[p_value]]/2))</f>
        <v>2.2414027276049446</v>
      </c>
      <c r="BK1155" s="19">
        <f>(Table1347456[[#This Row],[lnrr]]/Table1347456[[#This Row],[z_from_p]])^2</f>
        <v>0.17523285398625404</v>
      </c>
      <c r="BL1155" s="16">
        <f>Table1347456[[#This Row],[v_from_z_from_p]]</f>
        <v>0.17523285398625404</v>
      </c>
      <c r="BM1155" s="20">
        <f>SQRT(Table1347456[[#This Row],[v]])</f>
        <v>0.41860823449408402</v>
      </c>
      <c r="BN1155" s="20">
        <f>Table1347456[[#This Row],[lnrr]]-(1.96*Table1347456[[#This Row],[se]])</f>
        <v>0.11779749898452552</v>
      </c>
      <c r="BO1155" s="20">
        <f>Table1347456[[#This Row],[lnrr]]+(1.96 * Table1347456[[#This Row],[se]])</f>
        <v>1.758741778201335</v>
      </c>
    </row>
    <row r="1156" spans="1:67">
      <c r="A1156" s="13" t="s">
        <v>272</v>
      </c>
      <c r="B1156" s="13" t="s">
        <v>362</v>
      </c>
      <c r="C1156" s="13" t="s">
        <v>43</v>
      </c>
      <c r="D1156" s="13" t="s">
        <v>363</v>
      </c>
      <c r="E1156" s="13" t="s">
        <v>132</v>
      </c>
      <c r="F1156" s="13" t="s">
        <v>589</v>
      </c>
      <c r="G1156" s="13" t="s">
        <v>364</v>
      </c>
      <c r="H1156" s="13">
        <v>18</v>
      </c>
      <c r="I1156" s="13">
        <v>1150</v>
      </c>
      <c r="K1156" s="13" t="s">
        <v>926</v>
      </c>
      <c r="L1156" s="13" t="s">
        <v>927</v>
      </c>
      <c r="N1156" s="13" t="s">
        <v>624</v>
      </c>
      <c r="O1156" s="13" t="s">
        <v>644</v>
      </c>
      <c r="P1156" s="13" t="s">
        <v>48</v>
      </c>
      <c r="Q1156" s="13" t="s">
        <v>48</v>
      </c>
      <c r="R1156" s="4">
        <v>5</v>
      </c>
      <c r="S1156" s="13" t="s">
        <v>596</v>
      </c>
      <c r="T1156" s="13">
        <v>90</v>
      </c>
      <c r="U1156" s="4" t="s">
        <v>365</v>
      </c>
      <c r="V1156" s="4">
        <v>450</v>
      </c>
      <c r="W1156" s="4" t="s">
        <v>601</v>
      </c>
      <c r="X1156" s="4">
        <v>271</v>
      </c>
      <c r="Y1156" s="4">
        <v>168</v>
      </c>
      <c r="Z1156" s="4" t="s">
        <v>551</v>
      </c>
      <c r="AA1156" s="4" t="s">
        <v>49</v>
      </c>
      <c r="AB1156" s="4">
        <v>0</v>
      </c>
      <c r="AC1156" s="4" t="s">
        <v>49</v>
      </c>
      <c r="AD1156" s="4">
        <v>0</v>
      </c>
      <c r="AE1156" s="4" t="s">
        <v>49</v>
      </c>
      <c r="AF1156" s="4">
        <v>0</v>
      </c>
      <c r="AG1156" s="4" t="s">
        <v>682</v>
      </c>
      <c r="AH1156" s="4" t="s">
        <v>680</v>
      </c>
      <c r="AI1156" s="4" t="s">
        <v>64</v>
      </c>
      <c r="AJ1156" s="13">
        <v>0</v>
      </c>
      <c r="AK1156" s="13">
        <v>20</v>
      </c>
      <c r="AL1156" s="13" t="s">
        <v>548</v>
      </c>
      <c r="AP1156" s="13" t="s">
        <v>49</v>
      </c>
      <c r="AQ1156" s="13" t="s">
        <v>49</v>
      </c>
      <c r="AR1156" s="13" t="s">
        <v>50</v>
      </c>
      <c r="AS1156" s="13" t="s">
        <v>49</v>
      </c>
      <c r="AT1156" s="13" t="s">
        <v>990</v>
      </c>
      <c r="AU1156" s="13" t="s">
        <v>998</v>
      </c>
      <c r="AV1156" s="14">
        <v>124.8</v>
      </c>
      <c r="AW1156" s="14">
        <v>35.1</v>
      </c>
      <c r="AX1156" s="14">
        <f>Table1347456[[#This Row],[treatment_mean]]/Table1347456[[#This Row],[control_mean]]</f>
        <v>3.5555555555555554</v>
      </c>
      <c r="AY1156" s="14">
        <f>LN(Table1347456[[#This Row],[rr]])</f>
        <v>1.2685113254635072</v>
      </c>
      <c r="AZ1156" s="13">
        <v>5</v>
      </c>
      <c r="BA1156" s="13">
        <v>5</v>
      </c>
      <c r="BB1156" s="14" t="s">
        <v>46</v>
      </c>
      <c r="BC1156" s="14" t="s">
        <v>46</v>
      </c>
      <c r="BD1156" s="15" t="s">
        <v>46</v>
      </c>
      <c r="BE1156" s="14" t="s">
        <v>46</v>
      </c>
      <c r="BF115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56" s="17" t="s">
        <v>46</v>
      </c>
      <c r="BH1156" s="13" t="s">
        <v>50</v>
      </c>
      <c r="BI1156" s="13">
        <v>2.5000000000000001E-2</v>
      </c>
      <c r="BJ1156" s="18">
        <f>ABS(_xlfn.NORM.S.INV(Table1347456[[#This Row],[p_value]]/2))</f>
        <v>2.2414027276049446</v>
      </c>
      <c r="BK1156" s="19">
        <f>(Table1347456[[#This Row],[lnrr]]/Table1347456[[#This Row],[z_from_p]])^2</f>
        <v>0.32029407570819401</v>
      </c>
      <c r="BL1156" s="16">
        <f>Table1347456[[#This Row],[v_from_z_from_p]]</f>
        <v>0.32029407570819401</v>
      </c>
      <c r="BM1156" s="20">
        <f>SQRT(Table1347456[[#This Row],[v]])</f>
        <v>0.56594529391823201</v>
      </c>
      <c r="BN1156" s="20">
        <f>Table1347456[[#This Row],[lnrr]]-(1.96*Table1347456[[#This Row],[se]])</f>
        <v>0.1592585493837726</v>
      </c>
      <c r="BO1156" s="20">
        <f>Table1347456[[#This Row],[lnrr]]+(1.96 * Table1347456[[#This Row],[se]])</f>
        <v>2.3777641015432418</v>
      </c>
    </row>
    <row r="1157" spans="1:67">
      <c r="A1157" s="13" t="s">
        <v>272</v>
      </c>
      <c r="B1157" s="13" t="s">
        <v>362</v>
      </c>
      <c r="C1157" s="13" t="s">
        <v>43</v>
      </c>
      <c r="D1157" s="13" t="s">
        <v>363</v>
      </c>
      <c r="E1157" s="13" t="s">
        <v>132</v>
      </c>
      <c r="F1157" s="13" t="s">
        <v>589</v>
      </c>
      <c r="G1157" s="13" t="s">
        <v>364</v>
      </c>
      <c r="H1157" s="13">
        <v>18</v>
      </c>
      <c r="I1157" s="13">
        <v>1150</v>
      </c>
      <c r="K1157" s="13" t="s">
        <v>926</v>
      </c>
      <c r="L1157" s="13" t="s">
        <v>927</v>
      </c>
      <c r="N1157" s="13" t="s">
        <v>624</v>
      </c>
      <c r="O1157" s="13" t="s">
        <v>644</v>
      </c>
      <c r="P1157" s="13" t="s">
        <v>48</v>
      </c>
      <c r="Q1157" s="13" t="s">
        <v>48</v>
      </c>
      <c r="R1157" s="4">
        <v>5</v>
      </c>
      <c r="S1157" s="13" t="s">
        <v>596</v>
      </c>
      <c r="T1157" s="13">
        <v>90</v>
      </c>
      <c r="U1157" s="4" t="s">
        <v>220</v>
      </c>
      <c r="V1157" s="4">
        <v>450</v>
      </c>
      <c r="W1157" s="4" t="s">
        <v>601</v>
      </c>
      <c r="X1157" s="4">
        <v>271</v>
      </c>
      <c r="Y1157" s="4">
        <v>73</v>
      </c>
      <c r="Z1157" s="4" t="s">
        <v>549</v>
      </c>
      <c r="AA1157" s="4" t="s">
        <v>49</v>
      </c>
      <c r="AB1157" s="4">
        <v>0</v>
      </c>
      <c r="AC1157" s="4" t="s">
        <v>49</v>
      </c>
      <c r="AD1157" s="4">
        <v>0</v>
      </c>
      <c r="AE1157" s="4" t="s">
        <v>49</v>
      </c>
      <c r="AF1157" s="4">
        <v>0</v>
      </c>
      <c r="AG1157" s="4" t="s">
        <v>681</v>
      </c>
      <c r="AH1157" s="4" t="s">
        <v>680</v>
      </c>
      <c r="AI1157" s="4" t="s">
        <v>64</v>
      </c>
      <c r="AJ1157" s="13">
        <v>0</v>
      </c>
      <c r="AK1157" s="13">
        <v>20</v>
      </c>
      <c r="AL1157" s="13" t="s">
        <v>548</v>
      </c>
      <c r="AP1157" s="13" t="s">
        <v>49</v>
      </c>
      <c r="AQ1157" s="13" t="s">
        <v>49</v>
      </c>
      <c r="AR1157" s="13" t="s">
        <v>50</v>
      </c>
      <c r="AS1157" s="13" t="s">
        <v>49</v>
      </c>
      <c r="AT1157" s="13" t="s">
        <v>990</v>
      </c>
      <c r="AU1157" s="13" t="s">
        <v>998</v>
      </c>
      <c r="AV1157" s="14">
        <v>66.3</v>
      </c>
      <c r="AW1157" s="14">
        <v>35.1</v>
      </c>
      <c r="AX1157" s="14">
        <f>Table1347456[[#This Row],[treatment_mean]]/Table1347456[[#This Row],[control_mean]]</f>
        <v>1.8888888888888888</v>
      </c>
      <c r="AY1157" s="14">
        <f>LN(Table1347456[[#This Row],[rr]])</f>
        <v>0.63598876671999671</v>
      </c>
      <c r="AZ1157" s="13">
        <v>5</v>
      </c>
      <c r="BA1157" s="13">
        <v>5</v>
      </c>
      <c r="BB1157" s="14" t="s">
        <v>46</v>
      </c>
      <c r="BC1157" s="14" t="s">
        <v>46</v>
      </c>
      <c r="BD1157" s="15" t="s">
        <v>46</v>
      </c>
      <c r="BE1157" s="14" t="s">
        <v>46</v>
      </c>
      <c r="BF115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57" s="17" t="s">
        <v>46</v>
      </c>
      <c r="BH1157" s="13" t="s">
        <v>50</v>
      </c>
      <c r="BI1157" s="13">
        <v>2.5000000000000001E-2</v>
      </c>
      <c r="BJ1157" s="18">
        <f>ABS(_xlfn.NORM.S.INV(Table1347456[[#This Row],[p_value]]/2))</f>
        <v>2.2414027276049446</v>
      </c>
      <c r="BK1157" s="19">
        <f>(Table1347456[[#This Row],[lnrr]]/Table1347456[[#This Row],[z_from_p]])^2</f>
        <v>8.0511718680117153E-2</v>
      </c>
      <c r="BL1157" s="16">
        <f>Table1347456[[#This Row],[v_from_z_from_p]]</f>
        <v>8.0511718680117153E-2</v>
      </c>
      <c r="BM1157" s="20">
        <f>SQRT(Table1347456[[#This Row],[v]])</f>
        <v>0.28374586989085349</v>
      </c>
      <c r="BN1157" s="20">
        <f>Table1347456[[#This Row],[lnrr]]-(1.96*Table1347456[[#This Row],[se]])</f>
        <v>7.9846861733923857E-2</v>
      </c>
      <c r="BO1157" s="20">
        <f>Table1347456[[#This Row],[lnrr]]+(1.96 * Table1347456[[#This Row],[se]])</f>
        <v>1.1921306717060696</v>
      </c>
    </row>
    <row r="1158" spans="1:67">
      <c r="A1158" s="13" t="s">
        <v>272</v>
      </c>
      <c r="B1158" s="13" t="s">
        <v>582</v>
      </c>
      <c r="C1158" s="13" t="s">
        <v>43</v>
      </c>
      <c r="D1158" s="13" t="s">
        <v>363</v>
      </c>
      <c r="E1158" s="13" t="s">
        <v>132</v>
      </c>
      <c r="F1158" s="13" t="s">
        <v>589</v>
      </c>
      <c r="G1158" s="13" t="s">
        <v>364</v>
      </c>
      <c r="H1158" s="13">
        <v>18</v>
      </c>
      <c r="I1158" s="13">
        <v>1150</v>
      </c>
      <c r="J1158" s="13" t="s">
        <v>673</v>
      </c>
      <c r="K1158" s="13" t="s">
        <v>926</v>
      </c>
      <c r="L1158" s="13" t="s">
        <v>927</v>
      </c>
      <c r="M1158" s="13" t="s">
        <v>798</v>
      </c>
      <c r="N1158" s="13" t="s">
        <v>627</v>
      </c>
      <c r="O1158" s="13" t="s">
        <v>644</v>
      </c>
      <c r="P1158" s="13" t="s">
        <v>85</v>
      </c>
      <c r="Q1158" s="13" t="s">
        <v>48</v>
      </c>
      <c r="R1158" s="4">
        <v>5</v>
      </c>
      <c r="S1158" s="13" t="s">
        <v>596</v>
      </c>
      <c r="T1158" s="13">
        <v>90</v>
      </c>
      <c r="U1158" s="4" t="s">
        <v>365</v>
      </c>
      <c r="V1158" s="4">
        <v>450</v>
      </c>
      <c r="W1158" s="4" t="s">
        <v>601</v>
      </c>
      <c r="X1158" s="4">
        <v>271</v>
      </c>
      <c r="Y1158" s="4">
        <v>42</v>
      </c>
      <c r="Z1158" s="4" t="s">
        <v>547</v>
      </c>
      <c r="AA1158" s="4" t="s">
        <v>49</v>
      </c>
      <c r="AB1158" s="4">
        <v>0</v>
      </c>
      <c r="AC1158" s="4" t="s">
        <v>49</v>
      </c>
      <c r="AD1158" s="4">
        <v>0</v>
      </c>
      <c r="AE1158" s="4" t="s">
        <v>49</v>
      </c>
      <c r="AF1158" s="4">
        <v>0</v>
      </c>
      <c r="AG1158" s="4" t="s">
        <v>46</v>
      </c>
      <c r="AH1158" s="4" t="s">
        <v>680</v>
      </c>
      <c r="AI1158" s="4" t="s">
        <v>64</v>
      </c>
      <c r="AJ1158" s="13">
        <v>0</v>
      </c>
      <c r="AK1158" s="13">
        <v>20</v>
      </c>
      <c r="AL1158" s="13" t="s">
        <v>548</v>
      </c>
      <c r="AP1158" s="13" t="s">
        <v>49</v>
      </c>
      <c r="AQ1158" s="13" t="s">
        <v>49</v>
      </c>
      <c r="AR1158" s="13" t="s">
        <v>50</v>
      </c>
      <c r="AS1158" s="13" t="s">
        <v>49</v>
      </c>
      <c r="AT1158" s="13" t="s">
        <v>990</v>
      </c>
      <c r="AU1158" s="13" t="s">
        <v>998</v>
      </c>
      <c r="AV1158" s="23">
        <f>61.37/1000</f>
        <v>6.1369999999999994E-2</v>
      </c>
      <c r="AW1158" s="23">
        <f>8.48/1000</f>
        <v>8.4799999999999997E-3</v>
      </c>
      <c r="AX1158" s="14">
        <f>Table1347456[[#This Row],[treatment_mean]]/Table1347456[[#This Row],[control_mean]]</f>
        <v>7.2370283018867916</v>
      </c>
      <c r="AY1158" s="14">
        <f>LN(Table1347456[[#This Row],[rr]])</f>
        <v>1.9792106665971938</v>
      </c>
      <c r="AZ1158" s="13">
        <v>5</v>
      </c>
      <c r="BA1158" s="13">
        <v>5</v>
      </c>
      <c r="BB1158" s="14" t="s">
        <v>46</v>
      </c>
      <c r="BC1158" s="14" t="s">
        <v>46</v>
      </c>
      <c r="BD1158" s="15" t="s">
        <v>46</v>
      </c>
      <c r="BE1158" s="14" t="s">
        <v>46</v>
      </c>
      <c r="BF115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58" s="17" t="s">
        <v>46</v>
      </c>
      <c r="BH1158" s="13" t="s">
        <v>50</v>
      </c>
      <c r="BI1158" s="13">
        <v>2.5000000000000001E-2</v>
      </c>
      <c r="BJ1158" s="18">
        <f>ABS(_xlfn.NORM.S.INV(Table1347456[[#This Row],[p_value]]/2))</f>
        <v>2.2414027276049446</v>
      </c>
      <c r="BK1158" s="19">
        <f>(Table1347456[[#This Row],[lnrr]]/Table1347456[[#This Row],[z_from_p]])^2</f>
        <v>0.77973001710569656</v>
      </c>
      <c r="BL1158" s="16">
        <f>Table1347456[[#This Row],[v_from_z_from_p]]</f>
        <v>0.77973001710569656</v>
      </c>
      <c r="BM1158" s="20">
        <f>SQRT(Table1347456[[#This Row],[v]])</f>
        <v>0.88302322568871117</v>
      </c>
      <c r="BN1158" s="20">
        <f>Table1347456[[#This Row],[lnrr]]-(1.96*Table1347456[[#This Row],[se]])</f>
        <v>0.24848514424731993</v>
      </c>
      <c r="BO1158" s="20">
        <f>Table1347456[[#This Row],[lnrr]]+(1.96 * Table1347456[[#This Row],[se]])</f>
        <v>3.7099361889470677</v>
      </c>
    </row>
    <row r="1159" spans="1:67">
      <c r="A1159" s="13" t="s">
        <v>272</v>
      </c>
      <c r="B1159" s="13" t="s">
        <v>362</v>
      </c>
      <c r="C1159" s="13" t="s">
        <v>43</v>
      </c>
      <c r="D1159" s="13" t="s">
        <v>363</v>
      </c>
      <c r="E1159" s="13" t="s">
        <v>132</v>
      </c>
      <c r="F1159" s="13" t="s">
        <v>589</v>
      </c>
      <c r="G1159" s="13" t="s">
        <v>364</v>
      </c>
      <c r="H1159" s="13">
        <v>18</v>
      </c>
      <c r="I1159" s="13">
        <v>1150</v>
      </c>
      <c r="J1159" s="13" t="s">
        <v>673</v>
      </c>
      <c r="K1159" s="13" t="s">
        <v>926</v>
      </c>
      <c r="L1159" s="13" t="s">
        <v>927</v>
      </c>
      <c r="M1159" s="13" t="s">
        <v>798</v>
      </c>
      <c r="N1159" s="13" t="s">
        <v>627</v>
      </c>
      <c r="O1159" s="13" t="s">
        <v>644</v>
      </c>
      <c r="P1159" s="13" t="s">
        <v>85</v>
      </c>
      <c r="Q1159" s="13" t="s">
        <v>48</v>
      </c>
      <c r="R1159" s="4">
        <v>5</v>
      </c>
      <c r="S1159" s="13" t="s">
        <v>596</v>
      </c>
      <c r="T1159" s="13">
        <v>90</v>
      </c>
      <c r="U1159" s="4" t="s">
        <v>365</v>
      </c>
      <c r="V1159" s="4">
        <v>450</v>
      </c>
      <c r="W1159" s="4" t="s">
        <v>601</v>
      </c>
      <c r="X1159" s="4">
        <v>271</v>
      </c>
      <c r="Y1159" s="4">
        <v>84</v>
      </c>
      <c r="Z1159" s="4" t="s">
        <v>549</v>
      </c>
      <c r="AA1159" s="4" t="s">
        <v>49</v>
      </c>
      <c r="AB1159" s="4">
        <v>0</v>
      </c>
      <c r="AC1159" s="4" t="s">
        <v>49</v>
      </c>
      <c r="AD1159" s="4">
        <v>0</v>
      </c>
      <c r="AE1159" s="4" t="s">
        <v>49</v>
      </c>
      <c r="AF1159" s="4">
        <v>0</v>
      </c>
      <c r="AG1159" s="4" t="s">
        <v>682</v>
      </c>
      <c r="AH1159" s="4" t="s">
        <v>680</v>
      </c>
      <c r="AI1159" s="4" t="s">
        <v>64</v>
      </c>
      <c r="AJ1159" s="13">
        <v>0</v>
      </c>
      <c r="AK1159" s="13">
        <v>20</v>
      </c>
      <c r="AL1159" s="13" t="s">
        <v>548</v>
      </c>
      <c r="AP1159" s="13" t="s">
        <v>49</v>
      </c>
      <c r="AQ1159" s="13" t="s">
        <v>49</v>
      </c>
      <c r="AR1159" s="13" t="s">
        <v>50</v>
      </c>
      <c r="AS1159" s="13" t="s">
        <v>49</v>
      </c>
      <c r="AT1159" s="13" t="s">
        <v>990</v>
      </c>
      <c r="AU1159" s="13" t="s">
        <v>998</v>
      </c>
      <c r="AV1159" s="23">
        <f>91.36/1000</f>
        <v>9.1359999999999997E-2</v>
      </c>
      <c r="AW1159" s="23">
        <f>8.48/1000</f>
        <v>8.4799999999999997E-3</v>
      </c>
      <c r="AX1159" s="14">
        <f>Table1347456[[#This Row],[treatment_mean]]/Table1347456[[#This Row],[control_mean]]</f>
        <v>10.773584905660377</v>
      </c>
      <c r="AY1159" s="14">
        <f>LN(Table1347456[[#This Row],[rr]])</f>
        <v>2.3770972961038881</v>
      </c>
      <c r="AZ1159" s="13">
        <v>5</v>
      </c>
      <c r="BA1159" s="13">
        <v>5</v>
      </c>
      <c r="BB1159" s="14" t="s">
        <v>46</v>
      </c>
      <c r="BC1159" s="14" t="s">
        <v>46</v>
      </c>
      <c r="BD1159" s="15" t="s">
        <v>46</v>
      </c>
      <c r="BE1159" s="14" t="s">
        <v>46</v>
      </c>
      <c r="BF115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59" s="17" t="s">
        <v>46</v>
      </c>
      <c r="BH1159" s="13" t="s">
        <v>50</v>
      </c>
      <c r="BI1159" s="13">
        <v>2.5000000000000001E-2</v>
      </c>
      <c r="BJ1159" s="18">
        <f>ABS(_xlfn.NORM.S.INV(Table1347456[[#This Row],[p_value]]/2))</f>
        <v>2.2414027276049446</v>
      </c>
      <c r="BK1159" s="19">
        <f>(Table1347456[[#This Row],[lnrr]]/Table1347456[[#This Row],[z_from_p]])^2</f>
        <v>1.1247451364268433</v>
      </c>
      <c r="BL1159" s="16">
        <f>Table1347456[[#This Row],[v_from_z_from_p]]</f>
        <v>1.1247451364268433</v>
      </c>
      <c r="BM1159" s="20">
        <f>SQRT(Table1347456[[#This Row],[v]])</f>
        <v>1.0605400211339708</v>
      </c>
      <c r="BN1159" s="20">
        <f>Table1347456[[#This Row],[lnrr]]-(1.96*Table1347456[[#This Row],[se]])</f>
        <v>0.29843885468130527</v>
      </c>
      <c r="BO1159" s="20">
        <f>Table1347456[[#This Row],[lnrr]]+(1.96 * Table1347456[[#This Row],[se]])</f>
        <v>4.4557557375264709</v>
      </c>
    </row>
    <row r="1160" spans="1:67">
      <c r="A1160" s="13" t="s">
        <v>272</v>
      </c>
      <c r="B1160" s="13" t="s">
        <v>362</v>
      </c>
      <c r="C1160" s="13" t="s">
        <v>43</v>
      </c>
      <c r="D1160" s="13" t="s">
        <v>363</v>
      </c>
      <c r="E1160" s="13" t="s">
        <v>132</v>
      </c>
      <c r="F1160" s="13" t="s">
        <v>589</v>
      </c>
      <c r="G1160" s="13" t="s">
        <v>364</v>
      </c>
      <c r="H1160" s="13">
        <v>18</v>
      </c>
      <c r="I1160" s="13">
        <v>1150</v>
      </c>
      <c r="J1160" s="13" t="s">
        <v>673</v>
      </c>
      <c r="K1160" s="13" t="s">
        <v>926</v>
      </c>
      <c r="L1160" s="13" t="s">
        <v>927</v>
      </c>
      <c r="M1160" s="13" t="s">
        <v>798</v>
      </c>
      <c r="N1160" s="13" t="s">
        <v>627</v>
      </c>
      <c r="O1160" s="13" t="s">
        <v>644</v>
      </c>
      <c r="P1160" s="13" t="s">
        <v>85</v>
      </c>
      <c r="Q1160" s="13" t="s">
        <v>48</v>
      </c>
      <c r="R1160" s="4">
        <v>5</v>
      </c>
      <c r="S1160" s="13" t="s">
        <v>596</v>
      </c>
      <c r="T1160" s="13">
        <v>90</v>
      </c>
      <c r="U1160" s="4" t="s">
        <v>365</v>
      </c>
      <c r="V1160" s="4">
        <v>450</v>
      </c>
      <c r="W1160" s="4" t="s">
        <v>601</v>
      </c>
      <c r="X1160" s="4">
        <v>271</v>
      </c>
      <c r="Y1160" s="4">
        <v>126</v>
      </c>
      <c r="Z1160" s="4" t="s">
        <v>550</v>
      </c>
      <c r="AA1160" s="4" t="s">
        <v>49</v>
      </c>
      <c r="AB1160" s="4">
        <v>0</v>
      </c>
      <c r="AC1160" s="4" t="s">
        <v>49</v>
      </c>
      <c r="AD1160" s="4">
        <v>0</v>
      </c>
      <c r="AE1160" s="4" t="s">
        <v>49</v>
      </c>
      <c r="AF1160" s="4">
        <v>0</v>
      </c>
      <c r="AG1160" s="4" t="s">
        <v>682</v>
      </c>
      <c r="AH1160" s="4" t="s">
        <v>680</v>
      </c>
      <c r="AI1160" s="4" t="s">
        <v>64</v>
      </c>
      <c r="AJ1160" s="13">
        <v>0</v>
      </c>
      <c r="AK1160" s="13">
        <v>20</v>
      </c>
      <c r="AL1160" s="13" t="s">
        <v>548</v>
      </c>
      <c r="AP1160" s="13" t="s">
        <v>49</v>
      </c>
      <c r="AQ1160" s="13" t="s">
        <v>49</v>
      </c>
      <c r="AR1160" s="13" t="s">
        <v>50</v>
      </c>
      <c r="AS1160" s="13" t="s">
        <v>49</v>
      </c>
      <c r="AT1160" s="13" t="s">
        <v>990</v>
      </c>
      <c r="AU1160" s="13" t="s">
        <v>998</v>
      </c>
      <c r="AV1160" s="23">
        <f>122.8/1000</f>
        <v>0.12279999999999999</v>
      </c>
      <c r="AW1160" s="23">
        <f>8.48/1000</f>
        <v>8.4799999999999997E-3</v>
      </c>
      <c r="AX1160" s="14">
        <f>Table1347456[[#This Row],[treatment_mean]]/Table1347456[[#This Row],[control_mean]]</f>
        <v>14.481132075471697</v>
      </c>
      <c r="AY1160" s="14">
        <f>LN(Table1347456[[#This Row],[rr]])</f>
        <v>2.6728465659092304</v>
      </c>
      <c r="AZ1160" s="13">
        <v>5</v>
      </c>
      <c r="BA1160" s="13">
        <v>5</v>
      </c>
      <c r="BB1160" s="14" t="s">
        <v>46</v>
      </c>
      <c r="BC1160" s="14" t="s">
        <v>46</v>
      </c>
      <c r="BD1160" s="15" t="s">
        <v>46</v>
      </c>
      <c r="BE1160" s="14" t="s">
        <v>46</v>
      </c>
      <c r="BF116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60" s="17" t="s">
        <v>46</v>
      </c>
      <c r="BH1160" s="13" t="s">
        <v>50</v>
      </c>
      <c r="BI1160" s="13">
        <v>2.5000000000000001E-2</v>
      </c>
      <c r="BJ1160" s="18">
        <f>ABS(_xlfn.NORM.S.INV(Table1347456[[#This Row],[p_value]]/2))</f>
        <v>2.2414027276049446</v>
      </c>
      <c r="BK1160" s="19">
        <f>(Table1347456[[#This Row],[lnrr]]/Table1347456[[#This Row],[z_from_p]])^2</f>
        <v>1.4220283857009655</v>
      </c>
      <c r="BL1160" s="16">
        <f>Table1347456[[#This Row],[v_from_z_from_p]]</f>
        <v>1.4220283857009655</v>
      </c>
      <c r="BM1160" s="20">
        <f>SQRT(Table1347456[[#This Row],[v]])</f>
        <v>1.1924883167985192</v>
      </c>
      <c r="BN1160" s="20">
        <f>Table1347456[[#This Row],[lnrr]]-(1.96*Table1347456[[#This Row],[se]])</f>
        <v>0.33556946498413298</v>
      </c>
      <c r="BO1160" s="20">
        <f>Table1347456[[#This Row],[lnrr]]+(1.96 * Table1347456[[#This Row],[se]])</f>
        <v>5.0101236668343283</v>
      </c>
    </row>
    <row r="1161" spans="1:67">
      <c r="A1161" s="13" t="s">
        <v>272</v>
      </c>
      <c r="B1161" s="13" t="s">
        <v>362</v>
      </c>
      <c r="C1161" s="13" t="s">
        <v>43</v>
      </c>
      <c r="D1161" s="13" t="s">
        <v>363</v>
      </c>
      <c r="E1161" s="13" t="s">
        <v>132</v>
      </c>
      <c r="F1161" s="13" t="s">
        <v>589</v>
      </c>
      <c r="G1161" s="13" t="s">
        <v>364</v>
      </c>
      <c r="H1161" s="13">
        <v>18</v>
      </c>
      <c r="I1161" s="13">
        <v>1150</v>
      </c>
      <c r="J1161" s="13" t="s">
        <v>673</v>
      </c>
      <c r="K1161" s="13" t="s">
        <v>926</v>
      </c>
      <c r="L1161" s="13" t="s">
        <v>927</v>
      </c>
      <c r="M1161" s="13" t="s">
        <v>798</v>
      </c>
      <c r="N1161" s="13" t="s">
        <v>627</v>
      </c>
      <c r="O1161" s="13" t="s">
        <v>644</v>
      </c>
      <c r="P1161" s="13" t="s">
        <v>85</v>
      </c>
      <c r="Q1161" s="13" t="s">
        <v>48</v>
      </c>
      <c r="R1161" s="4">
        <v>5</v>
      </c>
      <c r="S1161" s="13" t="s">
        <v>596</v>
      </c>
      <c r="T1161" s="13">
        <v>90</v>
      </c>
      <c r="U1161" s="4" t="s">
        <v>365</v>
      </c>
      <c r="V1161" s="4">
        <v>450</v>
      </c>
      <c r="W1161" s="4" t="s">
        <v>601</v>
      </c>
      <c r="X1161" s="4">
        <v>271</v>
      </c>
      <c r="Y1161" s="4">
        <v>168</v>
      </c>
      <c r="Z1161" s="4" t="s">
        <v>551</v>
      </c>
      <c r="AA1161" s="4" t="s">
        <v>49</v>
      </c>
      <c r="AB1161" s="4">
        <v>0</v>
      </c>
      <c r="AC1161" s="4" t="s">
        <v>49</v>
      </c>
      <c r="AD1161" s="4">
        <v>0</v>
      </c>
      <c r="AE1161" s="4" t="s">
        <v>49</v>
      </c>
      <c r="AF1161" s="4">
        <v>0</v>
      </c>
      <c r="AG1161" s="4" t="s">
        <v>682</v>
      </c>
      <c r="AH1161" s="4" t="s">
        <v>680</v>
      </c>
      <c r="AI1161" s="4" t="s">
        <v>64</v>
      </c>
      <c r="AJ1161" s="13">
        <v>0</v>
      </c>
      <c r="AK1161" s="13">
        <v>20</v>
      </c>
      <c r="AL1161" s="13" t="s">
        <v>548</v>
      </c>
      <c r="AP1161" s="13" t="s">
        <v>49</v>
      </c>
      <c r="AQ1161" s="13" t="s">
        <v>49</v>
      </c>
      <c r="AR1161" s="13" t="s">
        <v>50</v>
      </c>
      <c r="AS1161" s="13" t="s">
        <v>49</v>
      </c>
      <c r="AT1161" s="13" t="s">
        <v>990</v>
      </c>
      <c r="AU1161" s="13" t="s">
        <v>998</v>
      </c>
      <c r="AV1161" s="23">
        <f>151.45/1000</f>
        <v>0.15145</v>
      </c>
      <c r="AW1161" s="23">
        <f>8.48/1000</f>
        <v>8.4799999999999997E-3</v>
      </c>
      <c r="AX1161" s="14">
        <f>Table1347456[[#This Row],[treatment_mean]]/Table1347456[[#This Row],[control_mean]]</f>
        <v>17.859669811320757</v>
      </c>
      <c r="AY1161" s="14">
        <f>LN(Table1347456[[#This Row],[rr]])</f>
        <v>2.8825450876694347</v>
      </c>
      <c r="AZ1161" s="13">
        <v>5</v>
      </c>
      <c r="BA1161" s="13">
        <v>5</v>
      </c>
      <c r="BB1161" s="14" t="s">
        <v>46</v>
      </c>
      <c r="BC1161" s="14" t="s">
        <v>46</v>
      </c>
      <c r="BD1161" s="15" t="s">
        <v>46</v>
      </c>
      <c r="BE1161" s="14" t="s">
        <v>46</v>
      </c>
      <c r="BF116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61" s="17" t="s">
        <v>46</v>
      </c>
      <c r="BH1161" s="13" t="s">
        <v>50</v>
      </c>
      <c r="BI1161" s="13">
        <v>2.5000000000000001E-2</v>
      </c>
      <c r="BJ1161" s="18">
        <f>ABS(_xlfn.NORM.S.INV(Table1347456[[#This Row],[p_value]]/2))</f>
        <v>2.2414027276049446</v>
      </c>
      <c r="BK1161" s="19">
        <f>(Table1347456[[#This Row],[lnrr]]/Table1347456[[#This Row],[z_from_p]])^2</f>
        <v>1.6539121056180079</v>
      </c>
      <c r="BL1161" s="16">
        <f>Table1347456[[#This Row],[v_from_z_from_p]]</f>
        <v>1.6539121056180079</v>
      </c>
      <c r="BM1161" s="20">
        <f>SQRT(Table1347456[[#This Row],[v]])</f>
        <v>1.286045141360912</v>
      </c>
      <c r="BN1161" s="20">
        <f>Table1347456[[#This Row],[lnrr]]-(1.96*Table1347456[[#This Row],[se]])</f>
        <v>0.36189661060204736</v>
      </c>
      <c r="BO1161" s="20">
        <f>Table1347456[[#This Row],[lnrr]]+(1.96 * Table1347456[[#This Row],[se]])</f>
        <v>5.4031935647368226</v>
      </c>
    </row>
    <row r="1162" spans="1:67">
      <c r="A1162" s="13" t="s">
        <v>272</v>
      </c>
      <c r="B1162" s="13" t="s">
        <v>362</v>
      </c>
      <c r="C1162" s="13" t="s">
        <v>43</v>
      </c>
      <c r="D1162" s="13" t="s">
        <v>363</v>
      </c>
      <c r="E1162" s="13" t="s">
        <v>132</v>
      </c>
      <c r="F1162" s="13" t="s">
        <v>589</v>
      </c>
      <c r="G1162" s="13" t="s">
        <v>364</v>
      </c>
      <c r="H1162" s="13">
        <v>18</v>
      </c>
      <c r="I1162" s="13">
        <v>1150</v>
      </c>
      <c r="J1162" s="13" t="s">
        <v>673</v>
      </c>
      <c r="K1162" s="13" t="s">
        <v>926</v>
      </c>
      <c r="L1162" s="13" t="s">
        <v>927</v>
      </c>
      <c r="M1162" s="13" t="s">
        <v>798</v>
      </c>
      <c r="N1162" s="13" t="s">
        <v>627</v>
      </c>
      <c r="O1162" s="13" t="s">
        <v>644</v>
      </c>
      <c r="P1162" s="13" t="s">
        <v>85</v>
      </c>
      <c r="Q1162" s="13" t="s">
        <v>48</v>
      </c>
      <c r="R1162" s="4">
        <v>5</v>
      </c>
      <c r="S1162" s="13" t="s">
        <v>596</v>
      </c>
      <c r="T1162" s="13">
        <v>90</v>
      </c>
      <c r="U1162" s="4" t="s">
        <v>220</v>
      </c>
      <c r="V1162" s="4">
        <v>450</v>
      </c>
      <c r="W1162" s="4" t="s">
        <v>601</v>
      </c>
      <c r="X1162" s="4">
        <v>271</v>
      </c>
      <c r="Y1162" s="4">
        <v>73</v>
      </c>
      <c r="Z1162" s="4" t="s">
        <v>549</v>
      </c>
      <c r="AA1162" s="4" t="s">
        <v>49</v>
      </c>
      <c r="AB1162" s="4">
        <v>0</v>
      </c>
      <c r="AC1162" s="4" t="s">
        <v>49</v>
      </c>
      <c r="AD1162" s="4">
        <v>0</v>
      </c>
      <c r="AE1162" s="4" t="s">
        <v>49</v>
      </c>
      <c r="AF1162" s="4">
        <v>0</v>
      </c>
      <c r="AG1162" s="4" t="s">
        <v>681</v>
      </c>
      <c r="AH1162" s="4" t="s">
        <v>680</v>
      </c>
      <c r="AI1162" s="4" t="s">
        <v>64</v>
      </c>
      <c r="AJ1162" s="13">
        <v>0</v>
      </c>
      <c r="AK1162" s="13">
        <v>20</v>
      </c>
      <c r="AL1162" s="13" t="s">
        <v>548</v>
      </c>
      <c r="AP1162" s="13" t="s">
        <v>49</v>
      </c>
      <c r="AQ1162" s="13" t="s">
        <v>49</v>
      </c>
      <c r="AR1162" s="13" t="s">
        <v>50</v>
      </c>
      <c r="AS1162" s="13" t="s">
        <v>49</v>
      </c>
      <c r="AT1162" s="13" t="s">
        <v>990</v>
      </c>
      <c r="AU1162" s="13" t="s">
        <v>998</v>
      </c>
      <c r="AV1162" s="23">
        <f>139.75/1000</f>
        <v>0.13975000000000001</v>
      </c>
      <c r="AW1162" s="23">
        <f>8.48/1000</f>
        <v>8.4799999999999997E-3</v>
      </c>
      <c r="AX1162" s="14">
        <f>Table1347456[[#This Row],[treatment_mean]]/Table1347456[[#This Row],[control_mean]]</f>
        <v>16.479952830188683</v>
      </c>
      <c r="AY1162" s="14">
        <f>LN(Table1347456[[#This Row],[rr]])</f>
        <v>2.802144662231397</v>
      </c>
      <c r="AZ1162" s="13">
        <v>5</v>
      </c>
      <c r="BA1162" s="13">
        <v>5</v>
      </c>
      <c r="BB1162" s="14" t="s">
        <v>46</v>
      </c>
      <c r="BC1162" s="14" t="s">
        <v>46</v>
      </c>
      <c r="BD1162" s="15" t="s">
        <v>46</v>
      </c>
      <c r="BE1162" s="14" t="s">
        <v>46</v>
      </c>
      <c r="BF116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62" s="17" t="s">
        <v>46</v>
      </c>
      <c r="BH1162" s="13" t="s">
        <v>50</v>
      </c>
      <c r="BI1162" s="13">
        <v>2.5000000000000001E-2</v>
      </c>
      <c r="BJ1162" s="18">
        <f>ABS(_xlfn.NORM.S.INV(Table1347456[[#This Row],[p_value]]/2))</f>
        <v>2.2414027276049446</v>
      </c>
      <c r="BK1162" s="19">
        <f>(Table1347456[[#This Row],[lnrr]]/Table1347456[[#This Row],[z_from_p]])^2</f>
        <v>1.5629364231813085</v>
      </c>
      <c r="BL1162" s="16">
        <f>Table1347456[[#This Row],[v_from_z_from_p]]</f>
        <v>1.5629364231813085</v>
      </c>
      <c r="BM1162" s="20">
        <f>SQRT(Table1347456[[#This Row],[v]])</f>
        <v>1.2501745570844531</v>
      </c>
      <c r="BN1162" s="20">
        <f>Table1347456[[#This Row],[lnrr]]-(1.96*Table1347456[[#This Row],[se]])</f>
        <v>0.35180253034586872</v>
      </c>
      <c r="BO1162" s="20">
        <f>Table1347456[[#This Row],[lnrr]]+(1.96 * Table1347456[[#This Row],[se]])</f>
        <v>5.2524867941169253</v>
      </c>
    </row>
    <row r="1163" spans="1:67">
      <c r="A1163" s="13" t="s">
        <v>272</v>
      </c>
      <c r="B1163" s="13" t="s">
        <v>362</v>
      </c>
      <c r="C1163" s="13" t="s">
        <v>43</v>
      </c>
      <c r="D1163" s="13" t="s">
        <v>363</v>
      </c>
      <c r="E1163" s="13" t="s">
        <v>132</v>
      </c>
      <c r="F1163" s="13" t="s">
        <v>589</v>
      </c>
      <c r="G1163" s="13" t="s">
        <v>364</v>
      </c>
      <c r="H1163" s="13">
        <v>18</v>
      </c>
      <c r="I1163" s="13">
        <v>1150</v>
      </c>
      <c r="K1163" s="13" t="s">
        <v>926</v>
      </c>
      <c r="L1163" s="13" t="s">
        <v>927</v>
      </c>
      <c r="N1163" s="13" t="s">
        <v>121</v>
      </c>
      <c r="O1163" s="13" t="s">
        <v>645</v>
      </c>
      <c r="P1163" s="13" t="s">
        <v>48</v>
      </c>
      <c r="Q1163" s="13" t="s">
        <v>48</v>
      </c>
      <c r="R1163" s="4">
        <v>5</v>
      </c>
      <c r="S1163" s="13" t="s">
        <v>596</v>
      </c>
      <c r="T1163" s="13">
        <v>90</v>
      </c>
      <c r="U1163" s="4" t="s">
        <v>365</v>
      </c>
      <c r="V1163" s="4">
        <v>450</v>
      </c>
      <c r="W1163" s="4" t="s">
        <v>601</v>
      </c>
      <c r="X1163" s="4">
        <v>271</v>
      </c>
      <c r="Y1163" s="4">
        <v>42</v>
      </c>
      <c r="Z1163" s="4" t="s">
        <v>547</v>
      </c>
      <c r="AA1163" s="4" t="s">
        <v>49</v>
      </c>
      <c r="AB1163" s="4">
        <v>0</v>
      </c>
      <c r="AC1163" s="4" t="s">
        <v>49</v>
      </c>
      <c r="AD1163" s="4">
        <v>0</v>
      </c>
      <c r="AE1163" s="4" t="s">
        <v>49</v>
      </c>
      <c r="AF1163" s="4">
        <v>0</v>
      </c>
      <c r="AG1163" s="4" t="s">
        <v>682</v>
      </c>
      <c r="AH1163" s="4" t="s">
        <v>680</v>
      </c>
      <c r="AI1163" s="4" t="s">
        <v>64</v>
      </c>
      <c r="AJ1163" s="13">
        <v>0</v>
      </c>
      <c r="AK1163" s="13">
        <v>20</v>
      </c>
      <c r="AL1163" s="13" t="s">
        <v>548</v>
      </c>
      <c r="AP1163" s="13" t="s">
        <v>49</v>
      </c>
      <c r="AQ1163" s="13" t="s">
        <v>49</v>
      </c>
      <c r="AR1163" s="13" t="s">
        <v>50</v>
      </c>
      <c r="AS1163" s="13" t="s">
        <v>49</v>
      </c>
      <c r="AT1163" s="13" t="s">
        <v>990</v>
      </c>
      <c r="AU1163" s="13" t="s">
        <v>998</v>
      </c>
      <c r="AV1163" s="14">
        <v>12.5</v>
      </c>
      <c r="AW1163" s="14">
        <v>10.64</v>
      </c>
      <c r="AX1163" s="14">
        <f>Table1347456[[#This Row],[treatment_mean]]/Table1347456[[#This Row],[control_mean]]</f>
        <v>1.1748120300751879</v>
      </c>
      <c r="AY1163" s="14">
        <f>LN(Table1347456[[#This Row],[rr]])</f>
        <v>0.16110816039475703</v>
      </c>
      <c r="AZ1163" s="13">
        <v>5</v>
      </c>
      <c r="BA1163" s="13">
        <v>5</v>
      </c>
      <c r="BB1163" s="14" t="s">
        <v>46</v>
      </c>
      <c r="BC1163" s="14" t="s">
        <v>46</v>
      </c>
      <c r="BD1163" s="15" t="s">
        <v>46</v>
      </c>
      <c r="BE1163" s="14" t="s">
        <v>46</v>
      </c>
      <c r="BF116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63" s="17" t="s">
        <v>46</v>
      </c>
      <c r="BH1163" s="13" t="s">
        <v>50</v>
      </c>
      <c r="BI1163" s="13">
        <v>2.5000000000000001E-2</v>
      </c>
      <c r="BJ1163" s="18">
        <f>ABS(_xlfn.NORM.S.INV(Table1347456[[#This Row],[p_value]]/2))</f>
        <v>2.2414027276049446</v>
      </c>
      <c r="BK1163" s="19">
        <f>(Table1347456[[#This Row],[lnrr]]/Table1347456[[#This Row],[z_from_p]])^2</f>
        <v>5.1664863370751166E-3</v>
      </c>
      <c r="BL1163" s="16">
        <f>Table1347456[[#This Row],[v_from_z_from_p]]</f>
        <v>5.1664863370751166E-3</v>
      </c>
      <c r="BM1163" s="20">
        <f>SQRT(Table1347456[[#This Row],[v]])</f>
        <v>7.18782744441957E-2</v>
      </c>
      <c r="BN1163" s="20">
        <f>Table1347456[[#This Row],[lnrr]]-(1.96*Table1347456[[#This Row],[se]])</f>
        <v>2.0226742484133475E-2</v>
      </c>
      <c r="BO1163" s="20">
        <f>Table1347456[[#This Row],[lnrr]]+(1.96 * Table1347456[[#This Row],[se]])</f>
        <v>0.30198957830538059</v>
      </c>
    </row>
    <row r="1164" spans="1:67">
      <c r="A1164" s="13" t="s">
        <v>272</v>
      </c>
      <c r="B1164" s="13" t="s">
        <v>362</v>
      </c>
      <c r="C1164" s="13" t="s">
        <v>43</v>
      </c>
      <c r="D1164" s="13" t="s">
        <v>363</v>
      </c>
      <c r="E1164" s="13" t="s">
        <v>132</v>
      </c>
      <c r="F1164" s="13" t="s">
        <v>589</v>
      </c>
      <c r="G1164" s="13" t="s">
        <v>364</v>
      </c>
      <c r="H1164" s="13">
        <v>18</v>
      </c>
      <c r="I1164" s="13">
        <v>1150</v>
      </c>
      <c r="K1164" s="13" t="s">
        <v>926</v>
      </c>
      <c r="L1164" s="13" t="s">
        <v>927</v>
      </c>
      <c r="N1164" s="13" t="s">
        <v>121</v>
      </c>
      <c r="O1164" s="13" t="s">
        <v>645</v>
      </c>
      <c r="P1164" s="13" t="s">
        <v>48</v>
      </c>
      <c r="Q1164" s="13" t="s">
        <v>48</v>
      </c>
      <c r="R1164" s="4">
        <v>5</v>
      </c>
      <c r="S1164" s="13" t="s">
        <v>596</v>
      </c>
      <c r="T1164" s="13">
        <v>90</v>
      </c>
      <c r="U1164" s="4" t="s">
        <v>365</v>
      </c>
      <c r="V1164" s="4">
        <v>450</v>
      </c>
      <c r="W1164" s="4" t="s">
        <v>601</v>
      </c>
      <c r="X1164" s="4">
        <v>271</v>
      </c>
      <c r="Y1164" s="4">
        <v>84</v>
      </c>
      <c r="Z1164" s="4" t="s">
        <v>549</v>
      </c>
      <c r="AA1164" s="4" t="s">
        <v>49</v>
      </c>
      <c r="AB1164" s="4">
        <v>0</v>
      </c>
      <c r="AC1164" s="4" t="s">
        <v>49</v>
      </c>
      <c r="AD1164" s="4">
        <v>0</v>
      </c>
      <c r="AE1164" s="4" t="s">
        <v>49</v>
      </c>
      <c r="AF1164" s="4">
        <v>0</v>
      </c>
      <c r="AG1164" s="4" t="s">
        <v>682</v>
      </c>
      <c r="AH1164" s="4" t="s">
        <v>680</v>
      </c>
      <c r="AI1164" s="4" t="s">
        <v>64</v>
      </c>
      <c r="AJ1164" s="13">
        <v>0</v>
      </c>
      <c r="AK1164" s="13">
        <v>20</v>
      </c>
      <c r="AL1164" s="13" t="s">
        <v>548</v>
      </c>
      <c r="AP1164" s="13" t="s">
        <v>49</v>
      </c>
      <c r="AQ1164" s="13" t="s">
        <v>49</v>
      </c>
      <c r="AR1164" s="13" t="s">
        <v>50</v>
      </c>
      <c r="AS1164" s="13" t="s">
        <v>49</v>
      </c>
      <c r="AT1164" s="13" t="s">
        <v>990</v>
      </c>
      <c r="AU1164" s="13" t="s">
        <v>998</v>
      </c>
      <c r="AV1164" s="14">
        <v>13.09</v>
      </c>
      <c r="AW1164" s="14">
        <v>10.64</v>
      </c>
      <c r="AX1164" s="14">
        <f>Table1347456[[#This Row],[treatment_mean]]/Table1347456[[#This Row],[control_mean]]</f>
        <v>1.2302631578947367</v>
      </c>
      <c r="AY1164" s="14">
        <f>LN(Table1347456[[#This Row],[rr]])</f>
        <v>0.20722809600831013</v>
      </c>
      <c r="AZ1164" s="13">
        <v>5</v>
      </c>
      <c r="BA1164" s="13">
        <v>5</v>
      </c>
      <c r="BB1164" s="14" t="s">
        <v>46</v>
      </c>
      <c r="BC1164" s="14" t="s">
        <v>46</v>
      </c>
      <c r="BD1164" s="15" t="s">
        <v>46</v>
      </c>
      <c r="BE1164" s="14" t="s">
        <v>46</v>
      </c>
      <c r="BF116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64" s="17" t="s">
        <v>46</v>
      </c>
      <c r="BH1164" s="13" t="s">
        <v>50</v>
      </c>
      <c r="BI1164" s="13">
        <v>2.5000000000000001E-2</v>
      </c>
      <c r="BJ1164" s="18">
        <f>ABS(_xlfn.NORM.S.INV(Table1347456[[#This Row],[p_value]]/2))</f>
        <v>2.2414027276049446</v>
      </c>
      <c r="BK1164" s="19">
        <f>(Table1347456[[#This Row],[lnrr]]/Table1347456[[#This Row],[z_from_p]])^2</f>
        <v>8.5478615904277452E-3</v>
      </c>
      <c r="BL1164" s="16">
        <f>Table1347456[[#This Row],[v_from_z_from_p]]</f>
        <v>8.5478615904277452E-3</v>
      </c>
      <c r="BM1164" s="20">
        <f>SQRT(Table1347456[[#This Row],[v]])</f>
        <v>9.2454646126777992E-2</v>
      </c>
      <c r="BN1164" s="20">
        <f>Table1347456[[#This Row],[lnrr]]-(1.96*Table1347456[[#This Row],[se]])</f>
        <v>2.6016989599825263E-2</v>
      </c>
      <c r="BO1164" s="20">
        <f>Table1347456[[#This Row],[lnrr]]+(1.96 * Table1347456[[#This Row],[se]])</f>
        <v>0.38843920241679497</v>
      </c>
    </row>
    <row r="1165" spans="1:67">
      <c r="A1165" s="13" t="s">
        <v>272</v>
      </c>
      <c r="B1165" s="13" t="s">
        <v>362</v>
      </c>
      <c r="C1165" s="13" t="s">
        <v>43</v>
      </c>
      <c r="D1165" s="13" t="s">
        <v>363</v>
      </c>
      <c r="E1165" s="13" t="s">
        <v>132</v>
      </c>
      <c r="F1165" s="13" t="s">
        <v>589</v>
      </c>
      <c r="G1165" s="13" t="s">
        <v>364</v>
      </c>
      <c r="H1165" s="13">
        <v>18</v>
      </c>
      <c r="I1165" s="13">
        <v>1150</v>
      </c>
      <c r="K1165" s="13" t="s">
        <v>926</v>
      </c>
      <c r="L1165" s="13" t="s">
        <v>927</v>
      </c>
      <c r="N1165" s="13" t="s">
        <v>121</v>
      </c>
      <c r="O1165" s="13" t="s">
        <v>645</v>
      </c>
      <c r="P1165" s="13" t="s">
        <v>48</v>
      </c>
      <c r="Q1165" s="13" t="s">
        <v>48</v>
      </c>
      <c r="R1165" s="4">
        <v>5</v>
      </c>
      <c r="S1165" s="13" t="s">
        <v>596</v>
      </c>
      <c r="T1165" s="13">
        <v>90</v>
      </c>
      <c r="U1165" s="4" t="s">
        <v>365</v>
      </c>
      <c r="V1165" s="4">
        <v>450</v>
      </c>
      <c r="W1165" s="4" t="s">
        <v>601</v>
      </c>
      <c r="X1165" s="4">
        <v>271</v>
      </c>
      <c r="Y1165" s="4">
        <v>126</v>
      </c>
      <c r="Z1165" s="4" t="s">
        <v>550</v>
      </c>
      <c r="AA1165" s="4" t="s">
        <v>49</v>
      </c>
      <c r="AB1165" s="4">
        <v>0</v>
      </c>
      <c r="AC1165" s="4" t="s">
        <v>49</v>
      </c>
      <c r="AD1165" s="4">
        <v>0</v>
      </c>
      <c r="AE1165" s="4" t="s">
        <v>49</v>
      </c>
      <c r="AF1165" s="4">
        <v>0</v>
      </c>
      <c r="AG1165" s="4" t="s">
        <v>682</v>
      </c>
      <c r="AH1165" s="4" t="s">
        <v>680</v>
      </c>
      <c r="AI1165" s="4" t="s">
        <v>64</v>
      </c>
      <c r="AJ1165" s="13">
        <v>0</v>
      </c>
      <c r="AK1165" s="13">
        <v>20</v>
      </c>
      <c r="AL1165" s="13" t="s">
        <v>548</v>
      </c>
      <c r="AP1165" s="13" t="s">
        <v>49</v>
      </c>
      <c r="AQ1165" s="13" t="s">
        <v>49</v>
      </c>
      <c r="AR1165" s="13" t="s">
        <v>50</v>
      </c>
      <c r="AS1165" s="13" t="s">
        <v>49</v>
      </c>
      <c r="AT1165" s="13" t="s">
        <v>990</v>
      </c>
      <c r="AU1165" s="13" t="s">
        <v>998</v>
      </c>
      <c r="AV1165" s="14">
        <v>18.78</v>
      </c>
      <c r="AW1165" s="14">
        <v>10.64</v>
      </c>
      <c r="AX1165" s="14">
        <f>Table1347456[[#This Row],[treatment_mean]]/Table1347456[[#This Row],[control_mean]]</f>
        <v>1.7650375939849625</v>
      </c>
      <c r="AY1165" s="14">
        <f>LN(Table1347456[[#This Row],[rr]])</f>
        <v>0.56817198986661854</v>
      </c>
      <c r="AZ1165" s="13">
        <v>5</v>
      </c>
      <c r="BA1165" s="13">
        <v>5</v>
      </c>
      <c r="BB1165" s="14" t="s">
        <v>46</v>
      </c>
      <c r="BC1165" s="14" t="s">
        <v>46</v>
      </c>
      <c r="BD1165" s="15" t="s">
        <v>46</v>
      </c>
      <c r="BE1165" s="14" t="s">
        <v>46</v>
      </c>
      <c r="BF116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65" s="17" t="s">
        <v>46</v>
      </c>
      <c r="BH1165" s="13" t="s">
        <v>50</v>
      </c>
      <c r="BI1165" s="13">
        <v>2.5000000000000001E-2</v>
      </c>
      <c r="BJ1165" s="18">
        <f>ABS(_xlfn.NORM.S.INV(Table1347456[[#This Row],[p_value]]/2))</f>
        <v>2.2414027276049446</v>
      </c>
      <c r="BK1165" s="19">
        <f>(Table1347456[[#This Row],[lnrr]]/Table1347456[[#This Row],[z_from_p]])^2</f>
        <v>6.4256911488978233E-2</v>
      </c>
      <c r="BL1165" s="16">
        <f>Table1347456[[#This Row],[v_from_z_from_p]]</f>
        <v>6.4256911488978233E-2</v>
      </c>
      <c r="BM1165" s="20">
        <f>SQRT(Table1347456[[#This Row],[v]])</f>
        <v>0.25348947017376922</v>
      </c>
      <c r="BN1165" s="20">
        <f>Table1347456[[#This Row],[lnrr]]-(1.96*Table1347456[[#This Row],[se]])</f>
        <v>7.1332628326030878E-2</v>
      </c>
      <c r="BO1165" s="20">
        <f>Table1347456[[#This Row],[lnrr]]+(1.96 * Table1347456[[#This Row],[se]])</f>
        <v>1.0650113514072062</v>
      </c>
    </row>
    <row r="1166" spans="1:67">
      <c r="A1166" s="13" t="s">
        <v>272</v>
      </c>
      <c r="B1166" s="13" t="s">
        <v>362</v>
      </c>
      <c r="C1166" s="13" t="s">
        <v>43</v>
      </c>
      <c r="D1166" s="13" t="s">
        <v>363</v>
      </c>
      <c r="E1166" s="13" t="s">
        <v>132</v>
      </c>
      <c r="F1166" s="13" t="s">
        <v>589</v>
      </c>
      <c r="G1166" s="13" t="s">
        <v>364</v>
      </c>
      <c r="H1166" s="13">
        <v>18</v>
      </c>
      <c r="I1166" s="13">
        <v>1150</v>
      </c>
      <c r="K1166" s="13" t="s">
        <v>926</v>
      </c>
      <c r="L1166" s="13" t="s">
        <v>927</v>
      </c>
      <c r="N1166" s="13" t="s">
        <v>121</v>
      </c>
      <c r="O1166" s="13" t="s">
        <v>645</v>
      </c>
      <c r="P1166" s="13" t="s">
        <v>48</v>
      </c>
      <c r="Q1166" s="13" t="s">
        <v>48</v>
      </c>
      <c r="R1166" s="4">
        <v>5</v>
      </c>
      <c r="S1166" s="13" t="s">
        <v>596</v>
      </c>
      <c r="T1166" s="13">
        <v>90</v>
      </c>
      <c r="U1166" s="4" t="s">
        <v>365</v>
      </c>
      <c r="V1166" s="4">
        <v>450</v>
      </c>
      <c r="W1166" s="4" t="s">
        <v>601</v>
      </c>
      <c r="X1166" s="4">
        <v>271</v>
      </c>
      <c r="Y1166" s="4">
        <v>168</v>
      </c>
      <c r="Z1166" s="4" t="s">
        <v>551</v>
      </c>
      <c r="AA1166" s="4" t="s">
        <v>49</v>
      </c>
      <c r="AB1166" s="4">
        <v>0</v>
      </c>
      <c r="AC1166" s="4" t="s">
        <v>49</v>
      </c>
      <c r="AD1166" s="4">
        <v>0</v>
      </c>
      <c r="AE1166" s="4" t="s">
        <v>49</v>
      </c>
      <c r="AF1166" s="4">
        <v>0</v>
      </c>
      <c r="AG1166" s="4" t="s">
        <v>682</v>
      </c>
      <c r="AH1166" s="4" t="s">
        <v>680</v>
      </c>
      <c r="AI1166" s="4" t="s">
        <v>64</v>
      </c>
      <c r="AJ1166" s="13">
        <v>0</v>
      </c>
      <c r="AK1166" s="13">
        <v>20</v>
      </c>
      <c r="AL1166" s="13" t="s">
        <v>548</v>
      </c>
      <c r="AP1166" s="13" t="s">
        <v>49</v>
      </c>
      <c r="AQ1166" s="13" t="s">
        <v>49</v>
      </c>
      <c r="AR1166" s="13" t="s">
        <v>50</v>
      </c>
      <c r="AS1166" s="13" t="s">
        <v>49</v>
      </c>
      <c r="AT1166" s="13" t="s">
        <v>990</v>
      </c>
      <c r="AU1166" s="13" t="s">
        <v>998</v>
      </c>
      <c r="AV1166" s="14">
        <v>24.6</v>
      </c>
      <c r="AW1166" s="14">
        <v>10.64</v>
      </c>
      <c r="AX1166" s="14">
        <f>Table1347456[[#This Row],[treatment_mean]]/Table1347456[[#This Row],[control_mean]]</f>
        <v>2.3120300751879701</v>
      </c>
      <c r="AY1166" s="14">
        <f>LN(Table1347456[[#This Row],[rr]])</f>
        <v>0.8381259590248189</v>
      </c>
      <c r="AZ1166" s="13">
        <v>5</v>
      </c>
      <c r="BA1166" s="13">
        <v>5</v>
      </c>
      <c r="BB1166" s="14" t="s">
        <v>46</v>
      </c>
      <c r="BC1166" s="14" t="s">
        <v>46</v>
      </c>
      <c r="BD1166" s="15" t="s">
        <v>46</v>
      </c>
      <c r="BE1166" s="14" t="s">
        <v>46</v>
      </c>
      <c r="BF116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66" s="17" t="s">
        <v>46</v>
      </c>
      <c r="BH1166" s="13" t="s">
        <v>50</v>
      </c>
      <c r="BI1166" s="13">
        <v>2.5000000000000001E-2</v>
      </c>
      <c r="BJ1166" s="18">
        <f>ABS(_xlfn.NORM.S.INV(Table1347456[[#This Row],[p_value]]/2))</f>
        <v>2.2414027276049446</v>
      </c>
      <c r="BK1166" s="19">
        <f>(Table1347456[[#This Row],[lnrr]]/Table1347456[[#This Row],[z_from_p]])^2</f>
        <v>0.13982305669362971</v>
      </c>
      <c r="BL1166" s="16">
        <f>Table1347456[[#This Row],[v_from_z_from_p]]</f>
        <v>0.13982305669362971</v>
      </c>
      <c r="BM1166" s="20">
        <f>SQRT(Table1347456[[#This Row],[v]])</f>
        <v>0.37392921347981051</v>
      </c>
      <c r="BN1166" s="20">
        <f>Table1347456[[#This Row],[lnrr]]-(1.96*Table1347456[[#This Row],[se]])</f>
        <v>0.10522470060439026</v>
      </c>
      <c r="BO1166" s="20">
        <f>Table1347456[[#This Row],[lnrr]]+(1.96 * Table1347456[[#This Row],[se]])</f>
        <v>1.5710272174452475</v>
      </c>
    </row>
    <row r="1167" spans="1:67">
      <c r="A1167" s="13" t="s">
        <v>272</v>
      </c>
      <c r="B1167" s="13" t="s">
        <v>362</v>
      </c>
      <c r="C1167" s="13" t="s">
        <v>43</v>
      </c>
      <c r="D1167" s="13" t="s">
        <v>363</v>
      </c>
      <c r="E1167" s="13" t="s">
        <v>132</v>
      </c>
      <c r="F1167" s="13" t="s">
        <v>589</v>
      </c>
      <c r="G1167" s="13" t="s">
        <v>364</v>
      </c>
      <c r="H1167" s="13">
        <v>18</v>
      </c>
      <c r="I1167" s="13">
        <v>1150</v>
      </c>
      <c r="K1167" s="13" t="s">
        <v>926</v>
      </c>
      <c r="L1167" s="13" t="s">
        <v>927</v>
      </c>
      <c r="N1167" s="13" t="s">
        <v>121</v>
      </c>
      <c r="O1167" s="13" t="s">
        <v>645</v>
      </c>
      <c r="P1167" s="13" t="s">
        <v>48</v>
      </c>
      <c r="Q1167" s="13" t="s">
        <v>48</v>
      </c>
      <c r="R1167" s="4">
        <v>5</v>
      </c>
      <c r="S1167" s="13" t="s">
        <v>596</v>
      </c>
      <c r="T1167" s="13">
        <v>90</v>
      </c>
      <c r="U1167" s="4" t="s">
        <v>220</v>
      </c>
      <c r="V1167" s="4">
        <v>450</v>
      </c>
      <c r="W1167" s="4" t="s">
        <v>601</v>
      </c>
      <c r="X1167" s="4">
        <v>271</v>
      </c>
      <c r="Y1167" s="4">
        <v>73</v>
      </c>
      <c r="Z1167" s="4" t="s">
        <v>549</v>
      </c>
      <c r="AA1167" s="4" t="s">
        <v>49</v>
      </c>
      <c r="AB1167" s="4">
        <v>0</v>
      </c>
      <c r="AC1167" s="4" t="s">
        <v>49</v>
      </c>
      <c r="AD1167" s="4">
        <v>0</v>
      </c>
      <c r="AE1167" s="4" t="s">
        <v>49</v>
      </c>
      <c r="AF1167" s="4">
        <v>0</v>
      </c>
      <c r="AG1167" s="4" t="s">
        <v>681</v>
      </c>
      <c r="AH1167" s="4" t="s">
        <v>680</v>
      </c>
      <c r="AI1167" s="4" t="s">
        <v>64</v>
      </c>
      <c r="AJ1167" s="13">
        <v>0</v>
      </c>
      <c r="AK1167" s="13">
        <v>20</v>
      </c>
      <c r="AL1167" s="13" t="s">
        <v>548</v>
      </c>
      <c r="AP1167" s="13" t="s">
        <v>49</v>
      </c>
      <c r="AQ1167" s="13" t="s">
        <v>49</v>
      </c>
      <c r="AR1167" s="13" t="s">
        <v>50</v>
      </c>
      <c r="AS1167" s="13" t="s">
        <v>49</v>
      </c>
      <c r="AT1167" s="13" t="s">
        <v>990</v>
      </c>
      <c r="AU1167" s="13" t="s">
        <v>998</v>
      </c>
      <c r="AV1167" s="14">
        <v>18.440000000000001</v>
      </c>
      <c r="AW1167" s="14">
        <v>10.64</v>
      </c>
      <c r="AX1167" s="14">
        <f>Table1347456[[#This Row],[treatment_mean]]/Table1347456[[#This Row],[control_mean]]</f>
        <v>1.7330827067669172</v>
      </c>
      <c r="AY1167" s="14">
        <f>LN(Table1347456[[#This Row],[rr]])</f>
        <v>0.54990173421494937</v>
      </c>
      <c r="AZ1167" s="13">
        <v>5</v>
      </c>
      <c r="BA1167" s="13">
        <v>5</v>
      </c>
      <c r="BB1167" s="14" t="s">
        <v>46</v>
      </c>
      <c r="BC1167" s="14" t="s">
        <v>46</v>
      </c>
      <c r="BD1167" s="15" t="s">
        <v>46</v>
      </c>
      <c r="BE1167" s="14" t="s">
        <v>46</v>
      </c>
      <c r="BF116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67" s="17" t="s">
        <v>46</v>
      </c>
      <c r="BH1167" s="13" t="s">
        <v>50</v>
      </c>
      <c r="BI1167" s="13">
        <v>2.5000000000000001E-2</v>
      </c>
      <c r="BJ1167" s="18">
        <f>ABS(_xlfn.NORM.S.INV(Table1347456[[#This Row],[p_value]]/2))</f>
        <v>2.2414027276049446</v>
      </c>
      <c r="BK1167" s="19">
        <f>(Table1347456[[#This Row],[lnrr]]/Table1347456[[#This Row],[z_from_p]])^2</f>
        <v>6.0190837534523867E-2</v>
      </c>
      <c r="BL1167" s="16">
        <f>Table1347456[[#This Row],[v_from_z_from_p]]</f>
        <v>6.0190837534523867E-2</v>
      </c>
      <c r="BM1167" s="20">
        <f>SQRT(Table1347456[[#This Row],[v]])</f>
        <v>0.24533821050648402</v>
      </c>
      <c r="BN1167" s="20">
        <f>Table1347456[[#This Row],[lnrr]]-(1.96*Table1347456[[#This Row],[se]])</f>
        <v>6.9038841622240665E-2</v>
      </c>
      <c r="BO1167" s="20">
        <f>Table1347456[[#This Row],[lnrr]]+(1.96 * Table1347456[[#This Row],[se]])</f>
        <v>1.030764626807658</v>
      </c>
    </row>
    <row r="1168" spans="1:67">
      <c r="A1168" s="13" t="s">
        <v>272</v>
      </c>
      <c r="B1168" s="13" t="s">
        <v>362</v>
      </c>
      <c r="C1168" s="13" t="s">
        <v>43</v>
      </c>
      <c r="D1168" s="13" t="s">
        <v>363</v>
      </c>
      <c r="E1168" s="13" t="s">
        <v>132</v>
      </c>
      <c r="F1168" s="13" t="s">
        <v>589</v>
      </c>
      <c r="G1168" s="13" t="s">
        <v>364</v>
      </c>
      <c r="H1168" s="13">
        <v>18</v>
      </c>
      <c r="I1168" s="13">
        <v>1150</v>
      </c>
      <c r="K1168" s="13" t="s">
        <v>926</v>
      </c>
      <c r="L1168" s="13" t="s">
        <v>927</v>
      </c>
      <c r="N1168" s="13" t="s">
        <v>122</v>
      </c>
      <c r="O1168" s="13" t="s">
        <v>645</v>
      </c>
      <c r="P1168" s="13" t="s">
        <v>48</v>
      </c>
      <c r="Q1168" s="13" t="s">
        <v>48</v>
      </c>
      <c r="R1168" s="4">
        <v>5</v>
      </c>
      <c r="S1168" s="13" t="s">
        <v>596</v>
      </c>
      <c r="T1168" s="13">
        <v>90</v>
      </c>
      <c r="U1168" s="4" t="s">
        <v>365</v>
      </c>
      <c r="V1168" s="4">
        <v>450</v>
      </c>
      <c r="W1168" s="4" t="s">
        <v>601</v>
      </c>
      <c r="X1168" s="4">
        <v>271</v>
      </c>
      <c r="Y1168" s="4">
        <v>42</v>
      </c>
      <c r="Z1168" s="4" t="s">
        <v>547</v>
      </c>
      <c r="AA1168" s="4" t="s">
        <v>49</v>
      </c>
      <c r="AB1168" s="4">
        <v>0</v>
      </c>
      <c r="AC1168" s="4" t="s">
        <v>49</v>
      </c>
      <c r="AD1168" s="4">
        <v>0</v>
      </c>
      <c r="AE1168" s="4" t="s">
        <v>49</v>
      </c>
      <c r="AF1168" s="4">
        <v>0</v>
      </c>
      <c r="AG1168" s="4" t="s">
        <v>682</v>
      </c>
      <c r="AH1168" s="4" t="s">
        <v>680</v>
      </c>
      <c r="AI1168" s="4" t="s">
        <v>64</v>
      </c>
      <c r="AJ1168" s="13">
        <v>0</v>
      </c>
      <c r="AK1168" s="13">
        <v>20</v>
      </c>
      <c r="AL1168" s="13" t="s">
        <v>548</v>
      </c>
      <c r="AP1168" s="13" t="s">
        <v>49</v>
      </c>
      <c r="AQ1168" s="13" t="s">
        <v>49</v>
      </c>
      <c r="AR1168" s="13" t="s">
        <v>50</v>
      </c>
      <c r="AS1168" s="13" t="s">
        <v>49</v>
      </c>
      <c r="AT1168" s="13" t="s">
        <v>990</v>
      </c>
      <c r="AU1168" s="13" t="s">
        <v>998</v>
      </c>
      <c r="AV1168" s="14">
        <v>22.14</v>
      </c>
      <c r="AW1168" s="14">
        <v>12.2</v>
      </c>
      <c r="AX1168" s="14">
        <f>Table1347456[[#This Row],[treatment_mean]]/Table1347456[[#This Row],[control_mean]]</f>
        <v>1.8147540983606558</v>
      </c>
      <c r="AY1168" s="14">
        <f>LN(Table1347456[[#This Row],[rr]])</f>
        <v>0.59594997554128004</v>
      </c>
      <c r="AZ1168" s="13">
        <v>5</v>
      </c>
      <c r="BA1168" s="13">
        <v>5</v>
      </c>
      <c r="BB1168" s="14" t="s">
        <v>46</v>
      </c>
      <c r="BC1168" s="14" t="s">
        <v>46</v>
      </c>
      <c r="BD1168" s="15" t="s">
        <v>46</v>
      </c>
      <c r="BE1168" s="14" t="s">
        <v>46</v>
      </c>
      <c r="BF116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68" s="17" t="s">
        <v>46</v>
      </c>
      <c r="BH1168" s="13" t="s">
        <v>50</v>
      </c>
      <c r="BI1168" s="13">
        <v>2.5000000000000001E-2</v>
      </c>
      <c r="BJ1168" s="18">
        <f>ABS(_xlfn.NORM.S.INV(Table1347456[[#This Row],[p_value]]/2))</f>
        <v>2.2414027276049446</v>
      </c>
      <c r="BK1168" s="19">
        <f>(Table1347456[[#This Row],[lnrr]]/Table1347456[[#This Row],[z_from_p]])^2</f>
        <v>7.0693554771286041E-2</v>
      </c>
      <c r="BL1168" s="16">
        <f>Table1347456[[#This Row],[v_from_z_from_p]]</f>
        <v>7.0693554771286041E-2</v>
      </c>
      <c r="BM1168" s="20">
        <f>SQRT(Table1347456[[#This Row],[v]])</f>
        <v>0.26588259584125856</v>
      </c>
      <c r="BN1168" s="20">
        <f>Table1347456[[#This Row],[lnrr]]-(1.96*Table1347456[[#This Row],[se]])</f>
        <v>7.4820087692413217E-2</v>
      </c>
      <c r="BO1168" s="20">
        <f>Table1347456[[#This Row],[lnrr]]+(1.96 * Table1347456[[#This Row],[se]])</f>
        <v>1.1170798633901469</v>
      </c>
    </row>
    <row r="1169" spans="1:67">
      <c r="A1169" s="13" t="s">
        <v>272</v>
      </c>
      <c r="B1169" s="13" t="s">
        <v>362</v>
      </c>
      <c r="C1169" s="13" t="s">
        <v>43</v>
      </c>
      <c r="D1169" s="13" t="s">
        <v>363</v>
      </c>
      <c r="E1169" s="13" t="s">
        <v>132</v>
      </c>
      <c r="F1169" s="13" t="s">
        <v>589</v>
      </c>
      <c r="G1169" s="13" t="s">
        <v>364</v>
      </c>
      <c r="H1169" s="13">
        <v>18</v>
      </c>
      <c r="I1169" s="13">
        <v>1150</v>
      </c>
      <c r="K1169" s="13" t="s">
        <v>926</v>
      </c>
      <c r="L1169" s="13" t="s">
        <v>927</v>
      </c>
      <c r="N1169" s="13" t="s">
        <v>122</v>
      </c>
      <c r="O1169" s="13" t="s">
        <v>645</v>
      </c>
      <c r="P1169" s="13" t="s">
        <v>48</v>
      </c>
      <c r="Q1169" s="13" t="s">
        <v>48</v>
      </c>
      <c r="R1169" s="4">
        <v>5</v>
      </c>
      <c r="S1169" s="13" t="s">
        <v>596</v>
      </c>
      <c r="T1169" s="13">
        <v>90</v>
      </c>
      <c r="U1169" s="4" t="s">
        <v>365</v>
      </c>
      <c r="V1169" s="4">
        <v>450</v>
      </c>
      <c r="W1169" s="4" t="s">
        <v>601</v>
      </c>
      <c r="X1169" s="4">
        <v>271</v>
      </c>
      <c r="Y1169" s="4">
        <v>84</v>
      </c>
      <c r="Z1169" s="4" t="s">
        <v>549</v>
      </c>
      <c r="AA1169" s="4" t="s">
        <v>49</v>
      </c>
      <c r="AB1169" s="4">
        <v>0</v>
      </c>
      <c r="AC1169" s="4" t="s">
        <v>49</v>
      </c>
      <c r="AD1169" s="4">
        <v>0</v>
      </c>
      <c r="AE1169" s="4" t="s">
        <v>49</v>
      </c>
      <c r="AF1169" s="4">
        <v>0</v>
      </c>
      <c r="AG1169" s="4" t="s">
        <v>682</v>
      </c>
      <c r="AH1169" s="4" t="s">
        <v>680</v>
      </c>
      <c r="AI1169" s="4" t="s">
        <v>64</v>
      </c>
      <c r="AJ1169" s="13">
        <v>0</v>
      </c>
      <c r="AK1169" s="13">
        <v>20</v>
      </c>
      <c r="AL1169" s="13" t="s">
        <v>548</v>
      </c>
      <c r="AP1169" s="13" t="s">
        <v>49</v>
      </c>
      <c r="AQ1169" s="13" t="s">
        <v>49</v>
      </c>
      <c r="AR1169" s="13" t="s">
        <v>50</v>
      </c>
      <c r="AS1169" s="13" t="s">
        <v>49</v>
      </c>
      <c r="AT1169" s="13" t="s">
        <v>990</v>
      </c>
      <c r="AU1169" s="13" t="s">
        <v>998</v>
      </c>
      <c r="AV1169" s="14">
        <v>24.24</v>
      </c>
      <c r="AW1169" s="14">
        <v>12.2</v>
      </c>
      <c r="AX1169" s="14">
        <f>Table1347456[[#This Row],[treatment_mean]]/Table1347456[[#This Row],[control_mean]]</f>
        <v>1.9868852459016393</v>
      </c>
      <c r="AY1169" s="14">
        <f>LN(Table1347456[[#This Row],[rr]])</f>
        <v>0.68656820946190278</v>
      </c>
      <c r="AZ1169" s="13">
        <v>5</v>
      </c>
      <c r="BA1169" s="13">
        <v>5</v>
      </c>
      <c r="BB1169" s="14" t="s">
        <v>46</v>
      </c>
      <c r="BC1169" s="14" t="s">
        <v>46</v>
      </c>
      <c r="BD1169" s="15" t="s">
        <v>46</v>
      </c>
      <c r="BE1169" s="14" t="s">
        <v>46</v>
      </c>
      <c r="BF116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69" s="17" t="s">
        <v>46</v>
      </c>
      <c r="BH1169" s="13" t="s">
        <v>50</v>
      </c>
      <c r="BI1169" s="13">
        <v>2.5000000000000001E-2</v>
      </c>
      <c r="BJ1169" s="18">
        <f>ABS(_xlfn.NORM.S.INV(Table1347456[[#This Row],[p_value]]/2))</f>
        <v>2.2414027276049446</v>
      </c>
      <c r="BK1169" s="19">
        <f>(Table1347456[[#This Row],[lnrr]]/Table1347456[[#This Row],[z_from_p]])^2</f>
        <v>9.3826947639444686E-2</v>
      </c>
      <c r="BL1169" s="16">
        <f>Table1347456[[#This Row],[v_from_z_from_p]]</f>
        <v>9.3826947639444686E-2</v>
      </c>
      <c r="BM1169" s="20">
        <f>SQRT(Table1347456[[#This Row],[v]])</f>
        <v>0.30631184704389852</v>
      </c>
      <c r="BN1169" s="20">
        <f>Table1347456[[#This Row],[lnrr]]-(1.96*Table1347456[[#This Row],[se]])</f>
        <v>8.6196989255861722E-2</v>
      </c>
      <c r="BO1169" s="20">
        <f>Table1347456[[#This Row],[lnrr]]+(1.96 * Table1347456[[#This Row],[se]])</f>
        <v>1.2869394296679437</v>
      </c>
    </row>
    <row r="1170" spans="1:67">
      <c r="A1170" s="13" t="s">
        <v>272</v>
      </c>
      <c r="B1170" s="13" t="s">
        <v>362</v>
      </c>
      <c r="C1170" s="13" t="s">
        <v>43</v>
      </c>
      <c r="D1170" s="13" t="s">
        <v>363</v>
      </c>
      <c r="E1170" s="13" t="s">
        <v>132</v>
      </c>
      <c r="F1170" s="13" t="s">
        <v>589</v>
      </c>
      <c r="G1170" s="13" t="s">
        <v>364</v>
      </c>
      <c r="H1170" s="13">
        <v>18</v>
      </c>
      <c r="I1170" s="13">
        <v>1150</v>
      </c>
      <c r="K1170" s="13" t="s">
        <v>926</v>
      </c>
      <c r="L1170" s="13" t="s">
        <v>927</v>
      </c>
      <c r="N1170" s="13" t="s">
        <v>122</v>
      </c>
      <c r="O1170" s="13" t="s">
        <v>645</v>
      </c>
      <c r="P1170" s="13" t="s">
        <v>48</v>
      </c>
      <c r="Q1170" s="13" t="s">
        <v>48</v>
      </c>
      <c r="R1170" s="4">
        <v>5</v>
      </c>
      <c r="S1170" s="13" t="s">
        <v>596</v>
      </c>
      <c r="T1170" s="13">
        <v>90</v>
      </c>
      <c r="U1170" s="4" t="s">
        <v>365</v>
      </c>
      <c r="V1170" s="4">
        <v>450</v>
      </c>
      <c r="W1170" s="4" t="s">
        <v>601</v>
      </c>
      <c r="X1170" s="4">
        <v>271</v>
      </c>
      <c r="Y1170" s="4">
        <v>126</v>
      </c>
      <c r="Z1170" s="4" t="s">
        <v>550</v>
      </c>
      <c r="AA1170" s="4" t="s">
        <v>49</v>
      </c>
      <c r="AB1170" s="4">
        <v>0</v>
      </c>
      <c r="AC1170" s="4" t="s">
        <v>49</v>
      </c>
      <c r="AD1170" s="4">
        <v>0</v>
      </c>
      <c r="AE1170" s="4" t="s">
        <v>49</v>
      </c>
      <c r="AF1170" s="4">
        <v>0</v>
      </c>
      <c r="AG1170" s="4" t="s">
        <v>682</v>
      </c>
      <c r="AH1170" s="4" t="s">
        <v>680</v>
      </c>
      <c r="AI1170" s="4" t="s">
        <v>64</v>
      </c>
      <c r="AJ1170" s="13">
        <v>0</v>
      </c>
      <c r="AK1170" s="13">
        <v>20</v>
      </c>
      <c r="AL1170" s="13" t="s">
        <v>548</v>
      </c>
      <c r="AP1170" s="13" t="s">
        <v>49</v>
      </c>
      <c r="AQ1170" s="13" t="s">
        <v>49</v>
      </c>
      <c r="AR1170" s="13" t="s">
        <v>50</v>
      </c>
      <c r="AS1170" s="13" t="s">
        <v>49</v>
      </c>
      <c r="AT1170" s="13" t="s">
        <v>990</v>
      </c>
      <c r="AU1170" s="13" t="s">
        <v>998</v>
      </c>
      <c r="AV1170" s="14">
        <v>25.32</v>
      </c>
      <c r="AW1170" s="14">
        <v>12.2</v>
      </c>
      <c r="AX1170" s="14">
        <f>Table1347456[[#This Row],[treatment_mean]]/Table1347456[[#This Row],[control_mean]]</f>
        <v>2.0754098360655737</v>
      </c>
      <c r="AY1170" s="14">
        <f>LN(Table1347456[[#This Row],[rr]])</f>
        <v>0.73015864553676457</v>
      </c>
      <c r="AZ1170" s="13">
        <v>5</v>
      </c>
      <c r="BA1170" s="13">
        <v>5</v>
      </c>
      <c r="BB1170" s="14" t="s">
        <v>46</v>
      </c>
      <c r="BC1170" s="14" t="s">
        <v>46</v>
      </c>
      <c r="BD1170" s="15" t="s">
        <v>46</v>
      </c>
      <c r="BE1170" s="14" t="s">
        <v>46</v>
      </c>
      <c r="BF1170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70" s="17" t="s">
        <v>46</v>
      </c>
      <c r="BH1170" s="13" t="s">
        <v>50</v>
      </c>
      <c r="BI1170" s="13">
        <v>2.5000000000000001E-2</v>
      </c>
      <c r="BJ1170" s="18">
        <f>ABS(_xlfn.NORM.S.INV(Table1347456[[#This Row],[p_value]]/2))</f>
        <v>2.2414027276049446</v>
      </c>
      <c r="BK1170" s="19">
        <f>(Table1347456[[#This Row],[lnrr]]/Table1347456[[#This Row],[z_from_p]])^2</f>
        <v>0.10611937209051811</v>
      </c>
      <c r="BL1170" s="16">
        <f>Table1347456[[#This Row],[v_from_z_from_p]]</f>
        <v>0.10611937209051811</v>
      </c>
      <c r="BM1170" s="20">
        <f>SQRT(Table1347456[[#This Row],[v]])</f>
        <v>0.32575968456903642</v>
      </c>
      <c r="BN1170" s="20">
        <f>Table1347456[[#This Row],[lnrr]]-(1.96*Table1347456[[#This Row],[se]])</f>
        <v>9.1669663781453248E-2</v>
      </c>
      <c r="BO1170" s="20">
        <f>Table1347456[[#This Row],[lnrr]]+(1.96 * Table1347456[[#This Row],[se]])</f>
        <v>1.3686476272920758</v>
      </c>
    </row>
    <row r="1171" spans="1:67">
      <c r="A1171" s="13" t="s">
        <v>272</v>
      </c>
      <c r="B1171" s="13" t="s">
        <v>362</v>
      </c>
      <c r="C1171" s="13" t="s">
        <v>43</v>
      </c>
      <c r="D1171" s="13" t="s">
        <v>363</v>
      </c>
      <c r="E1171" s="13" t="s">
        <v>132</v>
      </c>
      <c r="F1171" s="13" t="s">
        <v>589</v>
      </c>
      <c r="G1171" s="13" t="s">
        <v>364</v>
      </c>
      <c r="H1171" s="13">
        <v>18</v>
      </c>
      <c r="I1171" s="13">
        <v>1150</v>
      </c>
      <c r="K1171" s="13" t="s">
        <v>926</v>
      </c>
      <c r="L1171" s="13" t="s">
        <v>927</v>
      </c>
      <c r="N1171" s="13" t="s">
        <v>122</v>
      </c>
      <c r="O1171" s="13" t="s">
        <v>645</v>
      </c>
      <c r="P1171" s="13" t="s">
        <v>48</v>
      </c>
      <c r="Q1171" s="13" t="s">
        <v>48</v>
      </c>
      <c r="R1171" s="4">
        <v>5</v>
      </c>
      <c r="S1171" s="13" t="s">
        <v>596</v>
      </c>
      <c r="T1171" s="13">
        <v>90</v>
      </c>
      <c r="U1171" s="4" t="s">
        <v>365</v>
      </c>
      <c r="V1171" s="4">
        <v>450</v>
      </c>
      <c r="W1171" s="4" t="s">
        <v>601</v>
      </c>
      <c r="X1171" s="4">
        <v>271</v>
      </c>
      <c r="Y1171" s="4">
        <v>168</v>
      </c>
      <c r="Z1171" s="4" t="s">
        <v>551</v>
      </c>
      <c r="AA1171" s="4" t="s">
        <v>49</v>
      </c>
      <c r="AB1171" s="4">
        <v>0</v>
      </c>
      <c r="AC1171" s="4" t="s">
        <v>49</v>
      </c>
      <c r="AD1171" s="4">
        <v>0</v>
      </c>
      <c r="AE1171" s="4" t="s">
        <v>49</v>
      </c>
      <c r="AF1171" s="4">
        <v>0</v>
      </c>
      <c r="AG1171" s="4" t="s">
        <v>682</v>
      </c>
      <c r="AH1171" s="4" t="s">
        <v>680</v>
      </c>
      <c r="AI1171" s="4" t="s">
        <v>64</v>
      </c>
      <c r="AJ1171" s="13">
        <v>0</v>
      </c>
      <c r="AK1171" s="13">
        <v>20</v>
      </c>
      <c r="AL1171" s="13" t="s">
        <v>548</v>
      </c>
      <c r="AP1171" s="13" t="s">
        <v>49</v>
      </c>
      <c r="AQ1171" s="13" t="s">
        <v>49</v>
      </c>
      <c r="AR1171" s="13" t="s">
        <v>50</v>
      </c>
      <c r="AS1171" s="13" t="s">
        <v>49</v>
      </c>
      <c r="AT1171" s="13" t="s">
        <v>990</v>
      </c>
      <c r="AU1171" s="13" t="s">
        <v>998</v>
      </c>
      <c r="AV1171" s="14">
        <v>27.8</v>
      </c>
      <c r="AW1171" s="14">
        <v>12.2</v>
      </c>
      <c r="AX1171" s="14">
        <f>Table1347456[[#This Row],[treatment_mean]]/Table1347456[[#This Row],[control_mean]]</f>
        <v>2.278688524590164</v>
      </c>
      <c r="AY1171" s="14">
        <f>LN(Table1347456[[#This Row],[rr]])</f>
        <v>0.82360006895738058</v>
      </c>
      <c r="AZ1171" s="13">
        <v>5</v>
      </c>
      <c r="BA1171" s="13">
        <v>5</v>
      </c>
      <c r="BB1171" s="14" t="s">
        <v>46</v>
      </c>
      <c r="BC1171" s="14" t="s">
        <v>46</v>
      </c>
      <c r="BD1171" s="15" t="s">
        <v>46</v>
      </c>
      <c r="BE1171" s="14" t="s">
        <v>46</v>
      </c>
      <c r="BF117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71" s="17" t="s">
        <v>46</v>
      </c>
      <c r="BH1171" s="13" t="s">
        <v>50</v>
      </c>
      <c r="BI1171" s="13">
        <v>2.5000000000000001E-2</v>
      </c>
      <c r="BJ1171" s="18">
        <f>ABS(_xlfn.NORM.S.INV(Table1347456[[#This Row],[p_value]]/2))</f>
        <v>2.2414027276049446</v>
      </c>
      <c r="BK1171" s="19">
        <f>(Table1347456[[#This Row],[lnrr]]/Table1347456[[#This Row],[z_from_p]])^2</f>
        <v>0.13501839975979668</v>
      </c>
      <c r="BL1171" s="16">
        <f>Table1347456[[#This Row],[v_from_z_from_p]]</f>
        <v>0.13501839975979668</v>
      </c>
      <c r="BM1171" s="20">
        <f>SQRT(Table1347456[[#This Row],[v]])</f>
        <v>0.36744849946597508</v>
      </c>
      <c r="BN1171" s="20">
        <f>Table1347456[[#This Row],[lnrr]]-(1.96*Table1347456[[#This Row],[se]])</f>
        <v>0.10340101000406943</v>
      </c>
      <c r="BO1171" s="20">
        <f>Table1347456[[#This Row],[lnrr]]+(1.96 * Table1347456[[#This Row],[se]])</f>
        <v>1.5437991279106917</v>
      </c>
    </row>
    <row r="1172" spans="1:67">
      <c r="A1172" s="13" t="s">
        <v>272</v>
      </c>
      <c r="B1172" s="13" t="s">
        <v>362</v>
      </c>
      <c r="C1172" s="13" t="s">
        <v>43</v>
      </c>
      <c r="D1172" s="13" t="s">
        <v>363</v>
      </c>
      <c r="E1172" s="13" t="s">
        <v>132</v>
      </c>
      <c r="F1172" s="13" t="s">
        <v>589</v>
      </c>
      <c r="G1172" s="13" t="s">
        <v>364</v>
      </c>
      <c r="H1172" s="13">
        <v>18</v>
      </c>
      <c r="I1172" s="13">
        <v>1150</v>
      </c>
      <c r="K1172" s="13" t="s">
        <v>926</v>
      </c>
      <c r="L1172" s="13" t="s">
        <v>927</v>
      </c>
      <c r="N1172" s="13" t="s">
        <v>122</v>
      </c>
      <c r="O1172" s="13" t="s">
        <v>645</v>
      </c>
      <c r="P1172" s="13" t="s">
        <v>48</v>
      </c>
      <c r="Q1172" s="13" t="s">
        <v>48</v>
      </c>
      <c r="R1172" s="4">
        <v>5</v>
      </c>
      <c r="S1172" s="13" t="s">
        <v>596</v>
      </c>
      <c r="T1172" s="13">
        <v>90</v>
      </c>
      <c r="U1172" s="4" t="s">
        <v>220</v>
      </c>
      <c r="V1172" s="4">
        <v>450</v>
      </c>
      <c r="W1172" s="4" t="s">
        <v>601</v>
      </c>
      <c r="X1172" s="4">
        <v>271</v>
      </c>
      <c r="Y1172" s="4">
        <v>73</v>
      </c>
      <c r="Z1172" s="4" t="s">
        <v>549</v>
      </c>
      <c r="AA1172" s="4" t="s">
        <v>49</v>
      </c>
      <c r="AB1172" s="4">
        <v>0</v>
      </c>
      <c r="AC1172" s="4" t="s">
        <v>49</v>
      </c>
      <c r="AD1172" s="4">
        <v>0</v>
      </c>
      <c r="AE1172" s="4" t="s">
        <v>49</v>
      </c>
      <c r="AF1172" s="4">
        <v>0</v>
      </c>
      <c r="AG1172" s="4" t="s">
        <v>681</v>
      </c>
      <c r="AH1172" s="4" t="s">
        <v>680</v>
      </c>
      <c r="AI1172" s="4" t="s">
        <v>64</v>
      </c>
      <c r="AJ1172" s="13">
        <v>0</v>
      </c>
      <c r="AK1172" s="13">
        <v>20</v>
      </c>
      <c r="AL1172" s="13" t="s">
        <v>548</v>
      </c>
      <c r="AP1172" s="13" t="s">
        <v>49</v>
      </c>
      <c r="AQ1172" s="13" t="s">
        <v>49</v>
      </c>
      <c r="AR1172" s="13" t="s">
        <v>50</v>
      </c>
      <c r="AS1172" s="13" t="s">
        <v>49</v>
      </c>
      <c r="AT1172" s="13" t="s">
        <v>990</v>
      </c>
      <c r="AU1172" s="13" t="s">
        <v>998</v>
      </c>
      <c r="AV1172" s="14">
        <v>26.3</v>
      </c>
      <c r="AW1172" s="14">
        <v>12.2</v>
      </c>
      <c r="AX1172" s="14">
        <f>Table1347456[[#This Row],[treatment_mean]]/Table1347456[[#This Row],[control_mean]]</f>
        <v>2.1557377049180331</v>
      </c>
      <c r="AY1172" s="14">
        <f>LN(Table1347456[[#This Row],[rr]])</f>
        <v>0.76813298744450809</v>
      </c>
      <c r="AZ1172" s="13">
        <v>5</v>
      </c>
      <c r="BA1172" s="13">
        <v>5</v>
      </c>
      <c r="BB1172" s="14" t="s">
        <v>46</v>
      </c>
      <c r="BC1172" s="14" t="s">
        <v>46</v>
      </c>
      <c r="BD1172" s="15" t="s">
        <v>46</v>
      </c>
      <c r="BE1172" s="14" t="s">
        <v>46</v>
      </c>
      <c r="BF117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72" s="17" t="s">
        <v>46</v>
      </c>
      <c r="BH1172" s="13" t="s">
        <v>50</v>
      </c>
      <c r="BI1172" s="13">
        <v>2.5000000000000001E-2</v>
      </c>
      <c r="BJ1172" s="18">
        <f>ABS(_xlfn.NORM.S.INV(Table1347456[[#This Row],[p_value]]/2))</f>
        <v>2.2414027276049446</v>
      </c>
      <c r="BK1172" s="19">
        <f>(Table1347456[[#This Row],[lnrr]]/Table1347456[[#This Row],[z_from_p]])^2</f>
        <v>0.11744459655360484</v>
      </c>
      <c r="BL1172" s="16">
        <f>Table1347456[[#This Row],[v_from_z_from_p]]</f>
        <v>0.11744459655360484</v>
      </c>
      <c r="BM1172" s="20">
        <f>SQRT(Table1347456[[#This Row],[v]])</f>
        <v>0.34270190625907648</v>
      </c>
      <c r="BN1172" s="20">
        <f>Table1347456[[#This Row],[lnrr]]-(1.96*Table1347456[[#This Row],[se]])</f>
        <v>9.6437251176718197E-2</v>
      </c>
      <c r="BO1172" s="20">
        <f>Table1347456[[#This Row],[lnrr]]+(1.96 * Table1347456[[#This Row],[se]])</f>
        <v>1.439828723712298</v>
      </c>
    </row>
    <row r="1173" spans="1:67">
      <c r="A1173" s="13" t="s">
        <v>272</v>
      </c>
      <c r="B1173" s="13" t="s">
        <v>582</v>
      </c>
      <c r="C1173" s="13" t="s">
        <v>43</v>
      </c>
      <c r="D1173" s="13" t="s">
        <v>363</v>
      </c>
      <c r="E1173" s="13" t="s">
        <v>132</v>
      </c>
      <c r="F1173" s="13" t="s">
        <v>589</v>
      </c>
      <c r="G1173" s="13" t="s">
        <v>364</v>
      </c>
      <c r="H1173" s="13">
        <v>18</v>
      </c>
      <c r="I1173" s="13">
        <v>1150</v>
      </c>
      <c r="J1173" s="13" t="s">
        <v>673</v>
      </c>
      <c r="K1173" s="13" t="s">
        <v>926</v>
      </c>
      <c r="L1173" s="13" t="s">
        <v>927</v>
      </c>
      <c r="M1173" s="13" t="s">
        <v>798</v>
      </c>
      <c r="N1173" s="13" t="s">
        <v>119</v>
      </c>
      <c r="O1173" s="13" t="s">
        <v>645</v>
      </c>
      <c r="P1173" s="13" t="s">
        <v>48</v>
      </c>
      <c r="Q1173" s="13" t="s">
        <v>48</v>
      </c>
      <c r="R1173" s="4">
        <v>5</v>
      </c>
      <c r="S1173" s="13" t="s">
        <v>596</v>
      </c>
      <c r="T1173" s="13">
        <v>90</v>
      </c>
      <c r="U1173" s="4" t="s">
        <v>365</v>
      </c>
      <c r="V1173" s="4">
        <v>450</v>
      </c>
      <c r="W1173" s="4" t="s">
        <v>601</v>
      </c>
      <c r="X1173" s="4">
        <v>271</v>
      </c>
      <c r="Y1173" s="4">
        <v>42</v>
      </c>
      <c r="Z1173" s="4" t="s">
        <v>547</v>
      </c>
      <c r="AA1173" s="4" t="s">
        <v>49</v>
      </c>
      <c r="AB1173" s="4">
        <v>0</v>
      </c>
      <c r="AC1173" s="4" t="s">
        <v>49</v>
      </c>
      <c r="AD1173" s="4">
        <v>0</v>
      </c>
      <c r="AE1173" s="4" t="s">
        <v>49</v>
      </c>
      <c r="AF1173" s="4">
        <v>0</v>
      </c>
      <c r="AG1173" s="4" t="s">
        <v>46</v>
      </c>
      <c r="AH1173" s="4" t="s">
        <v>680</v>
      </c>
      <c r="AI1173" s="4" t="s">
        <v>64</v>
      </c>
      <c r="AJ1173" s="13">
        <v>0</v>
      </c>
      <c r="AK1173" s="13">
        <v>20</v>
      </c>
      <c r="AL1173" s="13" t="s">
        <v>548</v>
      </c>
      <c r="AP1173" s="13" t="s">
        <v>49</v>
      </c>
      <c r="AQ1173" s="13" t="s">
        <v>49</v>
      </c>
      <c r="AR1173" s="13" t="s">
        <v>50</v>
      </c>
      <c r="AS1173" s="13" t="s">
        <v>49</v>
      </c>
      <c r="AT1173" s="13" t="s">
        <v>990</v>
      </c>
      <c r="AU1173" s="13" t="s">
        <v>998</v>
      </c>
      <c r="AV1173" s="23">
        <v>4.5599999999999996</v>
      </c>
      <c r="AW1173" s="23">
        <v>2.94</v>
      </c>
      <c r="AX1173" s="14">
        <f>Table1347456[[#This Row],[treatment_mean]]/Table1347456[[#This Row],[control_mean]]</f>
        <v>1.5510204081632653</v>
      </c>
      <c r="AY1173" s="14">
        <f>LN(Table1347456[[#This Row],[rr]])</f>
        <v>0.43891304217570443</v>
      </c>
      <c r="AZ1173" s="13">
        <v>5</v>
      </c>
      <c r="BA1173" s="13">
        <v>5</v>
      </c>
      <c r="BB1173" s="14" t="s">
        <v>46</v>
      </c>
      <c r="BC1173" s="14" t="s">
        <v>46</v>
      </c>
      <c r="BD1173" s="15" t="s">
        <v>46</v>
      </c>
      <c r="BE1173" s="14" t="s">
        <v>46</v>
      </c>
      <c r="BF1173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73" s="17" t="s">
        <v>46</v>
      </c>
      <c r="BH1173" s="13" t="s">
        <v>50</v>
      </c>
      <c r="BI1173" s="13">
        <v>2.5000000000000001E-2</v>
      </c>
      <c r="BJ1173" s="18">
        <f>ABS(_xlfn.NORM.S.INV(Table1347456[[#This Row],[p_value]]/2))</f>
        <v>2.2414027276049446</v>
      </c>
      <c r="BK1173" s="19">
        <f>(Table1347456[[#This Row],[lnrr]]/Table1347456[[#This Row],[z_from_p]])^2</f>
        <v>3.8345744988879694E-2</v>
      </c>
      <c r="BL1173" s="16">
        <f>Table1347456[[#This Row],[v_from_z_from_p]]</f>
        <v>3.8345744988879694E-2</v>
      </c>
      <c r="BM1173" s="20">
        <f>SQRT(Table1347456[[#This Row],[v]])</f>
        <v>0.19582069601775931</v>
      </c>
      <c r="BN1173" s="20">
        <f>Table1347456[[#This Row],[lnrr]]-(1.96*Table1347456[[#This Row],[se]])</f>
        <v>5.5104477980896183E-2</v>
      </c>
      <c r="BO1173" s="20">
        <f>Table1347456[[#This Row],[lnrr]]+(1.96 * Table1347456[[#This Row],[se]])</f>
        <v>0.82272160637051273</v>
      </c>
    </row>
    <row r="1174" spans="1:67">
      <c r="A1174" s="13" t="s">
        <v>272</v>
      </c>
      <c r="B1174" s="13" t="s">
        <v>362</v>
      </c>
      <c r="C1174" s="13" t="s">
        <v>43</v>
      </c>
      <c r="D1174" s="13" t="s">
        <v>363</v>
      </c>
      <c r="E1174" s="13" t="s">
        <v>132</v>
      </c>
      <c r="F1174" s="13" t="s">
        <v>589</v>
      </c>
      <c r="G1174" s="13" t="s">
        <v>364</v>
      </c>
      <c r="H1174" s="13">
        <v>18</v>
      </c>
      <c r="I1174" s="13">
        <v>1150</v>
      </c>
      <c r="J1174" s="13" t="s">
        <v>673</v>
      </c>
      <c r="K1174" s="13" t="s">
        <v>926</v>
      </c>
      <c r="L1174" s="13" t="s">
        <v>927</v>
      </c>
      <c r="M1174" s="13" t="s">
        <v>798</v>
      </c>
      <c r="N1174" s="13" t="s">
        <v>119</v>
      </c>
      <c r="O1174" s="13" t="s">
        <v>645</v>
      </c>
      <c r="P1174" s="13" t="s">
        <v>48</v>
      </c>
      <c r="Q1174" s="13" t="s">
        <v>48</v>
      </c>
      <c r="R1174" s="4">
        <v>5</v>
      </c>
      <c r="S1174" s="13" t="s">
        <v>596</v>
      </c>
      <c r="T1174" s="13">
        <v>90</v>
      </c>
      <c r="U1174" s="4" t="s">
        <v>365</v>
      </c>
      <c r="V1174" s="4">
        <v>450</v>
      </c>
      <c r="W1174" s="4" t="s">
        <v>601</v>
      </c>
      <c r="X1174" s="4">
        <v>271</v>
      </c>
      <c r="Y1174" s="4">
        <v>84</v>
      </c>
      <c r="Z1174" s="4" t="s">
        <v>549</v>
      </c>
      <c r="AA1174" s="4" t="s">
        <v>49</v>
      </c>
      <c r="AB1174" s="4">
        <v>0</v>
      </c>
      <c r="AC1174" s="4" t="s">
        <v>49</v>
      </c>
      <c r="AD1174" s="4">
        <v>0</v>
      </c>
      <c r="AE1174" s="4" t="s">
        <v>49</v>
      </c>
      <c r="AF1174" s="4">
        <v>0</v>
      </c>
      <c r="AG1174" s="4" t="s">
        <v>682</v>
      </c>
      <c r="AH1174" s="4" t="s">
        <v>680</v>
      </c>
      <c r="AI1174" s="4" t="s">
        <v>64</v>
      </c>
      <c r="AJ1174" s="13">
        <v>0</v>
      </c>
      <c r="AK1174" s="13">
        <v>20</v>
      </c>
      <c r="AL1174" s="13" t="s">
        <v>548</v>
      </c>
      <c r="AP1174" s="13" t="s">
        <v>49</v>
      </c>
      <c r="AQ1174" s="13" t="s">
        <v>49</v>
      </c>
      <c r="AR1174" s="13" t="s">
        <v>50</v>
      </c>
      <c r="AS1174" s="13" t="s">
        <v>49</v>
      </c>
      <c r="AT1174" s="13" t="s">
        <v>990</v>
      </c>
      <c r="AU1174" s="13" t="s">
        <v>998</v>
      </c>
      <c r="AV1174" s="23">
        <v>7.78</v>
      </c>
      <c r="AW1174" s="23">
        <v>2.94</v>
      </c>
      <c r="AX1174" s="14">
        <f>Table1347456[[#This Row],[treatment_mean]]/Table1347456[[#This Row],[control_mean]]</f>
        <v>2.6462585034013606</v>
      </c>
      <c r="AY1174" s="14">
        <f>LN(Table1347456[[#This Row],[rr]])</f>
        <v>0.97314675683970997</v>
      </c>
      <c r="AZ1174" s="13">
        <v>5</v>
      </c>
      <c r="BA1174" s="13">
        <v>5</v>
      </c>
      <c r="BB1174" s="14" t="s">
        <v>46</v>
      </c>
      <c r="BC1174" s="14" t="s">
        <v>46</v>
      </c>
      <c r="BD1174" s="15" t="s">
        <v>46</v>
      </c>
      <c r="BE1174" s="14" t="s">
        <v>46</v>
      </c>
      <c r="BF117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74" s="17" t="s">
        <v>46</v>
      </c>
      <c r="BH1174" s="13" t="s">
        <v>50</v>
      </c>
      <c r="BI1174" s="13">
        <v>2.5000000000000001E-2</v>
      </c>
      <c r="BJ1174" s="18">
        <f>ABS(_xlfn.NORM.S.INV(Table1347456[[#This Row],[p_value]]/2))</f>
        <v>2.2414027276049446</v>
      </c>
      <c r="BK1174" s="19">
        <f>(Table1347456[[#This Row],[lnrr]]/Table1347456[[#This Row],[z_from_p]])^2</f>
        <v>0.1885024013360056</v>
      </c>
      <c r="BL1174" s="16">
        <f>Table1347456[[#This Row],[v_from_z_from_p]]</f>
        <v>0.1885024013360056</v>
      </c>
      <c r="BM1174" s="20">
        <f>SQRT(Table1347456[[#This Row],[v]])</f>
        <v>0.43416863237226799</v>
      </c>
      <c r="BN1174" s="20">
        <f>Table1347456[[#This Row],[lnrr]]-(1.96*Table1347456[[#This Row],[se]])</f>
        <v>0.12217623739006467</v>
      </c>
      <c r="BO1174" s="20">
        <f>Table1347456[[#This Row],[lnrr]]+(1.96 * Table1347456[[#This Row],[se]])</f>
        <v>1.8241172762893552</v>
      </c>
    </row>
    <row r="1175" spans="1:67">
      <c r="A1175" s="13" t="s">
        <v>272</v>
      </c>
      <c r="B1175" s="13" t="s">
        <v>362</v>
      </c>
      <c r="C1175" s="13" t="s">
        <v>43</v>
      </c>
      <c r="D1175" s="13" t="s">
        <v>363</v>
      </c>
      <c r="E1175" s="13" t="s">
        <v>132</v>
      </c>
      <c r="F1175" s="13" t="s">
        <v>589</v>
      </c>
      <c r="G1175" s="13" t="s">
        <v>364</v>
      </c>
      <c r="H1175" s="13">
        <v>18</v>
      </c>
      <c r="I1175" s="13">
        <v>1150</v>
      </c>
      <c r="J1175" s="13" t="s">
        <v>673</v>
      </c>
      <c r="K1175" s="13" t="s">
        <v>926</v>
      </c>
      <c r="L1175" s="13" t="s">
        <v>927</v>
      </c>
      <c r="M1175" s="13" t="s">
        <v>798</v>
      </c>
      <c r="N1175" s="13" t="s">
        <v>119</v>
      </c>
      <c r="O1175" s="13" t="s">
        <v>645</v>
      </c>
      <c r="P1175" s="13" t="s">
        <v>48</v>
      </c>
      <c r="Q1175" s="13" t="s">
        <v>48</v>
      </c>
      <c r="R1175" s="4">
        <v>5</v>
      </c>
      <c r="S1175" s="13" t="s">
        <v>596</v>
      </c>
      <c r="T1175" s="13">
        <v>90</v>
      </c>
      <c r="U1175" s="4" t="s">
        <v>365</v>
      </c>
      <c r="V1175" s="4">
        <v>450</v>
      </c>
      <c r="W1175" s="4" t="s">
        <v>601</v>
      </c>
      <c r="X1175" s="4">
        <v>271</v>
      </c>
      <c r="Y1175" s="4">
        <v>126</v>
      </c>
      <c r="Z1175" s="4" t="s">
        <v>550</v>
      </c>
      <c r="AA1175" s="4" t="s">
        <v>49</v>
      </c>
      <c r="AB1175" s="4">
        <v>0</v>
      </c>
      <c r="AC1175" s="4" t="s">
        <v>49</v>
      </c>
      <c r="AD1175" s="4">
        <v>0</v>
      </c>
      <c r="AE1175" s="4" t="s">
        <v>49</v>
      </c>
      <c r="AF1175" s="4">
        <v>0</v>
      </c>
      <c r="AG1175" s="4" t="s">
        <v>682</v>
      </c>
      <c r="AH1175" s="4" t="s">
        <v>680</v>
      </c>
      <c r="AI1175" s="4" t="s">
        <v>64</v>
      </c>
      <c r="AJ1175" s="13">
        <v>0</v>
      </c>
      <c r="AK1175" s="13">
        <v>20</v>
      </c>
      <c r="AL1175" s="13" t="s">
        <v>548</v>
      </c>
      <c r="AP1175" s="13" t="s">
        <v>49</v>
      </c>
      <c r="AQ1175" s="13" t="s">
        <v>49</v>
      </c>
      <c r="AR1175" s="13" t="s">
        <v>50</v>
      </c>
      <c r="AS1175" s="13" t="s">
        <v>49</v>
      </c>
      <c r="AT1175" s="13" t="s">
        <v>990</v>
      </c>
      <c r="AU1175" s="13" t="s">
        <v>998</v>
      </c>
      <c r="AV1175" s="23">
        <v>8.43</v>
      </c>
      <c r="AW1175" s="23">
        <v>2.94</v>
      </c>
      <c r="AX1175" s="14">
        <f>Table1347456[[#This Row],[treatment_mean]]/Table1347456[[#This Row],[control_mean]]</f>
        <v>2.8673469387755102</v>
      </c>
      <c r="AY1175" s="14">
        <f>LN(Table1347456[[#This Row],[rr]])</f>
        <v>1.0533871906631738</v>
      </c>
      <c r="AZ1175" s="13">
        <v>5</v>
      </c>
      <c r="BA1175" s="13">
        <v>5</v>
      </c>
      <c r="BB1175" s="14" t="s">
        <v>46</v>
      </c>
      <c r="BC1175" s="14" t="s">
        <v>46</v>
      </c>
      <c r="BD1175" s="15" t="s">
        <v>46</v>
      </c>
      <c r="BE1175" s="14" t="s">
        <v>46</v>
      </c>
      <c r="BF117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75" s="17" t="s">
        <v>46</v>
      </c>
      <c r="BH1175" s="13" t="s">
        <v>50</v>
      </c>
      <c r="BI1175" s="13">
        <v>2.5000000000000001E-2</v>
      </c>
      <c r="BJ1175" s="18">
        <f>ABS(_xlfn.NORM.S.INV(Table1347456[[#This Row],[p_value]]/2))</f>
        <v>2.2414027276049446</v>
      </c>
      <c r="BK1175" s="19">
        <f>(Table1347456[[#This Row],[lnrr]]/Table1347456[[#This Row],[z_from_p]])^2</f>
        <v>0.22086976736356245</v>
      </c>
      <c r="BL1175" s="16">
        <f>Table1347456[[#This Row],[v_from_z_from_p]]</f>
        <v>0.22086976736356245</v>
      </c>
      <c r="BM1175" s="20">
        <f>SQRT(Table1347456[[#This Row],[v]])</f>
        <v>0.46996783652029045</v>
      </c>
      <c r="BN1175" s="20">
        <f>Table1347456[[#This Row],[lnrr]]-(1.96*Table1347456[[#This Row],[se]])</f>
        <v>0.1322502310834045</v>
      </c>
      <c r="BO1175" s="20">
        <f>Table1347456[[#This Row],[lnrr]]+(1.96 * Table1347456[[#This Row],[se]])</f>
        <v>1.9745241502429431</v>
      </c>
    </row>
    <row r="1176" spans="1:67">
      <c r="A1176" s="13" t="s">
        <v>272</v>
      </c>
      <c r="B1176" s="13" t="s">
        <v>362</v>
      </c>
      <c r="C1176" s="13" t="s">
        <v>43</v>
      </c>
      <c r="D1176" s="13" t="s">
        <v>363</v>
      </c>
      <c r="E1176" s="13" t="s">
        <v>132</v>
      </c>
      <c r="F1176" s="13" t="s">
        <v>589</v>
      </c>
      <c r="G1176" s="13" t="s">
        <v>364</v>
      </c>
      <c r="H1176" s="13">
        <v>18</v>
      </c>
      <c r="I1176" s="13">
        <v>1150</v>
      </c>
      <c r="J1176" s="13" t="s">
        <v>673</v>
      </c>
      <c r="K1176" s="13" t="s">
        <v>926</v>
      </c>
      <c r="L1176" s="13" t="s">
        <v>927</v>
      </c>
      <c r="M1176" s="13" t="s">
        <v>798</v>
      </c>
      <c r="N1176" s="13" t="s">
        <v>119</v>
      </c>
      <c r="O1176" s="13" t="s">
        <v>645</v>
      </c>
      <c r="P1176" s="13" t="s">
        <v>48</v>
      </c>
      <c r="Q1176" s="13" t="s">
        <v>48</v>
      </c>
      <c r="R1176" s="4">
        <v>5</v>
      </c>
      <c r="S1176" s="13" t="s">
        <v>596</v>
      </c>
      <c r="T1176" s="13">
        <v>90</v>
      </c>
      <c r="U1176" s="4" t="s">
        <v>365</v>
      </c>
      <c r="V1176" s="4">
        <v>450</v>
      </c>
      <c r="W1176" s="4" t="s">
        <v>601</v>
      </c>
      <c r="X1176" s="4">
        <v>271</v>
      </c>
      <c r="Y1176" s="4">
        <v>168</v>
      </c>
      <c r="Z1176" s="4" t="s">
        <v>551</v>
      </c>
      <c r="AA1176" s="4" t="s">
        <v>49</v>
      </c>
      <c r="AB1176" s="4">
        <v>0</v>
      </c>
      <c r="AC1176" s="4" t="s">
        <v>49</v>
      </c>
      <c r="AD1176" s="4">
        <v>0</v>
      </c>
      <c r="AE1176" s="4" t="s">
        <v>49</v>
      </c>
      <c r="AF1176" s="4">
        <v>0</v>
      </c>
      <c r="AG1176" s="4" t="s">
        <v>682</v>
      </c>
      <c r="AH1176" s="4" t="s">
        <v>680</v>
      </c>
      <c r="AI1176" s="4" t="s">
        <v>64</v>
      </c>
      <c r="AJ1176" s="13">
        <v>0</v>
      </c>
      <c r="AK1176" s="13">
        <v>20</v>
      </c>
      <c r="AL1176" s="13" t="s">
        <v>548</v>
      </c>
      <c r="AP1176" s="13" t="s">
        <v>49</v>
      </c>
      <c r="AQ1176" s="13" t="s">
        <v>49</v>
      </c>
      <c r="AR1176" s="13" t="s">
        <v>50</v>
      </c>
      <c r="AS1176" s="13" t="s">
        <v>49</v>
      </c>
      <c r="AT1176" s="13" t="s">
        <v>990</v>
      </c>
      <c r="AU1176" s="13" t="s">
        <v>998</v>
      </c>
      <c r="AV1176" s="23">
        <v>9.3699999999999992</v>
      </c>
      <c r="AW1176" s="23">
        <v>2.94</v>
      </c>
      <c r="AX1176" s="14">
        <f>Table1347456[[#This Row],[treatment_mean]]/Table1347456[[#This Row],[control_mean]]</f>
        <v>3.1870748299319724</v>
      </c>
      <c r="AY1176" s="14">
        <f>LN(Table1347456[[#This Row],[rr]])</f>
        <v>1.1591035148997404</v>
      </c>
      <c r="AZ1176" s="13">
        <v>5</v>
      </c>
      <c r="BA1176" s="13">
        <v>5</v>
      </c>
      <c r="BB1176" s="14" t="s">
        <v>46</v>
      </c>
      <c r="BC1176" s="14" t="s">
        <v>46</v>
      </c>
      <c r="BD1176" s="15" t="s">
        <v>46</v>
      </c>
      <c r="BE1176" s="14" t="s">
        <v>46</v>
      </c>
      <c r="BF117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76" s="17" t="s">
        <v>46</v>
      </c>
      <c r="BH1176" s="13" t="s">
        <v>50</v>
      </c>
      <c r="BI1176" s="13">
        <v>2.5000000000000001E-2</v>
      </c>
      <c r="BJ1176" s="18">
        <f>ABS(_xlfn.NORM.S.INV(Table1347456[[#This Row],[p_value]]/2))</f>
        <v>2.2414027276049446</v>
      </c>
      <c r="BK1176" s="19">
        <f>(Table1347456[[#This Row],[lnrr]]/Table1347456[[#This Row],[z_from_p]])^2</f>
        <v>0.26742663112975568</v>
      </c>
      <c r="BL1176" s="16">
        <f>Table1347456[[#This Row],[v_from_z_from_p]]</f>
        <v>0.26742663112975568</v>
      </c>
      <c r="BM1176" s="20">
        <f>SQRT(Table1347456[[#This Row],[v]])</f>
        <v>0.51713308841124805</v>
      </c>
      <c r="BN1176" s="20">
        <f>Table1347456[[#This Row],[lnrr]]-(1.96*Table1347456[[#This Row],[se]])</f>
        <v>0.1455226616136942</v>
      </c>
      <c r="BO1176" s="20">
        <f>Table1347456[[#This Row],[lnrr]]+(1.96 * Table1347456[[#This Row],[se]])</f>
        <v>2.1726843681857866</v>
      </c>
    </row>
    <row r="1177" spans="1:67">
      <c r="A1177" s="13" t="s">
        <v>272</v>
      </c>
      <c r="B1177" s="13" t="s">
        <v>362</v>
      </c>
      <c r="C1177" s="13" t="s">
        <v>43</v>
      </c>
      <c r="D1177" s="13" t="s">
        <v>363</v>
      </c>
      <c r="E1177" s="13" t="s">
        <v>132</v>
      </c>
      <c r="F1177" s="13" t="s">
        <v>589</v>
      </c>
      <c r="G1177" s="13" t="s">
        <v>364</v>
      </c>
      <c r="H1177" s="13">
        <v>18</v>
      </c>
      <c r="I1177" s="13">
        <v>1150</v>
      </c>
      <c r="J1177" s="13" t="s">
        <v>673</v>
      </c>
      <c r="K1177" s="13" t="s">
        <v>926</v>
      </c>
      <c r="L1177" s="13" t="s">
        <v>927</v>
      </c>
      <c r="M1177" s="13" t="s">
        <v>798</v>
      </c>
      <c r="N1177" s="13" t="s">
        <v>119</v>
      </c>
      <c r="O1177" s="13" t="s">
        <v>645</v>
      </c>
      <c r="P1177" s="13" t="s">
        <v>48</v>
      </c>
      <c r="Q1177" s="13" t="s">
        <v>48</v>
      </c>
      <c r="R1177" s="4">
        <v>5</v>
      </c>
      <c r="S1177" s="13" t="s">
        <v>596</v>
      </c>
      <c r="T1177" s="13">
        <v>90</v>
      </c>
      <c r="U1177" s="4" t="s">
        <v>220</v>
      </c>
      <c r="V1177" s="4">
        <v>450</v>
      </c>
      <c r="W1177" s="4" t="s">
        <v>601</v>
      </c>
      <c r="X1177" s="4">
        <v>271</v>
      </c>
      <c r="Y1177" s="4">
        <v>73</v>
      </c>
      <c r="Z1177" s="4" t="s">
        <v>549</v>
      </c>
      <c r="AA1177" s="4" t="s">
        <v>49</v>
      </c>
      <c r="AB1177" s="4">
        <v>0</v>
      </c>
      <c r="AC1177" s="4" t="s">
        <v>49</v>
      </c>
      <c r="AD1177" s="4">
        <v>0</v>
      </c>
      <c r="AE1177" s="4" t="s">
        <v>49</v>
      </c>
      <c r="AF1177" s="4">
        <v>0</v>
      </c>
      <c r="AG1177" s="4" t="s">
        <v>681</v>
      </c>
      <c r="AH1177" s="4" t="s">
        <v>680</v>
      </c>
      <c r="AI1177" s="4" t="s">
        <v>64</v>
      </c>
      <c r="AJ1177" s="13">
        <v>0</v>
      </c>
      <c r="AK1177" s="13">
        <v>20</v>
      </c>
      <c r="AL1177" s="13" t="s">
        <v>548</v>
      </c>
      <c r="AP1177" s="13" t="s">
        <v>49</v>
      </c>
      <c r="AQ1177" s="13" t="s">
        <v>49</v>
      </c>
      <c r="AR1177" s="13" t="s">
        <v>50</v>
      </c>
      <c r="AS1177" s="13" t="s">
        <v>49</v>
      </c>
      <c r="AT1177" s="13" t="s">
        <v>990</v>
      </c>
      <c r="AU1177" s="13" t="s">
        <v>998</v>
      </c>
      <c r="AV1177" s="23">
        <v>7.31</v>
      </c>
      <c r="AW1177" s="23">
        <v>2.94</v>
      </c>
      <c r="AX1177" s="14">
        <f>Table1347456[[#This Row],[treatment_mean]]/Table1347456[[#This Row],[control_mean]]</f>
        <v>2.4863945578231292</v>
      </c>
      <c r="AY1177" s="14">
        <f>LN(Table1347456[[#This Row],[rr]])</f>
        <v>0.91083369241109691</v>
      </c>
      <c r="AZ1177" s="13">
        <v>5</v>
      </c>
      <c r="BA1177" s="13">
        <v>5</v>
      </c>
      <c r="BB1177" s="14" t="s">
        <v>46</v>
      </c>
      <c r="BC1177" s="14" t="s">
        <v>46</v>
      </c>
      <c r="BD1177" s="15" t="s">
        <v>46</v>
      </c>
      <c r="BE1177" s="14" t="s">
        <v>46</v>
      </c>
      <c r="BF117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#VALUE!</v>
      </c>
      <c r="BG1177" s="17" t="s">
        <v>46</v>
      </c>
      <c r="BH1177" s="13" t="s">
        <v>50</v>
      </c>
      <c r="BI1177" s="13">
        <v>2.5000000000000001E-2</v>
      </c>
      <c r="BJ1177" s="18">
        <f>ABS(_xlfn.NORM.S.INV(Table1347456[[#This Row],[p_value]]/2))</f>
        <v>2.2414027276049446</v>
      </c>
      <c r="BK1177" s="19">
        <f>(Table1347456[[#This Row],[lnrr]]/Table1347456[[#This Row],[z_from_p]])^2</f>
        <v>0.1651347152978874</v>
      </c>
      <c r="BL1177" s="16">
        <f>Table1347456[[#This Row],[v_from_z_from_p]]</f>
        <v>0.1651347152978874</v>
      </c>
      <c r="BM1177" s="20">
        <f>SQRT(Table1347456[[#This Row],[v]])</f>
        <v>0.40636770946753065</v>
      </c>
      <c r="BN1177" s="20">
        <f>Table1347456[[#This Row],[lnrr]]-(1.96*Table1347456[[#This Row],[se]])</f>
        <v>0.11435298185473686</v>
      </c>
      <c r="BO1177" s="20">
        <f>Table1347456[[#This Row],[lnrr]]+(1.96 * Table1347456[[#This Row],[se]])</f>
        <v>1.707314402967457</v>
      </c>
    </row>
    <row r="1178" spans="1:67">
      <c r="A1178" s="13" t="s">
        <v>366</v>
      </c>
      <c r="B1178" s="13" t="s">
        <v>367</v>
      </c>
      <c r="C1178" s="13" t="s">
        <v>43</v>
      </c>
      <c r="D1178" s="13" t="s">
        <v>368</v>
      </c>
      <c r="E1178" s="13" t="s">
        <v>369</v>
      </c>
      <c r="F1178" s="13" t="s">
        <v>586</v>
      </c>
      <c r="G1178" s="13" t="s">
        <v>46</v>
      </c>
      <c r="H1178" s="13">
        <v>19</v>
      </c>
      <c r="I1178" s="13" t="s">
        <v>46</v>
      </c>
      <c r="K1178" s="13" t="s">
        <v>928</v>
      </c>
      <c r="L1178" s="13" t="s">
        <v>929</v>
      </c>
      <c r="N1178" s="13" t="s">
        <v>53</v>
      </c>
      <c r="O1178" s="13" t="s">
        <v>54</v>
      </c>
      <c r="P1178" s="13" t="s">
        <v>143</v>
      </c>
      <c r="Q1178" s="13" t="s">
        <v>48</v>
      </c>
      <c r="R1178" s="4">
        <v>5</v>
      </c>
      <c r="S1178" s="13" t="s">
        <v>596</v>
      </c>
      <c r="T1178" s="13">
        <v>169</v>
      </c>
      <c r="U1178" s="4" t="s">
        <v>186</v>
      </c>
      <c r="V1178" s="4">
        <v>525</v>
      </c>
      <c r="W1178" s="4" t="s">
        <v>601</v>
      </c>
      <c r="X1178" s="4" t="s">
        <v>46</v>
      </c>
      <c r="Y1178" s="4">
        <v>72</v>
      </c>
      <c r="AA1178" s="4" t="s">
        <v>49</v>
      </c>
      <c r="AB1178" s="4">
        <v>0</v>
      </c>
      <c r="AC1178" s="4" t="s">
        <v>49</v>
      </c>
      <c r="AD1178" s="4">
        <v>0</v>
      </c>
      <c r="AE1178" s="4" t="s">
        <v>49</v>
      </c>
      <c r="AF1178" s="4">
        <v>0</v>
      </c>
      <c r="AG1178" s="4" t="s">
        <v>778</v>
      </c>
      <c r="AH1178" s="4" t="s">
        <v>733</v>
      </c>
      <c r="AI1178" s="4" t="s">
        <v>78</v>
      </c>
      <c r="AJ1178" s="13">
        <v>0</v>
      </c>
      <c r="AK1178" s="13">
        <v>20</v>
      </c>
      <c r="AN1178" s="13" t="s">
        <v>552</v>
      </c>
      <c r="AO1178" s="13" t="s">
        <v>553</v>
      </c>
      <c r="AP1178" s="13" t="s">
        <v>50</v>
      </c>
      <c r="AQ1178" s="13" t="s">
        <v>49</v>
      </c>
      <c r="AR1178" s="13" t="s">
        <v>50</v>
      </c>
      <c r="AS1178" s="13" t="s">
        <v>49</v>
      </c>
      <c r="AT1178" s="13" t="s">
        <v>990</v>
      </c>
      <c r="AU1178" s="13" t="s">
        <v>998</v>
      </c>
      <c r="AV1178" s="14">
        <f>598.44/1.4/1000</f>
        <v>0.42745714285714292</v>
      </c>
      <c r="AW1178" s="14">
        <f>787.54/1.4/1000</f>
        <v>0.56252857142857149</v>
      </c>
      <c r="AX1178" s="14">
        <f>Table1347456[[#This Row],[treatment_mean]]/Table1347456[[#This Row],[control_mean]]</f>
        <v>0.75988521217969884</v>
      </c>
      <c r="AY1178" s="14">
        <f>LN(Table1347456[[#This Row],[rr]])</f>
        <v>-0.27458789371459646</v>
      </c>
      <c r="AZ1178" s="13">
        <v>5</v>
      </c>
      <c r="BA1178" s="13">
        <v>5</v>
      </c>
      <c r="BB1178" s="14">
        <f>Table1347456[[#This Row],[treatment_sd]]/SQRT(Table1347456[[#This Row],[treatment_n]])</f>
        <v>7.9252637888242543E-3</v>
      </c>
      <c r="BC1178" s="14">
        <f>Table1347456[[#This Row],[control_sd]]/SQRT(Table1347456[[#This Row],[control_n]])</f>
        <v>4.2510846635096008E-2</v>
      </c>
      <c r="BD1178" s="15">
        <f>24.81/1.4/1000</f>
        <v>1.7721428571428572E-2</v>
      </c>
      <c r="BE1178" s="14">
        <f>133.08/1.4/1000</f>
        <v>9.5057142857142882E-2</v>
      </c>
      <c r="BF117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6.0547257057979613E-3</v>
      </c>
      <c r="BG1178" s="17">
        <f>SQRT(Table1347456[[#This Row],[v_from_sd_and_n]])</f>
        <v>7.7812117988125484E-2</v>
      </c>
      <c r="BH1178" s="13" t="s">
        <v>50</v>
      </c>
      <c r="BI1178" s="13">
        <v>2.5000000000000001E-2</v>
      </c>
      <c r="BJ1178" s="18">
        <f>ABS(_xlfn.NORM.S.INV(Table1347456[[#This Row],[p_value]]/2))</f>
        <v>2.2414027276049446</v>
      </c>
      <c r="BK1178" s="19">
        <f>(Table1347456[[#This Row],[lnrr]]/Table1347456[[#This Row],[z_from_p]])^2</f>
        <v>1.5008005468952857E-2</v>
      </c>
      <c r="BL1178" s="16">
        <f>Table1347456[[#This Row],[v_from_sd_and_n]]</f>
        <v>6.0547257057979613E-3</v>
      </c>
      <c r="BM1178" s="20">
        <f>SQRT(Table1347456[[#This Row],[v]])</f>
        <v>7.7812117988125484E-2</v>
      </c>
      <c r="BN1178" s="20">
        <f>Table1347456[[#This Row],[lnrr]]-(1.96*Table1347456[[#This Row],[se]])</f>
        <v>-0.42709964497132241</v>
      </c>
      <c r="BO1178" s="20">
        <f>Table1347456[[#This Row],[lnrr]]+(1.96 * Table1347456[[#This Row],[se]])</f>
        <v>-0.12207614245787052</v>
      </c>
    </row>
    <row r="1179" spans="1:67">
      <c r="A1179" s="13" t="s">
        <v>366</v>
      </c>
      <c r="B1179" s="13" t="s">
        <v>367</v>
      </c>
      <c r="C1179" s="13" t="s">
        <v>43</v>
      </c>
      <c r="D1179" s="13" t="s">
        <v>368</v>
      </c>
      <c r="E1179" s="13" t="s">
        <v>369</v>
      </c>
      <c r="F1179" s="13" t="s">
        <v>586</v>
      </c>
      <c r="G1179" s="13" t="s">
        <v>46</v>
      </c>
      <c r="H1179" s="13">
        <v>19</v>
      </c>
      <c r="I1179" s="13" t="s">
        <v>46</v>
      </c>
      <c r="K1179" s="13" t="s">
        <v>928</v>
      </c>
      <c r="L1179" s="13" t="s">
        <v>929</v>
      </c>
      <c r="N1179" s="13" t="s">
        <v>53</v>
      </c>
      <c r="O1179" s="13" t="s">
        <v>54</v>
      </c>
      <c r="P1179" s="13" t="s">
        <v>143</v>
      </c>
      <c r="Q1179" s="13" t="s">
        <v>48</v>
      </c>
      <c r="R1179" s="4">
        <v>5</v>
      </c>
      <c r="S1179" s="13" t="s">
        <v>596</v>
      </c>
      <c r="T1179" s="13">
        <v>169</v>
      </c>
      <c r="U1179" s="4" t="s">
        <v>200</v>
      </c>
      <c r="V1179" s="4">
        <v>525</v>
      </c>
      <c r="W1179" s="4" t="s">
        <v>601</v>
      </c>
      <c r="X1179" s="4" t="s">
        <v>46</v>
      </c>
      <c r="Y1179" s="4">
        <v>72</v>
      </c>
      <c r="AA1179" s="4" t="s">
        <v>49</v>
      </c>
      <c r="AB1179" s="4">
        <v>0</v>
      </c>
      <c r="AC1179" s="4" t="s">
        <v>49</v>
      </c>
      <c r="AD1179" s="4">
        <v>0</v>
      </c>
      <c r="AE1179" s="4" t="s">
        <v>49</v>
      </c>
      <c r="AF1179" s="4">
        <v>0</v>
      </c>
      <c r="AG1179" s="4" t="s">
        <v>777</v>
      </c>
      <c r="AH1179" s="4" t="s">
        <v>733</v>
      </c>
      <c r="AI1179" s="4" t="s">
        <v>78</v>
      </c>
      <c r="AJ1179" s="13">
        <v>0</v>
      </c>
      <c r="AK1179" s="13">
        <v>20</v>
      </c>
      <c r="AN1179" s="13" t="s">
        <v>552</v>
      </c>
      <c r="AO1179" s="13" t="s">
        <v>553</v>
      </c>
      <c r="AP1179" s="13" t="s">
        <v>50</v>
      </c>
      <c r="AQ1179" s="13" t="s">
        <v>49</v>
      </c>
      <c r="AR1179" s="13" t="s">
        <v>50</v>
      </c>
      <c r="AS1179" s="13" t="s">
        <v>49</v>
      </c>
      <c r="AT1179" s="13" t="s">
        <v>990</v>
      </c>
      <c r="AU1179" s="13" t="s">
        <v>998</v>
      </c>
      <c r="AV1179" s="14">
        <f>718.36/1.4/1000</f>
        <v>0.51311428571428574</v>
      </c>
      <c r="AW1179" s="14">
        <f>787.54/1.4/1000</f>
        <v>0.56252857142857149</v>
      </c>
      <c r="AX1179" s="14">
        <f>Table1347456[[#This Row],[treatment_mean]]/Table1347456[[#This Row],[control_mean]]</f>
        <v>0.91215684282703091</v>
      </c>
      <c r="AY1179" s="14">
        <f>LN(Table1347456[[#This Row],[rr]])</f>
        <v>-9.1943326910092424E-2</v>
      </c>
      <c r="AZ1179" s="13">
        <v>5</v>
      </c>
      <c r="BA1179" s="13">
        <v>5</v>
      </c>
      <c r="BB1179" s="14">
        <f>Table1347456[[#This Row],[treatment_sd]]/SQRT(Table1347456[[#This Row],[treatment_n]])</f>
        <v>7.2065276531993209E-3</v>
      </c>
      <c r="BC1179" s="14">
        <f>Table1347456[[#This Row],[control_sd]]/SQRT(Table1347456[[#This Row],[control_n]])</f>
        <v>4.2510846635096008E-2</v>
      </c>
      <c r="BD1179" s="15">
        <f>22.56/1.4/1000</f>
        <v>1.6114285714285713E-2</v>
      </c>
      <c r="BE1179" s="14">
        <f>133.08/1.4/1000</f>
        <v>9.5057142857142882E-2</v>
      </c>
      <c r="BF117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5.9082291609818486E-3</v>
      </c>
      <c r="BG1179" s="17">
        <f>SQRT(Table1347456[[#This Row],[v_from_sd_and_n]])</f>
        <v>7.6865006088478571E-2</v>
      </c>
      <c r="BH1179" s="13" t="s">
        <v>50</v>
      </c>
      <c r="BI1179" s="13">
        <v>2.5000000000000001E-2</v>
      </c>
      <c r="BJ1179" s="18">
        <f>ABS(_xlfn.NORM.S.INV(Table1347456[[#This Row],[p_value]]/2))</f>
        <v>2.2414027276049446</v>
      </c>
      <c r="BK1179" s="19">
        <f>(Table1347456[[#This Row],[lnrr]]/Table1347456[[#This Row],[z_from_p]])^2</f>
        <v>1.6826765273148644E-3</v>
      </c>
      <c r="BL1179" s="16">
        <f>Table1347456[[#This Row],[v_from_sd_and_n]]</f>
        <v>5.9082291609818486E-3</v>
      </c>
      <c r="BM1179" s="20">
        <f>SQRT(Table1347456[[#This Row],[v]])</f>
        <v>7.6865006088478571E-2</v>
      </c>
      <c r="BN1179" s="20">
        <f>Table1347456[[#This Row],[lnrr]]-(1.96*Table1347456[[#This Row],[se]])</f>
        <v>-0.24259873884351041</v>
      </c>
      <c r="BO1179" s="20">
        <f>Table1347456[[#This Row],[lnrr]]+(1.96 * Table1347456[[#This Row],[se]])</f>
        <v>5.8712085023325575E-2</v>
      </c>
    </row>
    <row r="1180" spans="1:67">
      <c r="A1180" s="13" t="s">
        <v>366</v>
      </c>
      <c r="B1180" s="13" t="s">
        <v>367</v>
      </c>
      <c r="C1180" s="13" t="s">
        <v>43</v>
      </c>
      <c r="D1180" s="13" t="s">
        <v>368</v>
      </c>
      <c r="E1180" s="13" t="s">
        <v>369</v>
      </c>
      <c r="F1180" s="13" t="s">
        <v>586</v>
      </c>
      <c r="G1180" s="13" t="s">
        <v>46</v>
      </c>
      <c r="H1180" s="13">
        <v>19</v>
      </c>
      <c r="I1180" s="13" t="s">
        <v>46</v>
      </c>
      <c r="K1180" s="13" t="s">
        <v>928</v>
      </c>
      <c r="L1180" s="13" t="s">
        <v>929</v>
      </c>
      <c r="N1180" s="13" t="s">
        <v>53</v>
      </c>
      <c r="O1180" s="13" t="s">
        <v>54</v>
      </c>
      <c r="P1180" s="13" t="s">
        <v>143</v>
      </c>
      <c r="Q1180" s="13" t="s">
        <v>48</v>
      </c>
      <c r="R1180" s="4">
        <v>5</v>
      </c>
      <c r="S1180" s="13" t="s">
        <v>596</v>
      </c>
      <c r="T1180" s="13">
        <v>169</v>
      </c>
      <c r="U1180" s="4" t="s">
        <v>370</v>
      </c>
      <c r="V1180" s="4">
        <v>400</v>
      </c>
      <c r="W1180" s="4" t="s">
        <v>42</v>
      </c>
      <c r="X1180" s="4" t="s">
        <v>46</v>
      </c>
      <c r="Y1180" s="4">
        <v>72</v>
      </c>
      <c r="AA1180" s="4" t="s">
        <v>49</v>
      </c>
      <c r="AB1180" s="4">
        <v>0</v>
      </c>
      <c r="AC1180" s="4" t="s">
        <v>49</v>
      </c>
      <c r="AD1180" s="4">
        <v>0</v>
      </c>
      <c r="AE1180" s="4" t="s">
        <v>49</v>
      </c>
      <c r="AF1180" s="4">
        <v>0</v>
      </c>
      <c r="AG1180" s="4" t="s">
        <v>714</v>
      </c>
      <c r="AH1180" s="4" t="s">
        <v>733</v>
      </c>
      <c r="AI1180" s="4" t="s">
        <v>78</v>
      </c>
      <c r="AJ1180" s="13">
        <v>0</v>
      </c>
      <c r="AK1180" s="13">
        <v>20</v>
      </c>
      <c r="AN1180" s="13" t="s">
        <v>552</v>
      </c>
      <c r="AO1180" s="13" t="s">
        <v>553</v>
      </c>
      <c r="AP1180" s="13" t="s">
        <v>50</v>
      </c>
      <c r="AQ1180" s="13" t="s">
        <v>49</v>
      </c>
      <c r="AR1180" s="13" t="s">
        <v>50</v>
      </c>
      <c r="AS1180" s="13" t="s">
        <v>49</v>
      </c>
      <c r="AT1180" s="13" t="s">
        <v>990</v>
      </c>
      <c r="AU1180" s="13" t="s">
        <v>998</v>
      </c>
      <c r="AV1180" s="14">
        <f>700.7/1.4/1000</f>
        <v>0.50050000000000006</v>
      </c>
      <c r="AW1180" s="14">
        <f>787.54/1.4/1000</f>
        <v>0.56252857142857149</v>
      </c>
      <c r="AX1180" s="14">
        <f>Table1347456[[#This Row],[treatment_mean]]/Table1347456[[#This Row],[control_mean]]</f>
        <v>0.88973258501155494</v>
      </c>
      <c r="AY1180" s="14">
        <f>LN(Table1347456[[#This Row],[rr]])</f>
        <v>-0.1168343276841398</v>
      </c>
      <c r="AZ1180" s="13">
        <v>5</v>
      </c>
      <c r="BA1180" s="13">
        <v>5</v>
      </c>
      <c r="BB1180" s="14">
        <f>Table1347456[[#This Row],[treatment_sd]]/SQRT(Table1347456[[#This Row],[treatment_n]])</f>
        <v>1.6572458096098443E-2</v>
      </c>
      <c r="BC1180" s="14">
        <f>Table1347456[[#This Row],[control_sd]]/SQRT(Table1347456[[#This Row],[control_n]])</f>
        <v>4.2510846635096008E-2</v>
      </c>
      <c r="BD1180" s="15">
        <f>51.88/1.4/1000</f>
        <v>3.7057142857142865E-2</v>
      </c>
      <c r="BE1180" s="14">
        <f>133.08/1.4/1000</f>
        <v>9.5057142857142882E-2</v>
      </c>
      <c r="BF118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6.8073676210545827E-3</v>
      </c>
      <c r="BG1180" s="17">
        <f>SQRT(Table1347456[[#This Row],[v_from_sd_and_n]])</f>
        <v>8.2506773182900464E-2</v>
      </c>
      <c r="BH1180" s="13" t="s">
        <v>50</v>
      </c>
      <c r="BI1180" s="13">
        <v>2.5000000000000001E-2</v>
      </c>
      <c r="BJ1180" s="18">
        <f>ABS(_xlfn.NORM.S.INV(Table1347456[[#This Row],[p_value]]/2))</f>
        <v>2.2414027276049446</v>
      </c>
      <c r="BK1180" s="19">
        <f>(Table1347456[[#This Row],[lnrr]]/Table1347456[[#This Row],[z_from_p]])^2</f>
        <v>2.7170719272803837E-3</v>
      </c>
      <c r="BL1180" s="16">
        <f>Table1347456[[#This Row],[v_from_sd_and_n]]</f>
        <v>6.8073676210545827E-3</v>
      </c>
      <c r="BM1180" s="20">
        <f>SQRT(Table1347456[[#This Row],[v]])</f>
        <v>8.2506773182900464E-2</v>
      </c>
      <c r="BN1180" s="20">
        <f>Table1347456[[#This Row],[lnrr]]-(1.96*Table1347456[[#This Row],[se]])</f>
        <v>-0.27854760312262472</v>
      </c>
      <c r="BO1180" s="20">
        <f>Table1347456[[#This Row],[lnrr]]+(1.96 * Table1347456[[#This Row],[se]])</f>
        <v>4.4878947754345103E-2</v>
      </c>
    </row>
    <row r="1181" spans="1:67">
      <c r="A1181" s="13" t="s">
        <v>366</v>
      </c>
      <c r="B1181" s="13" t="s">
        <v>367</v>
      </c>
      <c r="C1181" s="13" t="s">
        <v>43</v>
      </c>
      <c r="D1181" s="13" t="s">
        <v>368</v>
      </c>
      <c r="E1181" s="13" t="s">
        <v>369</v>
      </c>
      <c r="F1181" s="13" t="s">
        <v>586</v>
      </c>
      <c r="G1181" s="13" t="s">
        <v>46</v>
      </c>
      <c r="H1181" s="13">
        <v>19</v>
      </c>
      <c r="I1181" s="13" t="s">
        <v>46</v>
      </c>
      <c r="K1181" s="13" t="s">
        <v>928</v>
      </c>
      <c r="L1181" s="13" t="s">
        <v>929</v>
      </c>
      <c r="N1181" s="13" t="s">
        <v>53</v>
      </c>
      <c r="O1181" s="13" t="s">
        <v>54</v>
      </c>
      <c r="P1181" s="13" t="s">
        <v>143</v>
      </c>
      <c r="Q1181" s="13" t="s">
        <v>48</v>
      </c>
      <c r="R1181" s="4">
        <v>5</v>
      </c>
      <c r="S1181" s="13" t="s">
        <v>596</v>
      </c>
      <c r="T1181" s="13">
        <v>169</v>
      </c>
      <c r="U1181" s="4" t="s">
        <v>370</v>
      </c>
      <c r="V1181" s="4">
        <v>525</v>
      </c>
      <c r="W1181" s="4" t="s">
        <v>601</v>
      </c>
      <c r="X1181" s="4" t="s">
        <v>46</v>
      </c>
      <c r="Y1181" s="4">
        <v>72</v>
      </c>
      <c r="AA1181" s="4" t="s">
        <v>49</v>
      </c>
      <c r="AB1181" s="4">
        <v>0</v>
      </c>
      <c r="AC1181" s="4" t="s">
        <v>49</v>
      </c>
      <c r="AD1181" s="4">
        <v>0</v>
      </c>
      <c r="AE1181" s="4" t="s">
        <v>49</v>
      </c>
      <c r="AF1181" s="4">
        <v>0</v>
      </c>
      <c r="AG1181" s="4" t="s">
        <v>779</v>
      </c>
      <c r="AH1181" s="4" t="s">
        <v>733</v>
      </c>
      <c r="AI1181" s="4" t="s">
        <v>78</v>
      </c>
      <c r="AJ1181" s="13">
        <v>0</v>
      </c>
      <c r="AK1181" s="13">
        <v>20</v>
      </c>
      <c r="AN1181" s="13" t="s">
        <v>552</v>
      </c>
      <c r="AO1181" s="13" t="s">
        <v>553</v>
      </c>
      <c r="AP1181" s="13" t="s">
        <v>50</v>
      </c>
      <c r="AQ1181" s="13" t="s">
        <v>49</v>
      </c>
      <c r="AR1181" s="13" t="s">
        <v>50</v>
      </c>
      <c r="AS1181" s="13" t="s">
        <v>49</v>
      </c>
      <c r="AT1181" s="13" t="s">
        <v>990</v>
      </c>
      <c r="AU1181" s="13" t="s">
        <v>998</v>
      </c>
      <c r="AV1181" s="14">
        <f>928.89/1.4/1000</f>
        <v>0.66349285714285711</v>
      </c>
      <c r="AW1181" s="14">
        <f>787.54/1.4/1000</f>
        <v>0.56252857142857149</v>
      </c>
      <c r="AX1181" s="14">
        <f>Table1347456[[#This Row],[treatment_mean]]/Table1347456[[#This Row],[control_mean]]</f>
        <v>1.1794829468979351</v>
      </c>
      <c r="AY1181" s="14">
        <f>LN(Table1347456[[#This Row],[rr]])</f>
        <v>0.16507616185343313</v>
      </c>
      <c r="AZ1181" s="13">
        <v>5</v>
      </c>
      <c r="BA1181" s="13">
        <v>5</v>
      </c>
      <c r="BB1181" s="14">
        <f>Table1347456[[#This Row],[treatment_sd]]/SQRT(Table1347456[[#This Row],[treatment_n]])</f>
        <v>1.0809791479798983E-2</v>
      </c>
      <c r="BC1181" s="14">
        <f>Table1347456[[#This Row],[control_sd]]/SQRT(Table1347456[[#This Row],[control_n]])</f>
        <v>4.2510846635096008E-2</v>
      </c>
      <c r="BD1181" s="15">
        <f>33.84/1.4/1000</f>
        <v>2.4171428571428573E-2</v>
      </c>
      <c r="BE1181" s="14">
        <f>133.08/1.4/1000</f>
        <v>9.5057142857142882E-2</v>
      </c>
      <c r="BF118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5.9764134402207694E-3</v>
      </c>
      <c r="BG1181" s="17">
        <f>SQRT(Table1347456[[#This Row],[v_from_sd_and_n]])</f>
        <v>7.7307266412807343E-2</v>
      </c>
      <c r="BH1181" s="13" t="s">
        <v>50</v>
      </c>
      <c r="BI1181" s="13">
        <v>2.5000000000000001E-2</v>
      </c>
      <c r="BJ1181" s="18">
        <f>ABS(_xlfn.NORM.S.INV(Table1347456[[#This Row],[p_value]]/2))</f>
        <v>2.2414027276049446</v>
      </c>
      <c r="BK1181" s="19">
        <f>(Table1347456[[#This Row],[lnrr]]/Table1347456[[#This Row],[z_from_p]])^2</f>
        <v>5.4241155544220675E-3</v>
      </c>
      <c r="BL1181" s="16">
        <f>Table1347456[[#This Row],[v_from_sd_and_n]]</f>
        <v>5.9764134402207694E-3</v>
      </c>
      <c r="BM1181" s="20">
        <f>SQRT(Table1347456[[#This Row],[v]])</f>
        <v>7.7307266412807343E-2</v>
      </c>
      <c r="BN1181" s="20">
        <f>Table1347456[[#This Row],[lnrr]]-(1.96*Table1347456[[#This Row],[se]])</f>
        <v>1.3553919684330729E-2</v>
      </c>
      <c r="BO1181" s="20">
        <f>Table1347456[[#This Row],[lnrr]]+(1.96 * Table1347456[[#This Row],[se]])</f>
        <v>0.31659840402253553</v>
      </c>
    </row>
    <row r="1182" spans="1:67">
      <c r="A1182" s="13" t="s">
        <v>366</v>
      </c>
      <c r="B1182" s="13" t="s">
        <v>367</v>
      </c>
      <c r="C1182" s="13" t="s">
        <v>43</v>
      </c>
      <c r="D1182" s="13" t="s">
        <v>368</v>
      </c>
      <c r="E1182" s="13" t="s">
        <v>369</v>
      </c>
      <c r="F1182" s="13" t="s">
        <v>586</v>
      </c>
      <c r="G1182" s="13" t="s">
        <v>46</v>
      </c>
      <c r="H1182" s="13">
        <v>19</v>
      </c>
      <c r="I1182" s="13" t="s">
        <v>46</v>
      </c>
      <c r="K1182" s="13" t="s">
        <v>928</v>
      </c>
      <c r="L1182" s="13" t="s">
        <v>929</v>
      </c>
      <c r="N1182" s="13" t="s">
        <v>371</v>
      </c>
      <c r="O1182" s="13" t="s">
        <v>644</v>
      </c>
      <c r="P1182" s="13" t="s">
        <v>143</v>
      </c>
      <c r="Q1182" s="13" t="s">
        <v>48</v>
      </c>
      <c r="R1182" s="4">
        <v>5</v>
      </c>
      <c r="S1182" s="13" t="s">
        <v>596</v>
      </c>
      <c r="T1182" s="13">
        <v>169</v>
      </c>
      <c r="U1182" s="4" t="s">
        <v>186</v>
      </c>
      <c r="V1182" s="4">
        <v>525</v>
      </c>
      <c r="W1182" s="4" t="s">
        <v>601</v>
      </c>
      <c r="X1182" s="4" t="s">
        <v>46</v>
      </c>
      <c r="Y1182" s="4">
        <v>72</v>
      </c>
      <c r="AA1182" s="4" t="s">
        <v>49</v>
      </c>
      <c r="AB1182" s="4">
        <v>0</v>
      </c>
      <c r="AC1182" s="4" t="s">
        <v>49</v>
      </c>
      <c r="AD1182" s="4">
        <v>0</v>
      </c>
      <c r="AE1182" s="4" t="s">
        <v>49</v>
      </c>
      <c r="AF1182" s="4">
        <v>0</v>
      </c>
      <c r="AG1182" s="4" t="s">
        <v>778</v>
      </c>
      <c r="AH1182" s="4" t="s">
        <v>733</v>
      </c>
      <c r="AI1182" s="4" t="s">
        <v>78</v>
      </c>
      <c r="AJ1182" s="13">
        <v>0</v>
      </c>
      <c r="AK1182" s="13">
        <v>20</v>
      </c>
      <c r="AN1182" s="13" t="s">
        <v>552</v>
      </c>
      <c r="AO1182" s="13" t="s">
        <v>553</v>
      </c>
      <c r="AP1182" s="13" t="s">
        <v>50</v>
      </c>
      <c r="AQ1182" s="13" t="s">
        <v>49</v>
      </c>
      <c r="AR1182" s="13" t="s">
        <v>50</v>
      </c>
      <c r="AS1182" s="13" t="s">
        <v>49</v>
      </c>
      <c r="AT1182" s="13" t="s">
        <v>990</v>
      </c>
      <c r="AU1182" s="13" t="s">
        <v>998</v>
      </c>
      <c r="AV1182" s="14">
        <f>0.23/1.4/1000</f>
        <v>1.6428571428571431E-4</v>
      </c>
      <c r="AW1182" s="14">
        <f>0.31/1.4/1000</f>
        <v>2.2142857142857145E-4</v>
      </c>
      <c r="AX1182" s="14">
        <f>Table1347456[[#This Row],[treatment_mean]]/Table1347456[[#This Row],[control_mean]]</f>
        <v>0.74193548387096775</v>
      </c>
      <c r="AY1182" s="14">
        <f>LN(Table1347456[[#This Row],[rr]])</f>
        <v>-0.29849298855599654</v>
      </c>
      <c r="AZ1182" s="13">
        <v>5</v>
      </c>
      <c r="BA1182" s="13">
        <v>5</v>
      </c>
      <c r="BB1182" s="14">
        <f>Table1347456[[#This Row],[treatment_sd]]/SQRT(Table1347456[[#This Row],[treatment_n]])</f>
        <v>1.9166296949998197E-5</v>
      </c>
      <c r="BC1182" s="14">
        <f>Table1347456[[#This Row],[control_sd]]/SQRT(Table1347456[[#This Row],[control_n]])</f>
        <v>3.5138211074996695E-5</v>
      </c>
      <c r="BD1182" s="15">
        <f>0.06/1.4/1000</f>
        <v>4.2857142857142856E-5</v>
      </c>
      <c r="BE1182" s="14">
        <f>0.11/1.4/1000</f>
        <v>7.857142857142858E-5</v>
      </c>
      <c r="BF118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3.8792687988449329E-2</v>
      </c>
      <c r="BG1182" s="17">
        <f>SQRT(Table1347456[[#This Row],[v_from_sd_and_n]])</f>
        <v>0.19695859460416884</v>
      </c>
      <c r="BH1182" s="13" t="s">
        <v>50</v>
      </c>
      <c r="BI1182" s="13">
        <v>2.5000000000000001E-2</v>
      </c>
      <c r="BJ1182" s="18">
        <f>ABS(_xlfn.NORM.S.INV(Table1347456[[#This Row],[p_value]]/2))</f>
        <v>2.2414027276049446</v>
      </c>
      <c r="BK1182" s="19">
        <f>(Table1347456[[#This Row],[lnrr]]/Table1347456[[#This Row],[z_from_p]])^2</f>
        <v>1.7734889066965607E-2</v>
      </c>
      <c r="BL1182" s="16">
        <f>Table1347456[[#This Row],[v_from_sd_and_n]]</f>
        <v>3.8792687988449329E-2</v>
      </c>
      <c r="BM1182" s="20">
        <f>SQRT(Table1347456[[#This Row],[v]])</f>
        <v>0.19695859460416884</v>
      </c>
      <c r="BN1182" s="20">
        <f>Table1347456[[#This Row],[lnrr]]-(1.96*Table1347456[[#This Row],[se]])</f>
        <v>-0.68453183398016748</v>
      </c>
      <c r="BO1182" s="20">
        <f>Table1347456[[#This Row],[lnrr]]+(1.96 * Table1347456[[#This Row],[se]])</f>
        <v>8.7545856868174399E-2</v>
      </c>
    </row>
    <row r="1183" spans="1:67">
      <c r="A1183" s="13" t="s">
        <v>366</v>
      </c>
      <c r="B1183" s="13" t="s">
        <v>367</v>
      </c>
      <c r="C1183" s="13" t="s">
        <v>43</v>
      </c>
      <c r="D1183" s="13" t="s">
        <v>368</v>
      </c>
      <c r="E1183" s="13" t="s">
        <v>369</v>
      </c>
      <c r="F1183" s="13" t="s">
        <v>586</v>
      </c>
      <c r="G1183" s="13" t="s">
        <v>46</v>
      </c>
      <c r="H1183" s="13">
        <v>19</v>
      </c>
      <c r="I1183" s="13" t="s">
        <v>46</v>
      </c>
      <c r="K1183" s="13" t="s">
        <v>928</v>
      </c>
      <c r="L1183" s="13" t="s">
        <v>929</v>
      </c>
      <c r="N1183" s="13" t="s">
        <v>371</v>
      </c>
      <c r="O1183" s="13" t="s">
        <v>644</v>
      </c>
      <c r="P1183" s="13" t="s">
        <v>143</v>
      </c>
      <c r="Q1183" s="13" t="s">
        <v>48</v>
      </c>
      <c r="R1183" s="4">
        <v>5</v>
      </c>
      <c r="S1183" s="13" t="s">
        <v>596</v>
      </c>
      <c r="T1183" s="13">
        <v>169</v>
      </c>
      <c r="U1183" s="4" t="s">
        <v>200</v>
      </c>
      <c r="V1183" s="4">
        <v>525</v>
      </c>
      <c r="W1183" s="4" t="s">
        <v>601</v>
      </c>
      <c r="X1183" s="4" t="s">
        <v>46</v>
      </c>
      <c r="Y1183" s="4">
        <v>72</v>
      </c>
      <c r="AA1183" s="4" t="s">
        <v>49</v>
      </c>
      <c r="AB1183" s="4">
        <v>0</v>
      </c>
      <c r="AC1183" s="4" t="s">
        <v>49</v>
      </c>
      <c r="AD1183" s="4">
        <v>0</v>
      </c>
      <c r="AE1183" s="4" t="s">
        <v>49</v>
      </c>
      <c r="AF1183" s="4">
        <v>0</v>
      </c>
      <c r="AG1183" s="4" t="s">
        <v>777</v>
      </c>
      <c r="AH1183" s="4" t="s">
        <v>733</v>
      </c>
      <c r="AI1183" s="4" t="s">
        <v>78</v>
      </c>
      <c r="AJ1183" s="13">
        <v>0</v>
      </c>
      <c r="AK1183" s="13">
        <v>20</v>
      </c>
      <c r="AN1183" s="13" t="s">
        <v>552</v>
      </c>
      <c r="AO1183" s="13" t="s">
        <v>553</v>
      </c>
      <c r="AP1183" s="13" t="s">
        <v>50</v>
      </c>
      <c r="AQ1183" s="13" t="s">
        <v>49</v>
      </c>
      <c r="AR1183" s="13" t="s">
        <v>50</v>
      </c>
      <c r="AS1183" s="13" t="s">
        <v>49</v>
      </c>
      <c r="AT1183" s="13" t="s">
        <v>990</v>
      </c>
      <c r="AU1183" s="13" t="s">
        <v>998</v>
      </c>
      <c r="AV1183" s="14">
        <f>1.197/1.4/1000</f>
        <v>8.5500000000000007E-4</v>
      </c>
      <c r="AW1183" s="14">
        <f>0.31/1.4/1000</f>
        <v>2.2142857142857145E-4</v>
      </c>
      <c r="AX1183" s="14">
        <f>Table1347456[[#This Row],[treatment_mean]]/Table1347456[[#This Row],[control_mean]]</f>
        <v>3.8612903225806452</v>
      </c>
      <c r="AY1183" s="14">
        <f>LN(Table1347456[[#This Row],[rr]])</f>
        <v>1.3510014080787813</v>
      </c>
      <c r="AZ1183" s="13">
        <v>5</v>
      </c>
      <c r="BA1183" s="13">
        <v>5</v>
      </c>
      <c r="BB1183" s="14">
        <f>Table1347456[[#This Row],[treatment_sd]]/SQRT(Table1347456[[#This Row],[treatment_n]])</f>
        <v>7.5387434669992913E-5</v>
      </c>
      <c r="BC1183" s="14">
        <f>Table1347456[[#This Row],[control_sd]]/SQRT(Table1347456[[#This Row],[control_n]])</f>
        <v>3.5138211074996695E-5</v>
      </c>
      <c r="BD1183" s="15">
        <f>0.236/1.4/1000</f>
        <v>1.6857142857142857E-4</v>
      </c>
      <c r="BE1183" s="14">
        <f>0.11/1.4/1000</f>
        <v>7.857142857142858E-5</v>
      </c>
      <c r="BF118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3.2956480837094793E-2</v>
      </c>
      <c r="BG1183" s="17">
        <f>SQRT(Table1347456[[#This Row],[v_from_sd_and_n]])</f>
        <v>0.18153919917498476</v>
      </c>
      <c r="BH1183" s="13" t="s">
        <v>50</v>
      </c>
      <c r="BI1183" s="13">
        <v>2.5000000000000001E-2</v>
      </c>
      <c r="BJ1183" s="18">
        <f>ABS(_xlfn.NORM.S.INV(Table1347456[[#This Row],[p_value]]/2))</f>
        <v>2.2414027276049446</v>
      </c>
      <c r="BK1183" s="19">
        <f>(Table1347456[[#This Row],[lnrr]]/Table1347456[[#This Row],[z_from_p]])^2</f>
        <v>0.36330536492634319</v>
      </c>
      <c r="BL1183" s="16">
        <f>Table1347456[[#This Row],[v_from_sd_and_n]]</f>
        <v>3.2956480837094793E-2</v>
      </c>
      <c r="BM1183" s="20">
        <f>SQRT(Table1347456[[#This Row],[v]])</f>
        <v>0.18153919917498476</v>
      </c>
      <c r="BN1183" s="20">
        <f>Table1347456[[#This Row],[lnrr]]-(1.96*Table1347456[[#This Row],[se]])</f>
        <v>0.99518457769581126</v>
      </c>
      <c r="BO1183" s="20">
        <f>Table1347456[[#This Row],[lnrr]]+(1.96 * Table1347456[[#This Row],[se]])</f>
        <v>1.7068182384617514</v>
      </c>
    </row>
    <row r="1184" spans="1:67">
      <c r="A1184" s="13" t="s">
        <v>366</v>
      </c>
      <c r="B1184" s="13" t="s">
        <v>367</v>
      </c>
      <c r="C1184" s="13" t="s">
        <v>43</v>
      </c>
      <c r="D1184" s="13" t="s">
        <v>368</v>
      </c>
      <c r="E1184" s="13" t="s">
        <v>369</v>
      </c>
      <c r="F1184" s="13" t="s">
        <v>586</v>
      </c>
      <c r="G1184" s="13" t="s">
        <v>46</v>
      </c>
      <c r="H1184" s="13">
        <v>19</v>
      </c>
      <c r="I1184" s="13" t="s">
        <v>46</v>
      </c>
      <c r="K1184" s="13" t="s">
        <v>928</v>
      </c>
      <c r="L1184" s="13" t="s">
        <v>929</v>
      </c>
      <c r="N1184" s="13" t="s">
        <v>371</v>
      </c>
      <c r="O1184" s="13" t="s">
        <v>644</v>
      </c>
      <c r="P1184" s="13" t="s">
        <v>143</v>
      </c>
      <c r="Q1184" s="13" t="s">
        <v>48</v>
      </c>
      <c r="R1184" s="4">
        <v>5</v>
      </c>
      <c r="S1184" s="13" t="s">
        <v>596</v>
      </c>
      <c r="T1184" s="13">
        <v>169</v>
      </c>
      <c r="U1184" s="4" t="s">
        <v>370</v>
      </c>
      <c r="V1184" s="4">
        <v>400</v>
      </c>
      <c r="W1184" s="4" t="s">
        <v>42</v>
      </c>
      <c r="X1184" s="4" t="s">
        <v>46</v>
      </c>
      <c r="Y1184" s="4">
        <v>72</v>
      </c>
      <c r="AA1184" s="4" t="s">
        <v>49</v>
      </c>
      <c r="AB1184" s="4">
        <v>0</v>
      </c>
      <c r="AC1184" s="4" t="s">
        <v>49</v>
      </c>
      <c r="AD1184" s="4">
        <v>0</v>
      </c>
      <c r="AE1184" s="4" t="s">
        <v>49</v>
      </c>
      <c r="AF1184" s="4">
        <v>0</v>
      </c>
      <c r="AG1184" s="4" t="s">
        <v>714</v>
      </c>
      <c r="AH1184" s="4" t="s">
        <v>733</v>
      </c>
      <c r="AI1184" s="4" t="s">
        <v>78</v>
      </c>
      <c r="AJ1184" s="13">
        <v>0</v>
      </c>
      <c r="AK1184" s="13">
        <v>20</v>
      </c>
      <c r="AN1184" s="13" t="s">
        <v>552</v>
      </c>
      <c r="AO1184" s="13" t="s">
        <v>553</v>
      </c>
      <c r="AP1184" s="13" t="s">
        <v>50</v>
      </c>
      <c r="AQ1184" s="13" t="s">
        <v>49</v>
      </c>
      <c r="AR1184" s="13" t="s">
        <v>50</v>
      </c>
      <c r="AS1184" s="13" t="s">
        <v>49</v>
      </c>
      <c r="AT1184" s="13" t="s">
        <v>990</v>
      </c>
      <c r="AU1184" s="13" t="s">
        <v>998</v>
      </c>
      <c r="AV1184" s="14">
        <f>0.197/1.4/1000</f>
        <v>1.4071428571428573E-4</v>
      </c>
      <c r="AW1184" s="14">
        <f>0.31/1.4/1000</f>
        <v>2.2142857142857145E-4</v>
      </c>
      <c r="AX1184" s="14">
        <f>Table1347456[[#This Row],[treatment_mean]]/Table1347456[[#This Row],[control_mean]]</f>
        <v>0.63548387096774195</v>
      </c>
      <c r="AY1184" s="14">
        <f>LN(Table1347456[[#This Row],[rr]])</f>
        <v>-0.4533685687412034</v>
      </c>
      <c r="AZ1184" s="13">
        <v>5</v>
      </c>
      <c r="BA1184" s="13">
        <v>5</v>
      </c>
      <c r="BB1184" s="14">
        <f>Table1347456[[#This Row],[treatment_sd]]/SQRT(Table1347456[[#This Row],[treatment_n]])</f>
        <v>5.4304508024994894E-6</v>
      </c>
      <c r="BC1184" s="14">
        <f>Table1347456[[#This Row],[control_sd]]/SQRT(Table1347456[[#This Row],[control_n]])</f>
        <v>3.5138211074996695E-5</v>
      </c>
      <c r="BD1184" s="15">
        <f>0.017/1.4/1000</f>
        <v>1.2142857142857144E-5</v>
      </c>
      <c r="BE1184" s="14">
        <f>0.11/1.4/1000</f>
        <v>7.857142857142858E-5</v>
      </c>
      <c r="BF118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2.6671447232073809E-2</v>
      </c>
      <c r="BG1184" s="17">
        <f>SQRT(Table1347456[[#This Row],[v_from_sd_and_n]])</f>
        <v>0.16331395296199835</v>
      </c>
      <c r="BH1184" s="13" t="s">
        <v>50</v>
      </c>
      <c r="BI1184" s="13">
        <v>2.5000000000000001E-2</v>
      </c>
      <c r="BJ1184" s="18">
        <f>ABS(_xlfn.NORM.S.INV(Table1347456[[#This Row],[p_value]]/2))</f>
        <v>2.2414027276049446</v>
      </c>
      <c r="BK1184" s="19">
        <f>(Table1347456[[#This Row],[lnrr]]/Table1347456[[#This Row],[z_from_p]])^2</f>
        <v>4.0913159944075836E-2</v>
      </c>
      <c r="BL1184" s="16">
        <f>Table1347456[[#This Row],[v_from_sd_and_n]]</f>
        <v>2.6671447232073809E-2</v>
      </c>
      <c r="BM1184" s="20">
        <f>SQRT(Table1347456[[#This Row],[v]])</f>
        <v>0.16331395296199835</v>
      </c>
      <c r="BN1184" s="20">
        <f>Table1347456[[#This Row],[lnrr]]-(1.96*Table1347456[[#This Row],[se]])</f>
        <v>-0.7734639165467202</v>
      </c>
      <c r="BO1184" s="20">
        <f>Table1347456[[#This Row],[lnrr]]+(1.96 * Table1347456[[#This Row],[se]])</f>
        <v>-0.13327322093568661</v>
      </c>
    </row>
    <row r="1185" spans="1:67">
      <c r="A1185" s="13" t="s">
        <v>366</v>
      </c>
      <c r="B1185" s="13" t="s">
        <v>367</v>
      </c>
      <c r="C1185" s="13" t="s">
        <v>43</v>
      </c>
      <c r="D1185" s="13" t="s">
        <v>368</v>
      </c>
      <c r="E1185" s="13" t="s">
        <v>369</v>
      </c>
      <c r="F1185" s="13" t="s">
        <v>586</v>
      </c>
      <c r="G1185" s="13" t="s">
        <v>46</v>
      </c>
      <c r="H1185" s="13">
        <v>19</v>
      </c>
      <c r="I1185" s="13" t="s">
        <v>46</v>
      </c>
      <c r="K1185" s="13" t="s">
        <v>928</v>
      </c>
      <c r="L1185" s="13" t="s">
        <v>929</v>
      </c>
      <c r="N1185" s="13" t="s">
        <v>371</v>
      </c>
      <c r="O1185" s="13" t="s">
        <v>644</v>
      </c>
      <c r="P1185" s="13" t="s">
        <v>143</v>
      </c>
      <c r="Q1185" s="13" t="s">
        <v>48</v>
      </c>
      <c r="R1185" s="4">
        <v>5</v>
      </c>
      <c r="S1185" s="13" t="s">
        <v>596</v>
      </c>
      <c r="T1185" s="13">
        <v>169</v>
      </c>
      <c r="U1185" s="4" t="s">
        <v>370</v>
      </c>
      <c r="V1185" s="4">
        <v>525</v>
      </c>
      <c r="W1185" s="4" t="s">
        <v>601</v>
      </c>
      <c r="X1185" s="4" t="s">
        <v>46</v>
      </c>
      <c r="Y1185" s="4">
        <v>72</v>
      </c>
      <c r="AA1185" s="4" t="s">
        <v>49</v>
      </c>
      <c r="AB1185" s="4">
        <v>0</v>
      </c>
      <c r="AC1185" s="4" t="s">
        <v>49</v>
      </c>
      <c r="AD1185" s="4">
        <v>0</v>
      </c>
      <c r="AE1185" s="4" t="s">
        <v>49</v>
      </c>
      <c r="AF1185" s="4">
        <v>0</v>
      </c>
      <c r="AG1185" s="4" t="s">
        <v>779</v>
      </c>
      <c r="AH1185" s="4" t="s">
        <v>733</v>
      </c>
      <c r="AI1185" s="4" t="s">
        <v>78</v>
      </c>
      <c r="AJ1185" s="13">
        <v>0</v>
      </c>
      <c r="AK1185" s="13">
        <v>20</v>
      </c>
      <c r="AN1185" s="13" t="s">
        <v>552</v>
      </c>
      <c r="AO1185" s="13" t="s">
        <v>553</v>
      </c>
      <c r="AP1185" s="13" t="s">
        <v>50</v>
      </c>
      <c r="AQ1185" s="13" t="s">
        <v>49</v>
      </c>
      <c r="AR1185" s="13" t="s">
        <v>50</v>
      </c>
      <c r="AS1185" s="13" t="s">
        <v>49</v>
      </c>
      <c r="AT1185" s="13" t="s">
        <v>990</v>
      </c>
      <c r="AU1185" s="13" t="s">
        <v>998</v>
      </c>
      <c r="AV1185" s="14">
        <f>0.244/1.4/1000</f>
        <v>1.7428571428571431E-4</v>
      </c>
      <c r="AW1185" s="14">
        <f>0.31/1.4/1000</f>
        <v>2.2142857142857145E-4</v>
      </c>
      <c r="AX1185" s="14">
        <f>Table1347456[[#This Row],[treatment_mean]]/Table1347456[[#This Row],[control_mean]]</f>
        <v>0.7870967741935484</v>
      </c>
      <c r="AY1185" s="14">
        <f>LN(Table1347456[[#This Row],[rr]])</f>
        <v>-0.23940407218599005</v>
      </c>
      <c r="AZ1185" s="13">
        <v>5</v>
      </c>
      <c r="BA1185" s="13">
        <v>5</v>
      </c>
      <c r="BB1185" s="14">
        <f>Table1347456[[#This Row],[treatment_sd]]/SQRT(Table1347456[[#This Row],[treatment_n]])</f>
        <v>9.5831484749990983E-6</v>
      </c>
      <c r="BC1185" s="14">
        <f>Table1347456[[#This Row],[control_sd]]/SQRT(Table1347456[[#This Row],[control_n]])</f>
        <v>3.5138211074996695E-5</v>
      </c>
      <c r="BD1185" s="15">
        <f>0.03/1.4/1000</f>
        <v>2.1428571428571428E-5</v>
      </c>
      <c r="BE1185" s="14">
        <f>0.11/1.4/1000</f>
        <v>7.857142857142858E-5</v>
      </c>
      <c r="BF118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2.820548278871696E-2</v>
      </c>
      <c r="BG1185" s="17">
        <f>SQRT(Table1347456[[#This Row],[v_from_sd_and_n]])</f>
        <v>0.16794488020989792</v>
      </c>
      <c r="BH1185" s="13" t="s">
        <v>50</v>
      </c>
      <c r="BI1185" s="13">
        <v>2.5000000000000001E-2</v>
      </c>
      <c r="BJ1185" s="18">
        <f>ABS(_xlfn.NORM.S.INV(Table1347456[[#This Row],[p_value]]/2))</f>
        <v>2.2414027276049446</v>
      </c>
      <c r="BK1185" s="19">
        <f>(Table1347456[[#This Row],[lnrr]]/Table1347456[[#This Row],[z_from_p]])^2</f>
        <v>1.1408361503879428E-2</v>
      </c>
      <c r="BL1185" s="16">
        <f>Table1347456[[#This Row],[v_from_sd_and_n]]</f>
        <v>2.820548278871696E-2</v>
      </c>
      <c r="BM1185" s="20">
        <f>SQRT(Table1347456[[#This Row],[v]])</f>
        <v>0.16794488020989792</v>
      </c>
      <c r="BN1185" s="20">
        <f>Table1347456[[#This Row],[lnrr]]-(1.96*Table1347456[[#This Row],[se]])</f>
        <v>-0.56857603739738993</v>
      </c>
      <c r="BO1185" s="20">
        <f>Table1347456[[#This Row],[lnrr]]+(1.96 * Table1347456[[#This Row],[se]])</f>
        <v>8.9767893025409856E-2</v>
      </c>
    </row>
    <row r="1186" spans="1:67">
      <c r="A1186" s="13" t="s">
        <v>366</v>
      </c>
      <c r="B1186" s="13" t="s">
        <v>367</v>
      </c>
      <c r="C1186" s="13" t="s">
        <v>43</v>
      </c>
      <c r="D1186" s="13" t="s">
        <v>368</v>
      </c>
      <c r="E1186" s="13" t="s">
        <v>369</v>
      </c>
      <c r="F1186" s="13" t="s">
        <v>586</v>
      </c>
      <c r="G1186" s="13" t="s">
        <v>46</v>
      </c>
      <c r="H1186" s="13">
        <v>19</v>
      </c>
      <c r="I1186" s="13" t="s">
        <v>46</v>
      </c>
      <c r="K1186" s="13" t="s">
        <v>928</v>
      </c>
      <c r="L1186" s="13" t="s">
        <v>929</v>
      </c>
      <c r="N1186" s="13" t="s">
        <v>372</v>
      </c>
      <c r="O1186" s="13" t="s">
        <v>644</v>
      </c>
      <c r="P1186" s="13" t="s">
        <v>143</v>
      </c>
      <c r="Q1186" s="13" t="s">
        <v>48</v>
      </c>
      <c r="R1186" s="4">
        <v>5</v>
      </c>
      <c r="S1186" s="13" t="s">
        <v>596</v>
      </c>
      <c r="T1186" s="13">
        <v>169</v>
      </c>
      <c r="U1186" s="4" t="s">
        <v>186</v>
      </c>
      <c r="V1186" s="4">
        <v>525</v>
      </c>
      <c r="W1186" s="4" t="s">
        <v>601</v>
      </c>
      <c r="X1186" s="4" t="s">
        <v>46</v>
      </c>
      <c r="Y1186" s="4">
        <v>72</v>
      </c>
      <c r="AA1186" s="4" t="s">
        <v>49</v>
      </c>
      <c r="AB1186" s="4">
        <v>0</v>
      </c>
      <c r="AC1186" s="4" t="s">
        <v>49</v>
      </c>
      <c r="AD1186" s="4">
        <v>0</v>
      </c>
      <c r="AE1186" s="4" t="s">
        <v>49</v>
      </c>
      <c r="AF1186" s="4">
        <v>0</v>
      </c>
      <c r="AG1186" s="4" t="s">
        <v>778</v>
      </c>
      <c r="AH1186" s="4" t="s">
        <v>733</v>
      </c>
      <c r="AI1186" s="4" t="s">
        <v>78</v>
      </c>
      <c r="AJ1186" s="13">
        <v>0</v>
      </c>
      <c r="AK1186" s="13">
        <v>20</v>
      </c>
      <c r="AN1186" s="13" t="s">
        <v>552</v>
      </c>
      <c r="AO1186" s="13" t="s">
        <v>553</v>
      </c>
      <c r="AP1186" s="13" t="s">
        <v>50</v>
      </c>
      <c r="AQ1186" s="13" t="s">
        <v>49</v>
      </c>
      <c r="AR1186" s="13" t="s">
        <v>50</v>
      </c>
      <c r="AS1186" s="13" t="s">
        <v>49</v>
      </c>
      <c r="AT1186" s="13" t="s">
        <v>990</v>
      </c>
      <c r="AU1186" s="13" t="s">
        <v>998</v>
      </c>
      <c r="AV1186" s="14">
        <f>77.94/1.4/1000</f>
        <v>5.5671428571428573E-2</v>
      </c>
      <c r="AW1186" s="14">
        <v>0</v>
      </c>
      <c r="AX1186" s="14" t="e">
        <f>Table1347456[[#This Row],[treatment_mean]]/Table1347456[[#This Row],[control_mean]]</f>
        <v>#DIV/0!</v>
      </c>
      <c r="AY1186" s="14" t="e">
        <f>LN(Table1347456[[#This Row],[rr]])</f>
        <v>#DIV/0!</v>
      </c>
      <c r="AZ1186" s="13">
        <v>5</v>
      </c>
      <c r="BA1186" s="13">
        <v>5</v>
      </c>
      <c r="BB1186" s="14">
        <f>Table1347456[[#This Row],[treatment_sd]]/SQRT(Table1347456[[#This Row],[treatment_n]])</f>
        <v>3.2902143097496912E-3</v>
      </c>
      <c r="BC1186" s="14">
        <f>Table1347456[[#This Row],[control_sd]]/SQRT(Table1347456[[#This Row],[control_n]])</f>
        <v>0</v>
      </c>
      <c r="BD1186" s="15">
        <f>10.3/1.4/1000</f>
        <v>7.357142857142859E-3</v>
      </c>
      <c r="BE1186" s="14">
        <v>0</v>
      </c>
      <c r="BF1186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#DIV/0!</v>
      </c>
      <c r="BG1186" s="17" t="e">
        <f>SQRT(Table1347456[[#This Row],[v_from_sd_and_n]])</f>
        <v>#DIV/0!</v>
      </c>
      <c r="BH1186" s="13" t="s">
        <v>50</v>
      </c>
      <c r="BI1186" s="13">
        <v>2.5000000000000001E-2</v>
      </c>
      <c r="BJ1186" s="18">
        <f>ABS(_xlfn.NORM.S.INV(Table1347456[[#This Row],[p_value]]/2))</f>
        <v>2.2414027276049446</v>
      </c>
      <c r="BK1186" s="19" t="e">
        <f>(Table1347456[[#This Row],[lnrr]]/Table1347456[[#This Row],[z_from_p]])^2</f>
        <v>#DIV/0!</v>
      </c>
      <c r="BL1186" s="16" t="e">
        <f>Table1347456[[#This Row],[v_from_sd_and_n]]</f>
        <v>#DIV/0!</v>
      </c>
      <c r="BM1186" s="20" t="e">
        <f>SQRT(Table1347456[[#This Row],[v]])</f>
        <v>#DIV/0!</v>
      </c>
      <c r="BN1186" s="20" t="e">
        <f>Table1347456[[#This Row],[lnrr]]-(1.96*Table1347456[[#This Row],[se]])</f>
        <v>#DIV/0!</v>
      </c>
      <c r="BO1186" s="20" t="e">
        <f>Table1347456[[#This Row],[lnrr]]+(1.96 * Table1347456[[#This Row],[se]])</f>
        <v>#DIV/0!</v>
      </c>
    </row>
    <row r="1187" spans="1:67">
      <c r="A1187" s="13" t="s">
        <v>366</v>
      </c>
      <c r="B1187" s="13" t="s">
        <v>367</v>
      </c>
      <c r="C1187" s="13" t="s">
        <v>43</v>
      </c>
      <c r="D1187" s="13" t="s">
        <v>368</v>
      </c>
      <c r="E1187" s="13" t="s">
        <v>369</v>
      </c>
      <c r="F1187" s="13" t="s">
        <v>586</v>
      </c>
      <c r="G1187" s="13" t="s">
        <v>46</v>
      </c>
      <c r="H1187" s="13">
        <v>19</v>
      </c>
      <c r="I1187" s="13" t="s">
        <v>46</v>
      </c>
      <c r="K1187" s="13" t="s">
        <v>928</v>
      </c>
      <c r="L1187" s="13" t="s">
        <v>929</v>
      </c>
      <c r="N1187" s="13" t="s">
        <v>372</v>
      </c>
      <c r="O1187" s="13" t="s">
        <v>644</v>
      </c>
      <c r="P1187" s="13" t="s">
        <v>143</v>
      </c>
      <c r="Q1187" s="13" t="s">
        <v>48</v>
      </c>
      <c r="R1187" s="4">
        <v>5</v>
      </c>
      <c r="S1187" s="13" t="s">
        <v>596</v>
      </c>
      <c r="T1187" s="13">
        <v>169</v>
      </c>
      <c r="U1187" s="4" t="s">
        <v>200</v>
      </c>
      <c r="V1187" s="4">
        <v>525</v>
      </c>
      <c r="W1187" s="4" t="s">
        <v>601</v>
      </c>
      <c r="X1187" s="4" t="s">
        <v>46</v>
      </c>
      <c r="Y1187" s="4">
        <v>72</v>
      </c>
      <c r="AA1187" s="4" t="s">
        <v>49</v>
      </c>
      <c r="AB1187" s="4">
        <v>0</v>
      </c>
      <c r="AC1187" s="4" t="s">
        <v>49</v>
      </c>
      <c r="AD1187" s="4">
        <v>0</v>
      </c>
      <c r="AE1187" s="4" t="s">
        <v>49</v>
      </c>
      <c r="AF1187" s="4">
        <v>0</v>
      </c>
      <c r="AG1187" s="4" t="s">
        <v>777</v>
      </c>
      <c r="AH1187" s="4" t="s">
        <v>733</v>
      </c>
      <c r="AI1187" s="4" t="s">
        <v>78</v>
      </c>
      <c r="AJ1187" s="13">
        <v>0</v>
      </c>
      <c r="AK1187" s="13">
        <v>20</v>
      </c>
      <c r="AN1187" s="13" t="s">
        <v>552</v>
      </c>
      <c r="AO1187" s="13" t="s">
        <v>553</v>
      </c>
      <c r="AP1187" s="13" t="s">
        <v>50</v>
      </c>
      <c r="AQ1187" s="13" t="s">
        <v>49</v>
      </c>
      <c r="AR1187" s="13" t="s">
        <v>50</v>
      </c>
      <c r="AS1187" s="13" t="s">
        <v>49</v>
      </c>
      <c r="AT1187" s="13" t="s">
        <v>990</v>
      </c>
      <c r="AU1187" s="13" t="s">
        <v>998</v>
      </c>
      <c r="AV1187" s="14">
        <f>174.99/1.4/1000</f>
        <v>0.12499285714285716</v>
      </c>
      <c r="AW1187" s="14">
        <v>0</v>
      </c>
      <c r="AX1187" s="14" t="e">
        <f>Table1347456[[#This Row],[treatment_mean]]/Table1347456[[#This Row],[control_mean]]</f>
        <v>#DIV/0!</v>
      </c>
      <c r="AY1187" s="14" t="e">
        <f>LN(Table1347456[[#This Row],[rr]])</f>
        <v>#DIV/0!</v>
      </c>
      <c r="AZ1187" s="13">
        <v>5</v>
      </c>
      <c r="BA1187" s="13">
        <v>5</v>
      </c>
      <c r="BB1187" s="14">
        <f>Table1347456[[#This Row],[treatment_sd]]/SQRT(Table1347456[[#This Row],[treatment_n]])</f>
        <v>6.1108543442244248E-3</v>
      </c>
      <c r="BC1187" s="14">
        <f>Table1347456[[#This Row],[control_sd]]/SQRT(Table1347456[[#This Row],[control_n]])</f>
        <v>0</v>
      </c>
      <c r="BD1187" s="15">
        <f>19.13/1.4/1000</f>
        <v>1.3664285714285714E-2</v>
      </c>
      <c r="BE1187" s="14">
        <v>0</v>
      </c>
      <c r="BF1187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#DIV/0!</v>
      </c>
      <c r="BG1187" s="17" t="e">
        <f>SQRT(Table1347456[[#This Row],[v_from_sd_and_n]])</f>
        <v>#DIV/0!</v>
      </c>
      <c r="BH1187" s="13" t="s">
        <v>50</v>
      </c>
      <c r="BI1187" s="13">
        <v>2.5000000000000001E-2</v>
      </c>
      <c r="BJ1187" s="18">
        <f>ABS(_xlfn.NORM.S.INV(Table1347456[[#This Row],[p_value]]/2))</f>
        <v>2.2414027276049446</v>
      </c>
      <c r="BK1187" s="19" t="e">
        <f>(Table1347456[[#This Row],[lnrr]]/Table1347456[[#This Row],[z_from_p]])^2</f>
        <v>#DIV/0!</v>
      </c>
      <c r="BL1187" s="16" t="e">
        <f>Table1347456[[#This Row],[v_from_sd_and_n]]</f>
        <v>#DIV/0!</v>
      </c>
      <c r="BM1187" s="20" t="e">
        <f>SQRT(Table1347456[[#This Row],[v]])</f>
        <v>#DIV/0!</v>
      </c>
      <c r="BN1187" s="20" t="e">
        <f>Table1347456[[#This Row],[lnrr]]-(1.96*Table1347456[[#This Row],[se]])</f>
        <v>#DIV/0!</v>
      </c>
      <c r="BO1187" s="20" t="e">
        <f>Table1347456[[#This Row],[lnrr]]+(1.96 * Table1347456[[#This Row],[se]])</f>
        <v>#DIV/0!</v>
      </c>
    </row>
    <row r="1188" spans="1:67">
      <c r="A1188" s="13" t="s">
        <v>366</v>
      </c>
      <c r="B1188" s="13" t="s">
        <v>367</v>
      </c>
      <c r="C1188" s="13" t="s">
        <v>43</v>
      </c>
      <c r="D1188" s="13" t="s">
        <v>368</v>
      </c>
      <c r="E1188" s="13" t="s">
        <v>369</v>
      </c>
      <c r="F1188" s="13" t="s">
        <v>586</v>
      </c>
      <c r="G1188" s="13" t="s">
        <v>46</v>
      </c>
      <c r="H1188" s="13">
        <v>19</v>
      </c>
      <c r="I1188" s="13" t="s">
        <v>46</v>
      </c>
      <c r="K1188" s="13" t="s">
        <v>928</v>
      </c>
      <c r="L1188" s="13" t="s">
        <v>929</v>
      </c>
      <c r="N1188" s="13" t="s">
        <v>372</v>
      </c>
      <c r="O1188" s="13" t="s">
        <v>644</v>
      </c>
      <c r="P1188" s="13" t="s">
        <v>143</v>
      </c>
      <c r="Q1188" s="13" t="s">
        <v>48</v>
      </c>
      <c r="R1188" s="4">
        <v>5</v>
      </c>
      <c r="S1188" s="13" t="s">
        <v>596</v>
      </c>
      <c r="T1188" s="13">
        <v>169</v>
      </c>
      <c r="U1188" s="4" t="s">
        <v>370</v>
      </c>
      <c r="V1188" s="4">
        <v>400</v>
      </c>
      <c r="W1188" s="4" t="s">
        <v>42</v>
      </c>
      <c r="X1188" s="4" t="s">
        <v>46</v>
      </c>
      <c r="Y1188" s="4">
        <v>72</v>
      </c>
      <c r="AA1188" s="4" t="s">
        <v>49</v>
      </c>
      <c r="AB1188" s="4">
        <v>0</v>
      </c>
      <c r="AC1188" s="4" t="s">
        <v>49</v>
      </c>
      <c r="AD1188" s="4">
        <v>0</v>
      </c>
      <c r="AE1188" s="4" t="s">
        <v>49</v>
      </c>
      <c r="AF1188" s="4">
        <v>0</v>
      </c>
      <c r="AG1188" s="4" t="s">
        <v>714</v>
      </c>
      <c r="AH1188" s="4" t="s">
        <v>733</v>
      </c>
      <c r="AI1188" s="4" t="s">
        <v>78</v>
      </c>
      <c r="AJ1188" s="13">
        <v>0</v>
      </c>
      <c r="AK1188" s="13">
        <v>20</v>
      </c>
      <c r="AN1188" s="13" t="s">
        <v>552</v>
      </c>
      <c r="AO1188" s="13" t="s">
        <v>553</v>
      </c>
      <c r="AP1188" s="13" t="s">
        <v>50</v>
      </c>
      <c r="AQ1188" s="13" t="s">
        <v>49</v>
      </c>
      <c r="AR1188" s="13" t="s">
        <v>50</v>
      </c>
      <c r="AS1188" s="13" t="s">
        <v>49</v>
      </c>
      <c r="AT1188" s="13" t="s">
        <v>990</v>
      </c>
      <c r="AU1188" s="13" t="s">
        <v>998</v>
      </c>
      <c r="AV1188" s="14">
        <f>51.47/1.4/1000</f>
        <v>3.6764285714285715E-2</v>
      </c>
      <c r="AW1188" s="14">
        <v>0</v>
      </c>
      <c r="AX1188" s="14" t="e">
        <f>Table1347456[[#This Row],[treatment_mean]]/Table1347456[[#This Row],[control_mean]]</f>
        <v>#DIV/0!</v>
      </c>
      <c r="AY1188" s="14" t="e">
        <f>LN(Table1347456[[#This Row],[rr]])</f>
        <v>#DIV/0!</v>
      </c>
      <c r="AZ1188" s="13">
        <v>5</v>
      </c>
      <c r="BA1188" s="13">
        <v>5</v>
      </c>
      <c r="BB1188" s="14">
        <f>Table1347456[[#This Row],[treatment_sd]]/SQRT(Table1347456[[#This Row],[treatment_n]])</f>
        <v>1.8782971010998235E-3</v>
      </c>
      <c r="BC1188" s="14">
        <f>Table1347456[[#This Row],[control_sd]]/SQRT(Table1347456[[#This Row],[control_n]])</f>
        <v>0</v>
      </c>
      <c r="BD1188" s="15">
        <f>5.88/1.4/1000</f>
        <v>4.2000000000000006E-3</v>
      </c>
      <c r="BE1188" s="14">
        <v>0</v>
      </c>
      <c r="BF1188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#DIV/0!</v>
      </c>
      <c r="BG1188" s="17" t="e">
        <f>SQRT(Table1347456[[#This Row],[v_from_sd_and_n]])</f>
        <v>#DIV/0!</v>
      </c>
      <c r="BH1188" s="13" t="s">
        <v>50</v>
      </c>
      <c r="BI1188" s="13">
        <v>2.5000000000000001E-2</v>
      </c>
      <c r="BJ1188" s="18">
        <f>ABS(_xlfn.NORM.S.INV(Table1347456[[#This Row],[p_value]]/2))</f>
        <v>2.2414027276049446</v>
      </c>
      <c r="BK1188" s="19" t="e">
        <f>(Table1347456[[#This Row],[lnrr]]/Table1347456[[#This Row],[z_from_p]])^2</f>
        <v>#DIV/0!</v>
      </c>
      <c r="BL1188" s="16" t="e">
        <f>Table1347456[[#This Row],[v_from_sd_and_n]]</f>
        <v>#DIV/0!</v>
      </c>
      <c r="BM1188" s="20" t="e">
        <f>SQRT(Table1347456[[#This Row],[v]])</f>
        <v>#DIV/0!</v>
      </c>
      <c r="BN1188" s="20" t="e">
        <f>Table1347456[[#This Row],[lnrr]]-(1.96*Table1347456[[#This Row],[se]])</f>
        <v>#DIV/0!</v>
      </c>
      <c r="BO1188" s="20" t="e">
        <f>Table1347456[[#This Row],[lnrr]]+(1.96 * Table1347456[[#This Row],[se]])</f>
        <v>#DIV/0!</v>
      </c>
    </row>
    <row r="1189" spans="1:67">
      <c r="A1189" s="13" t="s">
        <v>366</v>
      </c>
      <c r="B1189" s="13" t="s">
        <v>367</v>
      </c>
      <c r="C1189" s="13" t="s">
        <v>43</v>
      </c>
      <c r="D1189" s="13" t="s">
        <v>368</v>
      </c>
      <c r="E1189" s="13" t="s">
        <v>369</v>
      </c>
      <c r="F1189" s="13" t="s">
        <v>586</v>
      </c>
      <c r="G1189" s="13" t="s">
        <v>46</v>
      </c>
      <c r="H1189" s="13">
        <v>19</v>
      </c>
      <c r="I1189" s="13" t="s">
        <v>46</v>
      </c>
      <c r="K1189" s="13" t="s">
        <v>928</v>
      </c>
      <c r="L1189" s="13" t="s">
        <v>929</v>
      </c>
      <c r="N1189" s="13" t="s">
        <v>372</v>
      </c>
      <c r="O1189" s="13" t="s">
        <v>644</v>
      </c>
      <c r="P1189" s="13" t="s">
        <v>143</v>
      </c>
      <c r="Q1189" s="13" t="s">
        <v>48</v>
      </c>
      <c r="R1189" s="4">
        <v>5</v>
      </c>
      <c r="S1189" s="13" t="s">
        <v>596</v>
      </c>
      <c r="T1189" s="13">
        <v>169</v>
      </c>
      <c r="U1189" s="4" t="s">
        <v>370</v>
      </c>
      <c r="V1189" s="4">
        <v>525</v>
      </c>
      <c r="W1189" s="4" t="s">
        <v>601</v>
      </c>
      <c r="X1189" s="4" t="s">
        <v>46</v>
      </c>
      <c r="Y1189" s="4">
        <v>72</v>
      </c>
      <c r="AA1189" s="4" t="s">
        <v>49</v>
      </c>
      <c r="AB1189" s="4">
        <v>0</v>
      </c>
      <c r="AC1189" s="4" t="s">
        <v>49</v>
      </c>
      <c r="AD1189" s="4">
        <v>0</v>
      </c>
      <c r="AE1189" s="4" t="s">
        <v>49</v>
      </c>
      <c r="AF1189" s="4">
        <v>0</v>
      </c>
      <c r="AG1189" s="4" t="s">
        <v>779</v>
      </c>
      <c r="AH1189" s="4" t="s">
        <v>733</v>
      </c>
      <c r="AI1189" s="4" t="s">
        <v>78</v>
      </c>
      <c r="AJ1189" s="13">
        <v>0</v>
      </c>
      <c r="AK1189" s="13">
        <v>20</v>
      </c>
      <c r="AN1189" s="13" t="s">
        <v>552</v>
      </c>
      <c r="AO1189" s="13" t="s">
        <v>553</v>
      </c>
      <c r="AP1189" s="13" t="s">
        <v>50</v>
      </c>
      <c r="AQ1189" s="13" t="s">
        <v>49</v>
      </c>
      <c r="AR1189" s="13" t="s">
        <v>50</v>
      </c>
      <c r="AS1189" s="13" t="s">
        <v>49</v>
      </c>
      <c r="AT1189" s="13" t="s">
        <v>990</v>
      </c>
      <c r="AU1189" s="13" t="s">
        <v>998</v>
      </c>
      <c r="AV1189" s="14">
        <f>91.18/1.4/1000</f>
        <v>6.5128571428571438E-2</v>
      </c>
      <c r="AW1189" s="14">
        <v>0</v>
      </c>
      <c r="AX1189" s="14" t="e">
        <f>Table1347456[[#This Row],[treatment_mean]]/Table1347456[[#This Row],[control_mean]]</f>
        <v>#DIV/0!</v>
      </c>
      <c r="AY1189" s="14" t="e">
        <f>LN(Table1347456[[#This Row],[rr]])</f>
        <v>#DIV/0!</v>
      </c>
      <c r="AZ1189" s="13">
        <v>5</v>
      </c>
      <c r="BA1189" s="13">
        <v>5</v>
      </c>
      <c r="BB1189" s="14">
        <f>Table1347456[[#This Row],[treatment_sd]]/SQRT(Table1347456[[#This Row],[treatment_n]])</f>
        <v>5.634891303299471E-3</v>
      </c>
      <c r="BC1189" s="14">
        <f>Table1347456[[#This Row],[control_sd]]/SQRT(Table1347456[[#This Row],[control_n]])</f>
        <v>0</v>
      </c>
      <c r="BD1189" s="15">
        <f>17.64/1.4/1000</f>
        <v>1.2600000000000002E-2</v>
      </c>
      <c r="BE1189" s="14">
        <v>0</v>
      </c>
      <c r="BF1189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#DIV/0!</v>
      </c>
      <c r="BG1189" s="17" t="e">
        <f>SQRT(Table1347456[[#This Row],[v_from_sd_and_n]])</f>
        <v>#DIV/0!</v>
      </c>
      <c r="BH1189" s="13" t="s">
        <v>50</v>
      </c>
      <c r="BI1189" s="13">
        <v>2.5000000000000001E-2</v>
      </c>
      <c r="BJ1189" s="18">
        <f>ABS(_xlfn.NORM.S.INV(Table1347456[[#This Row],[p_value]]/2))</f>
        <v>2.2414027276049446</v>
      </c>
      <c r="BK1189" s="19" t="e">
        <f>(Table1347456[[#This Row],[lnrr]]/Table1347456[[#This Row],[z_from_p]])^2</f>
        <v>#DIV/0!</v>
      </c>
      <c r="BL1189" s="16" t="e">
        <f>Table1347456[[#This Row],[v_from_sd_and_n]]</f>
        <v>#DIV/0!</v>
      </c>
      <c r="BM1189" s="20" t="e">
        <f>SQRT(Table1347456[[#This Row],[v]])</f>
        <v>#DIV/0!</v>
      </c>
      <c r="BN1189" s="20" t="e">
        <f>Table1347456[[#This Row],[lnrr]]-(1.96*Table1347456[[#This Row],[se]])</f>
        <v>#DIV/0!</v>
      </c>
      <c r="BO1189" s="20" t="e">
        <f>Table1347456[[#This Row],[lnrr]]+(1.96 * Table1347456[[#This Row],[se]])</f>
        <v>#DIV/0!</v>
      </c>
    </row>
    <row r="1190" spans="1:67">
      <c r="A1190" s="13" t="s">
        <v>366</v>
      </c>
      <c r="B1190" s="13" t="s">
        <v>367</v>
      </c>
      <c r="C1190" s="13" t="s">
        <v>43</v>
      </c>
      <c r="D1190" s="13" t="s">
        <v>368</v>
      </c>
      <c r="E1190" s="13" t="s">
        <v>369</v>
      </c>
      <c r="F1190" s="13" t="s">
        <v>586</v>
      </c>
      <c r="G1190" s="13" t="s">
        <v>46</v>
      </c>
      <c r="H1190" s="13">
        <v>19</v>
      </c>
      <c r="I1190" s="13" t="s">
        <v>46</v>
      </c>
      <c r="K1190" s="13" t="s">
        <v>928</v>
      </c>
      <c r="L1190" s="13" t="s">
        <v>929</v>
      </c>
      <c r="N1190" s="13" t="s">
        <v>53</v>
      </c>
      <c r="O1190" s="13" t="s">
        <v>54</v>
      </c>
      <c r="P1190" s="13" t="s">
        <v>143</v>
      </c>
      <c r="Q1190" s="13" t="s">
        <v>48</v>
      </c>
      <c r="R1190" s="4">
        <v>5</v>
      </c>
      <c r="S1190" s="13" t="s">
        <v>596</v>
      </c>
      <c r="T1190" s="13">
        <v>169</v>
      </c>
      <c r="U1190" s="4" t="s">
        <v>186</v>
      </c>
      <c r="V1190" s="4">
        <v>525</v>
      </c>
      <c r="W1190" s="4" t="s">
        <v>601</v>
      </c>
      <c r="X1190" s="4" t="s">
        <v>46</v>
      </c>
      <c r="Y1190" s="4">
        <v>24</v>
      </c>
      <c r="AA1190" s="4" t="s">
        <v>49</v>
      </c>
      <c r="AB1190" s="4">
        <v>0</v>
      </c>
      <c r="AC1190" s="4" t="s">
        <v>49</v>
      </c>
      <c r="AD1190" s="4">
        <v>0</v>
      </c>
      <c r="AE1190" s="4" t="s">
        <v>49</v>
      </c>
      <c r="AF1190" s="4">
        <v>0</v>
      </c>
      <c r="AG1190" s="4" t="s">
        <v>778</v>
      </c>
      <c r="AH1190" s="4" t="s">
        <v>733</v>
      </c>
      <c r="AI1190" s="4" t="s">
        <v>78</v>
      </c>
      <c r="AJ1190" s="13">
        <v>0</v>
      </c>
      <c r="AK1190" s="13">
        <v>20</v>
      </c>
      <c r="AN1190" s="13" t="s">
        <v>552</v>
      </c>
      <c r="AO1190" s="13" t="s">
        <v>553</v>
      </c>
      <c r="AP1190" s="13" t="s">
        <v>50</v>
      </c>
      <c r="AQ1190" s="13" t="s">
        <v>49</v>
      </c>
      <c r="AR1190" s="13" t="s">
        <v>50</v>
      </c>
      <c r="AS1190" s="13" t="s">
        <v>49</v>
      </c>
      <c r="AT1190" s="13" t="s">
        <v>990</v>
      </c>
      <c r="AU1190" s="13" t="s">
        <v>998</v>
      </c>
      <c r="AV1190" s="14">
        <f>1774.39/1.4/1000</f>
        <v>1.2674214285714287</v>
      </c>
      <c r="AW1190" s="14">
        <f>1713.41/1.4/1000</f>
        <v>1.2238642857142858</v>
      </c>
      <c r="AX1190" s="14">
        <f>Table1347456[[#This Row],[treatment_mean]]/Table1347456[[#This Row],[control_mean]]</f>
        <v>1.0355898471469176</v>
      </c>
      <c r="AY1190" s="14">
        <f>LN(Table1347456[[#This Row],[rr]])</f>
        <v>3.4971165010684702E-2</v>
      </c>
      <c r="AZ1190" s="13">
        <v>5</v>
      </c>
      <c r="BA1190" s="13">
        <v>5</v>
      </c>
      <c r="BB1190" s="14">
        <f>Table1347456[[#This Row],[treatment_sd]]/SQRT(Table1347456[[#This Row],[treatment_n]])</f>
        <v>9.7396732334240829E-3</v>
      </c>
      <c r="BC1190" s="14">
        <f>Table1347456[[#This Row],[control_sd]]/SQRT(Table1347456[[#This Row],[control_n]])</f>
        <v>3.1167593223522066E-2</v>
      </c>
      <c r="BD1190" s="15">
        <f>30.49/1.4/1000</f>
        <v>2.1778571428571428E-2</v>
      </c>
      <c r="BE1190" s="14">
        <f>97.57/1.4/1000</f>
        <v>6.969285714285714E-2</v>
      </c>
      <c r="BF119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7.0759848553732609E-4</v>
      </c>
      <c r="BG1190" s="17">
        <f>SQRT(Table1347456[[#This Row],[v_from_sd_and_n]])</f>
        <v>2.6600723402519077E-2</v>
      </c>
      <c r="BH1190" s="13" t="s">
        <v>50</v>
      </c>
      <c r="BI1190" s="13">
        <v>2.5000000000000001E-2</v>
      </c>
      <c r="BJ1190" s="18">
        <f>ABS(_xlfn.NORM.S.INV(Table1347456[[#This Row],[p_value]]/2))</f>
        <v>2.2414027276049446</v>
      </c>
      <c r="BK1190" s="19">
        <f>(Table1347456[[#This Row],[lnrr]]/Table1347456[[#This Row],[z_from_p]])^2</f>
        <v>2.4343353662997387E-4</v>
      </c>
      <c r="BL1190" s="16">
        <f>Table1347456[[#This Row],[v_from_sd_and_n]]</f>
        <v>7.0759848553732609E-4</v>
      </c>
      <c r="BM1190" s="20">
        <f>SQRT(Table1347456[[#This Row],[v]])</f>
        <v>2.6600723402519077E-2</v>
      </c>
      <c r="BN1190" s="20">
        <f>Table1347456[[#This Row],[lnrr]]-(1.96*Table1347456[[#This Row],[se]])</f>
        <v>-1.7166252858252691E-2</v>
      </c>
      <c r="BO1190" s="20">
        <f>Table1347456[[#This Row],[lnrr]]+(1.96 * Table1347456[[#This Row],[se]])</f>
        <v>8.7108582879622087E-2</v>
      </c>
    </row>
    <row r="1191" spans="1:67">
      <c r="A1191" s="13" t="s">
        <v>366</v>
      </c>
      <c r="B1191" s="13" t="s">
        <v>367</v>
      </c>
      <c r="C1191" s="13" t="s">
        <v>43</v>
      </c>
      <c r="D1191" s="13" t="s">
        <v>368</v>
      </c>
      <c r="E1191" s="13" t="s">
        <v>369</v>
      </c>
      <c r="F1191" s="13" t="s">
        <v>586</v>
      </c>
      <c r="G1191" s="13" t="s">
        <v>46</v>
      </c>
      <c r="H1191" s="13">
        <v>19</v>
      </c>
      <c r="I1191" s="13" t="s">
        <v>46</v>
      </c>
      <c r="K1191" s="13" t="s">
        <v>928</v>
      </c>
      <c r="L1191" s="13" t="s">
        <v>929</v>
      </c>
      <c r="N1191" s="13" t="s">
        <v>372</v>
      </c>
      <c r="O1191" s="13" t="s">
        <v>644</v>
      </c>
      <c r="P1191" s="13" t="s">
        <v>143</v>
      </c>
      <c r="Q1191" s="13" t="s">
        <v>48</v>
      </c>
      <c r="R1191" s="4">
        <v>5</v>
      </c>
      <c r="S1191" s="13" t="s">
        <v>596</v>
      </c>
      <c r="T1191" s="13">
        <v>169</v>
      </c>
      <c r="U1191" s="4" t="s">
        <v>186</v>
      </c>
      <c r="V1191" s="4">
        <v>525</v>
      </c>
      <c r="W1191" s="4" t="s">
        <v>601</v>
      </c>
      <c r="X1191" s="4" t="s">
        <v>46</v>
      </c>
      <c r="Y1191" s="4">
        <v>25</v>
      </c>
      <c r="AA1191" s="4" t="s">
        <v>49</v>
      </c>
      <c r="AB1191" s="4">
        <v>0</v>
      </c>
      <c r="AC1191" s="4" t="s">
        <v>49</v>
      </c>
      <c r="AD1191" s="4">
        <v>0</v>
      </c>
      <c r="AE1191" s="4" t="s">
        <v>49</v>
      </c>
      <c r="AF1191" s="4">
        <v>0</v>
      </c>
      <c r="AG1191" s="4" t="s">
        <v>778</v>
      </c>
      <c r="AH1191" s="4" t="s">
        <v>733</v>
      </c>
      <c r="AI1191" s="4" t="s">
        <v>78</v>
      </c>
      <c r="AJ1191" s="13">
        <v>0</v>
      </c>
      <c r="AK1191" s="13">
        <v>20</v>
      </c>
      <c r="AN1191" s="13" t="s">
        <v>552</v>
      </c>
      <c r="AO1191" s="13" t="s">
        <v>553</v>
      </c>
      <c r="AP1191" s="13" t="s">
        <v>50</v>
      </c>
      <c r="AQ1191" s="13" t="s">
        <v>49</v>
      </c>
      <c r="AR1191" s="13" t="s">
        <v>50</v>
      </c>
      <c r="AS1191" s="13" t="s">
        <v>49</v>
      </c>
      <c r="AT1191" s="13" t="s">
        <v>990</v>
      </c>
      <c r="AU1191" s="13" t="s">
        <v>998</v>
      </c>
      <c r="AV1191" s="14">
        <f>0.21/1.4/1000</f>
        <v>1.4999999999999999E-4</v>
      </c>
      <c r="AW1191" s="14">
        <f>0.31/1.4/1000</f>
        <v>2.2142857142857145E-4</v>
      </c>
      <c r="AX1191" s="14">
        <f>Table1347456[[#This Row],[treatment_mean]]/Table1347456[[#This Row],[control_mean]]</f>
        <v>0.67741935483870952</v>
      </c>
      <c r="AY1191" s="14">
        <f>LN(Table1347456[[#This Row],[rr]])</f>
        <v>-0.38946476676172348</v>
      </c>
      <c r="AZ1191" s="13">
        <v>5</v>
      </c>
      <c r="BA1191" s="13">
        <v>5</v>
      </c>
      <c r="BB1191" s="14">
        <f>Table1347456[[#This Row],[treatment_sd]]/SQRT(Table1347456[[#This Row],[treatment_n]])</f>
        <v>3.5138211074996695E-5</v>
      </c>
      <c r="BC1191" s="14">
        <f>Table1347456[[#This Row],[control_sd]]/SQRT(Table1347456[[#This Row],[control_n]])</f>
        <v>2.2360679774997901E-5</v>
      </c>
      <c r="BD1191" s="15">
        <f>0.11/1.4/1000</f>
        <v>7.857142857142858E-5</v>
      </c>
      <c r="BE1191" s="14">
        <f>0.07/1.4/1000</f>
        <v>5.0000000000000009E-5</v>
      </c>
      <c r="BF119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6.5072994164714126E-2</v>
      </c>
      <c r="BG1191" s="17">
        <f>SQRT(Table1347456[[#This Row],[v_from_sd_and_n]])</f>
        <v>0.25509408884706469</v>
      </c>
      <c r="BH1191" s="13" t="s">
        <v>50</v>
      </c>
      <c r="BI1191" s="13">
        <v>2.5000000000000001E-2</v>
      </c>
      <c r="BJ1191" s="18">
        <f>ABS(_xlfn.NORM.S.INV(Table1347456[[#This Row],[p_value]]/2))</f>
        <v>2.2414027276049446</v>
      </c>
      <c r="BK1191" s="19">
        <f>(Table1347456[[#This Row],[lnrr]]/Table1347456[[#This Row],[z_from_p]])^2</f>
        <v>3.0192325003650915E-2</v>
      </c>
      <c r="BL1191" s="16">
        <f>Table1347456[[#This Row],[v_from_sd_and_n]]</f>
        <v>6.5072994164714126E-2</v>
      </c>
      <c r="BM1191" s="20">
        <f>SQRT(Table1347456[[#This Row],[v]])</f>
        <v>0.25509408884706469</v>
      </c>
      <c r="BN1191" s="20">
        <f>Table1347456[[#This Row],[lnrr]]-(1.96*Table1347456[[#This Row],[se]])</f>
        <v>-0.88944918090197023</v>
      </c>
      <c r="BO1191" s="20">
        <f>Table1347456[[#This Row],[lnrr]]+(1.96 * Table1347456[[#This Row],[se]])</f>
        <v>0.11051964737852332</v>
      </c>
    </row>
    <row r="1192" spans="1:67">
      <c r="A1192" s="13" t="s">
        <v>373</v>
      </c>
      <c r="B1192" s="13" t="s">
        <v>374</v>
      </c>
      <c r="C1192" s="13" t="s">
        <v>43</v>
      </c>
      <c r="D1192" s="13" t="s">
        <v>217</v>
      </c>
      <c r="E1192" s="13" t="s">
        <v>132</v>
      </c>
      <c r="F1192" s="13" t="s">
        <v>589</v>
      </c>
      <c r="G1192" s="13" t="s">
        <v>46</v>
      </c>
      <c r="H1192" s="13">
        <v>28</v>
      </c>
      <c r="I1192" s="13" t="s">
        <v>46</v>
      </c>
      <c r="K1192" s="13" t="s">
        <v>977</v>
      </c>
      <c r="L1192" s="13" t="s">
        <v>978</v>
      </c>
      <c r="N1192" s="13" t="s">
        <v>316</v>
      </c>
      <c r="O1192" s="13" t="s">
        <v>644</v>
      </c>
      <c r="P1192" s="13" t="s">
        <v>85</v>
      </c>
      <c r="Q1192" s="13" t="s">
        <v>48</v>
      </c>
      <c r="R1192" s="4">
        <v>5</v>
      </c>
      <c r="S1192" s="13" t="s">
        <v>596</v>
      </c>
      <c r="T1192" s="13">
        <v>60</v>
      </c>
      <c r="U1192" s="4" t="s">
        <v>218</v>
      </c>
      <c r="V1192" s="4">
        <v>550</v>
      </c>
      <c r="W1192" s="4" t="s">
        <v>601</v>
      </c>
      <c r="X1192" s="4">
        <v>798</v>
      </c>
      <c r="Y1192" s="4">
        <v>20</v>
      </c>
      <c r="AA1192" s="4" t="s">
        <v>49</v>
      </c>
      <c r="AB1192" s="4">
        <v>0</v>
      </c>
      <c r="AC1192" s="4" t="s">
        <v>49</v>
      </c>
      <c r="AD1192" s="4">
        <v>0</v>
      </c>
      <c r="AE1192" s="4" t="s">
        <v>49</v>
      </c>
      <c r="AF1192" s="4">
        <v>0</v>
      </c>
      <c r="AG1192" s="4" t="s">
        <v>685</v>
      </c>
      <c r="AH1192" s="4" t="s">
        <v>782</v>
      </c>
      <c r="AI1192" s="4" t="s">
        <v>78</v>
      </c>
      <c r="AJ1192" s="13">
        <v>0</v>
      </c>
      <c r="AK1192" s="13">
        <v>20</v>
      </c>
      <c r="AN1192" s="13" t="s">
        <v>554</v>
      </c>
      <c r="AO1192" s="13" t="s">
        <v>555</v>
      </c>
      <c r="AP1192" s="13" t="s">
        <v>50</v>
      </c>
      <c r="AQ1192" s="13" t="s">
        <v>49</v>
      </c>
      <c r="AR1192" s="13" t="s">
        <v>50</v>
      </c>
      <c r="AS1192" s="13" t="s">
        <v>49</v>
      </c>
      <c r="AT1192" s="13" t="s">
        <v>990</v>
      </c>
      <c r="AU1192" s="13" t="s">
        <v>998</v>
      </c>
      <c r="AV1192" s="14">
        <f>96.85/1000</f>
        <v>9.6849999999999992E-2</v>
      </c>
      <c r="AW1192" s="14">
        <f>110.34/1000</f>
        <v>0.11034000000000001</v>
      </c>
      <c r="AX1192" s="14">
        <f>Table1347456[[#This Row],[treatment_mean]]/Table1347456[[#This Row],[control_mean]]</f>
        <v>0.8777415261917707</v>
      </c>
      <c r="AY1192" s="14">
        <f>LN(Table1347456[[#This Row],[rr]])</f>
        <v>-0.13040311799128004</v>
      </c>
      <c r="AZ1192" s="13">
        <v>5</v>
      </c>
      <c r="BA1192" s="13">
        <v>5</v>
      </c>
      <c r="BB1192" s="14">
        <f>Table1347456[[#This Row],[treatment_sd]]/SQRT(Table1347456[[#This Row],[treatment_n]])</f>
        <v>5.0535136291495245E-4</v>
      </c>
      <c r="BC1192" s="14">
        <f>Table1347456[[#This Row],[control_sd]]/SQRT(Table1347456[[#This Row],[control_n]])</f>
        <v>8.0051233594492473E-4</v>
      </c>
      <c r="BD1192" s="15">
        <f>1.13/1000</f>
        <v>1.1299999999999999E-3</v>
      </c>
      <c r="BE1192" s="14">
        <f>1.79/1000</f>
        <v>1.7900000000000001E-3</v>
      </c>
      <c r="BF119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7.9860688860287603E-5</v>
      </c>
      <c r="BG1192" s="17">
        <f>SQRT(Table1347456[[#This Row],[v_from_sd_and_n]])</f>
        <v>8.9364807872163859E-3</v>
      </c>
      <c r="BH1192" s="13" t="s">
        <v>50</v>
      </c>
      <c r="BI1192" s="13">
        <v>2.5000000000000001E-2</v>
      </c>
      <c r="BJ1192" s="18">
        <f>ABS(_xlfn.NORM.S.INV(Table1347456[[#This Row],[p_value]]/2))</f>
        <v>2.2414027276049446</v>
      </c>
      <c r="BK1192" s="19">
        <f>(Table1347456[[#This Row],[lnrr]]/Table1347456[[#This Row],[z_from_p]])^2</f>
        <v>3.3848245258390991E-3</v>
      </c>
      <c r="BL1192" s="16">
        <f>Table1347456[[#This Row],[v_from_sd_and_n]]</f>
        <v>7.9860688860287603E-5</v>
      </c>
      <c r="BM1192" s="20">
        <f>SQRT(Table1347456[[#This Row],[v]])</f>
        <v>8.9364807872163859E-3</v>
      </c>
      <c r="BN1192" s="20">
        <f>Table1347456[[#This Row],[lnrr]]-(1.96*Table1347456[[#This Row],[se]])</f>
        <v>-0.14791862033422415</v>
      </c>
      <c r="BO1192" s="20">
        <f>Table1347456[[#This Row],[lnrr]]+(1.96 * Table1347456[[#This Row],[se]])</f>
        <v>-0.11288761564833592</v>
      </c>
    </row>
    <row r="1193" spans="1:67">
      <c r="A1193" s="13" t="s">
        <v>373</v>
      </c>
      <c r="B1193" s="13" t="s">
        <v>374</v>
      </c>
      <c r="C1193" s="13" t="s">
        <v>43</v>
      </c>
      <c r="D1193" s="13" t="s">
        <v>217</v>
      </c>
      <c r="E1193" s="13" t="s">
        <v>132</v>
      </c>
      <c r="F1193" s="13" t="s">
        <v>589</v>
      </c>
      <c r="G1193" s="13" t="s">
        <v>46</v>
      </c>
      <c r="H1193" s="13">
        <v>28</v>
      </c>
      <c r="I1193" s="13" t="s">
        <v>46</v>
      </c>
      <c r="K1193" s="13" t="s">
        <v>977</v>
      </c>
      <c r="L1193" s="13" t="s">
        <v>978</v>
      </c>
      <c r="N1193" s="13" t="s">
        <v>316</v>
      </c>
      <c r="O1193" s="13" t="s">
        <v>644</v>
      </c>
      <c r="P1193" s="13" t="s">
        <v>85</v>
      </c>
      <c r="Q1193" s="13" t="s">
        <v>48</v>
      </c>
      <c r="R1193" s="4">
        <v>5</v>
      </c>
      <c r="S1193" s="13" t="s">
        <v>596</v>
      </c>
      <c r="T1193" s="13">
        <v>60</v>
      </c>
      <c r="U1193" s="4" t="s">
        <v>218</v>
      </c>
      <c r="V1193" s="4">
        <v>550</v>
      </c>
      <c r="W1193" s="4" t="s">
        <v>601</v>
      </c>
      <c r="X1193" s="4">
        <v>798</v>
      </c>
      <c r="Y1193" s="4">
        <v>30</v>
      </c>
      <c r="AA1193" s="4" t="s">
        <v>49</v>
      </c>
      <c r="AB1193" s="4">
        <v>0</v>
      </c>
      <c r="AC1193" s="4" t="s">
        <v>49</v>
      </c>
      <c r="AD1193" s="4">
        <v>0</v>
      </c>
      <c r="AE1193" s="4" t="s">
        <v>49</v>
      </c>
      <c r="AF1193" s="4">
        <v>0</v>
      </c>
      <c r="AG1193" s="4" t="s">
        <v>685</v>
      </c>
      <c r="AH1193" s="4" t="s">
        <v>782</v>
      </c>
      <c r="AI1193" s="4" t="s">
        <v>78</v>
      </c>
      <c r="AJ1193" s="13">
        <v>0</v>
      </c>
      <c r="AK1193" s="13">
        <v>20</v>
      </c>
      <c r="AN1193" s="13" t="s">
        <v>554</v>
      </c>
      <c r="AO1193" s="13" t="s">
        <v>555</v>
      </c>
      <c r="AP1193" s="13" t="s">
        <v>50</v>
      </c>
      <c r="AQ1193" s="13" t="s">
        <v>49</v>
      </c>
      <c r="AR1193" s="13" t="s">
        <v>50</v>
      </c>
      <c r="AS1193" s="13" t="s">
        <v>49</v>
      </c>
      <c r="AT1193" s="13" t="s">
        <v>990</v>
      </c>
      <c r="AU1193" s="13" t="s">
        <v>998</v>
      </c>
      <c r="AV1193" s="14">
        <f>93.03/1000</f>
        <v>9.3030000000000002E-2</v>
      </c>
      <c r="AW1193" s="14">
        <f>110.34/1000</f>
        <v>0.11034000000000001</v>
      </c>
      <c r="AX1193" s="14">
        <f>Table1347456[[#This Row],[treatment_mean]]/Table1347456[[#This Row],[control_mean]]</f>
        <v>0.84312126155519296</v>
      </c>
      <c r="AY1193" s="14">
        <f>LN(Table1347456[[#This Row],[rr]])</f>
        <v>-0.17064448606381755</v>
      </c>
      <c r="AZ1193" s="13">
        <v>5</v>
      </c>
      <c r="BA1193" s="13">
        <v>5</v>
      </c>
      <c r="BB1193" s="14">
        <f>Table1347456[[#This Row],[treatment_sd]]/SQRT(Table1347456[[#This Row],[treatment_n]])</f>
        <v>1.6099689437998484E-3</v>
      </c>
      <c r="BC1193" s="14">
        <f>Table1347456[[#This Row],[control_sd]]/SQRT(Table1347456[[#This Row],[control_n]])</f>
        <v>8.0051233594492473E-4</v>
      </c>
      <c r="BD1193" s="15">
        <f>3.6/1000</f>
        <v>3.5999999999999999E-3</v>
      </c>
      <c r="BE1193" s="14">
        <f>1.79/1000</f>
        <v>1.7900000000000001E-3</v>
      </c>
      <c r="BF119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3.5212902282973535E-4</v>
      </c>
      <c r="BG1193" s="17">
        <f>SQRT(Table1347456[[#This Row],[v_from_sd_and_n]])</f>
        <v>1.8765101194231151E-2</v>
      </c>
      <c r="BH1193" s="13" t="s">
        <v>50</v>
      </c>
      <c r="BI1193" s="13">
        <v>2.5000000000000001E-2</v>
      </c>
      <c r="BJ1193" s="18">
        <f>ABS(_xlfn.NORM.S.INV(Table1347456[[#This Row],[p_value]]/2))</f>
        <v>2.2414027276049446</v>
      </c>
      <c r="BK1193" s="19">
        <f>(Table1347456[[#This Row],[lnrr]]/Table1347456[[#This Row],[z_from_p]])^2</f>
        <v>5.7962182140013667E-3</v>
      </c>
      <c r="BL1193" s="16">
        <f>Table1347456[[#This Row],[v_from_sd_and_n]]</f>
        <v>3.5212902282973535E-4</v>
      </c>
      <c r="BM1193" s="20">
        <f>SQRT(Table1347456[[#This Row],[v]])</f>
        <v>1.8765101194231151E-2</v>
      </c>
      <c r="BN1193" s="20">
        <f>Table1347456[[#This Row],[lnrr]]-(1.96*Table1347456[[#This Row],[se]])</f>
        <v>-0.2074240844045106</v>
      </c>
      <c r="BO1193" s="20">
        <f>Table1347456[[#This Row],[lnrr]]+(1.96 * Table1347456[[#This Row],[se]])</f>
        <v>-0.13386488772312449</v>
      </c>
    </row>
    <row r="1194" spans="1:67">
      <c r="A1194" s="13" t="s">
        <v>373</v>
      </c>
      <c r="B1194" s="13" t="s">
        <v>374</v>
      </c>
      <c r="C1194" s="13" t="s">
        <v>43</v>
      </c>
      <c r="D1194" s="13" t="s">
        <v>217</v>
      </c>
      <c r="E1194" s="13" t="s">
        <v>132</v>
      </c>
      <c r="F1194" s="13" t="s">
        <v>589</v>
      </c>
      <c r="G1194" s="13" t="s">
        <v>46</v>
      </c>
      <c r="H1194" s="13">
        <v>28</v>
      </c>
      <c r="I1194" s="13" t="s">
        <v>46</v>
      </c>
      <c r="K1194" s="13" t="s">
        <v>977</v>
      </c>
      <c r="L1194" s="13" t="s">
        <v>978</v>
      </c>
      <c r="N1194" s="13" t="s">
        <v>316</v>
      </c>
      <c r="O1194" s="13" t="s">
        <v>644</v>
      </c>
      <c r="P1194" s="13" t="s">
        <v>85</v>
      </c>
      <c r="Q1194" s="13" t="s">
        <v>48</v>
      </c>
      <c r="R1194" s="4">
        <v>5</v>
      </c>
      <c r="S1194" s="13" t="s">
        <v>596</v>
      </c>
      <c r="T1194" s="13">
        <v>60</v>
      </c>
      <c r="U1194" s="4" t="s">
        <v>220</v>
      </c>
      <c r="V1194" s="4">
        <v>550</v>
      </c>
      <c r="W1194" s="4" t="s">
        <v>601</v>
      </c>
      <c r="X1194" s="4">
        <v>455</v>
      </c>
      <c r="Y1194" s="4">
        <v>20</v>
      </c>
      <c r="AA1194" s="4" t="s">
        <v>49</v>
      </c>
      <c r="AB1194" s="4">
        <v>0</v>
      </c>
      <c r="AC1194" s="4" t="s">
        <v>49</v>
      </c>
      <c r="AD1194" s="4">
        <v>0</v>
      </c>
      <c r="AE1194" s="4" t="s">
        <v>49</v>
      </c>
      <c r="AF1194" s="4">
        <v>0</v>
      </c>
      <c r="AG1194" s="4" t="s">
        <v>770</v>
      </c>
      <c r="AH1194" s="4" t="s">
        <v>782</v>
      </c>
      <c r="AI1194" s="4" t="s">
        <v>78</v>
      </c>
      <c r="AJ1194" s="13">
        <v>0</v>
      </c>
      <c r="AK1194" s="13">
        <v>20</v>
      </c>
      <c r="AN1194" s="13" t="s">
        <v>554</v>
      </c>
      <c r="AO1194" s="13" t="s">
        <v>555</v>
      </c>
      <c r="AP1194" s="13" t="s">
        <v>50</v>
      </c>
      <c r="AQ1194" s="13" t="s">
        <v>49</v>
      </c>
      <c r="AR1194" s="13" t="s">
        <v>50</v>
      </c>
      <c r="AS1194" s="13" t="s">
        <v>49</v>
      </c>
      <c r="AT1194" s="13" t="s">
        <v>990</v>
      </c>
      <c r="AU1194" s="13" t="s">
        <v>998</v>
      </c>
      <c r="AV1194" s="14">
        <f>90.34/1000</f>
        <v>9.0340000000000004E-2</v>
      </c>
      <c r="AW1194" s="14">
        <f>110.34/1000</f>
        <v>0.11034000000000001</v>
      </c>
      <c r="AX1194" s="14">
        <f>Table1347456[[#This Row],[treatment_mean]]/Table1347456[[#This Row],[control_mean]]</f>
        <v>0.81874206996556098</v>
      </c>
      <c r="AY1194" s="14">
        <f>LN(Table1347456[[#This Row],[rr]])</f>
        <v>-0.19998617761782664</v>
      </c>
      <c r="AZ1194" s="13">
        <v>5</v>
      </c>
      <c r="BA1194" s="13">
        <v>5</v>
      </c>
      <c r="BB1194" s="14">
        <f>Table1347456[[#This Row],[treatment_sd]]/SQRT(Table1347456[[#This Row],[treatment_n]])</f>
        <v>2.1108481707598011E-3</v>
      </c>
      <c r="BC1194" s="14">
        <f>Table1347456[[#This Row],[control_sd]]/SQRT(Table1347456[[#This Row],[control_n]])</f>
        <v>8.0051233594492473E-4</v>
      </c>
      <c r="BD1194" s="15">
        <f>4.72/1000</f>
        <v>4.7199999999999994E-3</v>
      </c>
      <c r="BE1194" s="14">
        <f>1.79/1000</f>
        <v>1.7900000000000001E-3</v>
      </c>
      <c r="BF119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5.9858564555418021E-4</v>
      </c>
      <c r="BG1194" s="17">
        <f>SQRT(Table1347456[[#This Row],[v_from_sd_and_n]])</f>
        <v>2.4466010004783784E-2</v>
      </c>
      <c r="BH1194" s="13" t="s">
        <v>50</v>
      </c>
      <c r="BI1194" s="13">
        <v>2.5000000000000001E-2</v>
      </c>
      <c r="BJ1194" s="18">
        <f>ABS(_xlfn.NORM.S.INV(Table1347456[[#This Row],[p_value]]/2))</f>
        <v>2.2414027276049446</v>
      </c>
      <c r="BK1194" s="19">
        <f>(Table1347456[[#This Row],[lnrr]]/Table1347456[[#This Row],[z_from_p]])^2</f>
        <v>7.9608633131804142E-3</v>
      </c>
      <c r="BL1194" s="16">
        <f>Table1347456[[#This Row],[v_from_sd_and_n]]</f>
        <v>5.9858564555418021E-4</v>
      </c>
      <c r="BM1194" s="20">
        <f>SQRT(Table1347456[[#This Row],[v]])</f>
        <v>2.4466010004783784E-2</v>
      </c>
      <c r="BN1194" s="20">
        <f>Table1347456[[#This Row],[lnrr]]-(1.96*Table1347456[[#This Row],[se]])</f>
        <v>-0.24793955722720284</v>
      </c>
      <c r="BO1194" s="20">
        <f>Table1347456[[#This Row],[lnrr]]+(1.96 * Table1347456[[#This Row],[se]])</f>
        <v>-0.15203279800845043</v>
      </c>
    </row>
    <row r="1195" spans="1:67">
      <c r="A1195" s="13" t="s">
        <v>373</v>
      </c>
      <c r="B1195" s="13" t="s">
        <v>374</v>
      </c>
      <c r="C1195" s="13" t="s">
        <v>43</v>
      </c>
      <c r="D1195" s="13" t="s">
        <v>217</v>
      </c>
      <c r="E1195" s="13" t="s">
        <v>132</v>
      </c>
      <c r="F1195" s="13" t="s">
        <v>589</v>
      </c>
      <c r="G1195" s="13" t="s">
        <v>46</v>
      </c>
      <c r="H1195" s="13">
        <v>28</v>
      </c>
      <c r="I1195" s="13" t="s">
        <v>46</v>
      </c>
      <c r="K1195" s="13" t="s">
        <v>977</v>
      </c>
      <c r="L1195" s="13" t="s">
        <v>978</v>
      </c>
      <c r="N1195" s="13" t="s">
        <v>316</v>
      </c>
      <c r="O1195" s="13" t="s">
        <v>644</v>
      </c>
      <c r="P1195" s="13" t="s">
        <v>85</v>
      </c>
      <c r="Q1195" s="13" t="s">
        <v>48</v>
      </c>
      <c r="R1195" s="4">
        <v>5</v>
      </c>
      <c r="S1195" s="13" t="s">
        <v>596</v>
      </c>
      <c r="T1195" s="13">
        <v>60</v>
      </c>
      <c r="U1195" s="4" t="s">
        <v>220</v>
      </c>
      <c r="V1195" s="4">
        <v>550</v>
      </c>
      <c r="W1195" s="4" t="s">
        <v>601</v>
      </c>
      <c r="X1195" s="4">
        <v>455</v>
      </c>
      <c r="Y1195" s="4">
        <v>30</v>
      </c>
      <c r="AA1195" s="4" t="s">
        <v>49</v>
      </c>
      <c r="AB1195" s="4">
        <v>0</v>
      </c>
      <c r="AC1195" s="4" t="s">
        <v>49</v>
      </c>
      <c r="AD1195" s="4">
        <v>0</v>
      </c>
      <c r="AE1195" s="4" t="s">
        <v>49</v>
      </c>
      <c r="AF1195" s="4">
        <v>0</v>
      </c>
      <c r="AG1195" s="4" t="s">
        <v>770</v>
      </c>
      <c r="AH1195" s="4" t="s">
        <v>782</v>
      </c>
      <c r="AI1195" s="4" t="s">
        <v>78</v>
      </c>
      <c r="AJ1195" s="13">
        <v>0</v>
      </c>
      <c r="AK1195" s="13">
        <v>20</v>
      </c>
      <c r="AN1195" s="13" t="s">
        <v>554</v>
      </c>
      <c r="AO1195" s="13" t="s">
        <v>555</v>
      </c>
      <c r="AP1195" s="13" t="s">
        <v>50</v>
      </c>
      <c r="AQ1195" s="13" t="s">
        <v>49</v>
      </c>
      <c r="AR1195" s="13" t="s">
        <v>50</v>
      </c>
      <c r="AS1195" s="13" t="s">
        <v>49</v>
      </c>
      <c r="AT1195" s="13" t="s">
        <v>990</v>
      </c>
      <c r="AU1195" s="13" t="s">
        <v>998</v>
      </c>
      <c r="AV1195" s="14">
        <f>106.97/1000</f>
        <v>0.10697</v>
      </c>
      <c r="AW1195" s="14">
        <f>110.34/1000</f>
        <v>0.11034000000000001</v>
      </c>
      <c r="AX1195" s="14">
        <f>Table1347456[[#This Row],[treatment_mean]]/Table1347456[[#This Row],[control_mean]]</f>
        <v>0.9694580387891969</v>
      </c>
      <c r="AY1195" s="14">
        <f>LN(Table1347456[[#This Row],[rr]])</f>
        <v>-3.1018086526245384E-2</v>
      </c>
      <c r="AZ1195" s="13">
        <v>5</v>
      </c>
      <c r="BA1195" s="13">
        <v>5</v>
      </c>
      <c r="BB1195" s="14">
        <f>Table1347456[[#This Row],[treatment_sd]]/SQRT(Table1347456[[#This Row],[treatment_n]])</f>
        <v>9.0337146290991508E-4</v>
      </c>
      <c r="BC1195" s="14">
        <f>Table1347456[[#This Row],[control_sd]]/SQRT(Table1347456[[#This Row],[control_n]])</f>
        <v>8.0051233594492473E-4</v>
      </c>
      <c r="BD1195" s="15">
        <f>2.02/1000</f>
        <v>2.0200000000000001E-3</v>
      </c>
      <c r="BE1195" s="14">
        <f>1.79/1000</f>
        <v>1.7900000000000001E-3</v>
      </c>
      <c r="BF119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1.2395402553209614E-4</v>
      </c>
      <c r="BG1195" s="17">
        <f>SQRT(Table1347456[[#This Row],[v_from_sd_and_n]])</f>
        <v>1.1133464219733952E-2</v>
      </c>
      <c r="BH1195" s="13" t="s">
        <v>50</v>
      </c>
      <c r="BI1195" s="13">
        <v>2.5000000000000001E-2</v>
      </c>
      <c r="BJ1195" s="18">
        <f>ABS(_xlfn.NORM.S.INV(Table1347456[[#This Row],[p_value]]/2))</f>
        <v>2.2414027276049446</v>
      </c>
      <c r="BK1195" s="19">
        <f>(Table1347456[[#This Row],[lnrr]]/Table1347456[[#This Row],[z_from_p]])^2</f>
        <v>1.915094522202682E-4</v>
      </c>
      <c r="BL1195" s="16">
        <f>Table1347456[[#This Row],[v_from_sd_and_n]]</f>
        <v>1.2395402553209614E-4</v>
      </c>
      <c r="BM1195" s="20">
        <f>SQRT(Table1347456[[#This Row],[v]])</f>
        <v>1.1133464219733952E-2</v>
      </c>
      <c r="BN1195" s="20">
        <f>Table1347456[[#This Row],[lnrr]]-(1.96*Table1347456[[#This Row],[se]])</f>
        <v>-5.2839676396923926E-2</v>
      </c>
      <c r="BO1195" s="20">
        <f>Table1347456[[#This Row],[lnrr]]+(1.96 * Table1347456[[#This Row],[se]])</f>
        <v>-9.1964966555668388E-3</v>
      </c>
    </row>
    <row r="1196" spans="1:67">
      <c r="A1196" s="13" t="s">
        <v>373</v>
      </c>
      <c r="B1196" s="13" t="s">
        <v>374</v>
      </c>
      <c r="C1196" s="13" t="s">
        <v>43</v>
      </c>
      <c r="D1196" s="13" t="s">
        <v>217</v>
      </c>
      <c r="E1196" s="13" t="s">
        <v>132</v>
      </c>
      <c r="F1196" s="13" t="s">
        <v>589</v>
      </c>
      <c r="G1196" s="13" t="s">
        <v>46</v>
      </c>
      <c r="H1196" s="13">
        <v>28</v>
      </c>
      <c r="I1196" s="13" t="s">
        <v>46</v>
      </c>
      <c r="K1196" s="13" t="s">
        <v>977</v>
      </c>
      <c r="L1196" s="13" t="s">
        <v>978</v>
      </c>
      <c r="N1196" s="13" t="s">
        <v>616</v>
      </c>
      <c r="O1196" s="13" t="s">
        <v>54</v>
      </c>
      <c r="P1196" s="13" t="s">
        <v>85</v>
      </c>
      <c r="Q1196" s="13" t="s">
        <v>48</v>
      </c>
      <c r="R1196" s="4">
        <v>5</v>
      </c>
      <c r="S1196" s="13" t="s">
        <v>596</v>
      </c>
      <c r="T1196" s="13">
        <v>60</v>
      </c>
      <c r="U1196" s="4" t="s">
        <v>218</v>
      </c>
      <c r="V1196" s="4">
        <v>550</v>
      </c>
      <c r="W1196" s="4" t="s">
        <v>601</v>
      </c>
      <c r="X1196" s="4">
        <v>798</v>
      </c>
      <c r="Y1196" s="4">
        <v>20</v>
      </c>
      <c r="AA1196" s="4" t="s">
        <v>49</v>
      </c>
      <c r="AB1196" s="4">
        <v>0</v>
      </c>
      <c r="AC1196" s="4" t="s">
        <v>49</v>
      </c>
      <c r="AD1196" s="4">
        <v>0</v>
      </c>
      <c r="AE1196" s="4" t="s">
        <v>49</v>
      </c>
      <c r="AF1196" s="4">
        <v>0</v>
      </c>
      <c r="AG1196" s="4" t="s">
        <v>685</v>
      </c>
      <c r="AH1196" s="4" t="s">
        <v>782</v>
      </c>
      <c r="AI1196" s="4" t="s">
        <v>78</v>
      </c>
      <c r="AJ1196" s="13">
        <v>0</v>
      </c>
      <c r="AK1196" s="13">
        <v>20</v>
      </c>
      <c r="AN1196" s="13" t="s">
        <v>554</v>
      </c>
      <c r="AO1196" s="13" t="s">
        <v>555</v>
      </c>
      <c r="AP1196" s="13" t="s">
        <v>50</v>
      </c>
      <c r="AQ1196" s="13" t="s">
        <v>49</v>
      </c>
      <c r="AR1196" s="13" t="s">
        <v>50</v>
      </c>
      <c r="AS1196" s="13" t="s">
        <v>49</v>
      </c>
      <c r="AT1196" s="13" t="s">
        <v>990</v>
      </c>
      <c r="AU1196" s="13" t="s">
        <v>998</v>
      </c>
      <c r="AV1196" s="14">
        <f>9.76/1000</f>
        <v>9.7599999999999996E-3</v>
      </c>
      <c r="AW1196" s="14">
        <f>12.49/1000</f>
        <v>1.2489999999999999E-2</v>
      </c>
      <c r="AX1196" s="14">
        <f>Table1347456[[#This Row],[treatment_mean]]/Table1347456[[#This Row],[control_mean]]</f>
        <v>0.78142514011208963</v>
      </c>
      <c r="AY1196" s="14">
        <f>LN(Table1347456[[#This Row],[rr]])</f>
        <v>-0.24663592371248524</v>
      </c>
      <c r="AZ1196" s="13">
        <v>5</v>
      </c>
      <c r="BA1196" s="13">
        <v>5</v>
      </c>
      <c r="BB1196" s="14">
        <f>Table1347456[[#This Row],[treatment_sd]]/SQRT(Table1347456[[#This Row],[treatment_n]])</f>
        <v>4.3826932358995873E-4</v>
      </c>
      <c r="BC1196" s="14">
        <f>Table1347456[[#This Row],[control_sd]]/SQRT(Table1347456[[#This Row],[control_n]])</f>
        <v>5.6348913032994695E-4</v>
      </c>
      <c r="BD1196" s="15">
        <f>0.98/1000</f>
        <v>9.7999999999999997E-4</v>
      </c>
      <c r="BE1196" s="14">
        <f>1.26/1000</f>
        <v>1.2600000000000001E-3</v>
      </c>
      <c r="BF119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4.0518103463948046E-3</v>
      </c>
      <c r="BG1196" s="17">
        <f>SQRT(Table1347456[[#This Row],[v_from_sd_and_n]])</f>
        <v>6.3653832142258365E-2</v>
      </c>
      <c r="BH1196" s="13" t="s">
        <v>50</v>
      </c>
      <c r="BI1196" s="13">
        <v>2.5000000000000001E-2</v>
      </c>
      <c r="BJ1196" s="18">
        <f>ABS(_xlfn.NORM.S.INV(Table1347456[[#This Row],[p_value]]/2))</f>
        <v>2.2414027276049446</v>
      </c>
      <c r="BK1196" s="19">
        <f>(Table1347456[[#This Row],[lnrr]]/Table1347456[[#This Row],[z_from_p]])^2</f>
        <v>1.2108012920177684E-2</v>
      </c>
      <c r="BL1196" s="16">
        <f>Table1347456[[#This Row],[v_from_sd_and_n]]</f>
        <v>4.0518103463948046E-3</v>
      </c>
      <c r="BM1196" s="20">
        <f>SQRT(Table1347456[[#This Row],[v]])</f>
        <v>6.3653832142258365E-2</v>
      </c>
      <c r="BN1196" s="20">
        <f>Table1347456[[#This Row],[lnrr]]-(1.96*Table1347456[[#This Row],[se]])</f>
        <v>-0.37139743471131165</v>
      </c>
      <c r="BO1196" s="20">
        <f>Table1347456[[#This Row],[lnrr]]+(1.96 * Table1347456[[#This Row],[se]])</f>
        <v>-0.12187441271365886</v>
      </c>
    </row>
    <row r="1197" spans="1:67">
      <c r="A1197" s="13" t="s">
        <v>373</v>
      </c>
      <c r="B1197" s="13" t="s">
        <v>374</v>
      </c>
      <c r="C1197" s="13" t="s">
        <v>43</v>
      </c>
      <c r="D1197" s="13" t="s">
        <v>217</v>
      </c>
      <c r="E1197" s="13" t="s">
        <v>132</v>
      </c>
      <c r="F1197" s="13" t="s">
        <v>589</v>
      </c>
      <c r="G1197" s="13" t="s">
        <v>46</v>
      </c>
      <c r="H1197" s="13">
        <v>28</v>
      </c>
      <c r="I1197" s="13" t="s">
        <v>46</v>
      </c>
      <c r="K1197" s="13" t="s">
        <v>977</v>
      </c>
      <c r="L1197" s="13" t="s">
        <v>978</v>
      </c>
      <c r="N1197" s="13" t="s">
        <v>616</v>
      </c>
      <c r="O1197" s="13" t="s">
        <v>54</v>
      </c>
      <c r="P1197" s="13" t="s">
        <v>85</v>
      </c>
      <c r="Q1197" s="13" t="s">
        <v>48</v>
      </c>
      <c r="R1197" s="4">
        <v>5</v>
      </c>
      <c r="S1197" s="13" t="s">
        <v>596</v>
      </c>
      <c r="T1197" s="13">
        <v>60</v>
      </c>
      <c r="U1197" s="4" t="s">
        <v>218</v>
      </c>
      <c r="V1197" s="4">
        <v>550</v>
      </c>
      <c r="W1197" s="4" t="s">
        <v>601</v>
      </c>
      <c r="X1197" s="4">
        <v>798</v>
      </c>
      <c r="Y1197" s="4">
        <v>30</v>
      </c>
      <c r="AA1197" s="4" t="s">
        <v>49</v>
      </c>
      <c r="AB1197" s="4">
        <v>0</v>
      </c>
      <c r="AC1197" s="4" t="s">
        <v>49</v>
      </c>
      <c r="AD1197" s="4">
        <v>0</v>
      </c>
      <c r="AE1197" s="4" t="s">
        <v>49</v>
      </c>
      <c r="AF1197" s="4">
        <v>0</v>
      </c>
      <c r="AG1197" s="4" t="s">
        <v>685</v>
      </c>
      <c r="AH1197" s="4" t="s">
        <v>782</v>
      </c>
      <c r="AI1197" s="4" t="s">
        <v>78</v>
      </c>
      <c r="AJ1197" s="13">
        <v>0</v>
      </c>
      <c r="AK1197" s="13">
        <v>20</v>
      </c>
      <c r="AN1197" s="13" t="s">
        <v>554</v>
      </c>
      <c r="AO1197" s="13" t="s">
        <v>555</v>
      </c>
      <c r="AP1197" s="13" t="s">
        <v>50</v>
      </c>
      <c r="AQ1197" s="13" t="s">
        <v>49</v>
      </c>
      <c r="AR1197" s="13" t="s">
        <v>50</v>
      </c>
      <c r="AS1197" s="13" t="s">
        <v>49</v>
      </c>
      <c r="AT1197" s="13" t="s">
        <v>990</v>
      </c>
      <c r="AU1197" s="13" t="s">
        <v>998</v>
      </c>
      <c r="AV1197" s="14">
        <f>4.64/1000</f>
        <v>4.64E-3</v>
      </c>
      <c r="AW1197" s="14">
        <f>12.49/1000</f>
        <v>1.2489999999999999E-2</v>
      </c>
      <c r="AX1197" s="14">
        <f>Table1347456[[#This Row],[treatment_mean]]/Table1347456[[#This Row],[control_mean]]</f>
        <v>0.37149719775820661</v>
      </c>
      <c r="AY1197" s="14">
        <f>LN(Table1347456[[#This Row],[rr]])</f>
        <v>-0.99021395789932232</v>
      </c>
      <c r="AZ1197" s="13">
        <v>5</v>
      </c>
      <c r="BA1197" s="13">
        <v>5</v>
      </c>
      <c r="BB1197" s="14">
        <f>Table1347456[[#This Row],[treatment_sd]]/SQRT(Table1347456[[#This Row],[treatment_n]])</f>
        <v>1.3863621460498694E-4</v>
      </c>
      <c r="BC1197" s="14">
        <f>Table1347456[[#This Row],[control_sd]]/SQRT(Table1347456[[#This Row],[control_n]])</f>
        <v>5.6348913032994695E-4</v>
      </c>
      <c r="BD1197" s="15">
        <f>0.31/1000</f>
        <v>3.1E-4</v>
      </c>
      <c r="BE1197" s="14">
        <f>1.26/1000</f>
        <v>1.2600000000000001E-3</v>
      </c>
      <c r="BF119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2.9281077458479191E-3</v>
      </c>
      <c r="BG1197" s="17">
        <f>SQRT(Table1347456[[#This Row],[v_from_sd_and_n]])</f>
        <v>5.4111992624998752E-2</v>
      </c>
      <c r="BH1197" s="13" t="s">
        <v>50</v>
      </c>
      <c r="BI1197" s="13">
        <v>2.5000000000000001E-2</v>
      </c>
      <c r="BJ1197" s="18">
        <f>ABS(_xlfn.NORM.S.INV(Table1347456[[#This Row],[p_value]]/2))</f>
        <v>2.2414027276049446</v>
      </c>
      <c r="BK1197" s="19">
        <f>(Table1347456[[#This Row],[lnrr]]/Table1347456[[#This Row],[z_from_p]])^2</f>
        <v>0.19517235181291018</v>
      </c>
      <c r="BL1197" s="16">
        <f>Table1347456[[#This Row],[v_from_sd_and_n]]</f>
        <v>2.9281077458479191E-3</v>
      </c>
      <c r="BM1197" s="20">
        <f>SQRT(Table1347456[[#This Row],[v]])</f>
        <v>5.4111992624998752E-2</v>
      </c>
      <c r="BN1197" s="20">
        <f>Table1347456[[#This Row],[lnrr]]-(1.96*Table1347456[[#This Row],[se]])</f>
        <v>-1.0962734634443199</v>
      </c>
      <c r="BO1197" s="20">
        <f>Table1347456[[#This Row],[lnrr]]+(1.96 * Table1347456[[#This Row],[se]])</f>
        <v>-0.88415445235432477</v>
      </c>
    </row>
    <row r="1198" spans="1:67">
      <c r="A1198" s="13" t="s">
        <v>373</v>
      </c>
      <c r="B1198" s="13" t="s">
        <v>374</v>
      </c>
      <c r="C1198" s="13" t="s">
        <v>43</v>
      </c>
      <c r="D1198" s="13" t="s">
        <v>217</v>
      </c>
      <c r="E1198" s="13" t="s">
        <v>132</v>
      </c>
      <c r="F1198" s="13" t="s">
        <v>589</v>
      </c>
      <c r="G1198" s="13" t="s">
        <v>46</v>
      </c>
      <c r="H1198" s="13">
        <v>28</v>
      </c>
      <c r="I1198" s="13" t="s">
        <v>46</v>
      </c>
      <c r="K1198" s="13" t="s">
        <v>977</v>
      </c>
      <c r="L1198" s="13" t="s">
        <v>978</v>
      </c>
      <c r="N1198" s="13" t="s">
        <v>616</v>
      </c>
      <c r="O1198" s="13" t="s">
        <v>54</v>
      </c>
      <c r="P1198" s="13" t="s">
        <v>85</v>
      </c>
      <c r="Q1198" s="13" t="s">
        <v>48</v>
      </c>
      <c r="R1198" s="4">
        <v>5</v>
      </c>
      <c r="S1198" s="13" t="s">
        <v>596</v>
      </c>
      <c r="T1198" s="13">
        <v>60</v>
      </c>
      <c r="U1198" s="4" t="s">
        <v>220</v>
      </c>
      <c r="V1198" s="4">
        <v>550</v>
      </c>
      <c r="W1198" s="4" t="s">
        <v>601</v>
      </c>
      <c r="X1198" s="4">
        <v>455</v>
      </c>
      <c r="Y1198" s="4">
        <v>20</v>
      </c>
      <c r="AA1198" s="4" t="s">
        <v>49</v>
      </c>
      <c r="AB1198" s="4">
        <v>0</v>
      </c>
      <c r="AC1198" s="4" t="s">
        <v>49</v>
      </c>
      <c r="AD1198" s="4">
        <v>0</v>
      </c>
      <c r="AE1198" s="4" t="s">
        <v>49</v>
      </c>
      <c r="AF1198" s="4">
        <v>0</v>
      </c>
      <c r="AG1198" s="4" t="s">
        <v>770</v>
      </c>
      <c r="AH1198" s="4" t="s">
        <v>782</v>
      </c>
      <c r="AI1198" s="4" t="s">
        <v>78</v>
      </c>
      <c r="AJ1198" s="13">
        <v>0</v>
      </c>
      <c r="AK1198" s="13">
        <v>20</v>
      </c>
      <c r="AN1198" s="13" t="s">
        <v>554</v>
      </c>
      <c r="AO1198" s="13" t="s">
        <v>555</v>
      </c>
      <c r="AP1198" s="13" t="s">
        <v>50</v>
      </c>
      <c r="AQ1198" s="13" t="s">
        <v>49</v>
      </c>
      <c r="AR1198" s="13" t="s">
        <v>50</v>
      </c>
      <c r="AS1198" s="13" t="s">
        <v>49</v>
      </c>
      <c r="AT1198" s="13" t="s">
        <v>990</v>
      </c>
      <c r="AU1198" s="13" t="s">
        <v>998</v>
      </c>
      <c r="AV1198" s="14">
        <f>1.6/1000</f>
        <v>1.6000000000000001E-3</v>
      </c>
      <c r="AW1198" s="14">
        <f>12.49/1000</f>
        <v>1.2489999999999999E-2</v>
      </c>
      <c r="AX1198" s="14">
        <f>Table1347456[[#This Row],[treatment_mean]]/Table1347456[[#This Row],[control_mean]]</f>
        <v>0.12810248198558849</v>
      </c>
      <c r="AY1198" s="14">
        <f>LN(Table1347456[[#This Row],[rr]])</f>
        <v>-2.0549246948917506</v>
      </c>
      <c r="AZ1198" s="13">
        <v>5</v>
      </c>
      <c r="BA1198" s="13">
        <v>5</v>
      </c>
      <c r="BB1198" s="14">
        <f>Table1347456[[#This Row],[treatment_sd]]/SQRT(Table1347456[[#This Row],[treatment_n]])</f>
        <v>0</v>
      </c>
      <c r="BC1198" s="14">
        <f>Table1347456[[#This Row],[control_sd]]/SQRT(Table1347456[[#This Row],[control_n]])</f>
        <v>5.6348913032994695E-4</v>
      </c>
      <c r="BD1198" s="15">
        <v>0</v>
      </c>
      <c r="BE1198" s="14">
        <f>1.26/1000</f>
        <v>1.2600000000000001E-3</v>
      </c>
      <c r="BF119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2.0353833106517244E-3</v>
      </c>
      <c r="BG1198" s="17">
        <f>SQRT(Table1347456[[#This Row],[v_from_sd_and_n]])</f>
        <v>4.5115222604479352E-2</v>
      </c>
      <c r="BH1198" s="13" t="s">
        <v>50</v>
      </c>
      <c r="BI1198" s="13">
        <v>2.5000000000000001E-2</v>
      </c>
      <c r="BJ1198" s="18">
        <f>ABS(_xlfn.NORM.S.INV(Table1347456[[#This Row],[p_value]]/2))</f>
        <v>2.2414027276049446</v>
      </c>
      <c r="BK1198" s="19">
        <f>(Table1347456[[#This Row],[lnrr]]/Table1347456[[#This Row],[z_from_p]])^2</f>
        <v>0.84052769991847021</v>
      </c>
      <c r="BL1198" s="16">
        <f>Table1347456[[#This Row],[v_from_sd_and_n]]</f>
        <v>2.0353833106517244E-3</v>
      </c>
      <c r="BM1198" s="20">
        <f>SQRT(Table1347456[[#This Row],[v]])</f>
        <v>4.5115222604479352E-2</v>
      </c>
      <c r="BN1198" s="20">
        <f>Table1347456[[#This Row],[lnrr]]-(1.96*Table1347456[[#This Row],[se]])</f>
        <v>-2.1433505311965302</v>
      </c>
      <c r="BO1198" s="20">
        <f>Table1347456[[#This Row],[lnrr]]+(1.96 * Table1347456[[#This Row],[se]])</f>
        <v>-1.9664988585869709</v>
      </c>
    </row>
    <row r="1199" spans="1:67">
      <c r="A1199" s="13" t="s">
        <v>373</v>
      </c>
      <c r="B1199" s="13" t="s">
        <v>374</v>
      </c>
      <c r="C1199" s="13" t="s">
        <v>43</v>
      </c>
      <c r="D1199" s="13" t="s">
        <v>217</v>
      </c>
      <c r="E1199" s="13" t="s">
        <v>132</v>
      </c>
      <c r="F1199" s="13" t="s">
        <v>589</v>
      </c>
      <c r="G1199" s="13" t="s">
        <v>46</v>
      </c>
      <c r="H1199" s="13">
        <v>28</v>
      </c>
      <c r="I1199" s="13" t="s">
        <v>46</v>
      </c>
      <c r="K1199" s="13" t="s">
        <v>977</v>
      </c>
      <c r="L1199" s="13" t="s">
        <v>978</v>
      </c>
      <c r="N1199" s="13" t="s">
        <v>616</v>
      </c>
      <c r="O1199" s="13" t="s">
        <v>54</v>
      </c>
      <c r="P1199" s="13" t="s">
        <v>85</v>
      </c>
      <c r="Q1199" s="13" t="s">
        <v>48</v>
      </c>
      <c r="R1199" s="4">
        <v>5</v>
      </c>
      <c r="S1199" s="13" t="s">
        <v>596</v>
      </c>
      <c r="T1199" s="13">
        <v>60</v>
      </c>
      <c r="U1199" s="4" t="s">
        <v>220</v>
      </c>
      <c r="V1199" s="4">
        <v>550</v>
      </c>
      <c r="W1199" s="4" t="s">
        <v>601</v>
      </c>
      <c r="X1199" s="4">
        <v>455</v>
      </c>
      <c r="Y1199" s="4">
        <v>30</v>
      </c>
      <c r="AA1199" s="4" t="s">
        <v>49</v>
      </c>
      <c r="AB1199" s="4">
        <v>0</v>
      </c>
      <c r="AC1199" s="4" t="s">
        <v>49</v>
      </c>
      <c r="AD1199" s="4">
        <v>0</v>
      </c>
      <c r="AE1199" s="4" t="s">
        <v>49</v>
      </c>
      <c r="AF1199" s="4">
        <v>0</v>
      </c>
      <c r="AG1199" s="4" t="s">
        <v>770</v>
      </c>
      <c r="AH1199" s="4" t="s">
        <v>782</v>
      </c>
      <c r="AI1199" s="4" t="s">
        <v>78</v>
      </c>
      <c r="AJ1199" s="13">
        <v>0</v>
      </c>
      <c r="AK1199" s="13">
        <v>20</v>
      </c>
      <c r="AN1199" s="13" t="s">
        <v>554</v>
      </c>
      <c r="AO1199" s="13" t="s">
        <v>555</v>
      </c>
      <c r="AP1199" s="13" t="s">
        <v>50</v>
      </c>
      <c r="AQ1199" s="13" t="s">
        <v>49</v>
      </c>
      <c r="AR1199" s="13" t="s">
        <v>50</v>
      </c>
      <c r="AS1199" s="13" t="s">
        <v>49</v>
      </c>
      <c r="AT1199" s="13" t="s">
        <v>990</v>
      </c>
      <c r="AU1199" s="13" t="s">
        <v>998</v>
      </c>
      <c r="AV1199" s="14">
        <f>1.35/1000</f>
        <v>1.3500000000000001E-3</v>
      </c>
      <c r="AW1199" s="14">
        <f>12.49/1000</f>
        <v>1.2489999999999999E-2</v>
      </c>
      <c r="AX1199" s="14">
        <f>Table1347456[[#This Row],[treatment_mean]]/Table1347456[[#This Row],[control_mean]]</f>
        <v>0.10808646917534029</v>
      </c>
      <c r="AY1199" s="14">
        <f>LN(Table1347456[[#This Row],[rr]])</f>
        <v>-2.224823731687148</v>
      </c>
      <c r="AZ1199" s="13">
        <v>5</v>
      </c>
      <c r="BA1199" s="13">
        <v>5</v>
      </c>
      <c r="BB1199" s="14">
        <f>Table1347456[[#This Row],[treatment_sd]]/SQRT(Table1347456[[#This Row],[treatment_n]])</f>
        <v>0</v>
      </c>
      <c r="BC1199" s="14">
        <f>Table1347456[[#This Row],[control_sd]]/SQRT(Table1347456[[#This Row],[control_n]])</f>
        <v>5.6348913032994695E-4</v>
      </c>
      <c r="BD1199" s="15">
        <v>0</v>
      </c>
      <c r="BE1199" s="14">
        <f>1.26/1000</f>
        <v>1.2600000000000001E-3</v>
      </c>
      <c r="BF119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2.0353833106517244E-3</v>
      </c>
      <c r="BG1199" s="17">
        <f>SQRT(Table1347456[[#This Row],[v_from_sd_and_n]])</f>
        <v>4.5115222604479352E-2</v>
      </c>
      <c r="BH1199" s="13" t="s">
        <v>50</v>
      </c>
      <c r="BI1199" s="13">
        <v>2.5000000000000001E-2</v>
      </c>
      <c r="BJ1199" s="18">
        <f>ABS(_xlfn.NORM.S.INV(Table1347456[[#This Row],[p_value]]/2))</f>
        <v>2.2414027276049446</v>
      </c>
      <c r="BK1199" s="19">
        <f>(Table1347456[[#This Row],[lnrr]]/Table1347456[[#This Row],[z_from_p]])^2</f>
        <v>0.985261300221426</v>
      </c>
      <c r="BL1199" s="16">
        <f>Table1347456[[#This Row],[v_from_sd_and_n]]</f>
        <v>2.0353833106517244E-3</v>
      </c>
      <c r="BM1199" s="20">
        <f>SQRT(Table1347456[[#This Row],[v]])</f>
        <v>4.5115222604479352E-2</v>
      </c>
      <c r="BN1199" s="20">
        <f>Table1347456[[#This Row],[lnrr]]-(1.96*Table1347456[[#This Row],[se]])</f>
        <v>-2.3132495679919276</v>
      </c>
      <c r="BO1199" s="20">
        <f>Table1347456[[#This Row],[lnrr]]+(1.96 * Table1347456[[#This Row],[se]])</f>
        <v>-2.1363978953823684</v>
      </c>
    </row>
    <row r="1200" spans="1:67">
      <c r="A1200" s="13" t="s">
        <v>373</v>
      </c>
      <c r="B1200" s="13" t="s">
        <v>374</v>
      </c>
      <c r="C1200" s="13" t="s">
        <v>43</v>
      </c>
      <c r="D1200" s="13" t="s">
        <v>217</v>
      </c>
      <c r="E1200" s="13" t="s">
        <v>132</v>
      </c>
      <c r="F1200" s="13" t="s">
        <v>589</v>
      </c>
      <c r="G1200" s="13" t="s">
        <v>46</v>
      </c>
      <c r="H1200" s="13">
        <v>28</v>
      </c>
      <c r="I1200" s="13" t="s">
        <v>46</v>
      </c>
      <c r="K1200" s="13" t="s">
        <v>977</v>
      </c>
      <c r="L1200" s="13" t="s">
        <v>978</v>
      </c>
      <c r="N1200" s="13" t="s">
        <v>53</v>
      </c>
      <c r="O1200" s="13" t="s">
        <v>54</v>
      </c>
      <c r="P1200" s="13" t="s">
        <v>85</v>
      </c>
      <c r="Q1200" s="13" t="s">
        <v>48</v>
      </c>
      <c r="R1200" s="4">
        <v>5</v>
      </c>
      <c r="S1200" s="13" t="s">
        <v>596</v>
      </c>
      <c r="T1200" s="13">
        <v>60</v>
      </c>
      <c r="U1200" s="4" t="s">
        <v>218</v>
      </c>
      <c r="V1200" s="4">
        <v>550</v>
      </c>
      <c r="W1200" s="4" t="s">
        <v>601</v>
      </c>
      <c r="X1200" s="4">
        <v>798</v>
      </c>
      <c r="Y1200" s="4">
        <v>20</v>
      </c>
      <c r="AA1200" s="4" t="s">
        <v>49</v>
      </c>
      <c r="AB1200" s="4">
        <v>0</v>
      </c>
      <c r="AC1200" s="4" t="s">
        <v>49</v>
      </c>
      <c r="AD1200" s="4">
        <v>0</v>
      </c>
      <c r="AE1200" s="4" t="s">
        <v>49</v>
      </c>
      <c r="AF1200" s="4">
        <v>0</v>
      </c>
      <c r="AG1200" s="4" t="s">
        <v>685</v>
      </c>
      <c r="AH1200" s="4" t="s">
        <v>782</v>
      </c>
      <c r="AI1200" s="4" t="s">
        <v>78</v>
      </c>
      <c r="AJ1200" s="13">
        <v>0</v>
      </c>
      <c r="AK1200" s="13">
        <v>20</v>
      </c>
      <c r="AN1200" s="13" t="s">
        <v>554</v>
      </c>
      <c r="AO1200" s="13" t="s">
        <v>555</v>
      </c>
      <c r="AP1200" s="13" t="s">
        <v>50</v>
      </c>
      <c r="AQ1200" s="13" t="s">
        <v>49</v>
      </c>
      <c r="AR1200" s="13" t="s">
        <v>50</v>
      </c>
      <c r="AS1200" s="13" t="s">
        <v>49</v>
      </c>
      <c r="AT1200" s="13" t="s">
        <v>990</v>
      </c>
      <c r="AU1200" s="13" t="s">
        <v>998</v>
      </c>
      <c r="AV1200" s="14">
        <f>45.22/1000</f>
        <v>4.5219999999999996E-2</v>
      </c>
      <c r="AW1200" s="14">
        <f>33.4/1000</f>
        <v>3.3399999999999999E-2</v>
      </c>
      <c r="AX1200" s="14">
        <f>Table1347456[[#This Row],[treatment_mean]]/Table1347456[[#This Row],[control_mean]]</f>
        <v>1.3538922155688622</v>
      </c>
      <c r="AY1200" s="14">
        <f>LN(Table1347456[[#This Row],[rr]])</f>
        <v>0.30298356686716899</v>
      </c>
      <c r="AZ1200" s="13">
        <v>5</v>
      </c>
      <c r="BA1200" s="13">
        <v>5</v>
      </c>
      <c r="BB1200" s="14">
        <f>Table1347456[[#This Row],[treatment_sd]]/SQRT(Table1347456[[#This Row],[treatment_n]])</f>
        <v>5.1429563482495162E-4</v>
      </c>
      <c r="BC1200" s="14">
        <f>Table1347456[[#This Row],[control_sd]]/SQRT(Table1347456[[#This Row],[control_n]])</f>
        <v>5.7690553819494581E-4</v>
      </c>
      <c r="BD1200" s="15">
        <f>1.15/1000</f>
        <v>1.15E-3</v>
      </c>
      <c r="BE1200" s="14">
        <f>1.29/1000</f>
        <v>1.2900000000000001E-3</v>
      </c>
      <c r="BF120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4.2769287513207024E-4</v>
      </c>
      <c r="BG1200" s="17">
        <f>SQRT(Table1347456[[#This Row],[v_from_sd_and_n]])</f>
        <v>2.0680736813084542E-2</v>
      </c>
      <c r="BH1200" s="13" t="s">
        <v>50</v>
      </c>
      <c r="BI1200" s="13">
        <v>2.5000000000000001E-2</v>
      </c>
      <c r="BJ1200" s="18">
        <f>ABS(_xlfn.NORM.S.INV(Table1347456[[#This Row],[p_value]]/2))</f>
        <v>2.2414027276049446</v>
      </c>
      <c r="BK1200" s="19">
        <f>(Table1347456[[#This Row],[lnrr]]/Table1347456[[#This Row],[z_from_p]])^2</f>
        <v>1.8272516209332377E-2</v>
      </c>
      <c r="BL1200" s="16">
        <f>Table1347456[[#This Row],[v_from_sd_and_n]]</f>
        <v>4.2769287513207024E-4</v>
      </c>
      <c r="BM1200" s="20">
        <f>SQRT(Table1347456[[#This Row],[v]])</f>
        <v>2.0680736813084542E-2</v>
      </c>
      <c r="BN1200" s="20">
        <f>Table1347456[[#This Row],[lnrr]]-(1.96*Table1347456[[#This Row],[se]])</f>
        <v>0.26244932271352328</v>
      </c>
      <c r="BO1200" s="20">
        <f>Table1347456[[#This Row],[lnrr]]+(1.96 * Table1347456[[#This Row],[se]])</f>
        <v>0.34351781102081469</v>
      </c>
    </row>
    <row r="1201" spans="1:67">
      <c r="A1201" s="13" t="s">
        <v>373</v>
      </c>
      <c r="B1201" s="13" t="s">
        <v>374</v>
      </c>
      <c r="C1201" s="13" t="s">
        <v>43</v>
      </c>
      <c r="D1201" s="13" t="s">
        <v>217</v>
      </c>
      <c r="E1201" s="13" t="s">
        <v>132</v>
      </c>
      <c r="F1201" s="13" t="s">
        <v>589</v>
      </c>
      <c r="G1201" s="13" t="s">
        <v>46</v>
      </c>
      <c r="H1201" s="13">
        <v>28</v>
      </c>
      <c r="I1201" s="13" t="s">
        <v>46</v>
      </c>
      <c r="K1201" s="13" t="s">
        <v>977</v>
      </c>
      <c r="L1201" s="13" t="s">
        <v>978</v>
      </c>
      <c r="N1201" s="13" t="s">
        <v>53</v>
      </c>
      <c r="O1201" s="13" t="s">
        <v>54</v>
      </c>
      <c r="P1201" s="13" t="s">
        <v>85</v>
      </c>
      <c r="Q1201" s="13" t="s">
        <v>48</v>
      </c>
      <c r="R1201" s="4">
        <v>5</v>
      </c>
      <c r="S1201" s="13" t="s">
        <v>596</v>
      </c>
      <c r="T1201" s="13">
        <v>60</v>
      </c>
      <c r="U1201" s="4" t="s">
        <v>218</v>
      </c>
      <c r="V1201" s="4">
        <v>550</v>
      </c>
      <c r="W1201" s="4" t="s">
        <v>601</v>
      </c>
      <c r="X1201" s="4">
        <v>798</v>
      </c>
      <c r="Y1201" s="4">
        <v>30</v>
      </c>
      <c r="AA1201" s="4" t="s">
        <v>49</v>
      </c>
      <c r="AB1201" s="4">
        <v>0</v>
      </c>
      <c r="AC1201" s="4" t="s">
        <v>49</v>
      </c>
      <c r="AD1201" s="4">
        <v>0</v>
      </c>
      <c r="AE1201" s="4" t="s">
        <v>49</v>
      </c>
      <c r="AF1201" s="4">
        <v>0</v>
      </c>
      <c r="AG1201" s="4" t="s">
        <v>685</v>
      </c>
      <c r="AH1201" s="4" t="s">
        <v>782</v>
      </c>
      <c r="AI1201" s="4" t="s">
        <v>78</v>
      </c>
      <c r="AJ1201" s="13">
        <v>0</v>
      </c>
      <c r="AK1201" s="13">
        <v>20</v>
      </c>
      <c r="AN1201" s="13" t="s">
        <v>554</v>
      </c>
      <c r="AO1201" s="13" t="s">
        <v>555</v>
      </c>
      <c r="AP1201" s="13" t="s">
        <v>50</v>
      </c>
      <c r="AQ1201" s="13" t="s">
        <v>49</v>
      </c>
      <c r="AR1201" s="13" t="s">
        <v>50</v>
      </c>
      <c r="AS1201" s="13" t="s">
        <v>49</v>
      </c>
      <c r="AT1201" s="13" t="s">
        <v>990</v>
      </c>
      <c r="AU1201" s="13" t="s">
        <v>998</v>
      </c>
      <c r="AV1201" s="14">
        <f>47.49/1000</f>
        <v>4.7490000000000004E-2</v>
      </c>
      <c r="AW1201" s="14">
        <f>33.4/1000</f>
        <v>3.3399999999999999E-2</v>
      </c>
      <c r="AX1201" s="14">
        <f>Table1347456[[#This Row],[treatment_mean]]/Table1347456[[#This Row],[control_mean]]</f>
        <v>1.4218562874251499</v>
      </c>
      <c r="AY1201" s="14">
        <f>LN(Table1347456[[#This Row],[rr]])</f>
        <v>0.3519632625783759</v>
      </c>
      <c r="AZ1201" s="13">
        <v>5</v>
      </c>
      <c r="BA1201" s="13">
        <v>5</v>
      </c>
      <c r="BB1201" s="14">
        <f>Table1347456[[#This Row],[treatment_sd]]/SQRT(Table1347456[[#This Row],[treatment_n]])</f>
        <v>1.2835030190848794E-3</v>
      </c>
      <c r="BC1201" s="14">
        <f>Table1347456[[#This Row],[control_sd]]/SQRT(Table1347456[[#This Row],[control_n]])</f>
        <v>5.7690553819494581E-4</v>
      </c>
      <c r="BD1201" s="15">
        <f>2.87/1000</f>
        <v>2.8700000000000002E-3</v>
      </c>
      <c r="BE1201" s="14">
        <f>1.29/1000</f>
        <v>1.2900000000000001E-3</v>
      </c>
      <c r="BF120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1.0287916778976495E-3</v>
      </c>
      <c r="BG1201" s="17">
        <f>SQRT(Table1347456[[#This Row],[v_from_sd_and_n]])</f>
        <v>3.2074782585352776E-2</v>
      </c>
      <c r="BH1201" s="13" t="s">
        <v>50</v>
      </c>
      <c r="BI1201" s="13">
        <v>2.5000000000000001E-2</v>
      </c>
      <c r="BJ1201" s="18">
        <f>ABS(_xlfn.NORM.S.INV(Table1347456[[#This Row],[p_value]]/2))</f>
        <v>2.2414027276049446</v>
      </c>
      <c r="BK1201" s="19">
        <f>(Table1347456[[#This Row],[lnrr]]/Table1347456[[#This Row],[z_from_p]])^2</f>
        <v>2.465783132539949E-2</v>
      </c>
      <c r="BL1201" s="16">
        <f>Table1347456[[#This Row],[v_from_sd_and_n]]</f>
        <v>1.0287916778976495E-3</v>
      </c>
      <c r="BM1201" s="20">
        <f>SQRT(Table1347456[[#This Row],[v]])</f>
        <v>3.2074782585352776E-2</v>
      </c>
      <c r="BN1201" s="20">
        <f>Table1347456[[#This Row],[lnrr]]-(1.96*Table1347456[[#This Row],[se]])</f>
        <v>0.28909668871108446</v>
      </c>
      <c r="BO1201" s="20">
        <f>Table1347456[[#This Row],[lnrr]]+(1.96 * Table1347456[[#This Row],[se]])</f>
        <v>0.41482983644566734</v>
      </c>
    </row>
    <row r="1202" spans="1:67">
      <c r="A1202" s="13" t="s">
        <v>373</v>
      </c>
      <c r="B1202" s="13" t="s">
        <v>374</v>
      </c>
      <c r="C1202" s="13" t="s">
        <v>43</v>
      </c>
      <c r="D1202" s="13" t="s">
        <v>217</v>
      </c>
      <c r="E1202" s="13" t="s">
        <v>132</v>
      </c>
      <c r="F1202" s="13" t="s">
        <v>589</v>
      </c>
      <c r="G1202" s="13" t="s">
        <v>46</v>
      </c>
      <c r="H1202" s="13">
        <v>28</v>
      </c>
      <c r="I1202" s="13" t="s">
        <v>46</v>
      </c>
      <c r="K1202" s="13" t="s">
        <v>977</v>
      </c>
      <c r="L1202" s="13" t="s">
        <v>978</v>
      </c>
      <c r="N1202" s="13" t="s">
        <v>53</v>
      </c>
      <c r="O1202" s="13" t="s">
        <v>54</v>
      </c>
      <c r="P1202" s="13" t="s">
        <v>85</v>
      </c>
      <c r="Q1202" s="13" t="s">
        <v>48</v>
      </c>
      <c r="R1202" s="4">
        <v>5</v>
      </c>
      <c r="S1202" s="13" t="s">
        <v>596</v>
      </c>
      <c r="T1202" s="13">
        <v>60</v>
      </c>
      <c r="U1202" s="4" t="s">
        <v>220</v>
      </c>
      <c r="V1202" s="4">
        <v>550</v>
      </c>
      <c r="W1202" s="4" t="s">
        <v>601</v>
      </c>
      <c r="X1202" s="4">
        <v>455</v>
      </c>
      <c r="Y1202" s="4">
        <v>20</v>
      </c>
      <c r="AA1202" s="4" t="s">
        <v>49</v>
      </c>
      <c r="AB1202" s="4">
        <v>0</v>
      </c>
      <c r="AC1202" s="4" t="s">
        <v>49</v>
      </c>
      <c r="AD1202" s="4">
        <v>0</v>
      </c>
      <c r="AE1202" s="4" t="s">
        <v>49</v>
      </c>
      <c r="AF1202" s="4">
        <v>0</v>
      </c>
      <c r="AG1202" s="4" t="s">
        <v>770</v>
      </c>
      <c r="AH1202" s="4" t="s">
        <v>782</v>
      </c>
      <c r="AI1202" s="4" t="s">
        <v>78</v>
      </c>
      <c r="AJ1202" s="13">
        <v>0</v>
      </c>
      <c r="AK1202" s="13">
        <v>20</v>
      </c>
      <c r="AN1202" s="13" t="s">
        <v>554</v>
      </c>
      <c r="AO1202" s="13" t="s">
        <v>555</v>
      </c>
      <c r="AP1202" s="13" t="s">
        <v>50</v>
      </c>
      <c r="AQ1202" s="13" t="s">
        <v>49</v>
      </c>
      <c r="AR1202" s="13" t="s">
        <v>50</v>
      </c>
      <c r="AS1202" s="13" t="s">
        <v>49</v>
      </c>
      <c r="AT1202" s="13" t="s">
        <v>990</v>
      </c>
      <c r="AU1202" s="13" t="s">
        <v>998</v>
      </c>
      <c r="AV1202" s="14">
        <f>39.25/1000</f>
        <v>3.925E-2</v>
      </c>
      <c r="AW1202" s="14">
        <f>33.4/1000</f>
        <v>3.3399999999999999E-2</v>
      </c>
      <c r="AX1202" s="14">
        <f>Table1347456[[#This Row],[treatment_mean]]/Table1347456[[#This Row],[control_mean]]</f>
        <v>1.1751497005988025</v>
      </c>
      <c r="AY1202" s="14">
        <f>LN(Table1347456[[#This Row],[rr]])</f>
        <v>0.16139554424576283</v>
      </c>
      <c r="AZ1202" s="13">
        <v>5</v>
      </c>
      <c r="BA1202" s="13">
        <v>5</v>
      </c>
      <c r="BB1202" s="14">
        <f>Table1347456[[#This Row],[treatment_sd]]/SQRT(Table1347456[[#This Row],[treatment_n]])</f>
        <v>1.7351887505398366E-3</v>
      </c>
      <c r="BC1202" s="14">
        <f>Table1347456[[#This Row],[control_sd]]/SQRT(Table1347456[[#This Row],[control_n]])</f>
        <v>5.7690553819494581E-4</v>
      </c>
      <c r="BD1202" s="15">
        <f>3.88/1000</f>
        <v>3.8799999999999998E-3</v>
      </c>
      <c r="BE1202" s="14">
        <f>1.29/1000</f>
        <v>1.2900000000000001E-3</v>
      </c>
      <c r="BF120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2.2527464512727166E-3</v>
      </c>
      <c r="BG1202" s="17">
        <f>SQRT(Table1347456[[#This Row],[v_from_sd_and_n]])</f>
        <v>4.7463106211801144E-2</v>
      </c>
      <c r="BH1202" s="13" t="s">
        <v>50</v>
      </c>
      <c r="BI1202" s="13">
        <v>2.5000000000000001E-2</v>
      </c>
      <c r="BJ1202" s="18">
        <f>ABS(_xlfn.NORM.S.INV(Table1347456[[#This Row],[p_value]]/2))</f>
        <v>2.2414027276049446</v>
      </c>
      <c r="BK1202" s="19">
        <f>(Table1347456[[#This Row],[lnrr]]/Table1347456[[#This Row],[z_from_p]])^2</f>
        <v>5.1849346762984959E-3</v>
      </c>
      <c r="BL1202" s="16">
        <f>Table1347456[[#This Row],[v_from_sd_and_n]]</f>
        <v>2.2527464512727166E-3</v>
      </c>
      <c r="BM1202" s="20">
        <f>SQRT(Table1347456[[#This Row],[v]])</f>
        <v>4.7463106211801144E-2</v>
      </c>
      <c r="BN1202" s="20">
        <f>Table1347456[[#This Row],[lnrr]]-(1.96*Table1347456[[#This Row],[se]])</f>
        <v>6.8367856070632588E-2</v>
      </c>
      <c r="BO1202" s="20">
        <f>Table1347456[[#This Row],[lnrr]]+(1.96 * Table1347456[[#This Row],[se]])</f>
        <v>0.25442323242089304</v>
      </c>
    </row>
    <row r="1203" spans="1:67">
      <c r="A1203" s="13" t="s">
        <v>373</v>
      </c>
      <c r="B1203" s="13" t="s">
        <v>374</v>
      </c>
      <c r="C1203" s="13" t="s">
        <v>43</v>
      </c>
      <c r="D1203" s="13" t="s">
        <v>217</v>
      </c>
      <c r="E1203" s="13" t="s">
        <v>132</v>
      </c>
      <c r="F1203" s="13" t="s">
        <v>589</v>
      </c>
      <c r="G1203" s="13" t="s">
        <v>46</v>
      </c>
      <c r="H1203" s="13">
        <v>28</v>
      </c>
      <c r="I1203" s="13" t="s">
        <v>46</v>
      </c>
      <c r="K1203" s="13" t="s">
        <v>977</v>
      </c>
      <c r="L1203" s="13" t="s">
        <v>978</v>
      </c>
      <c r="N1203" s="13" t="s">
        <v>53</v>
      </c>
      <c r="O1203" s="13" t="s">
        <v>54</v>
      </c>
      <c r="P1203" s="13" t="s">
        <v>85</v>
      </c>
      <c r="Q1203" s="13" t="s">
        <v>48</v>
      </c>
      <c r="R1203" s="4">
        <v>5</v>
      </c>
      <c r="S1203" s="13" t="s">
        <v>596</v>
      </c>
      <c r="T1203" s="13">
        <v>60</v>
      </c>
      <c r="U1203" s="4" t="s">
        <v>220</v>
      </c>
      <c r="V1203" s="4">
        <v>550</v>
      </c>
      <c r="W1203" s="4" t="s">
        <v>601</v>
      </c>
      <c r="X1203" s="4">
        <v>455</v>
      </c>
      <c r="Y1203" s="4">
        <v>30</v>
      </c>
      <c r="AA1203" s="4" t="s">
        <v>49</v>
      </c>
      <c r="AB1203" s="4">
        <v>0</v>
      </c>
      <c r="AC1203" s="4" t="s">
        <v>49</v>
      </c>
      <c r="AD1203" s="4">
        <v>0</v>
      </c>
      <c r="AE1203" s="4" t="s">
        <v>49</v>
      </c>
      <c r="AF1203" s="4">
        <v>0</v>
      </c>
      <c r="AG1203" s="4" t="s">
        <v>770</v>
      </c>
      <c r="AH1203" s="4" t="s">
        <v>782</v>
      </c>
      <c r="AI1203" s="4" t="s">
        <v>78</v>
      </c>
      <c r="AJ1203" s="13">
        <v>0</v>
      </c>
      <c r="AK1203" s="13">
        <v>20</v>
      </c>
      <c r="AN1203" s="13" t="s">
        <v>554</v>
      </c>
      <c r="AO1203" s="13" t="s">
        <v>555</v>
      </c>
      <c r="AP1203" s="13" t="s">
        <v>50</v>
      </c>
      <c r="AQ1203" s="13" t="s">
        <v>49</v>
      </c>
      <c r="AR1203" s="13" t="s">
        <v>50</v>
      </c>
      <c r="AS1203" s="13" t="s">
        <v>49</v>
      </c>
      <c r="AT1203" s="13" t="s">
        <v>990</v>
      </c>
      <c r="AU1203" s="13" t="s">
        <v>998</v>
      </c>
      <c r="AV1203" s="14">
        <f>36.5/1000</f>
        <v>3.6499999999999998E-2</v>
      </c>
      <c r="AW1203" s="14">
        <f>33.4/1000</f>
        <v>3.3399999999999999E-2</v>
      </c>
      <c r="AX1203" s="14">
        <f>Table1347456[[#This Row],[treatment_mean]]/Table1347456[[#This Row],[control_mean]]</f>
        <v>1.0928143712574849</v>
      </c>
      <c r="AY1203" s="14">
        <f>LN(Table1347456[[#This Row],[rr]])</f>
        <v>8.8756360605790993E-2</v>
      </c>
      <c r="AZ1203" s="13">
        <v>5</v>
      </c>
      <c r="BA1203" s="13">
        <v>5</v>
      </c>
      <c r="BB1203" s="14">
        <f>Table1347456[[#This Row],[treatment_sd]]/SQRT(Table1347456[[#This Row],[treatment_n]])</f>
        <v>1.3416407864998738E-3</v>
      </c>
      <c r="BC1203" s="14">
        <f>Table1347456[[#This Row],[control_sd]]/SQRT(Table1347456[[#This Row],[control_n]])</f>
        <v>5.7690553819494581E-4</v>
      </c>
      <c r="BD1203" s="15">
        <f>3/1000</f>
        <v>3.0000000000000001E-3</v>
      </c>
      <c r="BE1203" s="14">
        <f>1.29/1000</f>
        <v>1.2900000000000001E-3</v>
      </c>
      <c r="BF120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1.649441199830325E-3</v>
      </c>
      <c r="BG1203" s="17">
        <f>SQRT(Table1347456[[#This Row],[v_from_sd_and_n]])</f>
        <v>4.0613313086109153E-2</v>
      </c>
      <c r="BH1203" s="13" t="s">
        <v>50</v>
      </c>
      <c r="BI1203" s="13">
        <v>2.5000000000000001E-2</v>
      </c>
      <c r="BJ1203" s="18">
        <f>ABS(_xlfn.NORM.S.INV(Table1347456[[#This Row],[p_value]]/2))</f>
        <v>2.2414027276049446</v>
      </c>
      <c r="BK1203" s="19">
        <f>(Table1347456[[#This Row],[lnrr]]/Table1347456[[#This Row],[z_from_p]])^2</f>
        <v>1.5680473749337847E-3</v>
      </c>
      <c r="BL1203" s="16">
        <f>Table1347456[[#This Row],[v_from_sd_and_n]]</f>
        <v>1.649441199830325E-3</v>
      </c>
      <c r="BM1203" s="20">
        <f>SQRT(Table1347456[[#This Row],[v]])</f>
        <v>4.0613313086109153E-2</v>
      </c>
      <c r="BN1203" s="20">
        <f>Table1347456[[#This Row],[lnrr]]-(1.96*Table1347456[[#This Row],[se]])</f>
        <v>9.1542669570170571E-3</v>
      </c>
      <c r="BO1203" s="20">
        <f>Table1347456[[#This Row],[lnrr]]+(1.96 * Table1347456[[#This Row],[se]])</f>
        <v>0.16835845425456492</v>
      </c>
    </row>
    <row r="1204" spans="1:67">
      <c r="A1204" s="13" t="s">
        <v>373</v>
      </c>
      <c r="B1204" s="13" t="s">
        <v>374</v>
      </c>
      <c r="C1204" s="13" t="s">
        <v>43</v>
      </c>
      <c r="D1204" s="13" t="s">
        <v>217</v>
      </c>
      <c r="E1204" s="13" t="s">
        <v>132</v>
      </c>
      <c r="F1204" s="13" t="s">
        <v>589</v>
      </c>
      <c r="G1204" s="13" t="s">
        <v>46</v>
      </c>
      <c r="H1204" s="13">
        <v>28</v>
      </c>
      <c r="I1204" s="13" t="s">
        <v>46</v>
      </c>
      <c r="K1204" s="13" t="s">
        <v>977</v>
      </c>
      <c r="L1204" s="13" t="s">
        <v>978</v>
      </c>
      <c r="N1204" s="13" t="s">
        <v>122</v>
      </c>
      <c r="O1204" s="13" t="s">
        <v>645</v>
      </c>
      <c r="P1204" s="13" t="s">
        <v>48</v>
      </c>
      <c r="Q1204" s="13" t="s">
        <v>48</v>
      </c>
      <c r="R1204" s="4">
        <v>5</v>
      </c>
      <c r="S1204" s="13" t="s">
        <v>596</v>
      </c>
      <c r="T1204" s="13">
        <v>60</v>
      </c>
      <c r="U1204" s="4" t="s">
        <v>218</v>
      </c>
      <c r="V1204" s="4">
        <v>550</v>
      </c>
      <c r="W1204" s="4" t="s">
        <v>601</v>
      </c>
      <c r="X1204" s="4">
        <v>798</v>
      </c>
      <c r="Y1204" s="4">
        <v>20</v>
      </c>
      <c r="AA1204" s="4" t="s">
        <v>49</v>
      </c>
      <c r="AB1204" s="4">
        <v>0</v>
      </c>
      <c r="AC1204" s="4" t="s">
        <v>49</v>
      </c>
      <c r="AD1204" s="4">
        <v>0</v>
      </c>
      <c r="AE1204" s="4" t="s">
        <v>49</v>
      </c>
      <c r="AF1204" s="4">
        <v>0</v>
      </c>
      <c r="AG1204" s="4" t="s">
        <v>685</v>
      </c>
      <c r="AH1204" s="4" t="s">
        <v>782</v>
      </c>
      <c r="AI1204" s="4" t="s">
        <v>78</v>
      </c>
      <c r="AJ1204" s="13">
        <v>0</v>
      </c>
      <c r="AK1204" s="13">
        <v>20</v>
      </c>
      <c r="AN1204" s="13" t="s">
        <v>554</v>
      </c>
      <c r="AO1204" s="13" t="s">
        <v>555</v>
      </c>
      <c r="AP1204" s="13" t="s">
        <v>50</v>
      </c>
      <c r="AQ1204" s="13" t="s">
        <v>49</v>
      </c>
      <c r="AR1204" s="13" t="s">
        <v>50</v>
      </c>
      <c r="AS1204" s="13" t="s">
        <v>49</v>
      </c>
      <c r="AT1204" s="13" t="s">
        <v>990</v>
      </c>
      <c r="AU1204" s="13" t="s">
        <v>998</v>
      </c>
      <c r="AV1204" s="14">
        <v>35.979999999999997</v>
      </c>
      <c r="AW1204" s="14">
        <v>39.97</v>
      </c>
      <c r="AX1204" s="14">
        <f>Table1347456[[#This Row],[treatment_mean]]/Table1347456[[#This Row],[control_mean]]</f>
        <v>0.90017513134851135</v>
      </c>
      <c r="AY1204" s="14">
        <f>LN(Table1347456[[#This Row],[rr]])</f>
        <v>-0.10516594420084514</v>
      </c>
      <c r="AZ1204" s="13">
        <v>5</v>
      </c>
      <c r="BA1204" s="13">
        <v>5</v>
      </c>
      <c r="BB1204" s="14">
        <f>Table1347456[[#This Row],[treatment_sd]]/SQRT(Table1347456[[#This Row],[treatment_n]])</f>
        <v>0</v>
      </c>
      <c r="BC1204" s="14">
        <v>0</v>
      </c>
      <c r="BD1204" s="15">
        <v>0</v>
      </c>
      <c r="BE1204" s="14">
        <v>0</v>
      </c>
      <c r="BF120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04" s="17">
        <f>SQRT(Table1347456[[#This Row],[v_from_sd_and_n]])</f>
        <v>0</v>
      </c>
      <c r="BH1204" s="13" t="s">
        <v>50</v>
      </c>
      <c r="BI1204" s="13">
        <v>2.5000000000000001E-2</v>
      </c>
      <c r="BJ1204" s="18">
        <f>ABS(_xlfn.NORM.S.INV(Table1347456[[#This Row],[p_value]]/2))</f>
        <v>2.2414027276049446</v>
      </c>
      <c r="BK1204" s="19">
        <f>(Table1347456[[#This Row],[lnrr]]/Table1347456[[#This Row],[z_from_p]])^2</f>
        <v>2.2014582749866076E-3</v>
      </c>
      <c r="BL1204" s="16">
        <f>(Table1347456[[#This Row],[lnrr]]/Table1347456[[#This Row],[z_from_p]])^2</f>
        <v>2.2014582749866076E-3</v>
      </c>
      <c r="BM1204" s="20">
        <f>SQRT(Table1347456[[#This Row],[v]])</f>
        <v>4.6919700286623824E-2</v>
      </c>
      <c r="BN1204" s="20">
        <f>Table1347456[[#This Row],[lnrr]]-(1.96*Table1347456[[#This Row],[se]])</f>
        <v>-0.19712855676262783</v>
      </c>
      <c r="BO1204" s="20">
        <f>Table1347456[[#This Row],[lnrr]]+(1.96 * Table1347456[[#This Row],[se]])</f>
        <v>-1.3203331639062454E-2</v>
      </c>
    </row>
    <row r="1205" spans="1:67">
      <c r="A1205" s="13" t="s">
        <v>373</v>
      </c>
      <c r="B1205" s="13" t="s">
        <v>374</v>
      </c>
      <c r="C1205" s="13" t="s">
        <v>43</v>
      </c>
      <c r="D1205" s="13" t="s">
        <v>217</v>
      </c>
      <c r="E1205" s="13" t="s">
        <v>132</v>
      </c>
      <c r="F1205" s="13" t="s">
        <v>589</v>
      </c>
      <c r="G1205" s="13" t="s">
        <v>46</v>
      </c>
      <c r="H1205" s="13">
        <v>28</v>
      </c>
      <c r="I1205" s="13" t="s">
        <v>46</v>
      </c>
      <c r="K1205" s="13" t="s">
        <v>977</v>
      </c>
      <c r="L1205" s="13" t="s">
        <v>978</v>
      </c>
      <c r="N1205" s="13" t="s">
        <v>122</v>
      </c>
      <c r="O1205" s="13" t="s">
        <v>645</v>
      </c>
      <c r="P1205" s="13" t="s">
        <v>48</v>
      </c>
      <c r="Q1205" s="13" t="s">
        <v>48</v>
      </c>
      <c r="R1205" s="4">
        <v>5</v>
      </c>
      <c r="S1205" s="13" t="s">
        <v>596</v>
      </c>
      <c r="T1205" s="13">
        <v>60</v>
      </c>
      <c r="U1205" s="4" t="s">
        <v>218</v>
      </c>
      <c r="V1205" s="4">
        <v>550</v>
      </c>
      <c r="W1205" s="4" t="s">
        <v>601</v>
      </c>
      <c r="X1205" s="4">
        <v>798</v>
      </c>
      <c r="Y1205" s="4">
        <v>30</v>
      </c>
      <c r="AA1205" s="4" t="s">
        <v>49</v>
      </c>
      <c r="AB1205" s="4">
        <v>0</v>
      </c>
      <c r="AC1205" s="4" t="s">
        <v>49</v>
      </c>
      <c r="AD1205" s="4">
        <v>0</v>
      </c>
      <c r="AE1205" s="4" t="s">
        <v>49</v>
      </c>
      <c r="AF1205" s="4">
        <v>0</v>
      </c>
      <c r="AG1205" s="4" t="s">
        <v>685</v>
      </c>
      <c r="AH1205" s="4" t="s">
        <v>782</v>
      </c>
      <c r="AI1205" s="4" t="s">
        <v>78</v>
      </c>
      <c r="AJ1205" s="13">
        <v>0</v>
      </c>
      <c r="AK1205" s="13">
        <v>20</v>
      </c>
      <c r="AN1205" s="13" t="s">
        <v>554</v>
      </c>
      <c r="AO1205" s="13" t="s">
        <v>555</v>
      </c>
      <c r="AP1205" s="13" t="s">
        <v>50</v>
      </c>
      <c r="AQ1205" s="13" t="s">
        <v>49</v>
      </c>
      <c r="AR1205" s="13" t="s">
        <v>50</v>
      </c>
      <c r="AS1205" s="13" t="s">
        <v>49</v>
      </c>
      <c r="AT1205" s="13" t="s">
        <v>990</v>
      </c>
      <c r="AU1205" s="13" t="s">
        <v>998</v>
      </c>
      <c r="AV1205" s="14">
        <v>36.549999999999997</v>
      </c>
      <c r="AW1205" s="14">
        <v>39.97</v>
      </c>
      <c r="AX1205" s="14">
        <f>Table1347456[[#This Row],[treatment_mean]]/Table1347456[[#This Row],[control_mean]]</f>
        <v>0.91443582687015257</v>
      </c>
      <c r="AY1205" s="14">
        <f>LN(Table1347456[[#This Row],[rr]])</f>
        <v>-8.9447986527444692E-2</v>
      </c>
      <c r="AZ1205" s="13">
        <v>5</v>
      </c>
      <c r="BA1205" s="13">
        <v>5</v>
      </c>
      <c r="BB1205" s="14">
        <f>Table1347456[[#This Row],[treatment_sd]]/SQRT(Table1347456[[#This Row],[treatment_n]])</f>
        <v>0</v>
      </c>
      <c r="BC1205" s="14">
        <v>0</v>
      </c>
      <c r="BD1205" s="15">
        <v>0</v>
      </c>
      <c r="BE1205" s="14">
        <v>0</v>
      </c>
      <c r="BF120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05" s="17">
        <f>SQRT(Table1347456[[#This Row],[v_from_sd_and_n]])</f>
        <v>0</v>
      </c>
      <c r="BH1205" s="13" t="s">
        <v>50</v>
      </c>
      <c r="BI1205" s="13">
        <v>2.5000000000000001E-2</v>
      </c>
      <c r="BJ1205" s="18">
        <f>ABS(_xlfn.NORM.S.INV(Table1347456[[#This Row],[p_value]]/2))</f>
        <v>2.2414027276049446</v>
      </c>
      <c r="BK1205" s="19">
        <f>(Table1347456[[#This Row],[lnrr]]/Table1347456[[#This Row],[z_from_p]])^2</f>
        <v>1.592580324374384E-3</v>
      </c>
      <c r="BL1205" s="16">
        <f>(Table1347456[[#This Row],[lnrr]]/Table1347456[[#This Row],[z_from_p]])^2</f>
        <v>1.592580324374384E-3</v>
      </c>
      <c r="BM1205" s="20">
        <f>SQRT(Table1347456[[#This Row],[v]])</f>
        <v>3.9907146282018011E-2</v>
      </c>
      <c r="BN1205" s="20">
        <f>Table1347456[[#This Row],[lnrr]]-(1.96*Table1347456[[#This Row],[se]])</f>
        <v>-0.16766599324019998</v>
      </c>
      <c r="BO1205" s="20">
        <f>Table1347456[[#This Row],[lnrr]]+(1.96 * Table1347456[[#This Row],[se]])</f>
        <v>-1.1229979814689386E-2</v>
      </c>
    </row>
    <row r="1206" spans="1:67">
      <c r="A1206" s="13" t="s">
        <v>373</v>
      </c>
      <c r="B1206" s="13" t="s">
        <v>374</v>
      </c>
      <c r="C1206" s="13" t="s">
        <v>43</v>
      </c>
      <c r="D1206" s="13" t="s">
        <v>217</v>
      </c>
      <c r="E1206" s="13" t="s">
        <v>132</v>
      </c>
      <c r="F1206" s="13" t="s">
        <v>589</v>
      </c>
      <c r="G1206" s="13" t="s">
        <v>46</v>
      </c>
      <c r="H1206" s="13">
        <v>28</v>
      </c>
      <c r="I1206" s="13" t="s">
        <v>46</v>
      </c>
      <c r="K1206" s="13" t="s">
        <v>977</v>
      </c>
      <c r="L1206" s="13" t="s">
        <v>978</v>
      </c>
      <c r="N1206" s="13" t="s">
        <v>122</v>
      </c>
      <c r="O1206" s="13" t="s">
        <v>645</v>
      </c>
      <c r="P1206" s="13" t="s">
        <v>48</v>
      </c>
      <c r="Q1206" s="13" t="s">
        <v>48</v>
      </c>
      <c r="R1206" s="4">
        <v>5</v>
      </c>
      <c r="S1206" s="13" t="s">
        <v>596</v>
      </c>
      <c r="T1206" s="13">
        <v>60</v>
      </c>
      <c r="U1206" s="4" t="s">
        <v>220</v>
      </c>
      <c r="V1206" s="4">
        <v>550</v>
      </c>
      <c r="W1206" s="4" t="s">
        <v>601</v>
      </c>
      <c r="X1206" s="4">
        <v>455</v>
      </c>
      <c r="Y1206" s="4">
        <v>20</v>
      </c>
      <c r="AA1206" s="4" t="s">
        <v>49</v>
      </c>
      <c r="AB1206" s="4">
        <v>0</v>
      </c>
      <c r="AC1206" s="4" t="s">
        <v>49</v>
      </c>
      <c r="AD1206" s="4">
        <v>0</v>
      </c>
      <c r="AE1206" s="4" t="s">
        <v>49</v>
      </c>
      <c r="AF1206" s="4">
        <v>0</v>
      </c>
      <c r="AG1206" s="4" t="s">
        <v>770</v>
      </c>
      <c r="AH1206" s="4" t="s">
        <v>782</v>
      </c>
      <c r="AI1206" s="4" t="s">
        <v>78</v>
      </c>
      <c r="AJ1206" s="13">
        <v>0</v>
      </c>
      <c r="AK1206" s="13">
        <v>20</v>
      </c>
      <c r="AN1206" s="13" t="s">
        <v>554</v>
      </c>
      <c r="AO1206" s="13" t="s">
        <v>555</v>
      </c>
      <c r="AP1206" s="13" t="s">
        <v>50</v>
      </c>
      <c r="AQ1206" s="13" t="s">
        <v>49</v>
      </c>
      <c r="AR1206" s="13" t="s">
        <v>50</v>
      </c>
      <c r="AS1206" s="13" t="s">
        <v>49</v>
      </c>
      <c r="AT1206" s="13" t="s">
        <v>990</v>
      </c>
      <c r="AU1206" s="13" t="s">
        <v>998</v>
      </c>
      <c r="AV1206" s="14">
        <v>36.49</v>
      </c>
      <c r="AW1206" s="14">
        <v>39.97</v>
      </c>
      <c r="AX1206" s="14">
        <f>Table1347456[[#This Row],[treatment_mean]]/Table1347456[[#This Row],[control_mean]]</f>
        <v>0.91293470102576946</v>
      </c>
      <c r="AY1206" s="14">
        <f>LN(Table1347456[[#This Row],[rr]])</f>
        <v>-9.1090922274875738E-2</v>
      </c>
      <c r="AZ1206" s="13">
        <v>5</v>
      </c>
      <c r="BA1206" s="13">
        <v>5</v>
      </c>
      <c r="BB1206" s="14">
        <f>Table1347456[[#This Row],[treatment_sd]]/SQRT(Table1347456[[#This Row],[treatment_n]])</f>
        <v>0</v>
      </c>
      <c r="BC1206" s="14">
        <v>0</v>
      </c>
      <c r="BD1206" s="15">
        <v>0</v>
      </c>
      <c r="BE1206" s="14">
        <v>0</v>
      </c>
      <c r="BF120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06" s="17">
        <f>SQRT(Table1347456[[#This Row],[v_from_sd_and_n]])</f>
        <v>0</v>
      </c>
      <c r="BH1206" s="13" t="s">
        <v>50</v>
      </c>
      <c r="BI1206" s="13">
        <v>2.5000000000000001E-2</v>
      </c>
      <c r="BJ1206" s="18">
        <f>ABS(_xlfn.NORM.S.INV(Table1347456[[#This Row],[p_value]]/2))</f>
        <v>2.2414027276049446</v>
      </c>
      <c r="BK1206" s="19">
        <f>(Table1347456[[#This Row],[lnrr]]/Table1347456[[#This Row],[z_from_p]])^2</f>
        <v>1.6516210382787838E-3</v>
      </c>
      <c r="BL1206" s="16">
        <f>(Table1347456[[#This Row],[lnrr]]/Table1347456[[#This Row],[z_from_p]])^2</f>
        <v>1.6516210382787838E-3</v>
      </c>
      <c r="BM1206" s="20">
        <f>SQRT(Table1347456[[#This Row],[v]])</f>
        <v>4.0640140726611464E-2</v>
      </c>
      <c r="BN1206" s="20">
        <f>Table1347456[[#This Row],[lnrr]]-(1.96*Table1347456[[#This Row],[se]])</f>
        <v>-0.17074559809903422</v>
      </c>
      <c r="BO1206" s="20">
        <f>Table1347456[[#This Row],[lnrr]]+(1.96 * Table1347456[[#This Row],[se]])</f>
        <v>-1.1436246450717266E-2</v>
      </c>
    </row>
    <row r="1207" spans="1:67">
      <c r="A1207" s="13" t="s">
        <v>373</v>
      </c>
      <c r="B1207" s="13" t="s">
        <v>374</v>
      </c>
      <c r="C1207" s="13" t="s">
        <v>43</v>
      </c>
      <c r="D1207" s="13" t="s">
        <v>217</v>
      </c>
      <c r="E1207" s="13" t="s">
        <v>132</v>
      </c>
      <c r="F1207" s="13" t="s">
        <v>589</v>
      </c>
      <c r="G1207" s="13" t="s">
        <v>46</v>
      </c>
      <c r="H1207" s="13">
        <v>28</v>
      </c>
      <c r="I1207" s="13" t="s">
        <v>46</v>
      </c>
      <c r="K1207" s="13" t="s">
        <v>977</v>
      </c>
      <c r="L1207" s="13" t="s">
        <v>978</v>
      </c>
      <c r="N1207" s="13" t="s">
        <v>122</v>
      </c>
      <c r="O1207" s="13" t="s">
        <v>645</v>
      </c>
      <c r="P1207" s="13" t="s">
        <v>48</v>
      </c>
      <c r="Q1207" s="13" t="s">
        <v>48</v>
      </c>
      <c r="R1207" s="4">
        <v>5</v>
      </c>
      <c r="S1207" s="13" t="s">
        <v>596</v>
      </c>
      <c r="T1207" s="13">
        <v>60</v>
      </c>
      <c r="U1207" s="4" t="s">
        <v>220</v>
      </c>
      <c r="V1207" s="4">
        <v>550</v>
      </c>
      <c r="W1207" s="4" t="s">
        <v>601</v>
      </c>
      <c r="X1207" s="4">
        <v>455</v>
      </c>
      <c r="Y1207" s="4">
        <v>30</v>
      </c>
      <c r="AA1207" s="4" t="s">
        <v>49</v>
      </c>
      <c r="AB1207" s="4">
        <v>0</v>
      </c>
      <c r="AC1207" s="4" t="s">
        <v>49</v>
      </c>
      <c r="AD1207" s="4">
        <v>0</v>
      </c>
      <c r="AE1207" s="4" t="s">
        <v>49</v>
      </c>
      <c r="AF1207" s="4">
        <v>0</v>
      </c>
      <c r="AG1207" s="4" t="s">
        <v>770</v>
      </c>
      <c r="AH1207" s="4" t="s">
        <v>782</v>
      </c>
      <c r="AI1207" s="4" t="s">
        <v>78</v>
      </c>
      <c r="AJ1207" s="13">
        <v>0</v>
      </c>
      <c r="AK1207" s="13">
        <v>20</v>
      </c>
      <c r="AN1207" s="13" t="s">
        <v>554</v>
      </c>
      <c r="AO1207" s="13" t="s">
        <v>555</v>
      </c>
      <c r="AP1207" s="13" t="s">
        <v>50</v>
      </c>
      <c r="AQ1207" s="13" t="s">
        <v>49</v>
      </c>
      <c r="AR1207" s="13" t="s">
        <v>50</v>
      </c>
      <c r="AS1207" s="13" t="s">
        <v>49</v>
      </c>
      <c r="AT1207" s="13" t="s">
        <v>990</v>
      </c>
      <c r="AU1207" s="13" t="s">
        <v>998</v>
      </c>
      <c r="AV1207" s="14">
        <v>35.92</v>
      </c>
      <c r="AW1207" s="14">
        <v>39.97</v>
      </c>
      <c r="AX1207" s="14">
        <f>Table1347456[[#This Row],[treatment_mean]]/Table1347456[[#This Row],[control_mean]]</f>
        <v>0.89867400550412813</v>
      </c>
      <c r="AY1207" s="14">
        <f>LN(Table1347456[[#This Row],[rr]])</f>
        <v>-0.10683492928923327</v>
      </c>
      <c r="AZ1207" s="13">
        <v>5</v>
      </c>
      <c r="BA1207" s="13">
        <v>5</v>
      </c>
      <c r="BB1207" s="14">
        <f>Table1347456[[#This Row],[treatment_sd]]/SQRT(Table1347456[[#This Row],[treatment_n]])</f>
        <v>0</v>
      </c>
      <c r="BC1207" s="14">
        <v>0</v>
      </c>
      <c r="BD1207" s="15">
        <v>0</v>
      </c>
      <c r="BE1207" s="14">
        <v>0</v>
      </c>
      <c r="BF120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07" s="17">
        <f>SQRT(Table1347456[[#This Row],[v_from_sd_and_n]])</f>
        <v>0</v>
      </c>
      <c r="BH1207" s="13" t="s">
        <v>50</v>
      </c>
      <c r="BI1207" s="13">
        <v>2.5000000000000001E-2</v>
      </c>
      <c r="BJ1207" s="18">
        <f>ABS(_xlfn.NORM.S.INV(Table1347456[[#This Row],[p_value]]/2))</f>
        <v>2.2414027276049446</v>
      </c>
      <c r="BK1207" s="19">
        <f>(Table1347456[[#This Row],[lnrr]]/Table1347456[[#This Row],[z_from_p]])^2</f>
        <v>2.2718870791807785E-3</v>
      </c>
      <c r="BL1207" s="16">
        <f>(Table1347456[[#This Row],[lnrr]]/Table1347456[[#This Row],[z_from_p]])^2</f>
        <v>2.2718870791807785E-3</v>
      </c>
      <c r="BM1207" s="20">
        <f>SQRT(Table1347456[[#This Row],[v]])</f>
        <v>4.7664316623453003E-2</v>
      </c>
      <c r="BN1207" s="20">
        <f>Table1347456[[#This Row],[lnrr]]-(1.96*Table1347456[[#This Row],[se]])</f>
        <v>-0.20025698987120116</v>
      </c>
      <c r="BO1207" s="20">
        <f>Table1347456[[#This Row],[lnrr]]+(1.96 * Table1347456[[#This Row],[se]])</f>
        <v>-1.3412868707265393E-2</v>
      </c>
    </row>
    <row r="1208" spans="1:67">
      <c r="A1208" s="13" t="s">
        <v>373</v>
      </c>
      <c r="B1208" s="13" t="s">
        <v>374</v>
      </c>
      <c r="C1208" s="13" t="s">
        <v>43</v>
      </c>
      <c r="D1208" s="13" t="s">
        <v>217</v>
      </c>
      <c r="E1208" s="13" t="s">
        <v>132</v>
      </c>
      <c r="F1208" s="13" t="s">
        <v>589</v>
      </c>
      <c r="G1208" s="13" t="s">
        <v>46</v>
      </c>
      <c r="H1208" s="13">
        <v>28</v>
      </c>
      <c r="I1208" s="13" t="s">
        <v>46</v>
      </c>
      <c r="J1208" s="13" t="s">
        <v>657</v>
      </c>
      <c r="K1208" s="13" t="s">
        <v>977</v>
      </c>
      <c r="L1208" s="13" t="s">
        <v>978</v>
      </c>
      <c r="M1208" s="13" t="s">
        <v>802</v>
      </c>
      <c r="N1208" s="13" t="s">
        <v>119</v>
      </c>
      <c r="O1208" s="13" t="s">
        <v>645</v>
      </c>
      <c r="P1208" s="13" t="s">
        <v>48</v>
      </c>
      <c r="Q1208" s="13" t="s">
        <v>48</v>
      </c>
      <c r="R1208" s="4">
        <v>5</v>
      </c>
      <c r="S1208" s="13" t="s">
        <v>596</v>
      </c>
      <c r="T1208" s="13">
        <v>60</v>
      </c>
      <c r="U1208" s="4" t="s">
        <v>218</v>
      </c>
      <c r="V1208" s="4">
        <v>550</v>
      </c>
      <c r="W1208" s="4" t="s">
        <v>601</v>
      </c>
      <c r="X1208" s="4">
        <v>798</v>
      </c>
      <c r="Y1208" s="4">
        <v>20</v>
      </c>
      <c r="AA1208" s="4" t="s">
        <v>49</v>
      </c>
      <c r="AB1208" s="4">
        <v>0</v>
      </c>
      <c r="AC1208" s="4" t="s">
        <v>49</v>
      </c>
      <c r="AD1208" s="4">
        <v>0</v>
      </c>
      <c r="AE1208" s="4" t="s">
        <v>49</v>
      </c>
      <c r="AF1208" s="4">
        <v>0</v>
      </c>
      <c r="AG1208" s="4" t="s">
        <v>685</v>
      </c>
      <c r="AH1208" s="4" t="s">
        <v>782</v>
      </c>
      <c r="AI1208" s="4" t="s">
        <v>78</v>
      </c>
      <c r="AJ1208" s="13">
        <v>0</v>
      </c>
      <c r="AK1208" s="13">
        <v>20</v>
      </c>
      <c r="AN1208" s="13" t="s">
        <v>554</v>
      </c>
      <c r="AO1208" s="13" t="s">
        <v>555</v>
      </c>
      <c r="AP1208" s="13" t="s">
        <v>50</v>
      </c>
      <c r="AQ1208" s="13" t="s">
        <v>49</v>
      </c>
      <c r="AR1208" s="13" t="s">
        <v>50</v>
      </c>
      <c r="AS1208" s="13" t="s">
        <v>49</v>
      </c>
      <c r="AT1208" s="13" t="s">
        <v>990</v>
      </c>
      <c r="AU1208" s="13" t="s">
        <v>998</v>
      </c>
      <c r="AV1208" s="23">
        <v>2.78</v>
      </c>
      <c r="AW1208" s="23">
        <v>2.35</v>
      </c>
      <c r="AX1208" s="14">
        <f>Table1347456[[#This Row],[treatment_mean]]/Table1347456[[#This Row],[control_mean]]</f>
        <v>1.1829787234042553</v>
      </c>
      <c r="AY1208" s="14">
        <f>LN(Table1347456[[#This Row],[rr]])</f>
        <v>0.16803559954647804</v>
      </c>
      <c r="AZ1208" s="13">
        <v>5</v>
      </c>
      <c r="BA1208" s="13">
        <v>5</v>
      </c>
      <c r="BB1208" s="14">
        <f>Table1347456[[#This Row],[treatment_sd]]/SQRT(Table1347456[[#This Row],[treatment_n]])</f>
        <v>0</v>
      </c>
      <c r="BC1208" s="14">
        <v>0</v>
      </c>
      <c r="BD1208" s="15">
        <v>0</v>
      </c>
      <c r="BE1208" s="14">
        <v>0</v>
      </c>
      <c r="BF120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08" s="17">
        <f>SQRT(Table1347456[[#This Row],[v_from_sd_and_n]])</f>
        <v>0</v>
      </c>
      <c r="BH1208" s="13" t="s">
        <v>50</v>
      </c>
      <c r="BI1208" s="13">
        <v>2.5000000000000001E-2</v>
      </c>
      <c r="BJ1208" s="18">
        <f>ABS(_xlfn.NORM.S.INV(Table1347456[[#This Row],[p_value]]/2))</f>
        <v>2.2414027276049446</v>
      </c>
      <c r="BK1208" s="19">
        <f>(Table1347456[[#This Row],[lnrr]]/Table1347456[[#This Row],[z_from_p]])^2</f>
        <v>5.6203428306634464E-3</v>
      </c>
      <c r="BL1208" s="16">
        <f>(Table1347456[[#This Row],[lnrr]]/Table1347456[[#This Row],[z_from_p]])^2</f>
        <v>5.6203428306634464E-3</v>
      </c>
      <c r="BM1208" s="20">
        <f>SQRT(Table1347456[[#This Row],[v]])</f>
        <v>7.4968945775323842E-2</v>
      </c>
      <c r="BN1208" s="20">
        <f>Table1347456[[#This Row],[lnrr]]-(1.96*Table1347456[[#This Row],[se]])</f>
        <v>2.1096465826843297E-2</v>
      </c>
      <c r="BO1208" s="20">
        <f>Table1347456[[#This Row],[lnrr]]+(1.96 * Table1347456[[#This Row],[se]])</f>
        <v>0.31497473326611281</v>
      </c>
    </row>
    <row r="1209" spans="1:67">
      <c r="A1209" s="13" t="s">
        <v>373</v>
      </c>
      <c r="B1209" s="13" t="s">
        <v>374</v>
      </c>
      <c r="C1209" s="13" t="s">
        <v>43</v>
      </c>
      <c r="D1209" s="13" t="s">
        <v>217</v>
      </c>
      <c r="E1209" s="13" t="s">
        <v>132</v>
      </c>
      <c r="F1209" s="13" t="s">
        <v>589</v>
      </c>
      <c r="G1209" s="13" t="s">
        <v>46</v>
      </c>
      <c r="H1209" s="13">
        <v>28</v>
      </c>
      <c r="I1209" s="13" t="s">
        <v>46</v>
      </c>
      <c r="J1209" s="13" t="s">
        <v>657</v>
      </c>
      <c r="K1209" s="13" t="s">
        <v>977</v>
      </c>
      <c r="L1209" s="13" t="s">
        <v>978</v>
      </c>
      <c r="M1209" s="13" t="s">
        <v>802</v>
      </c>
      <c r="N1209" s="13" t="s">
        <v>119</v>
      </c>
      <c r="O1209" s="13" t="s">
        <v>645</v>
      </c>
      <c r="P1209" s="13" t="s">
        <v>48</v>
      </c>
      <c r="Q1209" s="13" t="s">
        <v>48</v>
      </c>
      <c r="R1209" s="4">
        <v>5</v>
      </c>
      <c r="S1209" s="13" t="s">
        <v>596</v>
      </c>
      <c r="T1209" s="13">
        <v>60</v>
      </c>
      <c r="U1209" s="4" t="s">
        <v>218</v>
      </c>
      <c r="V1209" s="4">
        <v>550</v>
      </c>
      <c r="W1209" s="4" t="s">
        <v>601</v>
      </c>
      <c r="X1209" s="4">
        <v>798</v>
      </c>
      <c r="Y1209" s="4">
        <v>30</v>
      </c>
      <c r="AA1209" s="4" t="s">
        <v>49</v>
      </c>
      <c r="AB1209" s="4">
        <v>0</v>
      </c>
      <c r="AC1209" s="4" t="s">
        <v>49</v>
      </c>
      <c r="AD1209" s="4">
        <v>0</v>
      </c>
      <c r="AE1209" s="4" t="s">
        <v>49</v>
      </c>
      <c r="AF1209" s="4">
        <v>0</v>
      </c>
      <c r="AG1209" s="4" t="s">
        <v>685</v>
      </c>
      <c r="AH1209" s="4" t="s">
        <v>782</v>
      </c>
      <c r="AI1209" s="4" t="s">
        <v>78</v>
      </c>
      <c r="AJ1209" s="13">
        <v>0</v>
      </c>
      <c r="AK1209" s="13">
        <v>20</v>
      </c>
      <c r="AN1209" s="13" t="s">
        <v>554</v>
      </c>
      <c r="AO1209" s="13" t="s">
        <v>555</v>
      </c>
      <c r="AP1209" s="13" t="s">
        <v>50</v>
      </c>
      <c r="AQ1209" s="13" t="s">
        <v>49</v>
      </c>
      <c r="AR1209" s="13" t="s">
        <v>50</v>
      </c>
      <c r="AS1209" s="13" t="s">
        <v>49</v>
      </c>
      <c r="AT1209" s="13" t="s">
        <v>990</v>
      </c>
      <c r="AU1209" s="13" t="s">
        <v>998</v>
      </c>
      <c r="AV1209" s="23">
        <v>2.5</v>
      </c>
      <c r="AW1209" s="23">
        <v>2.35</v>
      </c>
      <c r="AX1209" s="14">
        <f>Table1347456[[#This Row],[treatment_mean]]/Table1347456[[#This Row],[control_mean]]</f>
        <v>1.0638297872340425</v>
      </c>
      <c r="AY1209" s="14">
        <f>LN(Table1347456[[#This Row],[rr]])</f>
        <v>6.1875403718087453E-2</v>
      </c>
      <c r="AZ1209" s="13">
        <v>5</v>
      </c>
      <c r="BA1209" s="13">
        <v>5</v>
      </c>
      <c r="BB1209" s="14">
        <f>Table1347456[[#This Row],[treatment_sd]]/SQRT(Table1347456[[#This Row],[treatment_n]])</f>
        <v>0</v>
      </c>
      <c r="BC1209" s="14">
        <v>0</v>
      </c>
      <c r="BD1209" s="15">
        <v>0</v>
      </c>
      <c r="BE1209" s="14">
        <v>0</v>
      </c>
      <c r="BF120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09" s="17">
        <f>SQRT(Table1347456[[#This Row],[v_from_sd_and_n]])</f>
        <v>0</v>
      </c>
      <c r="BH1209" s="13" t="s">
        <v>50</v>
      </c>
      <c r="BI1209" s="13">
        <v>2.5000000000000001E-2</v>
      </c>
      <c r="BJ1209" s="18">
        <f>ABS(_xlfn.NORM.S.INV(Table1347456[[#This Row],[p_value]]/2))</f>
        <v>2.2414027276049446</v>
      </c>
      <c r="BK1209" s="19">
        <f>(Table1347456[[#This Row],[lnrr]]/Table1347456[[#This Row],[z_from_p]])^2</f>
        <v>7.6207251568383215E-4</v>
      </c>
      <c r="BL1209" s="16">
        <f>(Table1347456[[#This Row],[lnrr]]/Table1347456[[#This Row],[z_from_p]])^2</f>
        <v>7.6207251568383215E-4</v>
      </c>
      <c r="BM1209" s="20">
        <f>SQRT(Table1347456[[#This Row],[v]])</f>
        <v>2.7605660935464526E-2</v>
      </c>
      <c r="BN1209" s="20">
        <f>Table1347456[[#This Row],[lnrr]]-(1.96*Table1347456[[#This Row],[se]])</f>
        <v>7.7683082845769816E-3</v>
      </c>
      <c r="BO1209" s="20">
        <f>Table1347456[[#This Row],[lnrr]]+(1.96 * Table1347456[[#This Row],[se]])</f>
        <v>0.11598249915159792</v>
      </c>
    </row>
    <row r="1210" spans="1:67">
      <c r="A1210" s="13" t="s">
        <v>373</v>
      </c>
      <c r="B1210" s="13" t="s">
        <v>374</v>
      </c>
      <c r="C1210" s="13" t="s">
        <v>43</v>
      </c>
      <c r="D1210" s="13" t="s">
        <v>217</v>
      </c>
      <c r="E1210" s="13" t="s">
        <v>132</v>
      </c>
      <c r="F1210" s="13" t="s">
        <v>589</v>
      </c>
      <c r="G1210" s="13" t="s">
        <v>46</v>
      </c>
      <c r="H1210" s="13">
        <v>28</v>
      </c>
      <c r="I1210" s="13" t="s">
        <v>46</v>
      </c>
      <c r="J1210" s="13" t="s">
        <v>657</v>
      </c>
      <c r="K1210" s="13" t="s">
        <v>977</v>
      </c>
      <c r="L1210" s="13" t="s">
        <v>978</v>
      </c>
      <c r="M1210" s="13" t="s">
        <v>802</v>
      </c>
      <c r="N1210" s="13" t="s">
        <v>119</v>
      </c>
      <c r="O1210" s="13" t="s">
        <v>645</v>
      </c>
      <c r="P1210" s="13" t="s">
        <v>48</v>
      </c>
      <c r="Q1210" s="13" t="s">
        <v>48</v>
      </c>
      <c r="R1210" s="4">
        <v>5</v>
      </c>
      <c r="S1210" s="13" t="s">
        <v>596</v>
      </c>
      <c r="T1210" s="13">
        <v>60</v>
      </c>
      <c r="U1210" s="4" t="s">
        <v>220</v>
      </c>
      <c r="V1210" s="4">
        <v>550</v>
      </c>
      <c r="W1210" s="4" t="s">
        <v>601</v>
      </c>
      <c r="X1210" s="4">
        <v>455</v>
      </c>
      <c r="Y1210" s="4">
        <v>20</v>
      </c>
      <c r="AA1210" s="4" t="s">
        <v>49</v>
      </c>
      <c r="AB1210" s="4">
        <v>0</v>
      </c>
      <c r="AC1210" s="4" t="s">
        <v>49</v>
      </c>
      <c r="AD1210" s="4">
        <v>0</v>
      </c>
      <c r="AE1210" s="4" t="s">
        <v>49</v>
      </c>
      <c r="AF1210" s="4">
        <v>0</v>
      </c>
      <c r="AG1210" s="4" t="s">
        <v>770</v>
      </c>
      <c r="AH1210" s="4" t="s">
        <v>782</v>
      </c>
      <c r="AI1210" s="4" t="s">
        <v>78</v>
      </c>
      <c r="AJ1210" s="13">
        <v>0</v>
      </c>
      <c r="AK1210" s="13">
        <v>20</v>
      </c>
      <c r="AN1210" s="13" t="s">
        <v>554</v>
      </c>
      <c r="AO1210" s="13" t="s">
        <v>555</v>
      </c>
      <c r="AP1210" s="13" t="s">
        <v>50</v>
      </c>
      <c r="AQ1210" s="13" t="s">
        <v>49</v>
      </c>
      <c r="AR1210" s="13" t="s">
        <v>50</v>
      </c>
      <c r="AS1210" s="13" t="s">
        <v>49</v>
      </c>
      <c r="AT1210" s="13" t="s">
        <v>990</v>
      </c>
      <c r="AU1210" s="13" t="s">
        <v>998</v>
      </c>
      <c r="AV1210" s="23">
        <v>2</v>
      </c>
      <c r="AW1210" s="23">
        <v>2.35</v>
      </c>
      <c r="AX1210" s="14">
        <f>Table1347456[[#This Row],[treatment_mean]]/Table1347456[[#This Row],[control_mean]]</f>
        <v>0.85106382978723405</v>
      </c>
      <c r="AY1210" s="14">
        <f>LN(Table1347456[[#This Row],[rr]])</f>
        <v>-0.16126814759612226</v>
      </c>
      <c r="AZ1210" s="13">
        <v>5</v>
      </c>
      <c r="BA1210" s="13">
        <v>5</v>
      </c>
      <c r="BB1210" s="14">
        <f>Table1347456[[#This Row],[treatment_sd]]/SQRT(Table1347456[[#This Row],[treatment_n]])</f>
        <v>0</v>
      </c>
      <c r="BC1210" s="14">
        <v>0</v>
      </c>
      <c r="BD1210" s="15">
        <v>0</v>
      </c>
      <c r="BE1210" s="14">
        <v>0</v>
      </c>
      <c r="BF121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10" s="17">
        <f>SQRT(Table1347456[[#This Row],[v_from_sd_and_n]])</f>
        <v>0</v>
      </c>
      <c r="BH1210" s="13" t="s">
        <v>50</v>
      </c>
      <c r="BI1210" s="13">
        <v>2.5000000000000001E-2</v>
      </c>
      <c r="BJ1210" s="18">
        <f>ABS(_xlfn.NORM.S.INV(Table1347456[[#This Row],[p_value]]/2))</f>
        <v>2.2414027276049446</v>
      </c>
      <c r="BK1210" s="19">
        <f>(Table1347456[[#This Row],[lnrr]]/Table1347456[[#This Row],[z_from_p]])^2</f>
        <v>5.1767525097906036E-3</v>
      </c>
      <c r="BL1210" s="16">
        <f>(Table1347456[[#This Row],[lnrr]]/Table1347456[[#This Row],[z_from_p]])^2</f>
        <v>5.1767525097906036E-3</v>
      </c>
      <c r="BM1210" s="20">
        <f>SQRT(Table1347456[[#This Row],[v]])</f>
        <v>7.1949652603682551E-2</v>
      </c>
      <c r="BN1210" s="20">
        <f>Table1347456[[#This Row],[lnrr]]-(1.96*Table1347456[[#This Row],[se]])</f>
        <v>-0.30228946669934009</v>
      </c>
      <c r="BO1210" s="20">
        <f>Table1347456[[#This Row],[lnrr]]+(1.96 * Table1347456[[#This Row],[se]])</f>
        <v>-2.0246828492904462E-2</v>
      </c>
    </row>
    <row r="1211" spans="1:67">
      <c r="A1211" s="13" t="s">
        <v>373</v>
      </c>
      <c r="B1211" s="13" t="s">
        <v>374</v>
      </c>
      <c r="C1211" s="13" t="s">
        <v>43</v>
      </c>
      <c r="D1211" s="13" t="s">
        <v>217</v>
      </c>
      <c r="E1211" s="13" t="s">
        <v>132</v>
      </c>
      <c r="F1211" s="13" t="s">
        <v>589</v>
      </c>
      <c r="G1211" s="13" t="s">
        <v>46</v>
      </c>
      <c r="H1211" s="13">
        <v>28</v>
      </c>
      <c r="I1211" s="13" t="s">
        <v>46</v>
      </c>
      <c r="J1211" s="13" t="s">
        <v>657</v>
      </c>
      <c r="K1211" s="13" t="s">
        <v>977</v>
      </c>
      <c r="L1211" s="13" t="s">
        <v>978</v>
      </c>
      <c r="M1211" s="13" t="s">
        <v>802</v>
      </c>
      <c r="N1211" s="13" t="s">
        <v>119</v>
      </c>
      <c r="O1211" s="13" t="s">
        <v>645</v>
      </c>
      <c r="P1211" s="13" t="s">
        <v>48</v>
      </c>
      <c r="Q1211" s="13" t="s">
        <v>48</v>
      </c>
      <c r="R1211" s="4">
        <v>5</v>
      </c>
      <c r="S1211" s="13" t="s">
        <v>596</v>
      </c>
      <c r="T1211" s="13">
        <v>60</v>
      </c>
      <c r="U1211" s="4" t="s">
        <v>220</v>
      </c>
      <c r="V1211" s="4">
        <v>550</v>
      </c>
      <c r="W1211" s="4" t="s">
        <v>601</v>
      </c>
      <c r="X1211" s="4">
        <v>455</v>
      </c>
      <c r="Y1211" s="4">
        <v>30</v>
      </c>
      <c r="AA1211" s="4" t="s">
        <v>49</v>
      </c>
      <c r="AB1211" s="4">
        <v>0</v>
      </c>
      <c r="AC1211" s="4" t="s">
        <v>49</v>
      </c>
      <c r="AD1211" s="4">
        <v>0</v>
      </c>
      <c r="AE1211" s="4" t="s">
        <v>49</v>
      </c>
      <c r="AF1211" s="4">
        <v>0</v>
      </c>
      <c r="AG1211" s="4" t="s">
        <v>770</v>
      </c>
      <c r="AH1211" s="4" t="s">
        <v>782</v>
      </c>
      <c r="AI1211" s="4" t="s">
        <v>78</v>
      </c>
      <c r="AJ1211" s="13">
        <v>0</v>
      </c>
      <c r="AK1211" s="13">
        <v>20</v>
      </c>
      <c r="AN1211" s="13" t="s">
        <v>554</v>
      </c>
      <c r="AO1211" s="13" t="s">
        <v>555</v>
      </c>
      <c r="AP1211" s="13" t="s">
        <v>50</v>
      </c>
      <c r="AQ1211" s="13" t="s">
        <v>49</v>
      </c>
      <c r="AR1211" s="13" t="s">
        <v>50</v>
      </c>
      <c r="AS1211" s="13" t="s">
        <v>49</v>
      </c>
      <c r="AT1211" s="13" t="s">
        <v>990</v>
      </c>
      <c r="AU1211" s="13" t="s">
        <v>998</v>
      </c>
      <c r="AV1211" s="23">
        <v>2.2599999999999998</v>
      </c>
      <c r="AW1211" s="23">
        <v>2.35</v>
      </c>
      <c r="AX1211" s="14">
        <f>Table1347456[[#This Row],[treatment_mean]]/Table1347456[[#This Row],[control_mean]]</f>
        <v>0.9617021276595743</v>
      </c>
      <c r="AY1211" s="14">
        <f>LN(Table1347456[[#This Row],[rr]])</f>
        <v>-3.9050514871873256E-2</v>
      </c>
      <c r="AZ1211" s="13">
        <v>5</v>
      </c>
      <c r="BA1211" s="13">
        <v>5</v>
      </c>
      <c r="BB1211" s="14">
        <f>Table1347456[[#This Row],[treatment_sd]]/SQRT(Table1347456[[#This Row],[treatment_n]])</f>
        <v>0</v>
      </c>
      <c r="BC1211" s="14">
        <v>0</v>
      </c>
      <c r="BD1211" s="15">
        <v>0</v>
      </c>
      <c r="BE1211" s="14">
        <v>0</v>
      </c>
      <c r="BF121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11" s="17">
        <f>SQRT(Table1347456[[#This Row],[v_from_sd_and_n]])</f>
        <v>0</v>
      </c>
      <c r="BH1211" s="13" t="s">
        <v>50</v>
      </c>
      <c r="BI1211" s="13">
        <v>2.5000000000000001E-2</v>
      </c>
      <c r="BJ1211" s="18">
        <f>ABS(_xlfn.NORM.S.INV(Table1347456[[#This Row],[p_value]]/2))</f>
        <v>2.2414027276049446</v>
      </c>
      <c r="BK1211" s="19">
        <f>(Table1347456[[#This Row],[lnrr]]/Table1347456[[#This Row],[z_from_p]])^2</f>
        <v>3.0353846701559732E-4</v>
      </c>
      <c r="BL1211" s="16">
        <f>(Table1347456[[#This Row],[lnrr]]/Table1347456[[#This Row],[z_from_p]])^2</f>
        <v>3.0353846701559732E-4</v>
      </c>
      <c r="BM1211" s="20">
        <f>SQRT(Table1347456[[#This Row],[v]])</f>
        <v>1.7422355380820279E-2</v>
      </c>
      <c r="BN1211" s="20">
        <f>Table1347456[[#This Row],[lnrr]]-(1.96*Table1347456[[#This Row],[se]])</f>
        <v>-7.3198331418280999E-2</v>
      </c>
      <c r="BO1211" s="20">
        <f>Table1347456[[#This Row],[lnrr]]+(1.96 * Table1347456[[#This Row],[se]])</f>
        <v>-4.9026983254655127E-3</v>
      </c>
    </row>
    <row r="1212" spans="1:67">
      <c r="A1212" s="13" t="s">
        <v>373</v>
      </c>
      <c r="B1212" s="13" t="s">
        <v>374</v>
      </c>
      <c r="C1212" s="13" t="s">
        <v>43</v>
      </c>
      <c r="D1212" s="13" t="s">
        <v>217</v>
      </c>
      <c r="E1212" s="13" t="s">
        <v>132</v>
      </c>
      <c r="F1212" s="13" t="s">
        <v>589</v>
      </c>
      <c r="G1212" s="13" t="s">
        <v>46</v>
      </c>
      <c r="H1212" s="13">
        <v>28</v>
      </c>
      <c r="I1212" s="13" t="s">
        <v>46</v>
      </c>
      <c r="K1212" s="13" t="s">
        <v>977</v>
      </c>
      <c r="L1212" s="13" t="s">
        <v>978</v>
      </c>
      <c r="N1212" s="13" t="s">
        <v>139</v>
      </c>
      <c r="O1212" s="13" t="s">
        <v>643</v>
      </c>
      <c r="P1212" s="13" t="s">
        <v>375</v>
      </c>
      <c r="Q1212" s="13" t="s">
        <v>422</v>
      </c>
      <c r="R1212" s="4">
        <v>5</v>
      </c>
      <c r="S1212" s="13" t="s">
        <v>596</v>
      </c>
      <c r="T1212" s="13">
        <v>60</v>
      </c>
      <c r="U1212" s="4" t="s">
        <v>218</v>
      </c>
      <c r="V1212" s="4">
        <v>550</v>
      </c>
      <c r="W1212" s="4" t="s">
        <v>601</v>
      </c>
      <c r="X1212" s="4">
        <v>798</v>
      </c>
      <c r="Y1212" s="4">
        <v>20</v>
      </c>
      <c r="AA1212" s="4" t="s">
        <v>49</v>
      </c>
      <c r="AB1212" s="4">
        <v>0</v>
      </c>
      <c r="AC1212" s="4" t="s">
        <v>49</v>
      </c>
      <c r="AD1212" s="4">
        <v>0</v>
      </c>
      <c r="AE1212" s="4" t="s">
        <v>49</v>
      </c>
      <c r="AF1212" s="4">
        <v>0</v>
      </c>
      <c r="AG1212" s="4" t="s">
        <v>685</v>
      </c>
      <c r="AH1212" s="4" t="s">
        <v>782</v>
      </c>
      <c r="AI1212" s="4" t="s">
        <v>78</v>
      </c>
      <c r="AJ1212" s="13">
        <v>0</v>
      </c>
      <c r="AK1212" s="13">
        <v>20</v>
      </c>
      <c r="AN1212" s="13" t="s">
        <v>554</v>
      </c>
      <c r="AO1212" s="13" t="s">
        <v>555</v>
      </c>
      <c r="AP1212" s="13" t="s">
        <v>50</v>
      </c>
      <c r="AQ1212" s="13" t="s">
        <v>49</v>
      </c>
      <c r="AR1212" s="13" t="s">
        <v>50</v>
      </c>
      <c r="AS1212" s="13" t="s">
        <v>49</v>
      </c>
      <c r="AT1212" s="13" t="s">
        <v>990</v>
      </c>
      <c r="AU1212" s="13" t="s">
        <v>998</v>
      </c>
      <c r="AV1212" s="14">
        <v>0.11</v>
      </c>
      <c r="AW1212" s="14">
        <v>0.1</v>
      </c>
      <c r="AX1212" s="14">
        <f>Table1347456[[#This Row],[treatment_mean]]/Table1347456[[#This Row],[control_mean]]</f>
        <v>1.0999999999999999</v>
      </c>
      <c r="AY1212" s="14">
        <f>LN(Table1347456[[#This Row],[rr]])</f>
        <v>9.5310179804324741E-2</v>
      </c>
      <c r="AZ1212" s="13">
        <v>5</v>
      </c>
      <c r="BA1212" s="13">
        <v>5</v>
      </c>
      <c r="BB1212" s="14">
        <f>Table1347456[[#This Row],[treatment_sd]]/SQRT(Table1347456[[#This Row],[treatment_n]])</f>
        <v>0</v>
      </c>
      <c r="BC1212" s="14">
        <v>0</v>
      </c>
      <c r="BD1212" s="15">
        <v>0</v>
      </c>
      <c r="BE1212" s="14">
        <v>0</v>
      </c>
      <c r="BF121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12" s="17">
        <f>SQRT(Table1347456[[#This Row],[v_from_sd_and_n]])</f>
        <v>0</v>
      </c>
      <c r="BH1212" s="13" t="s">
        <v>50</v>
      </c>
      <c r="BI1212" s="13">
        <v>2.5000000000000001E-2</v>
      </c>
      <c r="BJ1212" s="18">
        <f>ABS(_xlfn.NORM.S.INV(Table1347456[[#This Row],[p_value]]/2))</f>
        <v>2.2414027276049446</v>
      </c>
      <c r="BK1212" s="19">
        <f>(Table1347456[[#This Row],[lnrr]]/Table1347456[[#This Row],[z_from_p]])^2</f>
        <v>1.8081680268294152E-3</v>
      </c>
      <c r="BL1212" s="16">
        <f>(Table1347456[[#This Row],[lnrr]]/Table1347456[[#This Row],[z_from_p]])^2</f>
        <v>1.8081680268294152E-3</v>
      </c>
      <c r="BM1212" s="20">
        <f>SQRT(Table1347456[[#This Row],[v]])</f>
        <v>4.2522559034345701E-2</v>
      </c>
      <c r="BN1212" s="20">
        <f>Table1347456[[#This Row],[lnrr]]-(1.96*Table1347456[[#This Row],[se]])</f>
        <v>1.1965964097007162E-2</v>
      </c>
      <c r="BO1212" s="20">
        <f>Table1347456[[#This Row],[lnrr]]+(1.96 * Table1347456[[#This Row],[se]])</f>
        <v>0.17865439551164231</v>
      </c>
    </row>
    <row r="1213" spans="1:67">
      <c r="A1213" s="13" t="s">
        <v>373</v>
      </c>
      <c r="B1213" s="13" t="s">
        <v>374</v>
      </c>
      <c r="C1213" s="13" t="s">
        <v>43</v>
      </c>
      <c r="D1213" s="13" t="s">
        <v>217</v>
      </c>
      <c r="E1213" s="13" t="s">
        <v>132</v>
      </c>
      <c r="F1213" s="13" t="s">
        <v>589</v>
      </c>
      <c r="G1213" s="13" t="s">
        <v>46</v>
      </c>
      <c r="H1213" s="13">
        <v>28</v>
      </c>
      <c r="I1213" s="13" t="s">
        <v>46</v>
      </c>
      <c r="K1213" s="13" t="s">
        <v>977</v>
      </c>
      <c r="L1213" s="13" t="s">
        <v>978</v>
      </c>
      <c r="N1213" s="13" t="s">
        <v>139</v>
      </c>
      <c r="O1213" s="13" t="s">
        <v>643</v>
      </c>
      <c r="P1213" s="13" t="s">
        <v>375</v>
      </c>
      <c r="Q1213" s="13" t="s">
        <v>422</v>
      </c>
      <c r="R1213" s="4">
        <v>5</v>
      </c>
      <c r="S1213" s="13" t="s">
        <v>596</v>
      </c>
      <c r="T1213" s="13">
        <v>60</v>
      </c>
      <c r="U1213" s="4" t="s">
        <v>218</v>
      </c>
      <c r="V1213" s="4">
        <v>550</v>
      </c>
      <c r="W1213" s="4" t="s">
        <v>601</v>
      </c>
      <c r="X1213" s="4">
        <v>798</v>
      </c>
      <c r="Y1213" s="4">
        <v>30</v>
      </c>
      <c r="AA1213" s="4" t="s">
        <v>49</v>
      </c>
      <c r="AB1213" s="4">
        <v>0</v>
      </c>
      <c r="AC1213" s="4" t="s">
        <v>49</v>
      </c>
      <c r="AD1213" s="4">
        <v>0</v>
      </c>
      <c r="AE1213" s="4" t="s">
        <v>49</v>
      </c>
      <c r="AF1213" s="4">
        <v>0</v>
      </c>
      <c r="AG1213" s="4" t="s">
        <v>685</v>
      </c>
      <c r="AH1213" s="4" t="s">
        <v>782</v>
      </c>
      <c r="AI1213" s="4" t="s">
        <v>78</v>
      </c>
      <c r="AJ1213" s="13">
        <v>0</v>
      </c>
      <c r="AK1213" s="13">
        <v>20</v>
      </c>
      <c r="AN1213" s="13" t="s">
        <v>554</v>
      </c>
      <c r="AO1213" s="13" t="s">
        <v>555</v>
      </c>
      <c r="AP1213" s="13" t="s">
        <v>50</v>
      </c>
      <c r="AQ1213" s="13" t="s">
        <v>49</v>
      </c>
      <c r="AR1213" s="13" t="s">
        <v>50</v>
      </c>
      <c r="AS1213" s="13" t="s">
        <v>49</v>
      </c>
      <c r="AT1213" s="13" t="s">
        <v>990</v>
      </c>
      <c r="AU1213" s="13" t="s">
        <v>998</v>
      </c>
      <c r="AV1213" s="14">
        <v>0.09</v>
      </c>
      <c r="AW1213" s="14">
        <v>0.1</v>
      </c>
      <c r="AX1213" s="14">
        <f>Table1347456[[#This Row],[treatment_mean]]/Table1347456[[#This Row],[control_mean]]</f>
        <v>0.89999999999999991</v>
      </c>
      <c r="AY1213" s="14">
        <f>LN(Table1347456[[#This Row],[rr]])</f>
        <v>-0.10536051565782641</v>
      </c>
      <c r="AZ1213" s="13">
        <v>5</v>
      </c>
      <c r="BA1213" s="13">
        <v>5</v>
      </c>
      <c r="BB1213" s="14">
        <f>Table1347456[[#This Row],[treatment_sd]]/SQRT(Table1347456[[#This Row],[treatment_n]])</f>
        <v>0</v>
      </c>
      <c r="BC1213" s="14">
        <v>0</v>
      </c>
      <c r="BD1213" s="15">
        <v>0</v>
      </c>
      <c r="BE1213" s="14">
        <v>0</v>
      </c>
      <c r="BF121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13" s="17">
        <f>SQRT(Table1347456[[#This Row],[v_from_sd_and_n]])</f>
        <v>0</v>
      </c>
      <c r="BH1213" s="13" t="s">
        <v>50</v>
      </c>
      <c r="BI1213" s="13">
        <v>2.5000000000000001E-2</v>
      </c>
      <c r="BJ1213" s="18">
        <f>ABS(_xlfn.NORM.S.INV(Table1347456[[#This Row],[p_value]]/2))</f>
        <v>2.2414027276049446</v>
      </c>
      <c r="BK1213" s="19">
        <f>(Table1347456[[#This Row],[lnrr]]/Table1347456[[#This Row],[z_from_p]])^2</f>
        <v>2.2096118116115494E-3</v>
      </c>
      <c r="BL1213" s="16">
        <f>(Table1347456[[#This Row],[lnrr]]/Table1347456[[#This Row],[z_from_p]])^2</f>
        <v>2.2096118116115494E-3</v>
      </c>
      <c r="BM1213" s="20">
        <f>SQRT(Table1347456[[#This Row],[v]])</f>
        <v>4.7006508183564853E-2</v>
      </c>
      <c r="BN1213" s="20">
        <f>Table1347456[[#This Row],[lnrr]]-(1.96*Table1347456[[#This Row],[se]])</f>
        <v>-0.19749327169761352</v>
      </c>
      <c r="BO1213" s="20">
        <f>Table1347456[[#This Row],[lnrr]]+(1.96 * Table1347456[[#This Row],[se]])</f>
        <v>-1.3227759618039292E-2</v>
      </c>
    </row>
    <row r="1214" spans="1:67">
      <c r="A1214" s="13" t="s">
        <v>373</v>
      </c>
      <c r="B1214" s="13" t="s">
        <v>374</v>
      </c>
      <c r="C1214" s="13" t="s">
        <v>43</v>
      </c>
      <c r="D1214" s="13" t="s">
        <v>217</v>
      </c>
      <c r="E1214" s="13" t="s">
        <v>132</v>
      </c>
      <c r="F1214" s="13" t="s">
        <v>589</v>
      </c>
      <c r="G1214" s="13" t="s">
        <v>46</v>
      </c>
      <c r="H1214" s="13">
        <v>28</v>
      </c>
      <c r="I1214" s="13" t="s">
        <v>46</v>
      </c>
      <c r="K1214" s="13" t="s">
        <v>977</v>
      </c>
      <c r="L1214" s="13" t="s">
        <v>978</v>
      </c>
      <c r="N1214" s="13" t="s">
        <v>139</v>
      </c>
      <c r="O1214" s="13" t="s">
        <v>643</v>
      </c>
      <c r="P1214" s="13" t="s">
        <v>375</v>
      </c>
      <c r="Q1214" s="13" t="s">
        <v>422</v>
      </c>
      <c r="R1214" s="4">
        <v>5</v>
      </c>
      <c r="S1214" s="13" t="s">
        <v>596</v>
      </c>
      <c r="T1214" s="13">
        <v>60</v>
      </c>
      <c r="U1214" s="4" t="s">
        <v>220</v>
      </c>
      <c r="V1214" s="4">
        <v>550</v>
      </c>
      <c r="W1214" s="4" t="s">
        <v>601</v>
      </c>
      <c r="X1214" s="4">
        <v>455</v>
      </c>
      <c r="Y1214" s="4">
        <v>20</v>
      </c>
      <c r="AA1214" s="4" t="s">
        <v>49</v>
      </c>
      <c r="AB1214" s="4">
        <v>0</v>
      </c>
      <c r="AC1214" s="4" t="s">
        <v>49</v>
      </c>
      <c r="AD1214" s="4">
        <v>0</v>
      </c>
      <c r="AE1214" s="4" t="s">
        <v>49</v>
      </c>
      <c r="AF1214" s="4">
        <v>0</v>
      </c>
      <c r="AG1214" s="4" t="s">
        <v>770</v>
      </c>
      <c r="AH1214" s="4" t="s">
        <v>782</v>
      </c>
      <c r="AI1214" s="4" t="s">
        <v>78</v>
      </c>
      <c r="AJ1214" s="13">
        <v>0</v>
      </c>
      <c r="AK1214" s="13">
        <v>20</v>
      </c>
      <c r="AN1214" s="13" t="s">
        <v>554</v>
      </c>
      <c r="AO1214" s="13" t="s">
        <v>555</v>
      </c>
      <c r="AP1214" s="13" t="s">
        <v>50</v>
      </c>
      <c r="AQ1214" s="13" t="s">
        <v>49</v>
      </c>
      <c r="AR1214" s="13" t="s">
        <v>50</v>
      </c>
      <c r="AS1214" s="13" t="s">
        <v>49</v>
      </c>
      <c r="AT1214" s="13" t="s">
        <v>990</v>
      </c>
      <c r="AU1214" s="13" t="s">
        <v>998</v>
      </c>
      <c r="AV1214" s="14">
        <v>0.11</v>
      </c>
      <c r="AW1214" s="14">
        <v>0.1</v>
      </c>
      <c r="AX1214" s="14">
        <f>Table1347456[[#This Row],[treatment_mean]]/Table1347456[[#This Row],[control_mean]]</f>
        <v>1.0999999999999999</v>
      </c>
      <c r="AY1214" s="14">
        <f>LN(Table1347456[[#This Row],[rr]])</f>
        <v>9.5310179804324741E-2</v>
      </c>
      <c r="AZ1214" s="13">
        <v>5</v>
      </c>
      <c r="BA1214" s="13">
        <v>5</v>
      </c>
      <c r="BB1214" s="14">
        <f>Table1347456[[#This Row],[treatment_sd]]/SQRT(Table1347456[[#This Row],[treatment_n]])</f>
        <v>0</v>
      </c>
      <c r="BC1214" s="14">
        <v>0</v>
      </c>
      <c r="BD1214" s="15">
        <v>0</v>
      </c>
      <c r="BE1214" s="14">
        <v>0</v>
      </c>
      <c r="BF121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14" s="17">
        <f>SQRT(Table1347456[[#This Row],[v_from_sd_and_n]])</f>
        <v>0</v>
      </c>
      <c r="BH1214" s="13" t="s">
        <v>50</v>
      </c>
      <c r="BI1214" s="13">
        <v>2.5000000000000001E-2</v>
      </c>
      <c r="BJ1214" s="18">
        <f>ABS(_xlfn.NORM.S.INV(Table1347456[[#This Row],[p_value]]/2))</f>
        <v>2.2414027276049446</v>
      </c>
      <c r="BK1214" s="19">
        <f>(Table1347456[[#This Row],[lnrr]]/Table1347456[[#This Row],[z_from_p]])^2</f>
        <v>1.8081680268294152E-3</v>
      </c>
      <c r="BL1214" s="16">
        <f>(Table1347456[[#This Row],[lnrr]]/Table1347456[[#This Row],[z_from_p]])^2</f>
        <v>1.8081680268294152E-3</v>
      </c>
      <c r="BM1214" s="20">
        <f>SQRT(Table1347456[[#This Row],[v]])</f>
        <v>4.2522559034345701E-2</v>
      </c>
      <c r="BN1214" s="20">
        <f>Table1347456[[#This Row],[lnrr]]-(1.96*Table1347456[[#This Row],[se]])</f>
        <v>1.1965964097007162E-2</v>
      </c>
      <c r="BO1214" s="20">
        <f>Table1347456[[#This Row],[lnrr]]+(1.96 * Table1347456[[#This Row],[se]])</f>
        <v>0.17865439551164231</v>
      </c>
    </row>
    <row r="1215" spans="1:67">
      <c r="A1215" s="13" t="s">
        <v>373</v>
      </c>
      <c r="B1215" s="13" t="s">
        <v>374</v>
      </c>
      <c r="C1215" s="13" t="s">
        <v>43</v>
      </c>
      <c r="D1215" s="13" t="s">
        <v>217</v>
      </c>
      <c r="E1215" s="13" t="s">
        <v>132</v>
      </c>
      <c r="F1215" s="13" t="s">
        <v>589</v>
      </c>
      <c r="G1215" s="13" t="s">
        <v>46</v>
      </c>
      <c r="H1215" s="13">
        <v>28</v>
      </c>
      <c r="I1215" s="13" t="s">
        <v>46</v>
      </c>
      <c r="K1215" s="13" t="s">
        <v>977</v>
      </c>
      <c r="L1215" s="13" t="s">
        <v>978</v>
      </c>
      <c r="N1215" s="13" t="s">
        <v>139</v>
      </c>
      <c r="O1215" s="13" t="s">
        <v>643</v>
      </c>
      <c r="P1215" s="13" t="s">
        <v>375</v>
      </c>
      <c r="Q1215" s="13" t="s">
        <v>422</v>
      </c>
      <c r="R1215" s="4">
        <v>5</v>
      </c>
      <c r="S1215" s="13" t="s">
        <v>596</v>
      </c>
      <c r="T1215" s="13">
        <v>60</v>
      </c>
      <c r="U1215" s="4" t="s">
        <v>220</v>
      </c>
      <c r="V1215" s="4">
        <v>550</v>
      </c>
      <c r="W1215" s="4" t="s">
        <v>601</v>
      </c>
      <c r="X1215" s="4">
        <v>455</v>
      </c>
      <c r="Y1215" s="4">
        <v>30</v>
      </c>
      <c r="AA1215" s="4" t="s">
        <v>49</v>
      </c>
      <c r="AB1215" s="4">
        <v>0</v>
      </c>
      <c r="AC1215" s="4" t="s">
        <v>49</v>
      </c>
      <c r="AD1215" s="4">
        <v>0</v>
      </c>
      <c r="AE1215" s="4" t="s">
        <v>49</v>
      </c>
      <c r="AF1215" s="4">
        <v>0</v>
      </c>
      <c r="AG1215" s="4" t="s">
        <v>770</v>
      </c>
      <c r="AH1215" s="4" t="s">
        <v>782</v>
      </c>
      <c r="AI1215" s="4" t="s">
        <v>78</v>
      </c>
      <c r="AJ1215" s="13">
        <v>0</v>
      </c>
      <c r="AK1215" s="13">
        <v>20</v>
      </c>
      <c r="AN1215" s="13" t="s">
        <v>554</v>
      </c>
      <c r="AO1215" s="13" t="s">
        <v>555</v>
      </c>
      <c r="AP1215" s="13" t="s">
        <v>50</v>
      </c>
      <c r="AQ1215" s="13" t="s">
        <v>49</v>
      </c>
      <c r="AR1215" s="13" t="s">
        <v>50</v>
      </c>
      <c r="AS1215" s="13" t="s">
        <v>49</v>
      </c>
      <c r="AT1215" s="13" t="s">
        <v>990</v>
      </c>
      <c r="AU1215" s="13" t="s">
        <v>998</v>
      </c>
      <c r="AV1215" s="14">
        <v>7.0000000000000007E-2</v>
      </c>
      <c r="AW1215" s="14">
        <v>0.1</v>
      </c>
      <c r="AX1215" s="14">
        <f>Table1347456[[#This Row],[treatment_mean]]/Table1347456[[#This Row],[control_mean]]</f>
        <v>0.70000000000000007</v>
      </c>
      <c r="AY1215" s="14">
        <f>LN(Table1347456[[#This Row],[rr]])</f>
        <v>-0.35667494393873228</v>
      </c>
      <c r="AZ1215" s="13">
        <v>5</v>
      </c>
      <c r="BA1215" s="13">
        <v>5</v>
      </c>
      <c r="BB1215" s="14">
        <f>Table1347456[[#This Row],[treatment_sd]]/SQRT(Table1347456[[#This Row],[treatment_n]])</f>
        <v>0</v>
      </c>
      <c r="BC1215" s="14">
        <v>0</v>
      </c>
      <c r="BD1215" s="15">
        <v>0</v>
      </c>
      <c r="BE1215" s="14">
        <v>0</v>
      </c>
      <c r="BF121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15" s="17">
        <f>SQRT(Table1347456[[#This Row],[v_from_sd_and_n]])</f>
        <v>0</v>
      </c>
      <c r="BH1215" s="13" t="s">
        <v>50</v>
      </c>
      <c r="BI1215" s="13">
        <v>2.5000000000000001E-2</v>
      </c>
      <c r="BJ1215" s="18">
        <f>ABS(_xlfn.NORM.S.INV(Table1347456[[#This Row],[p_value]]/2))</f>
        <v>2.2414027276049446</v>
      </c>
      <c r="BK1215" s="19">
        <f>(Table1347456[[#This Row],[lnrr]]/Table1347456[[#This Row],[z_from_p]])^2</f>
        <v>2.532243185662043E-2</v>
      </c>
      <c r="BL1215" s="16">
        <f>(Table1347456[[#This Row],[lnrr]]/Table1347456[[#This Row],[z_from_p]])^2</f>
        <v>2.532243185662043E-2</v>
      </c>
      <c r="BM1215" s="20">
        <f>SQRT(Table1347456[[#This Row],[v]])</f>
        <v>0.15913023551990499</v>
      </c>
      <c r="BN1215" s="20">
        <f>Table1347456[[#This Row],[lnrr]]-(1.96*Table1347456[[#This Row],[se]])</f>
        <v>-0.66857020555774604</v>
      </c>
      <c r="BO1215" s="20">
        <f>Table1347456[[#This Row],[lnrr]]+(1.96 * Table1347456[[#This Row],[se]])</f>
        <v>-4.4779682319718517E-2</v>
      </c>
    </row>
    <row r="1216" spans="1:67">
      <c r="A1216" s="13" t="s">
        <v>373</v>
      </c>
      <c r="B1216" s="13" t="s">
        <v>374</v>
      </c>
      <c r="C1216" s="13" t="s">
        <v>43</v>
      </c>
      <c r="D1216" s="13" t="s">
        <v>217</v>
      </c>
      <c r="E1216" s="13" t="s">
        <v>132</v>
      </c>
      <c r="F1216" s="13" t="s">
        <v>589</v>
      </c>
      <c r="G1216" s="13" t="s">
        <v>46</v>
      </c>
      <c r="H1216" s="13">
        <v>28</v>
      </c>
      <c r="I1216" s="13" t="s">
        <v>46</v>
      </c>
      <c r="K1216" s="13" t="s">
        <v>977</v>
      </c>
      <c r="L1216" s="13" t="s">
        <v>978</v>
      </c>
      <c r="N1216" s="13" t="s">
        <v>376</v>
      </c>
      <c r="O1216" s="13" t="s">
        <v>643</v>
      </c>
      <c r="P1216" s="13" t="s">
        <v>377</v>
      </c>
      <c r="Q1216" s="13" t="s">
        <v>422</v>
      </c>
      <c r="R1216" s="4">
        <v>5</v>
      </c>
      <c r="S1216" s="13" t="s">
        <v>596</v>
      </c>
      <c r="T1216" s="13">
        <v>60</v>
      </c>
      <c r="U1216" s="4" t="s">
        <v>218</v>
      </c>
      <c r="V1216" s="4">
        <v>550</v>
      </c>
      <c r="W1216" s="4" t="s">
        <v>601</v>
      </c>
      <c r="X1216" s="4">
        <v>798</v>
      </c>
      <c r="Y1216" s="4">
        <v>20</v>
      </c>
      <c r="AA1216" s="4" t="s">
        <v>49</v>
      </c>
      <c r="AB1216" s="4">
        <v>0</v>
      </c>
      <c r="AC1216" s="4" t="s">
        <v>49</v>
      </c>
      <c r="AD1216" s="4">
        <v>0</v>
      </c>
      <c r="AE1216" s="4" t="s">
        <v>49</v>
      </c>
      <c r="AF1216" s="4">
        <v>0</v>
      </c>
      <c r="AG1216" s="4" t="s">
        <v>685</v>
      </c>
      <c r="AH1216" s="4" t="s">
        <v>782</v>
      </c>
      <c r="AI1216" s="4" t="s">
        <v>78</v>
      </c>
      <c r="AJ1216" s="13">
        <v>0</v>
      </c>
      <c r="AK1216" s="13">
        <v>20</v>
      </c>
      <c r="AN1216" s="13" t="s">
        <v>554</v>
      </c>
      <c r="AO1216" s="13" t="s">
        <v>555</v>
      </c>
      <c r="AP1216" s="13" t="s">
        <v>50</v>
      </c>
      <c r="AQ1216" s="13" t="s">
        <v>49</v>
      </c>
      <c r="AR1216" s="13" t="s">
        <v>50</v>
      </c>
      <c r="AS1216" s="13" t="s">
        <v>49</v>
      </c>
      <c r="AT1216" s="13" t="s">
        <v>990</v>
      </c>
      <c r="AU1216" s="13" t="s">
        <v>998</v>
      </c>
      <c r="AV1216" s="14">
        <v>6.1000000000000004E-3</v>
      </c>
      <c r="AW1216" s="14">
        <v>6.0000000000000001E-3</v>
      </c>
      <c r="AX1216" s="14">
        <f>Table1347456[[#This Row],[treatment_mean]]/Table1347456[[#This Row],[control_mean]]</f>
        <v>1.0166666666666666</v>
      </c>
      <c r="AY1216" s="17">
        <f>LN(Table1347456[[#This Row],[rr]])</f>
        <v>1.6529301951210506E-2</v>
      </c>
      <c r="AZ1216" s="13">
        <v>5</v>
      </c>
      <c r="BA1216" s="13">
        <v>5</v>
      </c>
      <c r="BB1216" s="14">
        <f>Table1347456[[#This Row],[treatment_sd]]/SQRT(Table1347456[[#This Row],[treatment_n]])</f>
        <v>0</v>
      </c>
      <c r="BC1216" s="14">
        <v>0</v>
      </c>
      <c r="BD1216" s="15">
        <v>0</v>
      </c>
      <c r="BE1216" s="14">
        <v>0</v>
      </c>
      <c r="BF121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16" s="17">
        <f>SQRT(Table1347456[[#This Row],[v_from_sd_and_n]])</f>
        <v>0</v>
      </c>
      <c r="BH1216" s="13" t="s">
        <v>50</v>
      </c>
      <c r="BI1216" s="13">
        <v>2.5000000000000001E-2</v>
      </c>
      <c r="BJ1216" s="18">
        <f>ABS(_xlfn.NORM.S.INV(Table1347456[[#This Row],[p_value]]/2))</f>
        <v>2.2414027276049446</v>
      </c>
      <c r="BK1216" s="19">
        <f>(Table1347456[[#This Row],[lnrr]]/Table1347456[[#This Row],[z_from_p]])^2</f>
        <v>5.4383760461006392E-5</v>
      </c>
      <c r="BL1216" s="16">
        <f>(Table1347456[[#This Row],[lnrr]]/Table1347456[[#This Row],[z_from_p]])^2</f>
        <v>5.4383760461006392E-5</v>
      </c>
      <c r="BM1216" s="20">
        <f>SQRT(Table1347456[[#This Row],[v]])</f>
        <v>7.3745345928408522E-3</v>
      </c>
      <c r="BN1216" s="20">
        <f>Table1347456[[#This Row],[lnrr]]-(1.96*Table1347456[[#This Row],[se]])</f>
        <v>2.075214149242435E-3</v>
      </c>
      <c r="BO1216" s="20">
        <f>Table1347456[[#This Row],[lnrr]]+(1.96 * Table1347456[[#This Row],[se]])</f>
        <v>3.0983389753178575E-2</v>
      </c>
    </row>
    <row r="1217" spans="1:67">
      <c r="A1217" s="13" t="s">
        <v>373</v>
      </c>
      <c r="B1217" s="13" t="s">
        <v>374</v>
      </c>
      <c r="C1217" s="13" t="s">
        <v>43</v>
      </c>
      <c r="D1217" s="13" t="s">
        <v>217</v>
      </c>
      <c r="E1217" s="13" t="s">
        <v>132</v>
      </c>
      <c r="F1217" s="13" t="s">
        <v>589</v>
      </c>
      <c r="G1217" s="13" t="s">
        <v>46</v>
      </c>
      <c r="H1217" s="13">
        <v>28</v>
      </c>
      <c r="I1217" s="13" t="s">
        <v>46</v>
      </c>
      <c r="K1217" s="13" t="s">
        <v>977</v>
      </c>
      <c r="L1217" s="13" t="s">
        <v>978</v>
      </c>
      <c r="N1217" s="13" t="s">
        <v>376</v>
      </c>
      <c r="O1217" s="13" t="s">
        <v>643</v>
      </c>
      <c r="P1217" s="13" t="s">
        <v>377</v>
      </c>
      <c r="Q1217" s="13" t="s">
        <v>422</v>
      </c>
      <c r="R1217" s="4">
        <v>5</v>
      </c>
      <c r="S1217" s="13" t="s">
        <v>596</v>
      </c>
      <c r="T1217" s="13">
        <v>60</v>
      </c>
      <c r="U1217" s="4" t="s">
        <v>218</v>
      </c>
      <c r="V1217" s="4">
        <v>550</v>
      </c>
      <c r="W1217" s="4" t="s">
        <v>601</v>
      </c>
      <c r="X1217" s="4">
        <v>798</v>
      </c>
      <c r="Y1217" s="4">
        <v>30</v>
      </c>
      <c r="AA1217" s="4" t="s">
        <v>49</v>
      </c>
      <c r="AB1217" s="4">
        <v>0</v>
      </c>
      <c r="AC1217" s="4" t="s">
        <v>49</v>
      </c>
      <c r="AD1217" s="4">
        <v>0</v>
      </c>
      <c r="AE1217" s="4" t="s">
        <v>49</v>
      </c>
      <c r="AF1217" s="4">
        <v>0</v>
      </c>
      <c r="AG1217" s="4" t="s">
        <v>685</v>
      </c>
      <c r="AH1217" s="4" t="s">
        <v>782</v>
      </c>
      <c r="AI1217" s="4" t="s">
        <v>78</v>
      </c>
      <c r="AJ1217" s="13">
        <v>0</v>
      </c>
      <c r="AK1217" s="13">
        <v>20</v>
      </c>
      <c r="AN1217" s="13" t="s">
        <v>554</v>
      </c>
      <c r="AO1217" s="13" t="s">
        <v>555</v>
      </c>
      <c r="AP1217" s="13" t="s">
        <v>50</v>
      </c>
      <c r="AQ1217" s="13" t="s">
        <v>49</v>
      </c>
      <c r="AR1217" s="13" t="s">
        <v>50</v>
      </c>
      <c r="AS1217" s="13" t="s">
        <v>49</v>
      </c>
      <c r="AT1217" s="13" t="s">
        <v>990</v>
      </c>
      <c r="AU1217" s="13" t="s">
        <v>998</v>
      </c>
      <c r="AV1217" s="14">
        <v>4.0000000000000001E-3</v>
      </c>
      <c r="AW1217" s="14">
        <v>6.0000000000000001E-3</v>
      </c>
      <c r="AX1217" s="14">
        <f>Table1347456[[#This Row],[treatment_mean]]/Table1347456[[#This Row],[control_mean]]</f>
        <v>0.66666666666666663</v>
      </c>
      <c r="AY1217" s="14">
        <f>LN(Table1347456[[#This Row],[rr]])</f>
        <v>-0.40546510810816444</v>
      </c>
      <c r="AZ1217" s="13">
        <v>5</v>
      </c>
      <c r="BA1217" s="13">
        <v>5</v>
      </c>
      <c r="BB1217" s="14">
        <f>Table1347456[[#This Row],[treatment_sd]]/SQRT(Table1347456[[#This Row],[treatment_n]])</f>
        <v>0</v>
      </c>
      <c r="BC1217" s="14">
        <v>0</v>
      </c>
      <c r="BD1217" s="15">
        <v>0</v>
      </c>
      <c r="BE1217" s="14">
        <v>0</v>
      </c>
      <c r="BF121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17" s="17">
        <f>SQRT(Table1347456[[#This Row],[v_from_sd_and_n]])</f>
        <v>0</v>
      </c>
      <c r="BH1217" s="13" t="s">
        <v>50</v>
      </c>
      <c r="BI1217" s="13">
        <v>2.5000000000000001E-2</v>
      </c>
      <c r="BJ1217" s="18">
        <f>ABS(_xlfn.NORM.S.INV(Table1347456[[#This Row],[p_value]]/2))</f>
        <v>2.2414027276049446</v>
      </c>
      <c r="BK1217" s="19">
        <f>(Table1347456[[#This Row],[lnrr]]/Table1347456[[#This Row],[z_from_p]])^2</f>
        <v>3.2724060172436613E-2</v>
      </c>
      <c r="BL1217" s="16">
        <f>(Table1347456[[#This Row],[lnrr]]/Table1347456[[#This Row],[z_from_p]])^2</f>
        <v>3.2724060172436613E-2</v>
      </c>
      <c r="BM1217" s="20">
        <f>SQRT(Table1347456[[#This Row],[v]])</f>
        <v>0.18089792749624473</v>
      </c>
      <c r="BN1217" s="20">
        <f>Table1347456[[#This Row],[lnrr]]-(1.96*Table1347456[[#This Row],[se]])</f>
        <v>-0.76002504600080412</v>
      </c>
      <c r="BO1217" s="20">
        <f>Table1347456[[#This Row],[lnrr]]+(1.96 * Table1347456[[#This Row],[se]])</f>
        <v>-5.0905170215524764E-2</v>
      </c>
    </row>
    <row r="1218" spans="1:67">
      <c r="A1218" s="13" t="s">
        <v>373</v>
      </c>
      <c r="B1218" s="13" t="s">
        <v>374</v>
      </c>
      <c r="C1218" s="13" t="s">
        <v>43</v>
      </c>
      <c r="D1218" s="13" t="s">
        <v>217</v>
      </c>
      <c r="E1218" s="13" t="s">
        <v>132</v>
      </c>
      <c r="F1218" s="13" t="s">
        <v>589</v>
      </c>
      <c r="G1218" s="13" t="s">
        <v>46</v>
      </c>
      <c r="H1218" s="13">
        <v>28</v>
      </c>
      <c r="I1218" s="13" t="s">
        <v>46</v>
      </c>
      <c r="K1218" s="13" t="s">
        <v>977</v>
      </c>
      <c r="L1218" s="13" t="s">
        <v>978</v>
      </c>
      <c r="N1218" s="13" t="s">
        <v>376</v>
      </c>
      <c r="O1218" s="13" t="s">
        <v>643</v>
      </c>
      <c r="P1218" s="13" t="s">
        <v>377</v>
      </c>
      <c r="Q1218" s="13" t="s">
        <v>422</v>
      </c>
      <c r="R1218" s="4">
        <v>5</v>
      </c>
      <c r="S1218" s="13" t="s">
        <v>596</v>
      </c>
      <c r="T1218" s="13">
        <v>60</v>
      </c>
      <c r="U1218" s="4" t="s">
        <v>220</v>
      </c>
      <c r="V1218" s="4">
        <v>550</v>
      </c>
      <c r="W1218" s="4" t="s">
        <v>601</v>
      </c>
      <c r="X1218" s="4">
        <v>455</v>
      </c>
      <c r="Y1218" s="4">
        <v>20</v>
      </c>
      <c r="AA1218" s="4" t="s">
        <v>49</v>
      </c>
      <c r="AB1218" s="4">
        <v>0</v>
      </c>
      <c r="AC1218" s="4" t="s">
        <v>49</v>
      </c>
      <c r="AD1218" s="4">
        <v>0</v>
      </c>
      <c r="AE1218" s="4" t="s">
        <v>49</v>
      </c>
      <c r="AF1218" s="4">
        <v>0</v>
      </c>
      <c r="AG1218" s="4" t="s">
        <v>770</v>
      </c>
      <c r="AH1218" s="4" t="s">
        <v>782</v>
      </c>
      <c r="AI1218" s="4" t="s">
        <v>78</v>
      </c>
      <c r="AJ1218" s="13">
        <v>0</v>
      </c>
      <c r="AK1218" s="13">
        <v>20</v>
      </c>
      <c r="AN1218" s="13" t="s">
        <v>554</v>
      </c>
      <c r="AO1218" s="13" t="s">
        <v>555</v>
      </c>
      <c r="AP1218" s="13" t="s">
        <v>50</v>
      </c>
      <c r="AQ1218" s="13" t="s">
        <v>49</v>
      </c>
      <c r="AR1218" s="13" t="s">
        <v>50</v>
      </c>
      <c r="AS1218" s="13" t="s">
        <v>49</v>
      </c>
      <c r="AT1218" s="13" t="s">
        <v>990</v>
      </c>
      <c r="AU1218" s="13" t="s">
        <v>998</v>
      </c>
      <c r="AV1218" s="14">
        <v>5.0000000000000001E-3</v>
      </c>
      <c r="AW1218" s="14">
        <v>6.0000000000000001E-3</v>
      </c>
      <c r="AX1218" s="14">
        <f>Table1347456[[#This Row],[treatment_mean]]/Table1347456[[#This Row],[control_mean]]</f>
        <v>0.83333333333333337</v>
      </c>
      <c r="AY1218" s="14">
        <f>LN(Table1347456[[#This Row],[rr]])</f>
        <v>-0.18232155679395459</v>
      </c>
      <c r="AZ1218" s="13">
        <v>5</v>
      </c>
      <c r="BA1218" s="13">
        <v>5</v>
      </c>
      <c r="BB1218" s="14">
        <f>Table1347456[[#This Row],[treatment_sd]]/SQRT(Table1347456[[#This Row],[treatment_n]])</f>
        <v>0</v>
      </c>
      <c r="BC1218" s="14">
        <v>0</v>
      </c>
      <c r="BD1218" s="15">
        <v>0</v>
      </c>
      <c r="BE1218" s="14">
        <v>0</v>
      </c>
      <c r="BF121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18" s="17">
        <f>SQRT(Table1347456[[#This Row],[v_from_sd_and_n]])</f>
        <v>0</v>
      </c>
      <c r="BH1218" s="13" t="s">
        <v>50</v>
      </c>
      <c r="BI1218" s="13">
        <v>2.5000000000000001E-2</v>
      </c>
      <c r="BJ1218" s="18">
        <f>ABS(_xlfn.NORM.S.INV(Table1347456[[#This Row],[p_value]]/2))</f>
        <v>2.2414027276049446</v>
      </c>
      <c r="BK1218" s="19">
        <f>(Table1347456[[#This Row],[lnrr]]/Table1347456[[#This Row],[z_from_p]])^2</f>
        <v>6.6166208453734103E-3</v>
      </c>
      <c r="BL1218" s="16">
        <f>(Table1347456[[#This Row],[lnrr]]/Table1347456[[#This Row],[z_from_p]])^2</f>
        <v>6.6166208453734103E-3</v>
      </c>
      <c r="BM1218" s="20">
        <f>SQRT(Table1347456[[#This Row],[v]])</f>
        <v>8.1342613957097604E-2</v>
      </c>
      <c r="BN1218" s="20">
        <f>Table1347456[[#This Row],[lnrr]]-(1.96*Table1347456[[#This Row],[se]])</f>
        <v>-0.34175308014986588</v>
      </c>
      <c r="BO1218" s="20">
        <f>Table1347456[[#This Row],[lnrr]]+(1.96 * Table1347456[[#This Row],[se]])</f>
        <v>-2.28900334380433E-2</v>
      </c>
    </row>
    <row r="1219" spans="1:67">
      <c r="A1219" s="13" t="s">
        <v>373</v>
      </c>
      <c r="B1219" s="13" t="s">
        <v>374</v>
      </c>
      <c r="C1219" s="13" t="s">
        <v>43</v>
      </c>
      <c r="D1219" s="13" t="s">
        <v>217</v>
      </c>
      <c r="E1219" s="13" t="s">
        <v>132</v>
      </c>
      <c r="F1219" s="13" t="s">
        <v>589</v>
      </c>
      <c r="G1219" s="13" t="s">
        <v>46</v>
      </c>
      <c r="H1219" s="13">
        <v>28</v>
      </c>
      <c r="I1219" s="13" t="s">
        <v>46</v>
      </c>
      <c r="K1219" s="13" t="s">
        <v>977</v>
      </c>
      <c r="L1219" s="13" t="s">
        <v>978</v>
      </c>
      <c r="N1219" s="13" t="s">
        <v>376</v>
      </c>
      <c r="O1219" s="13" t="s">
        <v>643</v>
      </c>
      <c r="P1219" s="13" t="s">
        <v>377</v>
      </c>
      <c r="Q1219" s="13" t="s">
        <v>422</v>
      </c>
      <c r="R1219" s="4">
        <v>5</v>
      </c>
      <c r="S1219" s="13" t="s">
        <v>596</v>
      </c>
      <c r="T1219" s="13">
        <v>60</v>
      </c>
      <c r="U1219" s="4" t="s">
        <v>220</v>
      </c>
      <c r="V1219" s="4">
        <v>550</v>
      </c>
      <c r="W1219" s="4" t="s">
        <v>601</v>
      </c>
      <c r="X1219" s="4">
        <v>455</v>
      </c>
      <c r="Y1219" s="4">
        <v>30</v>
      </c>
      <c r="AA1219" s="4" t="s">
        <v>49</v>
      </c>
      <c r="AB1219" s="4">
        <v>0</v>
      </c>
      <c r="AC1219" s="4" t="s">
        <v>49</v>
      </c>
      <c r="AD1219" s="4">
        <v>0</v>
      </c>
      <c r="AE1219" s="4" t="s">
        <v>49</v>
      </c>
      <c r="AF1219" s="4">
        <v>0</v>
      </c>
      <c r="AG1219" s="4" t="s">
        <v>770</v>
      </c>
      <c r="AH1219" s="4" t="s">
        <v>782</v>
      </c>
      <c r="AI1219" s="4" t="s">
        <v>78</v>
      </c>
      <c r="AJ1219" s="13">
        <v>0</v>
      </c>
      <c r="AK1219" s="13">
        <v>20</v>
      </c>
      <c r="AN1219" s="13" t="s">
        <v>554</v>
      </c>
      <c r="AO1219" s="13" t="s">
        <v>555</v>
      </c>
      <c r="AP1219" s="13" t="s">
        <v>50</v>
      </c>
      <c r="AQ1219" s="13" t="s">
        <v>49</v>
      </c>
      <c r="AR1219" s="13" t="s">
        <v>50</v>
      </c>
      <c r="AS1219" s="13" t="s">
        <v>49</v>
      </c>
      <c r="AT1219" s="13" t="s">
        <v>990</v>
      </c>
      <c r="AU1219" s="13" t="s">
        <v>998</v>
      </c>
      <c r="AV1219" s="14">
        <v>4.0000000000000001E-3</v>
      </c>
      <c r="AW1219" s="14">
        <v>6.0000000000000001E-3</v>
      </c>
      <c r="AX1219" s="14">
        <f>Table1347456[[#This Row],[treatment_mean]]/Table1347456[[#This Row],[control_mean]]</f>
        <v>0.66666666666666663</v>
      </c>
      <c r="AY1219" s="14">
        <f>LN(Table1347456[[#This Row],[rr]])</f>
        <v>-0.40546510810816444</v>
      </c>
      <c r="AZ1219" s="13">
        <v>5</v>
      </c>
      <c r="BA1219" s="13">
        <v>5</v>
      </c>
      <c r="BB1219" s="14">
        <f>Table1347456[[#This Row],[treatment_sd]]/SQRT(Table1347456[[#This Row],[treatment_n]])</f>
        <v>0</v>
      </c>
      <c r="BC1219" s="14">
        <v>0</v>
      </c>
      <c r="BD1219" s="15">
        <v>0</v>
      </c>
      <c r="BE1219" s="14">
        <v>0</v>
      </c>
      <c r="BF121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19" s="17">
        <f>SQRT(Table1347456[[#This Row],[v_from_sd_and_n]])</f>
        <v>0</v>
      </c>
      <c r="BH1219" s="13" t="s">
        <v>50</v>
      </c>
      <c r="BI1219" s="13">
        <v>2.5000000000000001E-2</v>
      </c>
      <c r="BJ1219" s="18">
        <f>ABS(_xlfn.NORM.S.INV(Table1347456[[#This Row],[p_value]]/2))</f>
        <v>2.2414027276049446</v>
      </c>
      <c r="BK1219" s="19">
        <f>(Table1347456[[#This Row],[lnrr]]/Table1347456[[#This Row],[z_from_p]])^2</f>
        <v>3.2724060172436613E-2</v>
      </c>
      <c r="BL1219" s="16">
        <f>(Table1347456[[#This Row],[lnrr]]/Table1347456[[#This Row],[z_from_p]])^2</f>
        <v>3.2724060172436613E-2</v>
      </c>
      <c r="BM1219" s="20">
        <f>SQRT(Table1347456[[#This Row],[v]])</f>
        <v>0.18089792749624473</v>
      </c>
      <c r="BN1219" s="20">
        <f>Table1347456[[#This Row],[lnrr]]-(1.96*Table1347456[[#This Row],[se]])</f>
        <v>-0.76002504600080412</v>
      </c>
      <c r="BO1219" s="20">
        <f>Table1347456[[#This Row],[lnrr]]+(1.96 * Table1347456[[#This Row],[se]])</f>
        <v>-5.0905170215524764E-2</v>
      </c>
    </row>
    <row r="1220" spans="1:67">
      <c r="A1220" s="13" t="s">
        <v>308</v>
      </c>
      <c r="B1220" s="13" t="s">
        <v>378</v>
      </c>
      <c r="C1220" s="13" t="s">
        <v>43</v>
      </c>
      <c r="D1220" s="13" t="s">
        <v>379</v>
      </c>
      <c r="E1220" s="13" t="s">
        <v>91</v>
      </c>
      <c r="F1220" s="13" t="s">
        <v>587</v>
      </c>
      <c r="G1220" s="13" t="s">
        <v>380</v>
      </c>
      <c r="H1220" s="13">
        <v>12.4</v>
      </c>
      <c r="I1220" s="13">
        <v>600</v>
      </c>
      <c r="K1220" s="13" t="s">
        <v>930</v>
      </c>
      <c r="L1220" s="13" t="s">
        <v>931</v>
      </c>
      <c r="N1220" s="13" t="s">
        <v>381</v>
      </c>
      <c r="O1220" s="13" t="s">
        <v>70</v>
      </c>
      <c r="P1220" s="13" t="s">
        <v>537</v>
      </c>
      <c r="Q1220" s="13" t="s">
        <v>71</v>
      </c>
      <c r="R1220" s="4">
        <v>3</v>
      </c>
      <c r="S1220" s="13" t="s">
        <v>594</v>
      </c>
      <c r="T1220" s="13">
        <v>730</v>
      </c>
      <c r="U1220" s="4" t="s">
        <v>93</v>
      </c>
      <c r="V1220" s="4">
        <v>360</v>
      </c>
      <c r="W1220" s="4" t="s">
        <v>42</v>
      </c>
      <c r="X1220" s="4">
        <v>660</v>
      </c>
      <c r="Y1220" s="4">
        <v>4.5</v>
      </c>
      <c r="AA1220" s="4" t="s">
        <v>50</v>
      </c>
      <c r="AB1220" s="4">
        <v>200</v>
      </c>
      <c r="AC1220" s="4" t="s">
        <v>49</v>
      </c>
      <c r="AD1220" s="4">
        <v>0</v>
      </c>
      <c r="AE1220" s="4" t="s">
        <v>49</v>
      </c>
      <c r="AF1220" s="4">
        <v>0</v>
      </c>
      <c r="AG1220" s="4" t="s">
        <v>691</v>
      </c>
      <c r="AH1220" s="4" t="s">
        <v>688</v>
      </c>
      <c r="AI1220" s="4" t="s">
        <v>64</v>
      </c>
      <c r="AJ1220" s="13">
        <v>0</v>
      </c>
      <c r="AK1220" s="13">
        <v>15</v>
      </c>
      <c r="AM1220" s="13" t="s">
        <v>556</v>
      </c>
      <c r="AP1220" s="13" t="s">
        <v>50</v>
      </c>
      <c r="AQ1220" s="13" t="s">
        <v>49</v>
      </c>
      <c r="AR1220" s="13" t="s">
        <v>50</v>
      </c>
      <c r="AS1220" s="13" t="s">
        <v>49</v>
      </c>
      <c r="AT1220" s="13" t="s">
        <v>992</v>
      </c>
      <c r="AU1220" s="4" t="s">
        <v>1000</v>
      </c>
      <c r="AV1220" s="14">
        <v>5.55</v>
      </c>
      <c r="AW1220" s="14">
        <v>4.6500000000000004</v>
      </c>
      <c r="AX1220" s="14">
        <f>Table1347456[[#This Row],[treatment_mean]]/Table1347456[[#This Row],[control_mean]]</f>
        <v>1.193548387096774</v>
      </c>
      <c r="AY1220" s="14">
        <f>LN(Table1347456[[#This Row],[rr]])</f>
        <v>0.17693070815907805</v>
      </c>
      <c r="AZ1220" s="13">
        <v>3</v>
      </c>
      <c r="BA1220" s="13">
        <v>3</v>
      </c>
      <c r="BB1220" s="14">
        <f>SQRT(0.03445)</f>
        <v>0.18560711193270585</v>
      </c>
      <c r="BC1220" s="14">
        <f>SQRT(0.0257)</f>
        <v>0.16031219541881397</v>
      </c>
      <c r="BD1220" s="15">
        <f>Table1347456[[#This Row],[treatment_se]]*SQRT(Table1347456[[#This Row],[treatment_n]])</f>
        <v>0.32148094811357014</v>
      </c>
      <c r="BE1220" s="14">
        <f>Table1347456[[#This Row],[control_se]]*SQRT(Table1347456[[#This Row],[control_n]])</f>
        <v>0.27766886753829639</v>
      </c>
      <c r="BF122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2.3069924270812982E-3</v>
      </c>
      <c r="BG1220" s="17">
        <f>SQRT(Table1347456[[#This Row],[v_from_sd_and_n]])</f>
        <v>4.803116100076385E-2</v>
      </c>
      <c r="BH1220" s="13" t="s">
        <v>50</v>
      </c>
      <c r="BI1220" s="13">
        <v>2.5000000000000001E-2</v>
      </c>
      <c r="BJ1220" s="18">
        <f>ABS(_xlfn.NORM.S.INV(Table1347456[[#This Row],[p_value]]/2))</f>
        <v>2.2414027276049446</v>
      </c>
      <c r="BK1220" s="19">
        <f>(Table1347456[[#This Row],[lnrr]]/Table1347456[[#This Row],[z_from_p]])^2</f>
        <v>6.2311275220994083E-3</v>
      </c>
      <c r="BL1220" s="16">
        <f>Table1347456[[#This Row],[v_from_sd_and_n]]</f>
        <v>2.3069924270812982E-3</v>
      </c>
      <c r="BM1220" s="20">
        <f>SQRT(Table1347456[[#This Row],[v]])</f>
        <v>4.803116100076385E-2</v>
      </c>
      <c r="BN1220" s="20">
        <f>Table1347456[[#This Row],[lnrr]]-(1.96*Table1347456[[#This Row],[se]])</f>
        <v>8.2789632597580903E-2</v>
      </c>
      <c r="BO1220" s="20">
        <f>Table1347456[[#This Row],[lnrr]]+(1.96 * Table1347456[[#This Row],[se]])</f>
        <v>0.27107178372057517</v>
      </c>
    </row>
    <row r="1221" spans="1:67">
      <c r="A1221" s="13" t="s">
        <v>308</v>
      </c>
      <c r="B1221" s="13" t="s">
        <v>378</v>
      </c>
      <c r="C1221" s="13" t="s">
        <v>43</v>
      </c>
      <c r="D1221" s="13" t="s">
        <v>379</v>
      </c>
      <c r="E1221" s="13" t="s">
        <v>91</v>
      </c>
      <c r="F1221" s="13" t="s">
        <v>587</v>
      </c>
      <c r="G1221" s="13" t="s">
        <v>380</v>
      </c>
      <c r="H1221" s="13">
        <v>12.4</v>
      </c>
      <c r="I1221" s="13">
        <v>600</v>
      </c>
      <c r="K1221" s="13" t="s">
        <v>930</v>
      </c>
      <c r="L1221" s="13" t="s">
        <v>931</v>
      </c>
      <c r="N1221" s="13" t="s">
        <v>381</v>
      </c>
      <c r="O1221" s="13" t="s">
        <v>70</v>
      </c>
      <c r="P1221" s="13" t="s">
        <v>537</v>
      </c>
      <c r="Q1221" s="13" t="s">
        <v>71</v>
      </c>
      <c r="R1221" s="4">
        <v>3</v>
      </c>
      <c r="S1221" s="13" t="s">
        <v>594</v>
      </c>
      <c r="T1221" s="13">
        <v>730</v>
      </c>
      <c r="U1221" s="4" t="s">
        <v>93</v>
      </c>
      <c r="V1221" s="4">
        <v>360</v>
      </c>
      <c r="W1221" s="4" t="s">
        <v>42</v>
      </c>
      <c r="X1221" s="4">
        <v>660</v>
      </c>
      <c r="Y1221" s="4">
        <v>9</v>
      </c>
      <c r="AA1221" s="4" t="s">
        <v>50</v>
      </c>
      <c r="AB1221" s="4">
        <v>200</v>
      </c>
      <c r="AC1221" s="4" t="s">
        <v>49</v>
      </c>
      <c r="AD1221" s="4">
        <v>0</v>
      </c>
      <c r="AE1221" s="4" t="s">
        <v>49</v>
      </c>
      <c r="AF1221" s="4">
        <v>0</v>
      </c>
      <c r="AG1221" s="4" t="s">
        <v>691</v>
      </c>
      <c r="AH1221" s="4" t="s">
        <v>688</v>
      </c>
      <c r="AI1221" s="4" t="s">
        <v>64</v>
      </c>
      <c r="AJ1221" s="13">
        <v>0</v>
      </c>
      <c r="AK1221" s="13">
        <v>15</v>
      </c>
      <c r="AM1221" s="13" t="s">
        <v>556</v>
      </c>
      <c r="AP1221" s="13" t="s">
        <v>50</v>
      </c>
      <c r="AQ1221" s="13" t="s">
        <v>49</v>
      </c>
      <c r="AR1221" s="13" t="s">
        <v>50</v>
      </c>
      <c r="AS1221" s="13" t="s">
        <v>49</v>
      </c>
      <c r="AT1221" s="13" t="s">
        <v>992</v>
      </c>
      <c r="AU1221" s="4" t="s">
        <v>1000</v>
      </c>
      <c r="AV1221" s="14">
        <v>3.5</v>
      </c>
      <c r="AW1221" s="14">
        <v>4.6500000000000004</v>
      </c>
      <c r="AX1221" s="14">
        <f>Table1347456[[#This Row],[treatment_mean]]/Table1347456[[#This Row],[control_mean]]</f>
        <v>0.75268817204301075</v>
      </c>
      <c r="AY1221" s="14">
        <f>LN(Table1347456[[#This Row],[rr]])</f>
        <v>-0.28410425110389698</v>
      </c>
      <c r="AZ1221" s="13">
        <v>3</v>
      </c>
      <c r="BA1221" s="13">
        <v>3</v>
      </c>
      <c r="BB1221" s="14">
        <f>SQRT(0.0421)</f>
        <v>0.20518284528683189</v>
      </c>
      <c r="BC1221" s="14">
        <f>SQRT(0.0257)</f>
        <v>0.16031219541881397</v>
      </c>
      <c r="BD1221" s="15">
        <f>Table1347456[[#This Row],[treatment_se]]*SQRT(Table1347456[[#This Row],[treatment_n]])</f>
        <v>0.35538711287833719</v>
      </c>
      <c r="BE1221" s="14">
        <f>Table1347456[[#This Row],[control_se]]*SQRT(Table1347456[[#This Row],[control_n]])</f>
        <v>0.27766886753829639</v>
      </c>
      <c r="BF122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4.6253114079485413E-3</v>
      </c>
      <c r="BG1221" s="17">
        <f>SQRT(Table1347456[[#This Row],[v_from_sd_and_n]])</f>
        <v>6.8009642021911426E-2</v>
      </c>
      <c r="BH1221" s="13" t="s">
        <v>50</v>
      </c>
      <c r="BI1221" s="13">
        <v>2.5000000000000001E-2</v>
      </c>
      <c r="BJ1221" s="18">
        <f>ABS(_xlfn.NORM.S.INV(Table1347456[[#This Row],[p_value]]/2))</f>
        <v>2.2414027276049446</v>
      </c>
      <c r="BK1221" s="19">
        <f>(Table1347456[[#This Row],[lnrr]]/Table1347456[[#This Row],[z_from_p]])^2</f>
        <v>1.6066292604141576E-2</v>
      </c>
      <c r="BL1221" s="16">
        <f>Table1347456[[#This Row],[v_from_sd_and_n]]</f>
        <v>4.6253114079485413E-3</v>
      </c>
      <c r="BM1221" s="20">
        <f>SQRT(Table1347456[[#This Row],[v]])</f>
        <v>6.8009642021911426E-2</v>
      </c>
      <c r="BN1221" s="20">
        <f>Table1347456[[#This Row],[lnrr]]-(1.96*Table1347456[[#This Row],[se]])</f>
        <v>-0.41740314946684337</v>
      </c>
      <c r="BO1221" s="20">
        <f>Table1347456[[#This Row],[lnrr]]+(1.96 * Table1347456[[#This Row],[se]])</f>
        <v>-0.15080535274095058</v>
      </c>
    </row>
    <row r="1222" spans="1:67">
      <c r="A1222" s="13" t="s">
        <v>308</v>
      </c>
      <c r="B1222" s="13" t="s">
        <v>378</v>
      </c>
      <c r="C1222" s="13" t="s">
        <v>43</v>
      </c>
      <c r="D1222" s="13" t="s">
        <v>379</v>
      </c>
      <c r="E1222" s="13" t="s">
        <v>91</v>
      </c>
      <c r="F1222" s="13" t="s">
        <v>587</v>
      </c>
      <c r="G1222" s="13" t="s">
        <v>380</v>
      </c>
      <c r="H1222" s="13">
        <v>12.4</v>
      </c>
      <c r="I1222" s="13">
        <v>600</v>
      </c>
      <c r="K1222" s="13" t="s">
        <v>930</v>
      </c>
      <c r="L1222" s="13" t="s">
        <v>931</v>
      </c>
      <c r="N1222" s="13" t="s">
        <v>53</v>
      </c>
      <c r="O1222" s="13" t="s">
        <v>54</v>
      </c>
      <c r="P1222" s="13" t="s">
        <v>85</v>
      </c>
      <c r="Q1222" s="13" t="s">
        <v>48</v>
      </c>
      <c r="R1222" s="4">
        <v>3</v>
      </c>
      <c r="S1222" s="13" t="s">
        <v>594</v>
      </c>
      <c r="T1222" s="13">
        <v>730</v>
      </c>
      <c r="U1222" s="4" t="s">
        <v>93</v>
      </c>
      <c r="V1222" s="4">
        <v>360</v>
      </c>
      <c r="W1222" s="4" t="s">
        <v>42</v>
      </c>
      <c r="X1222" s="4">
        <v>660</v>
      </c>
      <c r="Y1222" s="4">
        <v>4.5</v>
      </c>
      <c r="AA1222" s="4" t="s">
        <v>50</v>
      </c>
      <c r="AB1222" s="4">
        <v>200</v>
      </c>
      <c r="AC1222" s="4" t="s">
        <v>49</v>
      </c>
      <c r="AD1222" s="4">
        <v>0</v>
      </c>
      <c r="AE1222" s="4" t="s">
        <v>49</v>
      </c>
      <c r="AF1222" s="4">
        <v>0</v>
      </c>
      <c r="AG1222" s="4" t="s">
        <v>691</v>
      </c>
      <c r="AH1222" s="4" t="s">
        <v>688</v>
      </c>
      <c r="AI1222" s="4" t="s">
        <v>64</v>
      </c>
      <c r="AJ1222" s="13">
        <v>0</v>
      </c>
      <c r="AK1222" s="13">
        <v>15</v>
      </c>
      <c r="AM1222" s="13" t="s">
        <v>556</v>
      </c>
      <c r="AP1222" s="13" t="s">
        <v>50</v>
      </c>
      <c r="AQ1222" s="13" t="s">
        <v>49</v>
      </c>
      <c r="AR1222" s="13" t="s">
        <v>50</v>
      </c>
      <c r="AS1222" s="13" t="s">
        <v>49</v>
      </c>
      <c r="AT1222" s="13" t="s">
        <v>992</v>
      </c>
      <c r="AU1222" s="4" t="s">
        <v>1000</v>
      </c>
      <c r="AV1222" s="14">
        <f>2.238/1000</f>
        <v>2.238E-3</v>
      </c>
      <c r="AW1222" s="14">
        <f>2.344/1000</f>
        <v>2.3439999999999997E-3</v>
      </c>
      <c r="AX1222" s="14">
        <f>Table1347456[[#This Row],[treatment_mean]]/Table1347456[[#This Row],[control_mean]]</f>
        <v>0.95477815699658708</v>
      </c>
      <c r="AY1222" s="14">
        <f>LN(Table1347456[[#This Row],[rr]])</f>
        <v>-4.6276261825032639E-2</v>
      </c>
      <c r="AZ1222" s="13">
        <v>3</v>
      </c>
      <c r="BA1222" s="13">
        <v>3</v>
      </c>
      <c r="BB1222" s="14">
        <v>0</v>
      </c>
      <c r="BC1222" s="14">
        <v>0</v>
      </c>
      <c r="BD1222" s="15">
        <f>Table1347456[[#This Row],[treatment_se]]*SQRT(Table1347456[[#This Row],[treatment_n]])</f>
        <v>0</v>
      </c>
      <c r="BE1222" s="14">
        <f>Table1347456[[#This Row],[control_se]]*SQRT(Table1347456[[#This Row],[control_n]])</f>
        <v>0</v>
      </c>
      <c r="BF122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22" s="17">
        <f>SQRT(Table1347456[[#This Row],[v_from_sd_and_n]])</f>
        <v>0</v>
      </c>
      <c r="BH1222" s="13" t="s">
        <v>50</v>
      </c>
      <c r="BI1222" s="13">
        <v>2.5000000000000001E-2</v>
      </c>
      <c r="BJ1222" s="18">
        <f>ABS(_xlfn.NORM.S.INV(Table1347456[[#This Row],[p_value]]/2))</f>
        <v>2.2414027276049446</v>
      </c>
      <c r="BK1222" s="19">
        <f>(Table1347456[[#This Row],[lnrr]]/Table1347456[[#This Row],[z_from_p]])^2</f>
        <v>4.2626212630098124E-4</v>
      </c>
      <c r="BL1222" s="16">
        <f>(Table1347456[[#This Row],[lnrr]]/Table1347456[[#This Row],[z_from_p]])^2</f>
        <v>4.2626212630098124E-4</v>
      </c>
      <c r="BM1222" s="20">
        <f>SQRT(Table1347456[[#This Row],[v]])</f>
        <v>2.0646116494415633E-2</v>
      </c>
      <c r="BN1222" s="20">
        <f>Table1347456[[#This Row],[lnrr]]-(1.96*Table1347456[[#This Row],[se]])</f>
        <v>-8.6742650154087275E-2</v>
      </c>
      <c r="BO1222" s="20">
        <f>Table1347456[[#This Row],[lnrr]]+(1.96 * Table1347456[[#This Row],[se]])</f>
        <v>-5.8098734959780018E-3</v>
      </c>
    </row>
    <row r="1223" spans="1:67">
      <c r="A1223" s="13" t="s">
        <v>308</v>
      </c>
      <c r="B1223" s="13" t="s">
        <v>378</v>
      </c>
      <c r="C1223" s="13" t="s">
        <v>43</v>
      </c>
      <c r="D1223" s="13" t="s">
        <v>379</v>
      </c>
      <c r="E1223" s="13" t="s">
        <v>91</v>
      </c>
      <c r="F1223" s="13" t="s">
        <v>587</v>
      </c>
      <c r="G1223" s="13" t="s">
        <v>380</v>
      </c>
      <c r="H1223" s="13">
        <v>12.4</v>
      </c>
      <c r="I1223" s="13">
        <v>600</v>
      </c>
      <c r="K1223" s="13" t="s">
        <v>930</v>
      </c>
      <c r="L1223" s="13" t="s">
        <v>931</v>
      </c>
      <c r="N1223" s="13" t="s">
        <v>53</v>
      </c>
      <c r="O1223" s="13" t="s">
        <v>54</v>
      </c>
      <c r="P1223" s="13" t="s">
        <v>85</v>
      </c>
      <c r="Q1223" s="13" t="s">
        <v>48</v>
      </c>
      <c r="R1223" s="4">
        <v>3</v>
      </c>
      <c r="S1223" s="13" t="s">
        <v>594</v>
      </c>
      <c r="T1223" s="13">
        <v>730</v>
      </c>
      <c r="U1223" s="4" t="s">
        <v>93</v>
      </c>
      <c r="V1223" s="4">
        <v>360</v>
      </c>
      <c r="W1223" s="4" t="s">
        <v>42</v>
      </c>
      <c r="X1223" s="4">
        <v>660</v>
      </c>
      <c r="Y1223" s="4">
        <v>9</v>
      </c>
      <c r="AA1223" s="4" t="s">
        <v>50</v>
      </c>
      <c r="AB1223" s="4">
        <v>200</v>
      </c>
      <c r="AC1223" s="4" t="s">
        <v>49</v>
      </c>
      <c r="AD1223" s="4">
        <v>0</v>
      </c>
      <c r="AE1223" s="4" t="s">
        <v>49</v>
      </c>
      <c r="AF1223" s="4">
        <v>0</v>
      </c>
      <c r="AG1223" s="4" t="s">
        <v>691</v>
      </c>
      <c r="AH1223" s="4" t="s">
        <v>688</v>
      </c>
      <c r="AI1223" s="4" t="s">
        <v>64</v>
      </c>
      <c r="AJ1223" s="13">
        <v>0</v>
      </c>
      <c r="AK1223" s="13">
        <v>15</v>
      </c>
      <c r="AM1223" s="13" t="s">
        <v>556</v>
      </c>
      <c r="AP1223" s="13" t="s">
        <v>50</v>
      </c>
      <c r="AQ1223" s="13" t="s">
        <v>49</v>
      </c>
      <c r="AR1223" s="13" t="s">
        <v>50</v>
      </c>
      <c r="AS1223" s="13" t="s">
        <v>49</v>
      </c>
      <c r="AT1223" s="13" t="s">
        <v>992</v>
      </c>
      <c r="AU1223" s="4" t="s">
        <v>1000</v>
      </c>
      <c r="AV1223" s="14">
        <f>2.495/1000</f>
        <v>2.4950000000000003E-3</v>
      </c>
      <c r="AW1223" s="14">
        <f>2.344/1000</f>
        <v>2.3439999999999997E-3</v>
      </c>
      <c r="AX1223" s="14">
        <f>Table1347456[[#This Row],[treatment_mean]]/Table1347456[[#This Row],[control_mean]]</f>
        <v>1.0644197952218433</v>
      </c>
      <c r="AY1223" s="14">
        <f>LN(Table1347456[[#This Row],[rr]])</f>
        <v>6.2429857488716052E-2</v>
      </c>
      <c r="AZ1223" s="13">
        <v>3</v>
      </c>
      <c r="BA1223" s="13">
        <v>3</v>
      </c>
      <c r="BB1223" s="14">
        <v>0</v>
      </c>
      <c r="BC1223" s="14">
        <v>0</v>
      </c>
      <c r="BD1223" s="15">
        <f>Table1347456[[#This Row],[treatment_se]]*SQRT(Table1347456[[#This Row],[treatment_n]])</f>
        <v>0</v>
      </c>
      <c r="BE1223" s="14">
        <f>Table1347456[[#This Row],[control_se]]*SQRT(Table1347456[[#This Row],[control_n]])</f>
        <v>0</v>
      </c>
      <c r="BF122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23" s="17">
        <f>SQRT(Table1347456[[#This Row],[v_from_sd_and_n]])</f>
        <v>0</v>
      </c>
      <c r="BH1223" s="13" t="s">
        <v>50</v>
      </c>
      <c r="BI1223" s="13">
        <v>2.5000000000000001E-2</v>
      </c>
      <c r="BJ1223" s="18">
        <f>ABS(_xlfn.NORM.S.INV(Table1347456[[#This Row],[p_value]]/2))</f>
        <v>2.2414027276049446</v>
      </c>
      <c r="BK1223" s="19">
        <f>(Table1347456[[#This Row],[lnrr]]/Table1347456[[#This Row],[z_from_p]])^2</f>
        <v>7.7579128203628437E-4</v>
      </c>
      <c r="BL1223" s="16">
        <f>(Table1347456[[#This Row],[lnrr]]/Table1347456[[#This Row],[z_from_p]])^2</f>
        <v>7.7579128203628437E-4</v>
      </c>
      <c r="BM1223" s="20">
        <f>SQRT(Table1347456[[#This Row],[v]])</f>
        <v>2.7853030033306688E-2</v>
      </c>
      <c r="BN1223" s="20">
        <f>Table1347456[[#This Row],[lnrr]]-(1.96*Table1347456[[#This Row],[se]])</f>
        <v>7.8379186234349418E-3</v>
      </c>
      <c r="BO1223" s="20">
        <f>Table1347456[[#This Row],[lnrr]]+(1.96 * Table1347456[[#This Row],[se]])</f>
        <v>0.11702179635399716</v>
      </c>
    </row>
    <row r="1224" spans="1:67">
      <c r="A1224" s="13" t="s">
        <v>308</v>
      </c>
      <c r="B1224" s="13" t="s">
        <v>378</v>
      </c>
      <c r="C1224" s="13" t="s">
        <v>43</v>
      </c>
      <c r="D1224" s="13" t="s">
        <v>379</v>
      </c>
      <c r="E1224" s="13" t="s">
        <v>91</v>
      </c>
      <c r="F1224" s="13" t="s">
        <v>587</v>
      </c>
      <c r="G1224" s="13" t="s">
        <v>380</v>
      </c>
      <c r="H1224" s="13">
        <v>12.4</v>
      </c>
      <c r="I1224" s="13">
        <v>600</v>
      </c>
      <c r="K1224" s="13" t="s">
        <v>930</v>
      </c>
      <c r="L1224" s="13" t="s">
        <v>931</v>
      </c>
      <c r="N1224" s="13" t="s">
        <v>622</v>
      </c>
      <c r="O1224" s="13" t="s">
        <v>54</v>
      </c>
      <c r="P1224" s="13" t="s">
        <v>85</v>
      </c>
      <c r="Q1224" s="13" t="s">
        <v>48</v>
      </c>
      <c r="R1224" s="4">
        <v>3</v>
      </c>
      <c r="S1224" s="13" t="s">
        <v>594</v>
      </c>
      <c r="T1224" s="13">
        <v>730</v>
      </c>
      <c r="U1224" s="4" t="s">
        <v>93</v>
      </c>
      <c r="V1224" s="4">
        <v>360</v>
      </c>
      <c r="W1224" s="4" t="s">
        <v>42</v>
      </c>
      <c r="X1224" s="4">
        <v>660</v>
      </c>
      <c r="Y1224" s="4">
        <v>4.5</v>
      </c>
      <c r="AA1224" s="4" t="s">
        <v>50</v>
      </c>
      <c r="AB1224" s="4">
        <v>200</v>
      </c>
      <c r="AC1224" s="4" t="s">
        <v>49</v>
      </c>
      <c r="AD1224" s="4">
        <v>0</v>
      </c>
      <c r="AE1224" s="4" t="s">
        <v>49</v>
      </c>
      <c r="AF1224" s="4">
        <v>0</v>
      </c>
      <c r="AG1224" s="4" t="s">
        <v>691</v>
      </c>
      <c r="AH1224" s="4" t="s">
        <v>688</v>
      </c>
      <c r="AI1224" s="4" t="s">
        <v>64</v>
      </c>
      <c r="AJ1224" s="13">
        <v>0</v>
      </c>
      <c r="AK1224" s="13">
        <v>15</v>
      </c>
      <c r="AM1224" s="13" t="s">
        <v>556</v>
      </c>
      <c r="AP1224" s="13" t="s">
        <v>50</v>
      </c>
      <c r="AQ1224" s="13" t="s">
        <v>49</v>
      </c>
      <c r="AR1224" s="13" t="s">
        <v>50</v>
      </c>
      <c r="AS1224" s="13" t="s">
        <v>49</v>
      </c>
      <c r="AT1224" s="13" t="s">
        <v>992</v>
      </c>
      <c r="AU1224" s="4" t="s">
        <v>1000</v>
      </c>
      <c r="AV1224" s="14">
        <f>2.592/1000</f>
        <v>2.5920000000000001E-3</v>
      </c>
      <c r="AW1224" s="14">
        <f>2.527/1000</f>
        <v>2.5270000000000002E-3</v>
      </c>
      <c r="AX1224" s="14">
        <f>Table1347456[[#This Row],[treatment_mean]]/Table1347456[[#This Row],[control_mean]]</f>
        <v>1.0257222002374358</v>
      </c>
      <c r="AY1224" s="14">
        <f>LN(Table1347456[[#This Row],[rr]])</f>
        <v>2.5396950083971158E-2</v>
      </c>
      <c r="AZ1224" s="13">
        <v>3</v>
      </c>
      <c r="BA1224" s="13">
        <v>3</v>
      </c>
      <c r="BB1224" s="14">
        <v>0</v>
      </c>
      <c r="BC1224" s="14">
        <v>0</v>
      </c>
      <c r="BD1224" s="15">
        <f>Table1347456[[#This Row],[treatment_se]]*SQRT(Table1347456[[#This Row],[treatment_n]])</f>
        <v>0</v>
      </c>
      <c r="BE1224" s="14">
        <f>Table1347456[[#This Row],[control_se]]*SQRT(Table1347456[[#This Row],[control_n]])</f>
        <v>0</v>
      </c>
      <c r="BF122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24" s="17">
        <f>SQRT(Table1347456[[#This Row],[v_from_sd_and_n]])</f>
        <v>0</v>
      </c>
      <c r="BH1224" s="13" t="s">
        <v>50</v>
      </c>
      <c r="BI1224" s="13">
        <v>2.5000000000000001E-2</v>
      </c>
      <c r="BJ1224" s="18">
        <f>ABS(_xlfn.NORM.S.INV(Table1347456[[#This Row],[p_value]]/2))</f>
        <v>2.2414027276049446</v>
      </c>
      <c r="BK1224" s="19">
        <f>(Table1347456[[#This Row],[lnrr]]/Table1347456[[#This Row],[z_from_p]])^2</f>
        <v>1.2838767629655602E-4</v>
      </c>
      <c r="BL1224" s="16">
        <f>(Table1347456[[#This Row],[lnrr]]/Table1347456[[#This Row],[z_from_p]])^2</f>
        <v>1.2838767629655602E-4</v>
      </c>
      <c r="BM1224" s="20">
        <f>SQRT(Table1347456[[#This Row],[v]])</f>
        <v>1.1330828579435664E-2</v>
      </c>
      <c r="BN1224" s="20">
        <f>Table1347456[[#This Row],[lnrr]]-(1.96*Table1347456[[#This Row],[se]])</f>
        <v>3.1885260682772559E-3</v>
      </c>
      <c r="BO1224" s="20">
        <f>Table1347456[[#This Row],[lnrr]]+(1.96 * Table1347456[[#This Row],[se]])</f>
        <v>4.760537409966506E-2</v>
      </c>
    </row>
    <row r="1225" spans="1:67">
      <c r="A1225" s="13" t="s">
        <v>308</v>
      </c>
      <c r="B1225" s="13" t="s">
        <v>378</v>
      </c>
      <c r="C1225" s="13" t="s">
        <v>43</v>
      </c>
      <c r="D1225" s="13" t="s">
        <v>379</v>
      </c>
      <c r="E1225" s="13" t="s">
        <v>91</v>
      </c>
      <c r="F1225" s="13" t="s">
        <v>587</v>
      </c>
      <c r="G1225" s="13" t="s">
        <v>380</v>
      </c>
      <c r="H1225" s="13">
        <v>12.4</v>
      </c>
      <c r="I1225" s="13">
        <v>600</v>
      </c>
      <c r="K1225" s="13" t="s">
        <v>930</v>
      </c>
      <c r="L1225" s="13" t="s">
        <v>931</v>
      </c>
      <c r="N1225" s="13" t="s">
        <v>622</v>
      </c>
      <c r="O1225" s="13" t="s">
        <v>54</v>
      </c>
      <c r="P1225" s="13" t="s">
        <v>85</v>
      </c>
      <c r="Q1225" s="13" t="s">
        <v>48</v>
      </c>
      <c r="R1225" s="4">
        <v>3</v>
      </c>
      <c r="S1225" s="13" t="s">
        <v>594</v>
      </c>
      <c r="T1225" s="13">
        <v>730</v>
      </c>
      <c r="U1225" s="4" t="s">
        <v>93</v>
      </c>
      <c r="V1225" s="4">
        <v>360</v>
      </c>
      <c r="W1225" s="4" t="s">
        <v>42</v>
      </c>
      <c r="X1225" s="4">
        <v>660</v>
      </c>
      <c r="Y1225" s="4">
        <v>9</v>
      </c>
      <c r="AA1225" s="4" t="s">
        <v>50</v>
      </c>
      <c r="AB1225" s="4">
        <v>200</v>
      </c>
      <c r="AC1225" s="4" t="s">
        <v>49</v>
      </c>
      <c r="AD1225" s="4">
        <v>0</v>
      </c>
      <c r="AE1225" s="4" t="s">
        <v>49</v>
      </c>
      <c r="AF1225" s="4">
        <v>0</v>
      </c>
      <c r="AG1225" s="4" t="s">
        <v>691</v>
      </c>
      <c r="AH1225" s="4" t="s">
        <v>688</v>
      </c>
      <c r="AI1225" s="4" t="s">
        <v>64</v>
      </c>
      <c r="AJ1225" s="13">
        <v>0</v>
      </c>
      <c r="AK1225" s="13">
        <v>15</v>
      </c>
      <c r="AM1225" s="13" t="s">
        <v>556</v>
      </c>
      <c r="AP1225" s="13" t="s">
        <v>50</v>
      </c>
      <c r="AQ1225" s="13" t="s">
        <v>49</v>
      </c>
      <c r="AR1225" s="13" t="s">
        <v>50</v>
      </c>
      <c r="AS1225" s="13" t="s">
        <v>49</v>
      </c>
      <c r="AT1225" s="13" t="s">
        <v>992</v>
      </c>
      <c r="AU1225" s="4" t="s">
        <v>1000</v>
      </c>
      <c r="AV1225" s="14">
        <f>2.595/1000</f>
        <v>2.5950000000000001E-3</v>
      </c>
      <c r="AW1225" s="14">
        <f>2.527/1000</f>
        <v>2.5270000000000002E-3</v>
      </c>
      <c r="AX1225" s="14">
        <f>Table1347456[[#This Row],[treatment_mean]]/Table1347456[[#This Row],[control_mean]]</f>
        <v>1.0269093787099326</v>
      </c>
      <c r="AY1225" s="14">
        <f>LN(Table1347456[[#This Row],[rr]])</f>
        <v>2.6553688211794661E-2</v>
      </c>
      <c r="AZ1225" s="13">
        <v>3</v>
      </c>
      <c r="BA1225" s="13">
        <v>3</v>
      </c>
      <c r="BB1225" s="14">
        <v>0</v>
      </c>
      <c r="BC1225" s="14">
        <v>0</v>
      </c>
      <c r="BD1225" s="15">
        <f>Table1347456[[#This Row],[treatment_se]]*SQRT(Table1347456[[#This Row],[treatment_n]])</f>
        <v>0</v>
      </c>
      <c r="BE1225" s="14">
        <f>Table1347456[[#This Row],[control_se]]*SQRT(Table1347456[[#This Row],[control_n]])</f>
        <v>0</v>
      </c>
      <c r="BF122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25" s="17">
        <f>SQRT(Table1347456[[#This Row],[v_from_sd_and_n]])</f>
        <v>0</v>
      </c>
      <c r="BH1225" s="13" t="s">
        <v>50</v>
      </c>
      <c r="BI1225" s="13">
        <v>2.5000000000000001E-2</v>
      </c>
      <c r="BJ1225" s="18">
        <f>ABS(_xlfn.NORM.S.INV(Table1347456[[#This Row],[p_value]]/2))</f>
        <v>2.2414027276049446</v>
      </c>
      <c r="BK1225" s="19">
        <f>(Table1347456[[#This Row],[lnrr]]/Table1347456[[#This Row],[z_from_p]])^2</f>
        <v>1.4034919012089649E-4</v>
      </c>
      <c r="BL1225" s="16">
        <f>(Table1347456[[#This Row],[lnrr]]/Table1347456[[#This Row],[z_from_p]])^2</f>
        <v>1.4034919012089649E-4</v>
      </c>
      <c r="BM1225" s="20">
        <f>SQRT(Table1347456[[#This Row],[v]])</f>
        <v>1.1846906352330827E-2</v>
      </c>
      <c r="BN1225" s="20">
        <f>Table1347456[[#This Row],[lnrr]]-(1.96*Table1347456[[#This Row],[se]])</f>
        <v>3.3337517612262411E-3</v>
      </c>
      <c r="BO1225" s="20">
        <f>Table1347456[[#This Row],[lnrr]]+(1.96 * Table1347456[[#This Row],[se]])</f>
        <v>4.9773624662363083E-2</v>
      </c>
    </row>
    <row r="1226" spans="1:67">
      <c r="A1226" s="13" t="s">
        <v>382</v>
      </c>
      <c r="B1226" s="13" t="s">
        <v>383</v>
      </c>
      <c r="C1226" s="13" t="s">
        <v>43</v>
      </c>
      <c r="D1226" s="13" t="s">
        <v>384</v>
      </c>
      <c r="E1226" s="13" t="s">
        <v>210</v>
      </c>
      <c r="F1226" s="13" t="s">
        <v>588</v>
      </c>
      <c r="G1226" s="13" t="s">
        <v>46</v>
      </c>
      <c r="H1226" s="13">
        <v>25</v>
      </c>
      <c r="I1226" s="13" t="s">
        <v>46</v>
      </c>
      <c r="J1226" s="13" t="s">
        <v>662</v>
      </c>
      <c r="K1226" s="13" t="s">
        <v>932</v>
      </c>
      <c r="L1226" s="13" t="s">
        <v>933</v>
      </c>
      <c r="M1226" s="13" t="s">
        <v>800</v>
      </c>
      <c r="N1226" s="13" t="s">
        <v>317</v>
      </c>
      <c r="O1226" s="13" t="s">
        <v>644</v>
      </c>
      <c r="P1226" s="13" t="s">
        <v>85</v>
      </c>
      <c r="Q1226" s="13" t="s">
        <v>48</v>
      </c>
      <c r="R1226" s="4">
        <v>3</v>
      </c>
      <c r="S1226" s="13" t="s">
        <v>595</v>
      </c>
      <c r="T1226" s="13">
        <v>40</v>
      </c>
      <c r="U1226" s="4" t="s">
        <v>385</v>
      </c>
      <c r="V1226" s="4">
        <v>350</v>
      </c>
      <c r="W1226" s="4" t="s">
        <v>42</v>
      </c>
      <c r="X1226" s="4">
        <v>701</v>
      </c>
      <c r="Y1226" s="4">
        <v>44</v>
      </c>
      <c r="Z1226" s="4" t="s">
        <v>491</v>
      </c>
      <c r="AA1226" s="4" t="s">
        <v>49</v>
      </c>
      <c r="AB1226" s="4">
        <v>0</v>
      </c>
      <c r="AC1226" s="4" t="s">
        <v>49</v>
      </c>
      <c r="AD1226" s="4">
        <v>0</v>
      </c>
      <c r="AE1226" s="4" t="s">
        <v>49</v>
      </c>
      <c r="AF1226" s="4">
        <v>0</v>
      </c>
      <c r="AG1226" s="4" t="s">
        <v>713</v>
      </c>
      <c r="AH1226" s="4" t="s">
        <v>711</v>
      </c>
      <c r="AI1226" s="4" t="s">
        <v>78</v>
      </c>
      <c r="AJ1226" s="13">
        <v>0</v>
      </c>
      <c r="AK1226" s="13">
        <v>20</v>
      </c>
      <c r="AL1226" s="13" t="s">
        <v>557</v>
      </c>
      <c r="AM1226" s="13" t="s">
        <v>558</v>
      </c>
      <c r="AN1226" s="13" t="s">
        <v>559</v>
      </c>
      <c r="AP1226" s="13" t="s">
        <v>49</v>
      </c>
      <c r="AQ1226" s="13" t="s">
        <v>49</v>
      </c>
      <c r="AR1226" s="13" t="s">
        <v>50</v>
      </c>
      <c r="AS1226" s="13" t="s">
        <v>49</v>
      </c>
      <c r="AT1226" s="13" t="s">
        <v>990</v>
      </c>
      <c r="AU1226" s="13" t="s">
        <v>998</v>
      </c>
      <c r="AV1226" s="23">
        <f>760/1000</f>
        <v>0.76</v>
      </c>
      <c r="AW1226" s="23">
        <f>593.8/1000</f>
        <v>0.59379999999999999</v>
      </c>
      <c r="AX1226" s="14">
        <f>Table1347456[[#This Row],[treatment_mean]]/Table1347456[[#This Row],[control_mean]]</f>
        <v>1.2798922196025597</v>
      </c>
      <c r="AY1226" s="14">
        <f>LN(Table1347456[[#This Row],[rr]])</f>
        <v>0.24677587095071729</v>
      </c>
      <c r="AZ1226" s="13">
        <v>3</v>
      </c>
      <c r="BA1226" s="13">
        <v>3</v>
      </c>
      <c r="BB1226" s="14">
        <v>0</v>
      </c>
      <c r="BC1226" s="14">
        <v>0</v>
      </c>
      <c r="BD1226" s="15">
        <f>Table1347456[[#This Row],[treatment_se]]*SQRT(Table1347456[[#This Row],[treatment_n]])</f>
        <v>0</v>
      </c>
      <c r="BE1226" s="14">
        <f>Table1347456[[#This Row],[control_se]]*SQRT(Table1347456[[#This Row],[control_n]])</f>
        <v>0</v>
      </c>
      <c r="BF122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26" s="17">
        <f>SQRT(Table1347456[[#This Row],[v_from_sd_and_n]])</f>
        <v>0</v>
      </c>
      <c r="BH1226" s="13" t="s">
        <v>50</v>
      </c>
      <c r="BI1226" s="13">
        <v>2.5000000000000001E-2</v>
      </c>
      <c r="BJ1226" s="18">
        <f>ABS(_xlfn.NORM.S.INV(Table1347456[[#This Row],[p_value]]/2))</f>
        <v>2.2414027276049446</v>
      </c>
      <c r="BK1226" s="19">
        <f>(Table1347456[[#This Row],[lnrr]]/Table1347456[[#This Row],[z_from_p]])^2</f>
        <v>1.2121757582257926E-2</v>
      </c>
      <c r="BL1226" s="16">
        <f>(Table1347456[[#This Row],[lnrr]]/Table1347456[[#This Row],[z_from_p]])^2</f>
        <v>1.2121757582257926E-2</v>
      </c>
      <c r="BM1226" s="20">
        <f>SQRT(Table1347456[[#This Row],[v]])</f>
        <v>0.11009885368276059</v>
      </c>
      <c r="BN1226" s="20">
        <f>Table1347456[[#This Row],[lnrr]]-(1.96*Table1347456[[#This Row],[se]])</f>
        <v>3.0982117732506531E-2</v>
      </c>
      <c r="BO1226" s="20">
        <f>Table1347456[[#This Row],[lnrr]]+(1.96 * Table1347456[[#This Row],[se]])</f>
        <v>0.46256962416892805</v>
      </c>
    </row>
    <row r="1227" spans="1:67">
      <c r="A1227" s="13" t="s">
        <v>382</v>
      </c>
      <c r="B1227" s="13" t="s">
        <v>383</v>
      </c>
      <c r="C1227" s="13" t="s">
        <v>43</v>
      </c>
      <c r="D1227" s="13" t="s">
        <v>384</v>
      </c>
      <c r="E1227" s="13" t="s">
        <v>210</v>
      </c>
      <c r="F1227" s="13" t="s">
        <v>588</v>
      </c>
      <c r="G1227" s="13" t="s">
        <v>46</v>
      </c>
      <c r="H1227" s="13">
        <v>25</v>
      </c>
      <c r="I1227" s="13" t="s">
        <v>46</v>
      </c>
      <c r="J1227" s="13" t="s">
        <v>662</v>
      </c>
      <c r="K1227" s="13" t="s">
        <v>932</v>
      </c>
      <c r="L1227" s="13" t="s">
        <v>933</v>
      </c>
      <c r="M1227" s="13" t="s">
        <v>800</v>
      </c>
      <c r="N1227" s="13" t="s">
        <v>317</v>
      </c>
      <c r="O1227" s="13" t="s">
        <v>644</v>
      </c>
      <c r="P1227" s="13" t="s">
        <v>85</v>
      </c>
      <c r="Q1227" s="13" t="s">
        <v>48</v>
      </c>
      <c r="R1227" s="4">
        <v>3</v>
      </c>
      <c r="S1227" s="13" t="s">
        <v>595</v>
      </c>
      <c r="T1227" s="13">
        <v>40</v>
      </c>
      <c r="U1227" s="4" t="s">
        <v>385</v>
      </c>
      <c r="V1227" s="4">
        <v>350</v>
      </c>
      <c r="W1227" s="4" t="s">
        <v>42</v>
      </c>
      <c r="X1227" s="4">
        <v>701</v>
      </c>
      <c r="Y1227" s="4">
        <v>44</v>
      </c>
      <c r="Z1227" s="4" t="s">
        <v>491</v>
      </c>
      <c r="AA1227" s="4" t="s">
        <v>49</v>
      </c>
      <c r="AB1227" s="4">
        <v>0</v>
      </c>
      <c r="AC1227" s="4" t="s">
        <v>49</v>
      </c>
      <c r="AD1227" s="4">
        <v>0</v>
      </c>
      <c r="AE1227" s="4" t="s">
        <v>50</v>
      </c>
      <c r="AF1227" s="4">
        <v>0.02</v>
      </c>
      <c r="AG1227" s="4" t="s">
        <v>713</v>
      </c>
      <c r="AH1227" s="4" t="s">
        <v>711</v>
      </c>
      <c r="AI1227" s="4" t="s">
        <v>78</v>
      </c>
      <c r="AJ1227" s="13">
        <v>0</v>
      </c>
      <c r="AK1227" s="13">
        <v>20</v>
      </c>
      <c r="AL1227" s="13" t="s">
        <v>557</v>
      </c>
      <c r="AM1227" s="13" t="s">
        <v>558</v>
      </c>
      <c r="AN1227" s="13" t="s">
        <v>559</v>
      </c>
      <c r="AP1227" s="13" t="s">
        <v>49</v>
      </c>
      <c r="AQ1227" s="13" t="s">
        <v>49</v>
      </c>
      <c r="AR1227" s="13" t="s">
        <v>50</v>
      </c>
      <c r="AS1227" s="13" t="s">
        <v>49</v>
      </c>
      <c r="AT1227" s="13" t="s">
        <v>995</v>
      </c>
      <c r="AU1227" s="13" t="s">
        <v>1002</v>
      </c>
      <c r="AV1227" s="23">
        <f>715/1000</f>
        <v>0.71499999999999997</v>
      </c>
      <c r="AW1227" s="23">
        <f>600.8/1000</f>
        <v>0.6008</v>
      </c>
      <c r="AX1227" s="14">
        <f>Table1347456[[#This Row],[treatment_mean]]/Table1347456[[#This Row],[control_mean]]</f>
        <v>1.190079893475366</v>
      </c>
      <c r="AY1227" s="14">
        <f>LN(Table1347456[[#This Row],[rr]])</f>
        <v>0.17402044224408253</v>
      </c>
      <c r="AZ1227" s="13">
        <v>3</v>
      </c>
      <c r="BA1227" s="13">
        <v>3</v>
      </c>
      <c r="BB1227" s="14">
        <v>0</v>
      </c>
      <c r="BC1227" s="14">
        <v>0</v>
      </c>
      <c r="BD1227" s="15">
        <f>Table1347456[[#This Row],[treatment_se]]*SQRT(Table1347456[[#This Row],[treatment_n]])</f>
        <v>0</v>
      </c>
      <c r="BE1227" s="14">
        <f>Table1347456[[#This Row],[control_se]]*SQRT(Table1347456[[#This Row],[control_n]])</f>
        <v>0</v>
      </c>
      <c r="BF122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27" s="17">
        <f>SQRT(Table1347456[[#This Row],[v_from_sd_and_n]])</f>
        <v>0</v>
      </c>
      <c r="BH1227" s="13" t="s">
        <v>50</v>
      </c>
      <c r="BI1227" s="13">
        <v>2.5000000000000001E-2</v>
      </c>
      <c r="BJ1227" s="18">
        <f>ABS(_xlfn.NORM.S.INV(Table1347456[[#This Row],[p_value]]/2))</f>
        <v>2.2414027276049446</v>
      </c>
      <c r="BK1227" s="19">
        <f>(Table1347456[[#This Row],[lnrr]]/Table1347456[[#This Row],[z_from_p]])^2</f>
        <v>6.0278265051644138E-3</v>
      </c>
      <c r="BL1227" s="16">
        <f>(Table1347456[[#This Row],[lnrr]]/Table1347456[[#This Row],[z_from_p]])^2</f>
        <v>6.0278265051644138E-3</v>
      </c>
      <c r="BM1227" s="20">
        <f>SQRT(Table1347456[[#This Row],[v]])</f>
        <v>7.7639078466738731E-2</v>
      </c>
      <c r="BN1227" s="20">
        <f>Table1347456[[#This Row],[lnrr]]-(1.96*Table1347456[[#This Row],[se]])</f>
        <v>2.1847848449274621E-2</v>
      </c>
      <c r="BO1227" s="20">
        <f>Table1347456[[#This Row],[lnrr]]+(1.96 * Table1347456[[#This Row],[se]])</f>
        <v>0.32619303603889044</v>
      </c>
    </row>
    <row r="1228" spans="1:67">
      <c r="A1228" s="13" t="s">
        <v>382</v>
      </c>
      <c r="B1228" s="13" t="s">
        <v>383</v>
      </c>
      <c r="C1228" s="13" t="s">
        <v>43</v>
      </c>
      <c r="D1228" s="13" t="s">
        <v>386</v>
      </c>
      <c r="E1228" s="13" t="s">
        <v>210</v>
      </c>
      <c r="F1228" s="13" t="s">
        <v>588</v>
      </c>
      <c r="G1228" s="13" t="s">
        <v>46</v>
      </c>
      <c r="H1228" s="13">
        <v>25</v>
      </c>
      <c r="I1228" s="13" t="s">
        <v>46</v>
      </c>
      <c r="J1228" s="13" t="s">
        <v>662</v>
      </c>
      <c r="K1228" s="13" t="s">
        <v>934</v>
      </c>
      <c r="L1228" s="13" t="s">
        <v>935</v>
      </c>
      <c r="M1228" s="13" t="s">
        <v>800</v>
      </c>
      <c r="N1228" s="13" t="s">
        <v>317</v>
      </c>
      <c r="O1228" s="13" t="s">
        <v>644</v>
      </c>
      <c r="P1228" s="13" t="s">
        <v>85</v>
      </c>
      <c r="Q1228" s="13" t="s">
        <v>48</v>
      </c>
      <c r="R1228" s="4">
        <v>3</v>
      </c>
      <c r="S1228" s="13" t="s">
        <v>595</v>
      </c>
      <c r="T1228" s="13">
        <v>40</v>
      </c>
      <c r="U1228" s="4" t="s">
        <v>385</v>
      </c>
      <c r="V1228" s="4">
        <v>350</v>
      </c>
      <c r="W1228" s="4" t="s">
        <v>42</v>
      </c>
      <c r="X1228" s="4">
        <v>701</v>
      </c>
      <c r="Y1228" s="4">
        <v>44</v>
      </c>
      <c r="Z1228" s="4" t="s">
        <v>491</v>
      </c>
      <c r="AA1228" s="4" t="s">
        <v>49</v>
      </c>
      <c r="AB1228" s="4">
        <v>0</v>
      </c>
      <c r="AC1228" s="4" t="s">
        <v>49</v>
      </c>
      <c r="AD1228" s="4">
        <v>0</v>
      </c>
      <c r="AE1228" s="4" t="s">
        <v>49</v>
      </c>
      <c r="AF1228" s="4">
        <v>0</v>
      </c>
      <c r="AG1228" s="4" t="s">
        <v>713</v>
      </c>
      <c r="AH1228" s="4" t="s">
        <v>680</v>
      </c>
      <c r="AI1228" s="4" t="s">
        <v>64</v>
      </c>
      <c r="AJ1228" s="13">
        <v>0</v>
      </c>
      <c r="AK1228" s="13">
        <v>20</v>
      </c>
      <c r="AL1228" s="13" t="s">
        <v>557</v>
      </c>
      <c r="AM1228" s="13" t="s">
        <v>558</v>
      </c>
      <c r="AN1228" s="13" t="s">
        <v>559</v>
      </c>
      <c r="AP1228" s="13" t="s">
        <v>49</v>
      </c>
      <c r="AQ1228" s="13" t="s">
        <v>49</v>
      </c>
      <c r="AR1228" s="13" t="s">
        <v>50</v>
      </c>
      <c r="AS1228" s="13" t="s">
        <v>49</v>
      </c>
      <c r="AT1228" s="13" t="s">
        <v>990</v>
      </c>
      <c r="AU1228" s="13" t="s">
        <v>998</v>
      </c>
      <c r="AV1228" s="23">
        <f>722.1/1000</f>
        <v>0.72210000000000008</v>
      </c>
      <c r="AW1228" s="23">
        <f>570.4/1000</f>
        <v>0.57040000000000002</v>
      </c>
      <c r="AX1228" s="14">
        <f>Table1347456[[#This Row],[treatment_mean]]/Table1347456[[#This Row],[control_mean]]</f>
        <v>1.2659537166900421</v>
      </c>
      <c r="AY1228" s="14">
        <f>LN(Table1347456[[#This Row],[rr]])</f>
        <v>0.23582576435704977</v>
      </c>
      <c r="AZ1228" s="13">
        <v>3</v>
      </c>
      <c r="BA1228" s="13">
        <v>3</v>
      </c>
      <c r="BB1228" s="14">
        <v>0</v>
      </c>
      <c r="BC1228" s="14">
        <v>0</v>
      </c>
      <c r="BD1228" s="15">
        <f>Table1347456[[#This Row],[treatment_se]]*SQRT(Table1347456[[#This Row],[treatment_n]])</f>
        <v>0</v>
      </c>
      <c r="BE1228" s="14">
        <f>Table1347456[[#This Row],[control_se]]*SQRT(Table1347456[[#This Row],[control_n]])</f>
        <v>0</v>
      </c>
      <c r="BF122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28" s="17">
        <f>SQRT(Table1347456[[#This Row],[v_from_sd_and_n]])</f>
        <v>0</v>
      </c>
      <c r="BH1228" s="13" t="s">
        <v>50</v>
      </c>
      <c r="BI1228" s="13">
        <v>2.5000000000000001E-2</v>
      </c>
      <c r="BJ1228" s="18">
        <f>ABS(_xlfn.NORM.S.INV(Table1347456[[#This Row],[p_value]]/2))</f>
        <v>2.2414027276049446</v>
      </c>
      <c r="BK1228" s="19">
        <f>(Table1347456[[#This Row],[lnrr]]/Table1347456[[#This Row],[z_from_p]])^2</f>
        <v>1.1069874806282316E-2</v>
      </c>
      <c r="BL1228" s="16">
        <f>(Table1347456[[#This Row],[lnrr]]/Table1347456[[#This Row],[z_from_p]])^2</f>
        <v>1.1069874806282316E-2</v>
      </c>
      <c r="BM1228" s="20">
        <f>SQRT(Table1347456[[#This Row],[v]])</f>
        <v>0.10521347255120095</v>
      </c>
      <c r="BN1228" s="20">
        <f>Table1347456[[#This Row],[lnrr]]-(1.96*Table1347456[[#This Row],[se]])</f>
        <v>2.9607358156695907E-2</v>
      </c>
      <c r="BO1228" s="20">
        <f>Table1347456[[#This Row],[lnrr]]+(1.96 * Table1347456[[#This Row],[se]])</f>
        <v>0.44204417055740364</v>
      </c>
    </row>
    <row r="1229" spans="1:67">
      <c r="A1229" s="13" t="s">
        <v>382</v>
      </c>
      <c r="B1229" s="13" t="s">
        <v>383</v>
      </c>
      <c r="C1229" s="13" t="s">
        <v>43</v>
      </c>
      <c r="D1229" s="13" t="s">
        <v>386</v>
      </c>
      <c r="E1229" s="13" t="s">
        <v>210</v>
      </c>
      <c r="F1229" s="13" t="s">
        <v>588</v>
      </c>
      <c r="G1229" s="13" t="s">
        <v>46</v>
      </c>
      <c r="H1229" s="13">
        <v>25</v>
      </c>
      <c r="I1229" s="13" t="s">
        <v>46</v>
      </c>
      <c r="J1229" s="13" t="s">
        <v>662</v>
      </c>
      <c r="K1229" s="13" t="s">
        <v>934</v>
      </c>
      <c r="L1229" s="13" t="s">
        <v>935</v>
      </c>
      <c r="M1229" s="13" t="s">
        <v>800</v>
      </c>
      <c r="N1229" s="13" t="s">
        <v>317</v>
      </c>
      <c r="O1229" s="13" t="s">
        <v>644</v>
      </c>
      <c r="P1229" s="13" t="s">
        <v>85</v>
      </c>
      <c r="Q1229" s="13" t="s">
        <v>48</v>
      </c>
      <c r="R1229" s="4">
        <v>3</v>
      </c>
      <c r="S1229" s="13" t="s">
        <v>595</v>
      </c>
      <c r="T1229" s="13">
        <v>40</v>
      </c>
      <c r="U1229" s="4" t="s">
        <v>385</v>
      </c>
      <c r="V1229" s="4">
        <v>350</v>
      </c>
      <c r="W1229" s="4" t="s">
        <v>42</v>
      </c>
      <c r="X1229" s="4">
        <v>701</v>
      </c>
      <c r="Y1229" s="4">
        <v>44</v>
      </c>
      <c r="Z1229" s="4" t="s">
        <v>491</v>
      </c>
      <c r="AA1229" s="4" t="s">
        <v>49</v>
      </c>
      <c r="AB1229" s="4">
        <v>0</v>
      </c>
      <c r="AC1229" s="4" t="s">
        <v>49</v>
      </c>
      <c r="AD1229" s="4">
        <v>0</v>
      </c>
      <c r="AE1229" s="4" t="s">
        <v>50</v>
      </c>
      <c r="AF1229" s="4">
        <v>0.02</v>
      </c>
      <c r="AG1229" s="4" t="s">
        <v>713</v>
      </c>
      <c r="AH1229" s="4" t="s">
        <v>680</v>
      </c>
      <c r="AI1229" s="4" t="s">
        <v>64</v>
      </c>
      <c r="AJ1229" s="13">
        <v>0</v>
      </c>
      <c r="AK1229" s="13">
        <v>20</v>
      </c>
      <c r="AL1229" s="13" t="s">
        <v>557</v>
      </c>
      <c r="AM1229" s="13" t="s">
        <v>558</v>
      </c>
      <c r="AN1229" s="13" t="s">
        <v>559</v>
      </c>
      <c r="AP1229" s="13" t="s">
        <v>49</v>
      </c>
      <c r="AQ1229" s="13" t="s">
        <v>49</v>
      </c>
      <c r="AR1229" s="13" t="s">
        <v>50</v>
      </c>
      <c r="AS1229" s="13" t="s">
        <v>49</v>
      </c>
      <c r="AT1229" s="13" t="s">
        <v>995</v>
      </c>
      <c r="AU1229" s="13" t="s">
        <v>1002</v>
      </c>
      <c r="AV1229" s="23">
        <f>708.3/1000</f>
        <v>0.70829999999999993</v>
      </c>
      <c r="AW1229" s="23">
        <f>611.2/1000</f>
        <v>0.61120000000000008</v>
      </c>
      <c r="AX1229" s="14">
        <f>Table1347456[[#This Row],[treatment_mean]]/Table1347456[[#This Row],[control_mean]]</f>
        <v>1.1588678010471201</v>
      </c>
      <c r="AY1229" s="14">
        <f>LN(Table1347456[[#This Row],[rr]])</f>
        <v>0.14744349490726588</v>
      </c>
      <c r="AZ1229" s="13">
        <v>3</v>
      </c>
      <c r="BA1229" s="13">
        <v>3</v>
      </c>
      <c r="BB1229" s="14">
        <v>0</v>
      </c>
      <c r="BC1229" s="14">
        <v>0</v>
      </c>
      <c r="BD1229" s="15">
        <f>Table1347456[[#This Row],[treatment_se]]*SQRT(Table1347456[[#This Row],[treatment_n]])</f>
        <v>0</v>
      </c>
      <c r="BE1229" s="14">
        <f>Table1347456[[#This Row],[control_se]]*SQRT(Table1347456[[#This Row],[control_n]])</f>
        <v>0</v>
      </c>
      <c r="BF122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29" s="17">
        <f>SQRT(Table1347456[[#This Row],[v_from_sd_and_n]])</f>
        <v>0</v>
      </c>
      <c r="BH1229" s="13" t="s">
        <v>50</v>
      </c>
      <c r="BI1229" s="13">
        <v>2.5000000000000001E-2</v>
      </c>
      <c r="BJ1229" s="18">
        <f>ABS(_xlfn.NORM.S.INV(Table1347456[[#This Row],[p_value]]/2))</f>
        <v>2.2414027276049446</v>
      </c>
      <c r="BK1229" s="19">
        <f>(Table1347456[[#This Row],[lnrr]]/Table1347456[[#This Row],[z_from_p]])^2</f>
        <v>4.3272445632547441E-3</v>
      </c>
      <c r="BL1229" s="16">
        <f>(Table1347456[[#This Row],[lnrr]]/Table1347456[[#This Row],[z_from_p]])^2</f>
        <v>4.3272445632547441E-3</v>
      </c>
      <c r="BM1229" s="20">
        <f>SQRT(Table1347456[[#This Row],[v]])</f>
        <v>6.5781795074737387E-2</v>
      </c>
      <c r="BN1229" s="20">
        <f>Table1347456[[#This Row],[lnrr]]-(1.96*Table1347456[[#This Row],[se]])</f>
        <v>1.8511176560780607E-2</v>
      </c>
      <c r="BO1229" s="20">
        <f>Table1347456[[#This Row],[lnrr]]+(1.96 * Table1347456[[#This Row],[se]])</f>
        <v>0.27637581325375116</v>
      </c>
    </row>
    <row r="1230" spans="1:67">
      <c r="A1230" s="13" t="s">
        <v>382</v>
      </c>
      <c r="B1230" s="13" t="s">
        <v>383</v>
      </c>
      <c r="C1230" s="13" t="s">
        <v>43</v>
      </c>
      <c r="D1230" s="13" t="s">
        <v>384</v>
      </c>
      <c r="E1230" s="13" t="s">
        <v>210</v>
      </c>
      <c r="F1230" s="13" t="s">
        <v>588</v>
      </c>
      <c r="G1230" s="13" t="s">
        <v>46</v>
      </c>
      <c r="H1230" s="13">
        <v>25</v>
      </c>
      <c r="I1230" s="13" t="s">
        <v>46</v>
      </c>
      <c r="K1230" s="13" t="s">
        <v>932</v>
      </c>
      <c r="L1230" s="13" t="s">
        <v>933</v>
      </c>
      <c r="N1230" s="13" t="s">
        <v>86</v>
      </c>
      <c r="O1230" s="13" t="s">
        <v>644</v>
      </c>
      <c r="P1230" s="13" t="s">
        <v>87</v>
      </c>
      <c r="Q1230" s="13" t="s">
        <v>48</v>
      </c>
      <c r="R1230" s="4">
        <v>3</v>
      </c>
      <c r="S1230" s="13" t="s">
        <v>595</v>
      </c>
      <c r="T1230" s="13">
        <v>40</v>
      </c>
      <c r="U1230" s="4" t="s">
        <v>385</v>
      </c>
      <c r="V1230" s="4">
        <v>350</v>
      </c>
      <c r="W1230" s="4" t="s">
        <v>42</v>
      </c>
      <c r="X1230" s="4">
        <v>701</v>
      </c>
      <c r="Y1230" s="4">
        <v>44</v>
      </c>
      <c r="Z1230" s="4" t="s">
        <v>491</v>
      </c>
      <c r="AA1230" s="4" t="s">
        <v>49</v>
      </c>
      <c r="AB1230" s="4">
        <v>0</v>
      </c>
      <c r="AC1230" s="4" t="s">
        <v>49</v>
      </c>
      <c r="AD1230" s="4">
        <v>0</v>
      </c>
      <c r="AE1230" s="4" t="s">
        <v>49</v>
      </c>
      <c r="AF1230" s="4">
        <v>0</v>
      </c>
      <c r="AG1230" s="4" t="s">
        <v>713</v>
      </c>
      <c r="AH1230" s="4" t="s">
        <v>711</v>
      </c>
      <c r="AI1230" s="4" t="s">
        <v>78</v>
      </c>
      <c r="AJ1230" s="13">
        <v>0</v>
      </c>
      <c r="AK1230" s="13">
        <v>20</v>
      </c>
      <c r="AL1230" s="13" t="s">
        <v>557</v>
      </c>
      <c r="AM1230" s="13" t="s">
        <v>558</v>
      </c>
      <c r="AN1230" s="13" t="s">
        <v>559</v>
      </c>
      <c r="AP1230" s="13" t="s">
        <v>49</v>
      </c>
      <c r="AQ1230" s="13" t="s">
        <v>49</v>
      </c>
      <c r="AR1230" s="13" t="s">
        <v>50</v>
      </c>
      <c r="AS1230" s="13" t="s">
        <v>49</v>
      </c>
      <c r="AT1230" s="13" t="s">
        <v>990</v>
      </c>
      <c r="AU1230" s="13" t="s">
        <v>998</v>
      </c>
      <c r="AV1230" s="14">
        <f>(1.12*39.1*10)/1000</f>
        <v>0.43792000000000009</v>
      </c>
      <c r="AW1230" s="14">
        <f>(0.42*39.1*10)/1000</f>
        <v>0.16422</v>
      </c>
      <c r="AX1230" s="14">
        <f>Table1347456[[#This Row],[treatment_mean]]/Table1347456[[#This Row],[control_mean]]</f>
        <v>2.666666666666667</v>
      </c>
      <c r="AY1230" s="14">
        <f>LN(Table1347456[[#This Row],[rr]])</f>
        <v>0.9808292530117263</v>
      </c>
      <c r="AZ1230" s="13">
        <v>3</v>
      </c>
      <c r="BA1230" s="13">
        <v>3</v>
      </c>
      <c r="BB1230" s="14">
        <v>0</v>
      </c>
      <c r="BC1230" s="14">
        <v>0</v>
      </c>
      <c r="BD1230" s="15">
        <f>Table1347456[[#This Row],[treatment_se]]*SQRT(Table1347456[[#This Row],[treatment_n]])</f>
        <v>0</v>
      </c>
      <c r="BE1230" s="14">
        <f>Table1347456[[#This Row],[control_se]]*SQRT(Table1347456[[#This Row],[control_n]])</f>
        <v>0</v>
      </c>
      <c r="BF123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30" s="17">
        <f>SQRT(Table1347456[[#This Row],[v_from_sd_and_n]])</f>
        <v>0</v>
      </c>
      <c r="BH1230" s="13" t="s">
        <v>50</v>
      </c>
      <c r="BI1230" s="13">
        <v>2.5000000000000001E-2</v>
      </c>
      <c r="BJ1230" s="18">
        <f>ABS(_xlfn.NORM.S.INV(Table1347456[[#This Row],[p_value]]/2))</f>
        <v>2.2414027276049446</v>
      </c>
      <c r="BK1230" s="19">
        <f>(Table1347456[[#This Row],[lnrr]]/Table1347456[[#This Row],[z_from_p]])^2</f>
        <v>0.19149040955438415</v>
      </c>
      <c r="BL1230" s="16">
        <f>(Table1347456[[#This Row],[lnrr]]/Table1347456[[#This Row],[z_from_p]])^2</f>
        <v>0.19149040955438415</v>
      </c>
      <c r="BM1230" s="20">
        <f>SQRT(Table1347456[[#This Row],[v]])</f>
        <v>0.43759617177756954</v>
      </c>
      <c r="BN1230" s="20">
        <f>Table1347456[[#This Row],[lnrr]]-(1.96*Table1347456[[#This Row],[se]])</f>
        <v>0.12314075632769006</v>
      </c>
      <c r="BO1230" s="20">
        <f>Table1347456[[#This Row],[lnrr]]+(1.96 * Table1347456[[#This Row],[se]])</f>
        <v>1.8385177496957625</v>
      </c>
    </row>
    <row r="1231" spans="1:67">
      <c r="A1231" s="13" t="s">
        <v>382</v>
      </c>
      <c r="B1231" s="13" t="s">
        <v>383</v>
      </c>
      <c r="C1231" s="13" t="s">
        <v>43</v>
      </c>
      <c r="D1231" s="13" t="s">
        <v>384</v>
      </c>
      <c r="E1231" s="13" t="s">
        <v>210</v>
      </c>
      <c r="F1231" s="13" t="s">
        <v>588</v>
      </c>
      <c r="G1231" s="13" t="s">
        <v>46</v>
      </c>
      <c r="H1231" s="13">
        <v>25</v>
      </c>
      <c r="I1231" s="13" t="s">
        <v>46</v>
      </c>
      <c r="K1231" s="13" t="s">
        <v>932</v>
      </c>
      <c r="L1231" s="13" t="s">
        <v>933</v>
      </c>
      <c r="N1231" s="13" t="s">
        <v>86</v>
      </c>
      <c r="O1231" s="13" t="s">
        <v>644</v>
      </c>
      <c r="P1231" s="13" t="s">
        <v>87</v>
      </c>
      <c r="Q1231" s="13" t="s">
        <v>48</v>
      </c>
      <c r="R1231" s="4">
        <v>3</v>
      </c>
      <c r="S1231" s="13" t="s">
        <v>595</v>
      </c>
      <c r="T1231" s="13">
        <v>40</v>
      </c>
      <c r="U1231" s="4" t="s">
        <v>385</v>
      </c>
      <c r="V1231" s="4">
        <v>350</v>
      </c>
      <c r="W1231" s="4" t="s">
        <v>42</v>
      </c>
      <c r="X1231" s="4">
        <v>701</v>
      </c>
      <c r="Y1231" s="4">
        <v>44</v>
      </c>
      <c r="Z1231" s="4" t="s">
        <v>491</v>
      </c>
      <c r="AA1231" s="4" t="s">
        <v>49</v>
      </c>
      <c r="AB1231" s="4">
        <v>0</v>
      </c>
      <c r="AC1231" s="4" t="s">
        <v>49</v>
      </c>
      <c r="AD1231" s="4">
        <v>0</v>
      </c>
      <c r="AE1231" s="4" t="s">
        <v>50</v>
      </c>
      <c r="AF1231" s="4">
        <v>0.02</v>
      </c>
      <c r="AG1231" s="4" t="s">
        <v>713</v>
      </c>
      <c r="AH1231" s="4" t="s">
        <v>711</v>
      </c>
      <c r="AI1231" s="4" t="s">
        <v>78</v>
      </c>
      <c r="AJ1231" s="13">
        <v>0</v>
      </c>
      <c r="AK1231" s="13">
        <v>20</v>
      </c>
      <c r="AL1231" s="13" t="s">
        <v>557</v>
      </c>
      <c r="AM1231" s="13" t="s">
        <v>558</v>
      </c>
      <c r="AN1231" s="13" t="s">
        <v>559</v>
      </c>
      <c r="AP1231" s="13" t="s">
        <v>49</v>
      </c>
      <c r="AQ1231" s="13" t="s">
        <v>49</v>
      </c>
      <c r="AR1231" s="13" t="s">
        <v>50</v>
      </c>
      <c r="AS1231" s="13" t="s">
        <v>49</v>
      </c>
      <c r="AT1231" s="13" t="s">
        <v>995</v>
      </c>
      <c r="AU1231" s="13" t="s">
        <v>1002</v>
      </c>
      <c r="AV1231" s="14">
        <f>(1.35*39.1*10)/1000</f>
        <v>0.52785000000000004</v>
      </c>
      <c r="AW1231" s="14">
        <f>(1.04*39.1*10)/1000</f>
        <v>0.40664</v>
      </c>
      <c r="AX1231" s="14">
        <f>Table1347456[[#This Row],[treatment_mean]]/Table1347456[[#This Row],[control_mean]]</f>
        <v>1.2980769230769231</v>
      </c>
      <c r="AY1231" s="14">
        <f>LN(Table1347456[[#This Row],[rr]])</f>
        <v>0.26088387929705681</v>
      </c>
      <c r="AZ1231" s="13">
        <v>3</v>
      </c>
      <c r="BA1231" s="13">
        <v>3</v>
      </c>
      <c r="BB1231" s="14">
        <v>0</v>
      </c>
      <c r="BC1231" s="14">
        <v>0</v>
      </c>
      <c r="BD1231" s="15">
        <f>Table1347456[[#This Row],[treatment_se]]*SQRT(Table1347456[[#This Row],[treatment_n]])</f>
        <v>0</v>
      </c>
      <c r="BE1231" s="14">
        <f>Table1347456[[#This Row],[control_se]]*SQRT(Table1347456[[#This Row],[control_n]])</f>
        <v>0</v>
      </c>
      <c r="BF123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31" s="17">
        <f>SQRT(Table1347456[[#This Row],[v_from_sd_and_n]])</f>
        <v>0</v>
      </c>
      <c r="BH1231" s="13" t="s">
        <v>50</v>
      </c>
      <c r="BI1231" s="13">
        <v>2.5000000000000001E-2</v>
      </c>
      <c r="BJ1231" s="18">
        <f>ABS(_xlfn.NORM.S.INV(Table1347456[[#This Row],[p_value]]/2))</f>
        <v>2.2414027276049446</v>
      </c>
      <c r="BK1231" s="19">
        <f>(Table1347456[[#This Row],[lnrr]]/Table1347456[[#This Row],[z_from_p]])^2</f>
        <v>1.3547360736182902E-2</v>
      </c>
      <c r="BL1231" s="16">
        <f>(Table1347456[[#This Row],[lnrr]]/Table1347456[[#This Row],[z_from_p]])^2</f>
        <v>1.3547360736182902E-2</v>
      </c>
      <c r="BM1231" s="20">
        <f>SQRT(Table1347456[[#This Row],[v]])</f>
        <v>0.11639313010733453</v>
      </c>
      <c r="BN1231" s="20">
        <f>Table1347456[[#This Row],[lnrr]]-(1.96*Table1347456[[#This Row],[se]])</f>
        <v>3.2753344286681141E-2</v>
      </c>
      <c r="BO1231" s="20">
        <f>Table1347456[[#This Row],[lnrr]]+(1.96 * Table1347456[[#This Row],[se]])</f>
        <v>0.48901441430743248</v>
      </c>
    </row>
    <row r="1232" spans="1:67">
      <c r="A1232" s="13" t="s">
        <v>382</v>
      </c>
      <c r="B1232" s="13" t="s">
        <v>383</v>
      </c>
      <c r="C1232" s="13" t="s">
        <v>43</v>
      </c>
      <c r="D1232" s="13" t="s">
        <v>386</v>
      </c>
      <c r="E1232" s="13" t="s">
        <v>210</v>
      </c>
      <c r="F1232" s="13" t="s">
        <v>588</v>
      </c>
      <c r="G1232" s="13" t="s">
        <v>46</v>
      </c>
      <c r="H1232" s="13">
        <v>25</v>
      </c>
      <c r="I1232" s="13" t="s">
        <v>46</v>
      </c>
      <c r="K1232" s="13" t="s">
        <v>934</v>
      </c>
      <c r="L1232" s="13" t="s">
        <v>935</v>
      </c>
      <c r="N1232" s="13" t="s">
        <v>86</v>
      </c>
      <c r="O1232" s="13" t="s">
        <v>644</v>
      </c>
      <c r="P1232" s="13" t="s">
        <v>87</v>
      </c>
      <c r="Q1232" s="13" t="s">
        <v>48</v>
      </c>
      <c r="R1232" s="4">
        <v>3</v>
      </c>
      <c r="S1232" s="13" t="s">
        <v>595</v>
      </c>
      <c r="T1232" s="13">
        <v>40</v>
      </c>
      <c r="U1232" s="4" t="s">
        <v>385</v>
      </c>
      <c r="V1232" s="4">
        <v>350</v>
      </c>
      <c r="W1232" s="4" t="s">
        <v>42</v>
      </c>
      <c r="X1232" s="4">
        <v>701</v>
      </c>
      <c r="Y1232" s="4">
        <v>44</v>
      </c>
      <c r="Z1232" s="4" t="s">
        <v>491</v>
      </c>
      <c r="AA1232" s="4" t="s">
        <v>49</v>
      </c>
      <c r="AB1232" s="4">
        <v>0</v>
      </c>
      <c r="AC1232" s="4" t="s">
        <v>49</v>
      </c>
      <c r="AD1232" s="4">
        <v>0</v>
      </c>
      <c r="AE1232" s="4" t="s">
        <v>49</v>
      </c>
      <c r="AF1232" s="4">
        <v>0</v>
      </c>
      <c r="AG1232" s="4" t="s">
        <v>713</v>
      </c>
      <c r="AH1232" s="4" t="s">
        <v>680</v>
      </c>
      <c r="AI1232" s="4" t="s">
        <v>64</v>
      </c>
      <c r="AJ1232" s="13">
        <v>0</v>
      </c>
      <c r="AK1232" s="13">
        <v>20</v>
      </c>
      <c r="AL1232" s="13" t="s">
        <v>557</v>
      </c>
      <c r="AM1232" s="13" t="s">
        <v>558</v>
      </c>
      <c r="AN1232" s="13" t="s">
        <v>559</v>
      </c>
      <c r="AP1232" s="13" t="s">
        <v>49</v>
      </c>
      <c r="AQ1232" s="13" t="s">
        <v>49</v>
      </c>
      <c r="AR1232" s="13" t="s">
        <v>50</v>
      </c>
      <c r="AS1232" s="13" t="s">
        <v>49</v>
      </c>
      <c r="AT1232" s="13" t="s">
        <v>990</v>
      </c>
      <c r="AU1232" s="13" t="s">
        <v>998</v>
      </c>
      <c r="AV1232" s="14">
        <f>(1.3*39.1*10)/1000</f>
        <v>0.50830000000000009</v>
      </c>
      <c r="AW1232" s="14">
        <f>(0.15*39.1*10)/1000</f>
        <v>5.8650000000000008E-2</v>
      </c>
      <c r="AX1232" s="14">
        <f>Table1347456[[#This Row],[treatment_mean]]/Table1347456[[#This Row],[control_mean]]</f>
        <v>8.6666666666666679</v>
      </c>
      <c r="AY1232" s="14">
        <f>LN(Table1347456[[#This Row],[rr]])</f>
        <v>2.1594842493533726</v>
      </c>
      <c r="AZ1232" s="13">
        <v>3</v>
      </c>
      <c r="BA1232" s="13">
        <v>3</v>
      </c>
      <c r="BB1232" s="14">
        <v>0</v>
      </c>
      <c r="BC1232" s="14">
        <v>0</v>
      </c>
      <c r="BD1232" s="15">
        <f>Table1347456[[#This Row],[treatment_se]]*SQRT(Table1347456[[#This Row],[treatment_n]])</f>
        <v>0</v>
      </c>
      <c r="BE1232" s="14">
        <f>Table1347456[[#This Row],[control_se]]*SQRT(Table1347456[[#This Row],[control_n]])</f>
        <v>0</v>
      </c>
      <c r="BF123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32" s="17">
        <f>SQRT(Table1347456[[#This Row],[v_from_sd_and_n]])</f>
        <v>0</v>
      </c>
      <c r="BH1232" s="13" t="s">
        <v>50</v>
      </c>
      <c r="BI1232" s="13">
        <v>2.5000000000000001E-2</v>
      </c>
      <c r="BJ1232" s="18">
        <f>ABS(_xlfn.NORM.S.INV(Table1347456[[#This Row],[p_value]]/2))</f>
        <v>2.2414027276049446</v>
      </c>
      <c r="BK1232" s="19">
        <f>(Table1347456[[#This Row],[lnrr]]/Table1347456[[#This Row],[z_from_p]])^2</f>
        <v>0.92824002163507013</v>
      </c>
      <c r="BL1232" s="16">
        <f>(Table1347456[[#This Row],[lnrr]]/Table1347456[[#This Row],[z_from_p]])^2</f>
        <v>0.92824002163507013</v>
      </c>
      <c r="BM1232" s="20">
        <f>SQRT(Table1347456[[#This Row],[v]])</f>
        <v>0.96345213769811633</v>
      </c>
      <c r="BN1232" s="20">
        <f>Table1347456[[#This Row],[lnrr]]-(1.96*Table1347456[[#This Row],[se]])</f>
        <v>0.27111805946506462</v>
      </c>
      <c r="BO1232" s="20">
        <f>Table1347456[[#This Row],[lnrr]]+(1.96 * Table1347456[[#This Row],[se]])</f>
        <v>4.0478504392416808</v>
      </c>
    </row>
    <row r="1233" spans="1:67">
      <c r="A1233" s="13" t="s">
        <v>382</v>
      </c>
      <c r="B1233" s="13" t="s">
        <v>383</v>
      </c>
      <c r="C1233" s="13" t="s">
        <v>43</v>
      </c>
      <c r="D1233" s="13" t="s">
        <v>386</v>
      </c>
      <c r="E1233" s="13" t="s">
        <v>210</v>
      </c>
      <c r="F1233" s="13" t="s">
        <v>588</v>
      </c>
      <c r="G1233" s="13" t="s">
        <v>46</v>
      </c>
      <c r="H1233" s="13">
        <v>25</v>
      </c>
      <c r="I1233" s="13" t="s">
        <v>46</v>
      </c>
      <c r="K1233" s="13" t="s">
        <v>934</v>
      </c>
      <c r="L1233" s="13" t="s">
        <v>935</v>
      </c>
      <c r="N1233" s="13" t="s">
        <v>86</v>
      </c>
      <c r="O1233" s="13" t="s">
        <v>644</v>
      </c>
      <c r="P1233" s="13" t="s">
        <v>87</v>
      </c>
      <c r="Q1233" s="13" t="s">
        <v>48</v>
      </c>
      <c r="R1233" s="4">
        <v>3</v>
      </c>
      <c r="S1233" s="13" t="s">
        <v>595</v>
      </c>
      <c r="T1233" s="13">
        <v>40</v>
      </c>
      <c r="U1233" s="4" t="s">
        <v>385</v>
      </c>
      <c r="V1233" s="4">
        <v>350</v>
      </c>
      <c r="W1233" s="4" t="s">
        <v>42</v>
      </c>
      <c r="X1233" s="4">
        <v>701</v>
      </c>
      <c r="Y1233" s="4">
        <v>44</v>
      </c>
      <c r="Z1233" s="4" t="s">
        <v>491</v>
      </c>
      <c r="AA1233" s="4" t="s">
        <v>49</v>
      </c>
      <c r="AB1233" s="4">
        <v>0</v>
      </c>
      <c r="AC1233" s="4" t="s">
        <v>49</v>
      </c>
      <c r="AD1233" s="4">
        <v>0</v>
      </c>
      <c r="AE1233" s="4" t="s">
        <v>50</v>
      </c>
      <c r="AF1233" s="4">
        <v>0.02</v>
      </c>
      <c r="AG1233" s="4" t="s">
        <v>713</v>
      </c>
      <c r="AH1233" s="4" t="s">
        <v>680</v>
      </c>
      <c r="AI1233" s="4" t="s">
        <v>64</v>
      </c>
      <c r="AJ1233" s="13">
        <v>0</v>
      </c>
      <c r="AK1233" s="13">
        <v>20</v>
      </c>
      <c r="AL1233" s="13" t="s">
        <v>557</v>
      </c>
      <c r="AM1233" s="13" t="s">
        <v>558</v>
      </c>
      <c r="AN1233" s="13" t="s">
        <v>559</v>
      </c>
      <c r="AP1233" s="13" t="s">
        <v>49</v>
      </c>
      <c r="AQ1233" s="13" t="s">
        <v>49</v>
      </c>
      <c r="AR1233" s="13" t="s">
        <v>50</v>
      </c>
      <c r="AS1233" s="13" t="s">
        <v>49</v>
      </c>
      <c r="AT1233" s="13" t="s">
        <v>995</v>
      </c>
      <c r="AU1233" s="13" t="s">
        <v>1002</v>
      </c>
      <c r="AV1233" s="14">
        <f>(0.81*39.1*10)/1000</f>
        <v>0.31671000000000005</v>
      </c>
      <c r="AW1233" s="14">
        <f>(0.68*39.1*10)/1000</f>
        <v>0.26588000000000006</v>
      </c>
      <c r="AX1233" s="14">
        <f>Table1347456[[#This Row],[treatment_mean]]/Table1347456[[#This Row],[control_mean]]</f>
        <v>1.1911764705882353</v>
      </c>
      <c r="AY1233" s="14">
        <f>LN(Table1347456[[#This Row],[rr]])</f>
        <v>0.17494144949633206</v>
      </c>
      <c r="AZ1233" s="13">
        <v>3</v>
      </c>
      <c r="BA1233" s="13">
        <v>3</v>
      </c>
      <c r="BB1233" s="14">
        <v>0</v>
      </c>
      <c r="BC1233" s="14">
        <v>0</v>
      </c>
      <c r="BD1233" s="15">
        <f>Table1347456[[#This Row],[treatment_se]]*SQRT(Table1347456[[#This Row],[treatment_n]])</f>
        <v>0</v>
      </c>
      <c r="BE1233" s="14">
        <f>Table1347456[[#This Row],[control_se]]*SQRT(Table1347456[[#This Row],[control_n]])</f>
        <v>0</v>
      </c>
      <c r="BF123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33" s="17">
        <f>SQRT(Table1347456[[#This Row],[v_from_sd_and_n]])</f>
        <v>0</v>
      </c>
      <c r="BH1233" s="13" t="s">
        <v>50</v>
      </c>
      <c r="BI1233" s="13">
        <v>2.5000000000000001E-2</v>
      </c>
      <c r="BJ1233" s="18">
        <f>ABS(_xlfn.NORM.S.INV(Table1347456[[#This Row],[p_value]]/2))</f>
        <v>2.2414027276049446</v>
      </c>
      <c r="BK1233" s="19">
        <f>(Table1347456[[#This Row],[lnrr]]/Table1347456[[#This Row],[z_from_p]])^2</f>
        <v>6.0918001743655893E-3</v>
      </c>
      <c r="BL1233" s="16">
        <f>(Table1347456[[#This Row],[lnrr]]/Table1347456[[#This Row],[z_from_p]])^2</f>
        <v>6.0918001743655893E-3</v>
      </c>
      <c r="BM1233" s="20">
        <f>SQRT(Table1347456[[#This Row],[v]])</f>
        <v>7.8049985101635924E-2</v>
      </c>
      <c r="BN1233" s="20">
        <f>Table1347456[[#This Row],[lnrr]]-(1.96*Table1347456[[#This Row],[se]])</f>
        <v>2.1963478697125643E-2</v>
      </c>
      <c r="BO1233" s="20">
        <f>Table1347456[[#This Row],[lnrr]]+(1.96 * Table1347456[[#This Row],[se]])</f>
        <v>0.32791942029553844</v>
      </c>
    </row>
    <row r="1234" spans="1:67">
      <c r="A1234" s="13" t="s">
        <v>382</v>
      </c>
      <c r="B1234" s="13" t="s">
        <v>383</v>
      </c>
      <c r="C1234" s="13" t="s">
        <v>43</v>
      </c>
      <c r="D1234" s="13" t="s">
        <v>384</v>
      </c>
      <c r="E1234" s="13" t="s">
        <v>210</v>
      </c>
      <c r="F1234" s="13" t="s">
        <v>588</v>
      </c>
      <c r="G1234" s="13" t="s">
        <v>46</v>
      </c>
      <c r="H1234" s="13">
        <v>25</v>
      </c>
      <c r="I1234" s="13" t="s">
        <v>46</v>
      </c>
      <c r="K1234" s="13" t="s">
        <v>932</v>
      </c>
      <c r="L1234" s="13" t="s">
        <v>933</v>
      </c>
      <c r="N1234" s="13" t="s">
        <v>614</v>
      </c>
      <c r="O1234" s="13" t="s">
        <v>614</v>
      </c>
      <c r="P1234" s="13" t="s">
        <v>87</v>
      </c>
      <c r="Q1234" s="13" t="s">
        <v>87</v>
      </c>
      <c r="R1234" s="4">
        <v>3</v>
      </c>
      <c r="S1234" s="13" t="s">
        <v>595</v>
      </c>
      <c r="T1234" s="13">
        <v>40</v>
      </c>
      <c r="U1234" s="4" t="s">
        <v>385</v>
      </c>
      <c r="V1234" s="4">
        <v>350</v>
      </c>
      <c r="W1234" s="4" t="s">
        <v>42</v>
      </c>
      <c r="X1234" s="4">
        <v>701</v>
      </c>
      <c r="Y1234" s="4">
        <v>44</v>
      </c>
      <c r="Z1234" s="4" t="s">
        <v>491</v>
      </c>
      <c r="AA1234" s="4" t="s">
        <v>49</v>
      </c>
      <c r="AB1234" s="4">
        <v>0</v>
      </c>
      <c r="AC1234" s="4" t="s">
        <v>49</v>
      </c>
      <c r="AD1234" s="4">
        <v>0</v>
      </c>
      <c r="AE1234" s="4" t="s">
        <v>49</v>
      </c>
      <c r="AF1234" s="4">
        <v>0</v>
      </c>
      <c r="AG1234" s="4" t="s">
        <v>713</v>
      </c>
      <c r="AH1234" s="4" t="s">
        <v>711</v>
      </c>
      <c r="AI1234" s="4" t="s">
        <v>78</v>
      </c>
      <c r="AJ1234" s="13">
        <v>0</v>
      </c>
      <c r="AK1234" s="13">
        <v>20</v>
      </c>
      <c r="AL1234" s="13" t="s">
        <v>557</v>
      </c>
      <c r="AM1234" s="13" t="s">
        <v>558</v>
      </c>
      <c r="AN1234" s="13" t="s">
        <v>559</v>
      </c>
      <c r="AP1234" s="13" t="s">
        <v>49</v>
      </c>
      <c r="AQ1234" s="13" t="s">
        <v>49</v>
      </c>
      <c r="AR1234" s="13" t="s">
        <v>50</v>
      </c>
      <c r="AS1234" s="13" t="s">
        <v>49</v>
      </c>
      <c r="AT1234" s="13" t="s">
        <v>990</v>
      </c>
      <c r="AU1234" s="13" t="s">
        <v>998</v>
      </c>
      <c r="AV1234" s="14">
        <v>5.08</v>
      </c>
      <c r="AW1234" s="14">
        <v>4.26</v>
      </c>
      <c r="AX1234" s="14">
        <f>Table1347456[[#This Row],[treatment_mean]]/Table1347456[[#This Row],[control_mean]]</f>
        <v>1.1924882629107982</v>
      </c>
      <c r="AY1234" s="14">
        <f>LN(Table1347456[[#This Row],[rr]])</f>
        <v>0.17604210130911158</v>
      </c>
      <c r="AZ1234" s="13">
        <v>3</v>
      </c>
      <c r="BA1234" s="13">
        <v>3</v>
      </c>
      <c r="BB1234" s="14">
        <v>0</v>
      </c>
      <c r="BC1234" s="14">
        <v>0</v>
      </c>
      <c r="BD1234" s="15">
        <f>Table1347456[[#This Row],[treatment_se]]*SQRT(Table1347456[[#This Row],[treatment_n]])</f>
        <v>0</v>
      </c>
      <c r="BE1234" s="14">
        <f>Table1347456[[#This Row],[control_se]]*SQRT(Table1347456[[#This Row],[control_n]])</f>
        <v>0</v>
      </c>
      <c r="BF123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34" s="17">
        <f>SQRT(Table1347456[[#This Row],[v_from_sd_and_n]])</f>
        <v>0</v>
      </c>
      <c r="BH1234" s="13" t="s">
        <v>50</v>
      </c>
      <c r="BI1234" s="13">
        <v>2.5000000000000001E-2</v>
      </c>
      <c r="BJ1234" s="18">
        <f>ABS(_xlfn.NORM.S.INV(Table1347456[[#This Row],[p_value]]/2))</f>
        <v>2.2414027276049446</v>
      </c>
      <c r="BK1234" s="19">
        <f>(Table1347456[[#This Row],[lnrr]]/Table1347456[[#This Row],[z_from_p]])^2</f>
        <v>6.1686949659763611E-3</v>
      </c>
      <c r="BL1234" s="16">
        <f>(Table1347456[[#This Row],[lnrr]]/Table1347456[[#This Row],[z_from_p]])^2</f>
        <v>6.1686949659763611E-3</v>
      </c>
      <c r="BM1234" s="20">
        <f>SQRT(Table1347456[[#This Row],[v]])</f>
        <v>7.8541040010789015E-2</v>
      </c>
      <c r="BN1234" s="20">
        <f>Table1347456[[#This Row],[lnrr]]-(1.96*Table1347456[[#This Row],[se]])</f>
        <v>2.2101662887965112E-2</v>
      </c>
      <c r="BO1234" s="20">
        <f>Table1347456[[#This Row],[lnrr]]+(1.96 * Table1347456[[#This Row],[se]])</f>
        <v>0.32998253973025804</v>
      </c>
    </row>
    <row r="1235" spans="1:67">
      <c r="A1235" s="13" t="s">
        <v>382</v>
      </c>
      <c r="B1235" s="13" t="s">
        <v>383</v>
      </c>
      <c r="C1235" s="13" t="s">
        <v>43</v>
      </c>
      <c r="D1235" s="13" t="s">
        <v>384</v>
      </c>
      <c r="E1235" s="13" t="s">
        <v>210</v>
      </c>
      <c r="F1235" s="13" t="s">
        <v>588</v>
      </c>
      <c r="G1235" s="13" t="s">
        <v>46</v>
      </c>
      <c r="H1235" s="13">
        <v>25</v>
      </c>
      <c r="I1235" s="13" t="s">
        <v>46</v>
      </c>
      <c r="K1235" s="13" t="s">
        <v>932</v>
      </c>
      <c r="L1235" s="13" t="s">
        <v>933</v>
      </c>
      <c r="N1235" s="13" t="s">
        <v>614</v>
      </c>
      <c r="O1235" s="13" t="s">
        <v>614</v>
      </c>
      <c r="P1235" s="13" t="s">
        <v>87</v>
      </c>
      <c r="Q1235" s="13" t="s">
        <v>87</v>
      </c>
      <c r="R1235" s="4">
        <v>3</v>
      </c>
      <c r="S1235" s="13" t="s">
        <v>595</v>
      </c>
      <c r="T1235" s="13">
        <v>40</v>
      </c>
      <c r="U1235" s="4" t="s">
        <v>385</v>
      </c>
      <c r="V1235" s="4">
        <v>350</v>
      </c>
      <c r="W1235" s="4" t="s">
        <v>42</v>
      </c>
      <c r="X1235" s="4">
        <v>701</v>
      </c>
      <c r="Y1235" s="4">
        <v>44</v>
      </c>
      <c r="Z1235" s="4" t="s">
        <v>491</v>
      </c>
      <c r="AA1235" s="4" t="s">
        <v>49</v>
      </c>
      <c r="AB1235" s="4">
        <v>0</v>
      </c>
      <c r="AC1235" s="4" t="s">
        <v>49</v>
      </c>
      <c r="AD1235" s="4">
        <v>0</v>
      </c>
      <c r="AE1235" s="4" t="s">
        <v>50</v>
      </c>
      <c r="AF1235" s="4">
        <v>0.02</v>
      </c>
      <c r="AG1235" s="4" t="s">
        <v>713</v>
      </c>
      <c r="AH1235" s="4" t="s">
        <v>711</v>
      </c>
      <c r="AI1235" s="4" t="s">
        <v>78</v>
      </c>
      <c r="AJ1235" s="13">
        <v>0</v>
      </c>
      <c r="AK1235" s="13">
        <v>20</v>
      </c>
      <c r="AL1235" s="13" t="s">
        <v>557</v>
      </c>
      <c r="AM1235" s="13" t="s">
        <v>558</v>
      </c>
      <c r="AN1235" s="13" t="s">
        <v>559</v>
      </c>
      <c r="AP1235" s="13" t="s">
        <v>49</v>
      </c>
      <c r="AQ1235" s="13" t="s">
        <v>49</v>
      </c>
      <c r="AR1235" s="13" t="s">
        <v>50</v>
      </c>
      <c r="AS1235" s="13" t="s">
        <v>49</v>
      </c>
      <c r="AT1235" s="13" t="s">
        <v>995</v>
      </c>
      <c r="AU1235" s="13" t="s">
        <v>1002</v>
      </c>
      <c r="AV1235" s="14">
        <v>8.56</v>
      </c>
      <c r="AW1235" s="14">
        <v>8.4499999999999993</v>
      </c>
      <c r="AX1235" s="14">
        <f>Table1347456[[#This Row],[treatment_mean]]/Table1347456[[#This Row],[control_mean]]</f>
        <v>1.0130177514792902</v>
      </c>
      <c r="AY1235" s="14">
        <f>LN(Table1347456[[#This Row],[rr]])</f>
        <v>1.2933748784568495E-2</v>
      </c>
      <c r="AZ1235" s="13">
        <v>3</v>
      </c>
      <c r="BA1235" s="13">
        <v>3</v>
      </c>
      <c r="BB1235" s="14">
        <v>0</v>
      </c>
      <c r="BC1235" s="14">
        <v>0</v>
      </c>
      <c r="BD1235" s="15">
        <f>Table1347456[[#This Row],[treatment_se]]*SQRT(Table1347456[[#This Row],[treatment_n]])</f>
        <v>0</v>
      </c>
      <c r="BE1235" s="14">
        <f>Table1347456[[#This Row],[control_se]]*SQRT(Table1347456[[#This Row],[control_n]])</f>
        <v>0</v>
      </c>
      <c r="BF123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35" s="17">
        <f>SQRT(Table1347456[[#This Row],[v_from_sd_and_n]])</f>
        <v>0</v>
      </c>
      <c r="BH1235" s="13" t="s">
        <v>50</v>
      </c>
      <c r="BI1235" s="13">
        <v>2.5000000000000001E-2</v>
      </c>
      <c r="BJ1235" s="18">
        <f>ABS(_xlfn.NORM.S.INV(Table1347456[[#This Row],[p_value]]/2))</f>
        <v>2.2414027276049446</v>
      </c>
      <c r="BK1235" s="19">
        <f>(Table1347456[[#This Row],[lnrr]]/Table1347456[[#This Row],[z_from_p]])^2</f>
        <v>3.329730240400491E-5</v>
      </c>
      <c r="BL1235" s="16">
        <f>(Table1347456[[#This Row],[lnrr]]/Table1347456[[#This Row],[z_from_p]])^2</f>
        <v>3.329730240400491E-5</v>
      </c>
      <c r="BM1235" s="20">
        <f>SQRT(Table1347456[[#This Row],[v]])</f>
        <v>5.7703814782044446E-3</v>
      </c>
      <c r="BN1235" s="20">
        <f>Table1347456[[#This Row],[lnrr]]-(1.96*Table1347456[[#This Row],[se]])</f>
        <v>1.623801087287784E-3</v>
      </c>
      <c r="BO1235" s="20">
        <f>Table1347456[[#This Row],[lnrr]]+(1.96 * Table1347456[[#This Row],[se]])</f>
        <v>2.4243696481849208E-2</v>
      </c>
    </row>
    <row r="1236" spans="1:67">
      <c r="A1236" s="13" t="s">
        <v>382</v>
      </c>
      <c r="B1236" s="13" t="s">
        <v>383</v>
      </c>
      <c r="C1236" s="13" t="s">
        <v>43</v>
      </c>
      <c r="D1236" s="13" t="s">
        <v>386</v>
      </c>
      <c r="E1236" s="13" t="s">
        <v>210</v>
      </c>
      <c r="F1236" s="13" t="s">
        <v>588</v>
      </c>
      <c r="G1236" s="13" t="s">
        <v>46</v>
      </c>
      <c r="H1236" s="13">
        <v>25</v>
      </c>
      <c r="I1236" s="13" t="s">
        <v>46</v>
      </c>
      <c r="K1236" s="13" t="s">
        <v>934</v>
      </c>
      <c r="L1236" s="13" t="s">
        <v>935</v>
      </c>
      <c r="N1236" s="13" t="s">
        <v>614</v>
      </c>
      <c r="O1236" s="13" t="s">
        <v>614</v>
      </c>
      <c r="P1236" s="13" t="s">
        <v>87</v>
      </c>
      <c r="Q1236" s="13" t="s">
        <v>87</v>
      </c>
      <c r="R1236" s="4">
        <v>3</v>
      </c>
      <c r="S1236" s="13" t="s">
        <v>595</v>
      </c>
      <c r="T1236" s="13">
        <v>40</v>
      </c>
      <c r="U1236" s="4" t="s">
        <v>385</v>
      </c>
      <c r="V1236" s="4">
        <v>350</v>
      </c>
      <c r="W1236" s="4" t="s">
        <v>42</v>
      </c>
      <c r="X1236" s="4">
        <v>701</v>
      </c>
      <c r="Y1236" s="4">
        <v>44</v>
      </c>
      <c r="Z1236" s="4" t="s">
        <v>491</v>
      </c>
      <c r="AA1236" s="4" t="s">
        <v>49</v>
      </c>
      <c r="AB1236" s="4">
        <v>0</v>
      </c>
      <c r="AC1236" s="4" t="s">
        <v>49</v>
      </c>
      <c r="AD1236" s="4">
        <v>0</v>
      </c>
      <c r="AE1236" s="4" t="s">
        <v>49</v>
      </c>
      <c r="AF1236" s="4">
        <v>0</v>
      </c>
      <c r="AG1236" s="4" t="s">
        <v>713</v>
      </c>
      <c r="AH1236" s="4" t="s">
        <v>680</v>
      </c>
      <c r="AI1236" s="4" t="s">
        <v>64</v>
      </c>
      <c r="AJ1236" s="13">
        <v>0</v>
      </c>
      <c r="AK1236" s="13">
        <v>20</v>
      </c>
      <c r="AL1236" s="13" t="s">
        <v>557</v>
      </c>
      <c r="AM1236" s="13" t="s">
        <v>558</v>
      </c>
      <c r="AN1236" s="13" t="s">
        <v>559</v>
      </c>
      <c r="AP1236" s="13" t="s">
        <v>49</v>
      </c>
      <c r="AQ1236" s="13" t="s">
        <v>49</v>
      </c>
      <c r="AR1236" s="13" t="s">
        <v>50</v>
      </c>
      <c r="AS1236" s="13" t="s">
        <v>49</v>
      </c>
      <c r="AT1236" s="13" t="s">
        <v>990</v>
      </c>
      <c r="AU1236" s="13" t="s">
        <v>998</v>
      </c>
      <c r="AV1236" s="14">
        <v>3.84</v>
      </c>
      <c r="AW1236" s="14">
        <v>2.52</v>
      </c>
      <c r="AX1236" s="14">
        <f>Table1347456[[#This Row],[treatment_mean]]/Table1347456[[#This Row],[control_mean]]</f>
        <v>1.5238095238095237</v>
      </c>
      <c r="AY1236" s="14">
        <f>LN(Table1347456[[#This Row],[rr]])</f>
        <v>0.42121346507630347</v>
      </c>
      <c r="AZ1236" s="13">
        <v>3</v>
      </c>
      <c r="BA1236" s="13">
        <v>3</v>
      </c>
      <c r="BB1236" s="14">
        <v>0</v>
      </c>
      <c r="BC1236" s="14">
        <v>0</v>
      </c>
      <c r="BD1236" s="15">
        <f>Table1347456[[#This Row],[treatment_se]]*SQRT(Table1347456[[#This Row],[treatment_n]])</f>
        <v>0</v>
      </c>
      <c r="BE1236" s="14">
        <f>Table1347456[[#This Row],[control_se]]*SQRT(Table1347456[[#This Row],[control_n]])</f>
        <v>0</v>
      </c>
      <c r="BF123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36" s="17">
        <f>SQRT(Table1347456[[#This Row],[v_from_sd_and_n]])</f>
        <v>0</v>
      </c>
      <c r="BH1236" s="13" t="s">
        <v>50</v>
      </c>
      <c r="BI1236" s="13">
        <v>2.5000000000000001E-2</v>
      </c>
      <c r="BJ1236" s="18">
        <f>ABS(_xlfn.NORM.S.INV(Table1347456[[#This Row],[p_value]]/2))</f>
        <v>2.2414027276049446</v>
      </c>
      <c r="BK1236" s="19">
        <f>(Table1347456[[#This Row],[lnrr]]/Table1347456[[#This Row],[z_from_p]])^2</f>
        <v>3.5315446358949537E-2</v>
      </c>
      <c r="BL1236" s="16">
        <f>(Table1347456[[#This Row],[lnrr]]/Table1347456[[#This Row],[z_from_p]])^2</f>
        <v>3.5315446358949537E-2</v>
      </c>
      <c r="BM1236" s="20">
        <f>SQRT(Table1347456[[#This Row],[v]])</f>
        <v>0.18792404412142033</v>
      </c>
      <c r="BN1236" s="20">
        <f>Table1347456[[#This Row],[lnrr]]-(1.96*Table1347456[[#This Row],[se]])</f>
        <v>5.2882338598319645E-2</v>
      </c>
      <c r="BO1236" s="20">
        <f>Table1347456[[#This Row],[lnrr]]+(1.96 * Table1347456[[#This Row],[se]])</f>
        <v>0.78954459155428736</v>
      </c>
    </row>
    <row r="1237" spans="1:67">
      <c r="A1237" s="13" t="s">
        <v>382</v>
      </c>
      <c r="B1237" s="13" t="s">
        <v>383</v>
      </c>
      <c r="C1237" s="13" t="s">
        <v>43</v>
      </c>
      <c r="D1237" s="13" t="s">
        <v>386</v>
      </c>
      <c r="E1237" s="13" t="s">
        <v>210</v>
      </c>
      <c r="F1237" s="13" t="s">
        <v>588</v>
      </c>
      <c r="G1237" s="13" t="s">
        <v>46</v>
      </c>
      <c r="H1237" s="13">
        <v>25</v>
      </c>
      <c r="I1237" s="13" t="s">
        <v>46</v>
      </c>
      <c r="K1237" s="13" t="s">
        <v>934</v>
      </c>
      <c r="L1237" s="13" t="s">
        <v>935</v>
      </c>
      <c r="N1237" s="13" t="s">
        <v>614</v>
      </c>
      <c r="O1237" s="13" t="s">
        <v>614</v>
      </c>
      <c r="P1237" s="13" t="s">
        <v>87</v>
      </c>
      <c r="Q1237" s="13" t="s">
        <v>87</v>
      </c>
      <c r="R1237" s="4">
        <v>3</v>
      </c>
      <c r="S1237" s="13" t="s">
        <v>595</v>
      </c>
      <c r="T1237" s="13">
        <v>40</v>
      </c>
      <c r="U1237" s="4" t="s">
        <v>385</v>
      </c>
      <c r="V1237" s="4">
        <v>350</v>
      </c>
      <c r="W1237" s="4" t="s">
        <v>42</v>
      </c>
      <c r="X1237" s="4">
        <v>701</v>
      </c>
      <c r="Y1237" s="4">
        <v>44</v>
      </c>
      <c r="Z1237" s="4" t="s">
        <v>491</v>
      </c>
      <c r="AA1237" s="4" t="s">
        <v>49</v>
      </c>
      <c r="AB1237" s="4">
        <v>0</v>
      </c>
      <c r="AC1237" s="4" t="s">
        <v>49</v>
      </c>
      <c r="AD1237" s="4">
        <v>0</v>
      </c>
      <c r="AE1237" s="4" t="s">
        <v>50</v>
      </c>
      <c r="AF1237" s="4">
        <v>0.02</v>
      </c>
      <c r="AG1237" s="4" t="s">
        <v>713</v>
      </c>
      <c r="AH1237" s="4" t="s">
        <v>680</v>
      </c>
      <c r="AI1237" s="4" t="s">
        <v>64</v>
      </c>
      <c r="AJ1237" s="13">
        <v>0</v>
      </c>
      <c r="AK1237" s="13">
        <v>20</v>
      </c>
      <c r="AL1237" s="13" t="s">
        <v>557</v>
      </c>
      <c r="AM1237" s="13" t="s">
        <v>558</v>
      </c>
      <c r="AN1237" s="13" t="s">
        <v>559</v>
      </c>
      <c r="AP1237" s="13" t="s">
        <v>49</v>
      </c>
      <c r="AQ1237" s="13" t="s">
        <v>49</v>
      </c>
      <c r="AR1237" s="13" t="s">
        <v>50</v>
      </c>
      <c r="AS1237" s="13" t="s">
        <v>49</v>
      </c>
      <c r="AT1237" s="13" t="s">
        <v>995</v>
      </c>
      <c r="AU1237" s="13" t="s">
        <v>1002</v>
      </c>
      <c r="AV1237" s="14">
        <v>5.25</v>
      </c>
      <c r="AW1237" s="14">
        <v>6.64</v>
      </c>
      <c r="AX1237" s="14">
        <f>Table1347456[[#This Row],[treatment_mean]]/Table1347456[[#This Row],[control_mean]]</f>
        <v>0.7906626506024097</v>
      </c>
      <c r="AY1237" s="14">
        <f>LN(Table1347456[[#This Row],[rr]])</f>
        <v>-0.23488388688481002</v>
      </c>
      <c r="AZ1237" s="13">
        <v>3</v>
      </c>
      <c r="BA1237" s="13">
        <v>3</v>
      </c>
      <c r="BB1237" s="14">
        <v>0</v>
      </c>
      <c r="BC1237" s="14">
        <v>0</v>
      </c>
      <c r="BD1237" s="15">
        <f>Table1347456[[#This Row],[treatment_se]]*SQRT(Table1347456[[#This Row],[treatment_n]])</f>
        <v>0</v>
      </c>
      <c r="BE1237" s="14">
        <f>Table1347456[[#This Row],[control_se]]*SQRT(Table1347456[[#This Row],[control_n]])</f>
        <v>0</v>
      </c>
      <c r="BF123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37" s="17">
        <f>SQRT(Table1347456[[#This Row],[v_from_sd_and_n]])</f>
        <v>0</v>
      </c>
      <c r="BH1237" s="13" t="s">
        <v>50</v>
      </c>
      <c r="BI1237" s="13">
        <v>2.5000000000000001E-2</v>
      </c>
      <c r="BJ1237" s="18">
        <f>ABS(_xlfn.NORM.S.INV(Table1347456[[#This Row],[p_value]]/2))</f>
        <v>2.2414027276049446</v>
      </c>
      <c r="BK1237" s="19">
        <f>(Table1347456[[#This Row],[lnrr]]/Table1347456[[#This Row],[z_from_p]])^2</f>
        <v>1.0981626227405275E-2</v>
      </c>
      <c r="BL1237" s="16">
        <f>(Table1347456[[#This Row],[lnrr]]/Table1347456[[#This Row],[z_from_p]])^2</f>
        <v>1.0981626227405275E-2</v>
      </c>
      <c r="BM1237" s="20">
        <f>SQRT(Table1347456[[#This Row],[v]])</f>
        <v>0.10479325468466601</v>
      </c>
      <c r="BN1237" s="20">
        <f>Table1347456[[#This Row],[lnrr]]-(1.96*Table1347456[[#This Row],[se]])</f>
        <v>-0.44027866606675536</v>
      </c>
      <c r="BO1237" s="20">
        <f>Table1347456[[#This Row],[lnrr]]+(1.96 * Table1347456[[#This Row],[se]])</f>
        <v>-2.9489107702864642E-2</v>
      </c>
    </row>
    <row r="1238" spans="1:67">
      <c r="A1238" s="13" t="s">
        <v>387</v>
      </c>
      <c r="B1238" s="13" t="s">
        <v>388</v>
      </c>
      <c r="C1238" s="13" t="s">
        <v>43</v>
      </c>
      <c r="D1238" s="13" t="s">
        <v>46</v>
      </c>
      <c r="E1238" s="13" t="s">
        <v>267</v>
      </c>
      <c r="F1238" s="13" t="s">
        <v>587</v>
      </c>
      <c r="G1238" s="13" t="s">
        <v>46</v>
      </c>
      <c r="H1238" s="13">
        <v>25</v>
      </c>
      <c r="I1238" s="13" t="s">
        <v>46</v>
      </c>
      <c r="K1238" s="13" t="s">
        <v>936</v>
      </c>
      <c r="L1238" s="13" t="s">
        <v>937</v>
      </c>
      <c r="N1238" s="13" t="s">
        <v>47</v>
      </c>
      <c r="O1238" s="13" t="s">
        <v>645</v>
      </c>
      <c r="P1238" s="13" t="s">
        <v>422</v>
      </c>
      <c r="Q1238" s="13" t="s">
        <v>48</v>
      </c>
      <c r="R1238" s="4">
        <v>3</v>
      </c>
      <c r="S1238" s="13" t="s">
        <v>595</v>
      </c>
      <c r="T1238" s="13">
        <v>70</v>
      </c>
      <c r="U1238" s="4" t="s">
        <v>389</v>
      </c>
      <c r="V1238" s="4">
        <v>400</v>
      </c>
      <c r="W1238" s="4" t="s">
        <v>42</v>
      </c>
      <c r="X1238" s="4">
        <v>760</v>
      </c>
      <c r="Y1238" s="4">
        <v>56</v>
      </c>
      <c r="Z1238" s="4" t="s">
        <v>491</v>
      </c>
      <c r="AA1238" s="4" t="s">
        <v>49</v>
      </c>
      <c r="AB1238" s="4">
        <v>0</v>
      </c>
      <c r="AC1238" s="4" t="s">
        <v>49</v>
      </c>
      <c r="AD1238" s="4">
        <v>0</v>
      </c>
      <c r="AE1238" s="4" t="s">
        <v>49</v>
      </c>
      <c r="AF1238" s="4">
        <v>0</v>
      </c>
      <c r="AG1238" s="4" t="s">
        <v>691</v>
      </c>
      <c r="AH1238" s="4" t="s">
        <v>764</v>
      </c>
      <c r="AI1238" s="4" t="s">
        <v>64</v>
      </c>
      <c r="AJ1238" s="13">
        <v>0</v>
      </c>
      <c r="AK1238" s="13">
        <v>20</v>
      </c>
      <c r="AP1238" s="13" t="s">
        <v>49</v>
      </c>
      <c r="AQ1238" s="13" t="s">
        <v>49</v>
      </c>
      <c r="AR1238" s="13" t="s">
        <v>49</v>
      </c>
      <c r="AS1238" s="13" t="s">
        <v>49</v>
      </c>
      <c r="AT1238" s="13" t="s">
        <v>990</v>
      </c>
      <c r="AU1238" s="13" t="s">
        <v>998</v>
      </c>
      <c r="AV1238" s="14">
        <f>0.09*10</f>
        <v>0.89999999999999991</v>
      </c>
      <c r="AW1238" s="14">
        <f>0.05*10</f>
        <v>0.5</v>
      </c>
      <c r="AX1238" s="14">
        <f>Table1347456[[#This Row],[treatment_mean]]/Table1347456[[#This Row],[control_mean]]</f>
        <v>1.7999999999999998</v>
      </c>
      <c r="AY1238" s="14">
        <f>LN(Table1347456[[#This Row],[rr]])</f>
        <v>0.58778666490211895</v>
      </c>
      <c r="AZ1238" s="13">
        <v>3</v>
      </c>
      <c r="BA1238" s="13">
        <v>3</v>
      </c>
      <c r="BB1238" s="14">
        <v>0</v>
      </c>
      <c r="BC1238" s="14">
        <v>0</v>
      </c>
      <c r="BD1238" s="15">
        <f>Table1347456[[#This Row],[treatment_se]]*SQRT(Table1347456[[#This Row],[treatment_n]])</f>
        <v>0</v>
      </c>
      <c r="BE1238" s="14">
        <f>Table1347456[[#This Row],[control_se]]*SQRT(Table1347456[[#This Row],[control_n]])</f>
        <v>0</v>
      </c>
      <c r="BF123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38" s="17">
        <f>SQRT(Table1347456[[#This Row],[v_from_sd_and_n]])</f>
        <v>0</v>
      </c>
      <c r="BH1238" s="13" t="s">
        <v>50</v>
      </c>
      <c r="BI1238" s="13">
        <v>2.5000000000000001E-2</v>
      </c>
      <c r="BJ1238" s="18">
        <f>ABS(_xlfn.NORM.S.INV(Table1347456[[#This Row],[p_value]]/2))</f>
        <v>2.2414027276049446</v>
      </c>
      <c r="BK1238" s="19">
        <f>(Table1347456[[#This Row],[lnrr]]/Table1347456[[#This Row],[z_from_p]])^2</f>
        <v>6.8770101581742141E-2</v>
      </c>
      <c r="BL1238" s="16">
        <f>(Table1347456[[#This Row],[lnrr]]/Table1347456[[#This Row],[z_from_p]])^2</f>
        <v>6.8770101581742141E-2</v>
      </c>
      <c r="BM1238" s="20">
        <f>SQRT(Table1347456[[#This Row],[v]])</f>
        <v>0.2622405414533423</v>
      </c>
      <c r="BN1238" s="20">
        <f>Table1347456[[#This Row],[lnrr]]-(1.96*Table1347456[[#This Row],[se]])</f>
        <v>7.3795203653568064E-2</v>
      </c>
      <c r="BO1238" s="20">
        <f>Table1347456[[#This Row],[lnrr]]+(1.96 * Table1347456[[#This Row],[se]])</f>
        <v>1.1017781261506698</v>
      </c>
    </row>
    <row r="1239" spans="1:67">
      <c r="A1239" s="13" t="s">
        <v>387</v>
      </c>
      <c r="B1239" s="13" t="s">
        <v>388</v>
      </c>
      <c r="C1239" s="13" t="s">
        <v>43</v>
      </c>
      <c r="D1239" s="13" t="s">
        <v>46</v>
      </c>
      <c r="E1239" s="13" t="s">
        <v>267</v>
      </c>
      <c r="F1239" s="13" t="s">
        <v>587</v>
      </c>
      <c r="G1239" s="13" t="s">
        <v>46</v>
      </c>
      <c r="H1239" s="13">
        <v>25</v>
      </c>
      <c r="I1239" s="13" t="s">
        <v>46</v>
      </c>
      <c r="K1239" s="13" t="s">
        <v>936</v>
      </c>
      <c r="L1239" s="13" t="s">
        <v>937</v>
      </c>
      <c r="N1239" s="13" t="s">
        <v>47</v>
      </c>
      <c r="O1239" s="13" t="s">
        <v>645</v>
      </c>
      <c r="P1239" s="13" t="s">
        <v>422</v>
      </c>
      <c r="Q1239" s="13" t="s">
        <v>48</v>
      </c>
      <c r="R1239" s="4">
        <v>3</v>
      </c>
      <c r="S1239" s="13" t="s">
        <v>595</v>
      </c>
      <c r="T1239" s="13">
        <v>70</v>
      </c>
      <c r="U1239" s="4" t="s">
        <v>389</v>
      </c>
      <c r="V1239" s="4">
        <v>400</v>
      </c>
      <c r="W1239" s="4" t="s">
        <v>42</v>
      </c>
      <c r="X1239" s="4">
        <v>680</v>
      </c>
      <c r="Y1239" s="4">
        <v>56</v>
      </c>
      <c r="Z1239" s="4" t="s">
        <v>491</v>
      </c>
      <c r="AA1239" s="4" t="s">
        <v>49</v>
      </c>
      <c r="AB1239" s="4">
        <v>0</v>
      </c>
      <c r="AC1239" s="4" t="s">
        <v>49</v>
      </c>
      <c r="AD1239" s="4">
        <v>0</v>
      </c>
      <c r="AE1239" s="4" t="s">
        <v>49</v>
      </c>
      <c r="AF1239" s="4">
        <v>0</v>
      </c>
      <c r="AG1239" s="4" t="s">
        <v>691</v>
      </c>
      <c r="AH1239" s="4" t="s">
        <v>764</v>
      </c>
      <c r="AI1239" s="4" t="s">
        <v>64</v>
      </c>
      <c r="AJ1239" s="13">
        <v>0</v>
      </c>
      <c r="AK1239" s="13">
        <v>20</v>
      </c>
      <c r="AP1239" s="13" t="s">
        <v>49</v>
      </c>
      <c r="AQ1239" s="13" t="s">
        <v>49</v>
      </c>
      <c r="AR1239" s="13" t="s">
        <v>49</v>
      </c>
      <c r="AS1239" s="13" t="s">
        <v>49</v>
      </c>
      <c r="AT1239" s="13" t="s">
        <v>990</v>
      </c>
      <c r="AU1239" s="13" t="s">
        <v>998</v>
      </c>
      <c r="AV1239" s="14">
        <f>0.08*10</f>
        <v>0.8</v>
      </c>
      <c r="AW1239" s="14">
        <f>0.05*10</f>
        <v>0.5</v>
      </c>
      <c r="AX1239" s="14">
        <f>Table1347456[[#This Row],[treatment_mean]]/Table1347456[[#This Row],[control_mean]]</f>
        <v>1.6</v>
      </c>
      <c r="AY1239" s="14">
        <f>LN(Table1347456[[#This Row],[rr]])</f>
        <v>0.47000362924573563</v>
      </c>
      <c r="AZ1239" s="13">
        <v>3</v>
      </c>
      <c r="BA1239" s="13">
        <v>3</v>
      </c>
      <c r="BB1239" s="14">
        <v>0</v>
      </c>
      <c r="BC1239" s="14">
        <v>0</v>
      </c>
      <c r="BD1239" s="15">
        <f>Table1347456[[#This Row],[treatment_se]]*SQRT(Table1347456[[#This Row],[treatment_n]])</f>
        <v>0</v>
      </c>
      <c r="BE1239" s="14">
        <f>Table1347456[[#This Row],[control_se]]*SQRT(Table1347456[[#This Row],[control_n]])</f>
        <v>0</v>
      </c>
      <c r="BF123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39" s="17">
        <f>SQRT(Table1347456[[#This Row],[v_from_sd_and_n]])</f>
        <v>0</v>
      </c>
      <c r="BH1239" s="13" t="s">
        <v>50</v>
      </c>
      <c r="BI1239" s="13">
        <v>2.5000000000000001E-2</v>
      </c>
      <c r="BJ1239" s="18">
        <f>ABS(_xlfn.NORM.S.INV(Table1347456[[#This Row],[p_value]]/2))</f>
        <v>2.2414027276049446</v>
      </c>
      <c r="BK1239" s="19">
        <f>(Table1347456[[#This Row],[lnrr]]/Table1347456[[#This Row],[z_from_p]])^2</f>
        <v>4.3970624187692653E-2</v>
      </c>
      <c r="BL1239" s="16">
        <f>(Table1347456[[#This Row],[lnrr]]/Table1347456[[#This Row],[z_from_p]])^2</f>
        <v>4.3970624187692653E-2</v>
      </c>
      <c r="BM1239" s="20">
        <f>SQRT(Table1347456[[#This Row],[v]])</f>
        <v>0.20969173609776007</v>
      </c>
      <c r="BN1239" s="20">
        <f>Table1347456[[#This Row],[lnrr]]-(1.96*Table1347456[[#This Row],[se]])</f>
        <v>5.9007826494125892E-2</v>
      </c>
      <c r="BO1239" s="20">
        <f>Table1347456[[#This Row],[lnrr]]+(1.96 * Table1347456[[#This Row],[se]])</f>
        <v>0.88099943199734532</v>
      </c>
    </row>
    <row r="1240" spans="1:67">
      <c r="A1240" s="13" t="s">
        <v>387</v>
      </c>
      <c r="B1240" s="13" t="s">
        <v>388</v>
      </c>
      <c r="C1240" s="13" t="s">
        <v>43</v>
      </c>
      <c r="D1240" s="13" t="s">
        <v>46</v>
      </c>
      <c r="E1240" s="13" t="s">
        <v>267</v>
      </c>
      <c r="F1240" s="13" t="s">
        <v>587</v>
      </c>
      <c r="G1240" s="13" t="s">
        <v>46</v>
      </c>
      <c r="H1240" s="13">
        <v>25</v>
      </c>
      <c r="I1240" s="13" t="s">
        <v>46</v>
      </c>
      <c r="J1240" s="13" t="s">
        <v>656</v>
      </c>
      <c r="K1240" s="13" t="s">
        <v>936</v>
      </c>
      <c r="L1240" s="13" t="s">
        <v>937</v>
      </c>
      <c r="M1240" s="13" t="s">
        <v>803</v>
      </c>
      <c r="N1240" s="13" t="s">
        <v>119</v>
      </c>
      <c r="O1240" s="13" t="s">
        <v>645</v>
      </c>
      <c r="P1240" s="13" t="s">
        <v>85</v>
      </c>
      <c r="Q1240" s="13" t="s">
        <v>48</v>
      </c>
      <c r="R1240" s="4">
        <v>3</v>
      </c>
      <c r="S1240" s="13" t="s">
        <v>595</v>
      </c>
      <c r="T1240" s="13">
        <v>70</v>
      </c>
      <c r="U1240" s="4" t="s">
        <v>389</v>
      </c>
      <c r="V1240" s="4">
        <v>400</v>
      </c>
      <c r="W1240" s="4" t="s">
        <v>42</v>
      </c>
      <c r="X1240" s="4">
        <v>760</v>
      </c>
      <c r="Y1240" s="4">
        <v>56</v>
      </c>
      <c r="Z1240" s="4" t="s">
        <v>491</v>
      </c>
      <c r="AA1240" s="4" t="s">
        <v>49</v>
      </c>
      <c r="AB1240" s="4">
        <v>0</v>
      </c>
      <c r="AC1240" s="4" t="s">
        <v>49</v>
      </c>
      <c r="AD1240" s="4">
        <v>0</v>
      </c>
      <c r="AE1240" s="4" t="s">
        <v>49</v>
      </c>
      <c r="AF1240" s="4">
        <v>0</v>
      </c>
      <c r="AG1240" s="4" t="s">
        <v>691</v>
      </c>
      <c r="AH1240" s="4" t="s">
        <v>764</v>
      </c>
      <c r="AI1240" s="4" t="s">
        <v>64</v>
      </c>
      <c r="AJ1240" s="13">
        <v>0</v>
      </c>
      <c r="AK1240" s="13">
        <v>20</v>
      </c>
      <c r="AP1240" s="13" t="s">
        <v>49</v>
      </c>
      <c r="AQ1240" s="13" t="s">
        <v>49</v>
      </c>
      <c r="AR1240" s="13" t="s">
        <v>49</v>
      </c>
      <c r="AS1240" s="13" t="s">
        <v>49</v>
      </c>
      <c r="AT1240" s="13" t="s">
        <v>990</v>
      </c>
      <c r="AU1240" s="13" t="s">
        <v>998</v>
      </c>
      <c r="AV1240" s="23">
        <f>15.6/1000</f>
        <v>1.5599999999999999E-2</v>
      </c>
      <c r="AW1240" s="23">
        <f>8.6/1000</f>
        <v>8.6E-3</v>
      </c>
      <c r="AX1240" s="14">
        <f>Table1347456[[#This Row],[treatment_mean]]/Table1347456[[#This Row],[control_mean]]</f>
        <v>1.8139534883720929</v>
      </c>
      <c r="AY1240" s="14">
        <f>LN(Table1347456[[#This Row],[rr]])</f>
        <v>0.5955087109960292</v>
      </c>
      <c r="AZ1240" s="13">
        <v>3</v>
      </c>
      <c r="BA1240" s="13">
        <v>3</v>
      </c>
      <c r="BB1240" s="14">
        <v>0</v>
      </c>
      <c r="BC1240" s="14">
        <v>0</v>
      </c>
      <c r="BD1240" s="15">
        <f>Table1347456[[#This Row],[treatment_se]]*SQRT(Table1347456[[#This Row],[treatment_n]])</f>
        <v>0</v>
      </c>
      <c r="BE1240" s="14">
        <f>Table1347456[[#This Row],[control_se]]*SQRT(Table1347456[[#This Row],[control_n]])</f>
        <v>0</v>
      </c>
      <c r="BF124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40" s="17">
        <f>SQRT(Table1347456[[#This Row],[v_from_sd_and_n]])</f>
        <v>0</v>
      </c>
      <c r="BH1240" s="13" t="s">
        <v>50</v>
      </c>
      <c r="BI1240" s="13">
        <v>2.5000000000000001E-2</v>
      </c>
      <c r="BJ1240" s="18">
        <f>ABS(_xlfn.NORM.S.INV(Table1347456[[#This Row],[p_value]]/2))</f>
        <v>2.2414027276049446</v>
      </c>
      <c r="BK1240" s="19">
        <f>(Table1347456[[#This Row],[lnrr]]/Table1347456[[#This Row],[z_from_p]])^2</f>
        <v>7.0588905012932135E-2</v>
      </c>
      <c r="BL1240" s="16">
        <f>(Table1347456[[#This Row],[lnrr]]/Table1347456[[#This Row],[z_from_p]])^2</f>
        <v>7.0588905012932135E-2</v>
      </c>
      <c r="BM1240" s="20">
        <f>SQRT(Table1347456[[#This Row],[v]])</f>
        <v>0.26568572602406049</v>
      </c>
      <c r="BN1240" s="20">
        <f>Table1347456[[#This Row],[lnrr]]-(1.96*Table1347456[[#This Row],[se]])</f>
        <v>7.4764687988870704E-2</v>
      </c>
      <c r="BO1240" s="20">
        <f>Table1347456[[#This Row],[lnrr]]+(1.96 * Table1347456[[#This Row],[se]])</f>
        <v>1.1162527340031878</v>
      </c>
    </row>
    <row r="1241" spans="1:67">
      <c r="A1241" s="13" t="s">
        <v>387</v>
      </c>
      <c r="B1241" s="13" t="s">
        <v>388</v>
      </c>
      <c r="C1241" s="13" t="s">
        <v>43</v>
      </c>
      <c r="D1241" s="13" t="s">
        <v>46</v>
      </c>
      <c r="E1241" s="13" t="s">
        <v>267</v>
      </c>
      <c r="F1241" s="13" t="s">
        <v>587</v>
      </c>
      <c r="G1241" s="13" t="s">
        <v>46</v>
      </c>
      <c r="H1241" s="13">
        <v>25</v>
      </c>
      <c r="I1241" s="13" t="s">
        <v>46</v>
      </c>
      <c r="J1241" s="13" t="s">
        <v>656</v>
      </c>
      <c r="K1241" s="13" t="s">
        <v>936</v>
      </c>
      <c r="L1241" s="13" t="s">
        <v>937</v>
      </c>
      <c r="M1241" s="13" t="s">
        <v>803</v>
      </c>
      <c r="N1241" s="13" t="s">
        <v>119</v>
      </c>
      <c r="O1241" s="13" t="s">
        <v>645</v>
      </c>
      <c r="P1241" s="13" t="s">
        <v>85</v>
      </c>
      <c r="Q1241" s="13" t="s">
        <v>48</v>
      </c>
      <c r="R1241" s="4">
        <v>3</v>
      </c>
      <c r="S1241" s="13" t="s">
        <v>595</v>
      </c>
      <c r="T1241" s="13">
        <v>70</v>
      </c>
      <c r="U1241" s="4" t="s">
        <v>389</v>
      </c>
      <c r="V1241" s="4">
        <v>400</v>
      </c>
      <c r="W1241" s="4" t="s">
        <v>42</v>
      </c>
      <c r="X1241" s="4">
        <v>680</v>
      </c>
      <c r="Y1241" s="4">
        <v>56</v>
      </c>
      <c r="Z1241" s="4" t="s">
        <v>491</v>
      </c>
      <c r="AA1241" s="4" t="s">
        <v>49</v>
      </c>
      <c r="AB1241" s="4">
        <v>0</v>
      </c>
      <c r="AC1241" s="4" t="s">
        <v>49</v>
      </c>
      <c r="AD1241" s="4">
        <v>0</v>
      </c>
      <c r="AE1241" s="4" t="s">
        <v>49</v>
      </c>
      <c r="AF1241" s="4">
        <v>0</v>
      </c>
      <c r="AG1241" s="4" t="s">
        <v>691</v>
      </c>
      <c r="AH1241" s="4" t="s">
        <v>764</v>
      </c>
      <c r="AI1241" s="4" t="s">
        <v>64</v>
      </c>
      <c r="AJ1241" s="13">
        <v>0</v>
      </c>
      <c r="AK1241" s="13">
        <v>20</v>
      </c>
      <c r="AP1241" s="13" t="s">
        <v>49</v>
      </c>
      <c r="AQ1241" s="13" t="s">
        <v>49</v>
      </c>
      <c r="AR1241" s="13" t="s">
        <v>49</v>
      </c>
      <c r="AS1241" s="13" t="s">
        <v>49</v>
      </c>
      <c r="AT1241" s="13" t="s">
        <v>990</v>
      </c>
      <c r="AU1241" s="13" t="s">
        <v>998</v>
      </c>
      <c r="AV1241" s="23">
        <f>18.1/1000</f>
        <v>1.8100000000000002E-2</v>
      </c>
      <c r="AW1241" s="23">
        <f>8.6/1000</f>
        <v>8.6E-3</v>
      </c>
      <c r="AX1241" s="14">
        <f>Table1347456[[#This Row],[treatment_mean]]/Table1347456[[#This Row],[control_mean]]</f>
        <v>2.1046511627906979</v>
      </c>
      <c r="AY1241" s="14">
        <f>LN(Table1347456[[#This Row],[rr]])</f>
        <v>0.74414973501231807</v>
      </c>
      <c r="AZ1241" s="13">
        <v>3</v>
      </c>
      <c r="BA1241" s="13">
        <v>3</v>
      </c>
      <c r="BB1241" s="14">
        <v>0</v>
      </c>
      <c r="BC1241" s="14">
        <v>0</v>
      </c>
      <c r="BD1241" s="15">
        <f>Table1347456[[#This Row],[treatment_se]]*SQRT(Table1347456[[#This Row],[treatment_n]])</f>
        <v>0</v>
      </c>
      <c r="BE1241" s="14">
        <f>Table1347456[[#This Row],[control_se]]*SQRT(Table1347456[[#This Row],[control_n]])</f>
        <v>0</v>
      </c>
      <c r="BF124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41" s="17">
        <f>SQRT(Table1347456[[#This Row],[v_from_sd_and_n]])</f>
        <v>0</v>
      </c>
      <c r="BH1241" s="13" t="s">
        <v>50</v>
      </c>
      <c r="BI1241" s="13">
        <v>2.5000000000000001E-2</v>
      </c>
      <c r="BJ1241" s="18">
        <f>ABS(_xlfn.NORM.S.INV(Table1347456[[#This Row],[p_value]]/2))</f>
        <v>2.2414027276049446</v>
      </c>
      <c r="BK1241" s="19">
        <f>(Table1347456[[#This Row],[lnrr]]/Table1347456[[#This Row],[z_from_p]])^2</f>
        <v>0.11022519369907749</v>
      </c>
      <c r="BL1241" s="16">
        <f>(Table1347456[[#This Row],[lnrr]]/Table1347456[[#This Row],[z_from_p]])^2</f>
        <v>0.11022519369907749</v>
      </c>
      <c r="BM1241" s="20">
        <f>SQRT(Table1347456[[#This Row],[v]])</f>
        <v>0.33200179773470728</v>
      </c>
      <c r="BN1241" s="20">
        <f>Table1347456[[#This Row],[lnrr]]-(1.96*Table1347456[[#This Row],[se]])</f>
        <v>9.3426211452291796E-2</v>
      </c>
      <c r="BO1241" s="20">
        <f>Table1347456[[#This Row],[lnrr]]+(1.96 * Table1347456[[#This Row],[se]])</f>
        <v>1.3948732585723445</v>
      </c>
    </row>
    <row r="1242" spans="1:67">
      <c r="A1242" s="13" t="s">
        <v>387</v>
      </c>
      <c r="B1242" s="13" t="s">
        <v>388</v>
      </c>
      <c r="C1242" s="13" t="s">
        <v>43</v>
      </c>
      <c r="D1242" s="13" t="s">
        <v>46</v>
      </c>
      <c r="E1242" s="13" t="s">
        <v>267</v>
      </c>
      <c r="F1242" s="13" t="s">
        <v>587</v>
      </c>
      <c r="G1242" s="13" t="s">
        <v>46</v>
      </c>
      <c r="H1242" s="13">
        <v>25</v>
      </c>
      <c r="I1242" s="13" t="s">
        <v>46</v>
      </c>
      <c r="K1242" s="13" t="s">
        <v>936</v>
      </c>
      <c r="L1242" s="13" t="s">
        <v>937</v>
      </c>
      <c r="N1242" s="13" t="s">
        <v>121</v>
      </c>
      <c r="O1242" s="13" t="s">
        <v>645</v>
      </c>
      <c r="P1242" s="13" t="s">
        <v>85</v>
      </c>
      <c r="Q1242" s="13" t="s">
        <v>48</v>
      </c>
      <c r="R1242" s="4">
        <v>3</v>
      </c>
      <c r="S1242" s="13" t="s">
        <v>595</v>
      </c>
      <c r="T1242" s="13">
        <v>70</v>
      </c>
      <c r="U1242" s="4" t="s">
        <v>389</v>
      </c>
      <c r="V1242" s="4">
        <v>400</v>
      </c>
      <c r="W1242" s="4" t="s">
        <v>42</v>
      </c>
      <c r="X1242" s="4">
        <v>760</v>
      </c>
      <c r="Y1242" s="4">
        <v>56</v>
      </c>
      <c r="Z1242" s="4" t="s">
        <v>491</v>
      </c>
      <c r="AA1242" s="4" t="s">
        <v>49</v>
      </c>
      <c r="AB1242" s="4">
        <v>0</v>
      </c>
      <c r="AC1242" s="4" t="s">
        <v>49</v>
      </c>
      <c r="AD1242" s="4">
        <v>0</v>
      </c>
      <c r="AE1242" s="4" t="s">
        <v>49</v>
      </c>
      <c r="AF1242" s="4">
        <v>0</v>
      </c>
      <c r="AG1242" s="4" t="s">
        <v>691</v>
      </c>
      <c r="AH1242" s="4" t="s">
        <v>764</v>
      </c>
      <c r="AI1242" s="4" t="s">
        <v>64</v>
      </c>
      <c r="AJ1242" s="13">
        <v>0</v>
      </c>
      <c r="AK1242" s="13">
        <v>20</v>
      </c>
      <c r="AP1242" s="13" t="s">
        <v>49</v>
      </c>
      <c r="AQ1242" s="13" t="s">
        <v>49</v>
      </c>
      <c r="AR1242" s="13" t="s">
        <v>49</v>
      </c>
      <c r="AS1242" s="13" t="s">
        <v>49</v>
      </c>
      <c r="AT1242" s="13" t="s">
        <v>990</v>
      </c>
      <c r="AU1242" s="13" t="s">
        <v>998</v>
      </c>
      <c r="AV1242" s="14">
        <f>21.8/1000</f>
        <v>2.18E-2</v>
      </c>
      <c r="AW1242" s="14">
        <f>11.4/1000</f>
        <v>1.14E-2</v>
      </c>
      <c r="AX1242" s="14">
        <f>Table1347456[[#This Row],[treatment_mean]]/Table1347456[[#This Row],[control_mean]]</f>
        <v>1.9122807017543859</v>
      </c>
      <c r="AY1242" s="14">
        <f>LN(Table1347456[[#This Row],[rr]])</f>
        <v>0.64829661439459352</v>
      </c>
      <c r="AZ1242" s="13">
        <v>3</v>
      </c>
      <c r="BA1242" s="13">
        <v>3</v>
      </c>
      <c r="BB1242" s="14">
        <v>0</v>
      </c>
      <c r="BC1242" s="14">
        <v>0</v>
      </c>
      <c r="BD1242" s="15">
        <f>Table1347456[[#This Row],[treatment_se]]*SQRT(Table1347456[[#This Row],[treatment_n]])</f>
        <v>0</v>
      </c>
      <c r="BE1242" s="14">
        <f>Table1347456[[#This Row],[control_se]]*SQRT(Table1347456[[#This Row],[control_n]])</f>
        <v>0</v>
      </c>
      <c r="BF124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42" s="17">
        <f>SQRT(Table1347456[[#This Row],[v_from_sd_and_n]])</f>
        <v>0</v>
      </c>
      <c r="BH1242" s="13" t="s">
        <v>50</v>
      </c>
      <c r="BI1242" s="13">
        <v>2.5000000000000001E-2</v>
      </c>
      <c r="BJ1242" s="18">
        <f>ABS(_xlfn.NORM.S.INV(Table1347456[[#This Row],[p_value]]/2))</f>
        <v>2.2414027276049446</v>
      </c>
      <c r="BK1242" s="19">
        <f>(Table1347456[[#This Row],[lnrr]]/Table1347456[[#This Row],[z_from_p]])^2</f>
        <v>8.3658045697114755E-2</v>
      </c>
      <c r="BL1242" s="16">
        <f>(Table1347456[[#This Row],[lnrr]]/Table1347456[[#This Row],[z_from_p]])^2</f>
        <v>8.3658045697114755E-2</v>
      </c>
      <c r="BM1242" s="20">
        <f>SQRT(Table1347456[[#This Row],[v]])</f>
        <v>0.2892370060990031</v>
      </c>
      <c r="BN1242" s="20">
        <f>Table1347456[[#This Row],[lnrr]]-(1.96*Table1347456[[#This Row],[se]])</f>
        <v>8.1392082440547409E-2</v>
      </c>
      <c r="BO1242" s="20">
        <f>Table1347456[[#This Row],[lnrr]]+(1.96 * Table1347456[[#This Row],[se]])</f>
        <v>1.2152011463486396</v>
      </c>
    </row>
    <row r="1243" spans="1:67">
      <c r="A1243" s="13" t="s">
        <v>387</v>
      </c>
      <c r="B1243" s="13" t="s">
        <v>388</v>
      </c>
      <c r="C1243" s="13" t="s">
        <v>43</v>
      </c>
      <c r="D1243" s="13" t="s">
        <v>46</v>
      </c>
      <c r="E1243" s="13" t="s">
        <v>267</v>
      </c>
      <c r="F1243" s="13" t="s">
        <v>587</v>
      </c>
      <c r="G1243" s="13" t="s">
        <v>46</v>
      </c>
      <c r="H1243" s="13">
        <v>25</v>
      </c>
      <c r="I1243" s="13" t="s">
        <v>46</v>
      </c>
      <c r="K1243" s="13" t="s">
        <v>936</v>
      </c>
      <c r="L1243" s="13" t="s">
        <v>937</v>
      </c>
      <c r="N1243" s="13" t="s">
        <v>121</v>
      </c>
      <c r="O1243" s="13" t="s">
        <v>645</v>
      </c>
      <c r="P1243" s="13" t="s">
        <v>85</v>
      </c>
      <c r="Q1243" s="13" t="s">
        <v>48</v>
      </c>
      <c r="R1243" s="4">
        <v>3</v>
      </c>
      <c r="S1243" s="13" t="s">
        <v>595</v>
      </c>
      <c r="T1243" s="13">
        <v>70</v>
      </c>
      <c r="U1243" s="4" t="s">
        <v>389</v>
      </c>
      <c r="V1243" s="4">
        <v>400</v>
      </c>
      <c r="W1243" s="4" t="s">
        <v>42</v>
      </c>
      <c r="X1243" s="4">
        <v>680</v>
      </c>
      <c r="Y1243" s="4">
        <v>56</v>
      </c>
      <c r="Z1243" s="4" t="s">
        <v>491</v>
      </c>
      <c r="AA1243" s="4" t="s">
        <v>49</v>
      </c>
      <c r="AB1243" s="4">
        <v>0</v>
      </c>
      <c r="AC1243" s="4" t="s">
        <v>49</v>
      </c>
      <c r="AD1243" s="4">
        <v>0</v>
      </c>
      <c r="AE1243" s="4" t="s">
        <v>49</v>
      </c>
      <c r="AF1243" s="4">
        <v>0</v>
      </c>
      <c r="AG1243" s="4" t="s">
        <v>691</v>
      </c>
      <c r="AH1243" s="4" t="s">
        <v>764</v>
      </c>
      <c r="AI1243" s="4" t="s">
        <v>64</v>
      </c>
      <c r="AJ1243" s="13">
        <v>0</v>
      </c>
      <c r="AK1243" s="13">
        <v>20</v>
      </c>
      <c r="AP1243" s="13" t="s">
        <v>49</v>
      </c>
      <c r="AQ1243" s="13" t="s">
        <v>49</v>
      </c>
      <c r="AR1243" s="13" t="s">
        <v>49</v>
      </c>
      <c r="AS1243" s="13" t="s">
        <v>49</v>
      </c>
      <c r="AT1243" s="13" t="s">
        <v>990</v>
      </c>
      <c r="AU1243" s="13" t="s">
        <v>998</v>
      </c>
      <c r="AV1243" s="14">
        <f>17.1/1000</f>
        <v>1.7100000000000001E-2</v>
      </c>
      <c r="AW1243" s="14">
        <f>11.4/1000</f>
        <v>1.14E-2</v>
      </c>
      <c r="AX1243" s="14">
        <f>Table1347456[[#This Row],[treatment_mean]]/Table1347456[[#This Row],[control_mean]]</f>
        <v>1.5</v>
      </c>
      <c r="AY1243" s="14">
        <f>LN(Table1347456[[#This Row],[rr]])</f>
        <v>0.40546510810816438</v>
      </c>
      <c r="AZ1243" s="13">
        <v>3</v>
      </c>
      <c r="BA1243" s="13">
        <v>3</v>
      </c>
      <c r="BB1243" s="14">
        <v>0</v>
      </c>
      <c r="BC1243" s="14">
        <v>0</v>
      </c>
      <c r="BD1243" s="15">
        <f>Table1347456[[#This Row],[treatment_se]]*SQRT(Table1347456[[#This Row],[treatment_n]])</f>
        <v>0</v>
      </c>
      <c r="BE1243" s="14">
        <f>Table1347456[[#This Row],[control_se]]*SQRT(Table1347456[[#This Row],[control_n]])</f>
        <v>0</v>
      </c>
      <c r="BF124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43" s="17">
        <f>SQRT(Table1347456[[#This Row],[v_from_sd_and_n]])</f>
        <v>0</v>
      </c>
      <c r="BH1243" s="13" t="s">
        <v>50</v>
      </c>
      <c r="BI1243" s="13">
        <v>2.5000000000000001E-2</v>
      </c>
      <c r="BJ1243" s="18">
        <f>ABS(_xlfn.NORM.S.INV(Table1347456[[#This Row],[p_value]]/2))</f>
        <v>2.2414027276049446</v>
      </c>
      <c r="BK1243" s="19">
        <f>(Table1347456[[#This Row],[lnrr]]/Table1347456[[#This Row],[z_from_p]])^2</f>
        <v>3.2724060172436606E-2</v>
      </c>
      <c r="BL1243" s="16">
        <f>(Table1347456[[#This Row],[lnrr]]/Table1347456[[#This Row],[z_from_p]])^2</f>
        <v>3.2724060172436606E-2</v>
      </c>
      <c r="BM1243" s="20">
        <f>SQRT(Table1347456[[#This Row],[v]])</f>
        <v>0.1808979274962447</v>
      </c>
      <c r="BN1243" s="20">
        <f>Table1347456[[#This Row],[lnrr]]-(1.96*Table1347456[[#This Row],[se]])</f>
        <v>5.0905170215524764E-2</v>
      </c>
      <c r="BO1243" s="20">
        <f>Table1347456[[#This Row],[lnrr]]+(1.96 * Table1347456[[#This Row],[se]])</f>
        <v>0.76002504600080401</v>
      </c>
    </row>
    <row r="1244" spans="1:67">
      <c r="A1244" s="13" t="s">
        <v>390</v>
      </c>
      <c r="B1244" s="13" t="s">
        <v>391</v>
      </c>
      <c r="C1244" s="13" t="s">
        <v>43</v>
      </c>
      <c r="D1244" s="13" t="s">
        <v>392</v>
      </c>
      <c r="E1244" s="13" t="s">
        <v>393</v>
      </c>
      <c r="F1244" s="13" t="s">
        <v>587</v>
      </c>
      <c r="G1244" s="13" t="s">
        <v>46</v>
      </c>
      <c r="H1244" s="13">
        <v>28</v>
      </c>
      <c r="I1244" s="13">
        <v>1851</v>
      </c>
      <c r="K1244" s="13" t="s">
        <v>938</v>
      </c>
      <c r="L1244" s="13" t="s">
        <v>939</v>
      </c>
      <c r="N1244" s="13" t="s">
        <v>316</v>
      </c>
      <c r="O1244" s="13" t="s">
        <v>644</v>
      </c>
      <c r="P1244" s="13" t="s">
        <v>85</v>
      </c>
      <c r="Q1244" s="13" t="s">
        <v>48</v>
      </c>
      <c r="R1244" s="4">
        <v>3</v>
      </c>
      <c r="S1244" s="13" t="s">
        <v>594</v>
      </c>
      <c r="T1244" s="13">
        <v>300</v>
      </c>
      <c r="U1244" s="4" t="s">
        <v>147</v>
      </c>
      <c r="V1244" s="4">
        <v>450</v>
      </c>
      <c r="W1244" s="4" t="s">
        <v>601</v>
      </c>
      <c r="X1244" s="4">
        <v>673</v>
      </c>
      <c r="Y1244" s="4">
        <v>5</v>
      </c>
      <c r="AA1244" s="4" t="s">
        <v>49</v>
      </c>
      <c r="AB1244" s="4">
        <v>0</v>
      </c>
      <c r="AC1244" s="4" t="s">
        <v>49</v>
      </c>
      <c r="AD1244" s="4">
        <v>0</v>
      </c>
      <c r="AE1244" s="4" t="s">
        <v>49</v>
      </c>
      <c r="AF1244" s="4">
        <v>0</v>
      </c>
      <c r="AG1244" s="4" t="s">
        <v>691</v>
      </c>
      <c r="AH1244" s="4" t="s">
        <v>684</v>
      </c>
      <c r="AI1244" s="4" t="s">
        <v>64</v>
      </c>
      <c r="AJ1244" s="13">
        <v>0</v>
      </c>
      <c r="AK1244" s="13">
        <v>15</v>
      </c>
      <c r="AM1244" s="13" t="s">
        <v>560</v>
      </c>
      <c r="AP1244" s="13" t="s">
        <v>50</v>
      </c>
      <c r="AQ1244" s="13" t="s">
        <v>49</v>
      </c>
      <c r="AR1244" s="13" t="s">
        <v>50</v>
      </c>
      <c r="AS1244" s="13" t="s">
        <v>49</v>
      </c>
      <c r="AT1244" s="13" t="s">
        <v>990</v>
      </c>
      <c r="AU1244" s="13" t="s">
        <v>998</v>
      </c>
      <c r="AV1244" s="14">
        <f>0.76/1000</f>
        <v>7.6000000000000004E-4</v>
      </c>
      <c r="AW1244" s="14">
        <f>0.38/1000</f>
        <v>3.8000000000000002E-4</v>
      </c>
      <c r="AX1244" s="14">
        <f>Table1347456[[#This Row],[treatment_mean]]/Table1347456[[#This Row],[control_mean]]</f>
        <v>2</v>
      </c>
      <c r="AY1244" s="14">
        <f>LN(Table1347456[[#This Row],[rr]])</f>
        <v>0.69314718055994529</v>
      </c>
      <c r="AZ1244" s="13">
        <v>3</v>
      </c>
      <c r="BA1244" s="13">
        <v>3</v>
      </c>
      <c r="BB1244" s="14">
        <v>0</v>
      </c>
      <c r="BC1244" s="14">
        <v>0</v>
      </c>
      <c r="BD1244" s="15">
        <f>Table1347456[[#This Row],[treatment_se]]*SQRT(Table1347456[[#This Row],[treatment_n]])</f>
        <v>0</v>
      </c>
      <c r="BE1244" s="14">
        <f>Table1347456[[#This Row],[control_se]]*SQRT(Table1347456[[#This Row],[control_n]])</f>
        <v>0</v>
      </c>
      <c r="BF124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44" s="17">
        <f>SQRT(Table1347456[[#This Row],[v_from_sd_and_n]])</f>
        <v>0</v>
      </c>
      <c r="BH1244" s="13" t="s">
        <v>50</v>
      </c>
      <c r="BI1244" s="13">
        <v>5.0000000000000001E-3</v>
      </c>
      <c r="BJ1244" s="18">
        <f>ABS(_xlfn.NORM.S.INV(Table1347456[[#This Row],[p_value]]/2))</f>
        <v>2.8070337683438042</v>
      </c>
      <c r="BK1244" s="19">
        <f>(Table1347456[[#This Row],[lnrr]]/Table1347456[[#This Row],[z_from_p]])^2</f>
        <v>6.0975538960816582E-2</v>
      </c>
      <c r="BL1244" s="16">
        <f>(Table1347456[[#This Row],[lnrr]]/Table1347456[[#This Row],[z_from_p]])^2</f>
        <v>6.0975538960816582E-2</v>
      </c>
      <c r="BM1244" s="20">
        <f>SQRT(Table1347456[[#This Row],[v]])</f>
        <v>0.24693225581283743</v>
      </c>
      <c r="BN1244" s="20">
        <f>Table1347456[[#This Row],[lnrr]]-(1.96*Table1347456[[#This Row],[se]])</f>
        <v>0.20915995916678393</v>
      </c>
      <c r="BO1244" s="20">
        <f>Table1347456[[#This Row],[lnrr]]+(1.96 * Table1347456[[#This Row],[se]])</f>
        <v>1.1771344019531067</v>
      </c>
    </row>
    <row r="1245" spans="1:67">
      <c r="A1245" s="13" t="s">
        <v>390</v>
      </c>
      <c r="B1245" s="13" t="s">
        <v>391</v>
      </c>
      <c r="C1245" s="13" t="s">
        <v>43</v>
      </c>
      <c r="D1245" s="13" t="s">
        <v>392</v>
      </c>
      <c r="E1245" s="13" t="s">
        <v>393</v>
      </c>
      <c r="F1245" s="13" t="s">
        <v>587</v>
      </c>
      <c r="G1245" s="13" t="s">
        <v>46</v>
      </c>
      <c r="H1245" s="13">
        <v>28</v>
      </c>
      <c r="I1245" s="13">
        <v>1851</v>
      </c>
      <c r="K1245" s="13" t="s">
        <v>938</v>
      </c>
      <c r="L1245" s="13" t="s">
        <v>939</v>
      </c>
      <c r="N1245" s="13" t="s">
        <v>316</v>
      </c>
      <c r="O1245" s="13" t="s">
        <v>644</v>
      </c>
      <c r="P1245" s="13" t="s">
        <v>85</v>
      </c>
      <c r="Q1245" s="13" t="s">
        <v>48</v>
      </c>
      <c r="R1245" s="4">
        <v>3</v>
      </c>
      <c r="S1245" s="13" t="s">
        <v>594</v>
      </c>
      <c r="T1245" s="13">
        <v>300</v>
      </c>
      <c r="U1245" s="4" t="s">
        <v>147</v>
      </c>
      <c r="V1245" s="4">
        <v>450</v>
      </c>
      <c r="W1245" s="4" t="s">
        <v>601</v>
      </c>
      <c r="X1245" s="4">
        <v>673</v>
      </c>
      <c r="Y1245" s="4">
        <v>5</v>
      </c>
      <c r="AA1245" s="4" t="s">
        <v>50</v>
      </c>
      <c r="AB1245" s="4">
        <v>150</v>
      </c>
      <c r="AC1245" s="4" t="s">
        <v>49</v>
      </c>
      <c r="AD1245" s="4">
        <v>0</v>
      </c>
      <c r="AE1245" s="4" t="s">
        <v>49</v>
      </c>
      <c r="AF1245" s="4">
        <v>0</v>
      </c>
      <c r="AG1245" s="4" t="s">
        <v>691</v>
      </c>
      <c r="AH1245" s="4" t="s">
        <v>684</v>
      </c>
      <c r="AI1245" s="4" t="s">
        <v>64</v>
      </c>
      <c r="AJ1245" s="13">
        <v>0</v>
      </c>
      <c r="AK1245" s="13">
        <v>15</v>
      </c>
      <c r="AM1245" s="13" t="s">
        <v>560</v>
      </c>
      <c r="AP1245" s="13" t="s">
        <v>50</v>
      </c>
      <c r="AQ1245" s="13" t="s">
        <v>49</v>
      </c>
      <c r="AR1245" s="13" t="s">
        <v>50</v>
      </c>
      <c r="AS1245" s="13" t="s">
        <v>49</v>
      </c>
      <c r="AT1245" s="13" t="s">
        <v>992</v>
      </c>
      <c r="AU1245" s="4" t="s">
        <v>1000</v>
      </c>
      <c r="AV1245" s="14">
        <f>1.01/1000</f>
        <v>1.01E-3</v>
      </c>
      <c r="AW1245" s="14">
        <f>0.87/1000</f>
        <v>8.7000000000000001E-4</v>
      </c>
      <c r="AX1245" s="14">
        <f>Table1347456[[#This Row],[treatment_mean]]/Table1347456[[#This Row],[control_mean]]</f>
        <v>1.1609195402298851</v>
      </c>
      <c r="AY1245" s="14">
        <f>LN(Table1347456[[#This Row],[rr]])</f>
        <v>0.14921239818667575</v>
      </c>
      <c r="AZ1245" s="13">
        <v>3</v>
      </c>
      <c r="BA1245" s="13">
        <v>3</v>
      </c>
      <c r="BB1245" s="14">
        <v>0</v>
      </c>
      <c r="BC1245" s="14">
        <v>0</v>
      </c>
      <c r="BD1245" s="15">
        <f>Table1347456[[#This Row],[treatment_se]]*SQRT(Table1347456[[#This Row],[treatment_n]])</f>
        <v>0</v>
      </c>
      <c r="BE1245" s="14">
        <f>Table1347456[[#This Row],[control_se]]*SQRT(Table1347456[[#This Row],[control_n]])</f>
        <v>0</v>
      </c>
      <c r="BF124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45" s="17">
        <f>SQRT(Table1347456[[#This Row],[v_from_sd_and_n]])</f>
        <v>0</v>
      </c>
      <c r="BH1245" s="13" t="s">
        <v>50</v>
      </c>
      <c r="BI1245" s="13">
        <v>5.0000000000000001E-3</v>
      </c>
      <c r="BJ1245" s="18">
        <f>ABS(_xlfn.NORM.S.INV(Table1347456[[#This Row],[p_value]]/2))</f>
        <v>2.8070337683438042</v>
      </c>
      <c r="BK1245" s="19">
        <f>(Table1347456[[#This Row],[lnrr]]/Table1347456[[#This Row],[z_from_p]])^2</f>
        <v>2.825625145257857E-3</v>
      </c>
      <c r="BL1245" s="16">
        <f>(Table1347456[[#This Row],[lnrr]]/Table1347456[[#This Row],[z_from_p]])^2</f>
        <v>2.825625145257857E-3</v>
      </c>
      <c r="BM1245" s="20">
        <f>SQRT(Table1347456[[#This Row],[v]])</f>
        <v>5.3156609610262549E-2</v>
      </c>
      <c r="BN1245" s="20">
        <f>Table1347456[[#This Row],[lnrr]]-(1.96*Table1347456[[#This Row],[se]])</f>
        <v>4.5025443350561162E-2</v>
      </c>
      <c r="BO1245" s="20">
        <f>Table1347456[[#This Row],[lnrr]]+(1.96 * Table1347456[[#This Row],[se]])</f>
        <v>0.25339935302279037</v>
      </c>
    </row>
    <row r="1246" spans="1:67">
      <c r="A1246" s="13" t="s">
        <v>390</v>
      </c>
      <c r="B1246" s="13" t="s">
        <v>391</v>
      </c>
      <c r="C1246" s="13" t="s">
        <v>43</v>
      </c>
      <c r="D1246" s="13" t="s">
        <v>392</v>
      </c>
      <c r="E1246" s="13" t="s">
        <v>393</v>
      </c>
      <c r="F1246" s="13" t="s">
        <v>587</v>
      </c>
      <c r="G1246" s="13" t="s">
        <v>46</v>
      </c>
      <c r="H1246" s="13">
        <v>28</v>
      </c>
      <c r="I1246" s="13">
        <v>1851</v>
      </c>
      <c r="J1246" s="13" t="s">
        <v>662</v>
      </c>
      <c r="K1246" s="13" t="s">
        <v>938</v>
      </c>
      <c r="L1246" s="13" t="s">
        <v>939</v>
      </c>
      <c r="M1246" s="13" t="s">
        <v>800</v>
      </c>
      <c r="N1246" s="13" t="s">
        <v>317</v>
      </c>
      <c r="O1246" s="13" t="s">
        <v>644</v>
      </c>
      <c r="P1246" s="13" t="s">
        <v>85</v>
      </c>
      <c r="Q1246" s="13" t="s">
        <v>48</v>
      </c>
      <c r="R1246" s="4">
        <v>3</v>
      </c>
      <c r="S1246" s="13" t="s">
        <v>594</v>
      </c>
      <c r="T1246" s="13">
        <v>300</v>
      </c>
      <c r="U1246" s="4" t="s">
        <v>147</v>
      </c>
      <c r="V1246" s="4">
        <v>450</v>
      </c>
      <c r="W1246" s="4" t="s">
        <v>601</v>
      </c>
      <c r="X1246" s="4">
        <v>673</v>
      </c>
      <c r="Y1246" s="4">
        <v>5</v>
      </c>
      <c r="AA1246" s="4" t="s">
        <v>49</v>
      </c>
      <c r="AB1246" s="4">
        <v>0</v>
      </c>
      <c r="AC1246" s="4" t="s">
        <v>49</v>
      </c>
      <c r="AD1246" s="4">
        <v>0</v>
      </c>
      <c r="AE1246" s="4" t="s">
        <v>49</v>
      </c>
      <c r="AF1246" s="4">
        <v>0</v>
      </c>
      <c r="AG1246" s="4" t="s">
        <v>691</v>
      </c>
      <c r="AH1246" s="4" t="s">
        <v>684</v>
      </c>
      <c r="AI1246" s="4" t="s">
        <v>64</v>
      </c>
      <c r="AJ1246" s="13">
        <v>0</v>
      </c>
      <c r="AK1246" s="13">
        <v>15</v>
      </c>
      <c r="AM1246" s="13" t="s">
        <v>560</v>
      </c>
      <c r="AP1246" s="13" t="s">
        <v>50</v>
      </c>
      <c r="AQ1246" s="13" t="s">
        <v>49</v>
      </c>
      <c r="AR1246" s="13" t="s">
        <v>50</v>
      </c>
      <c r="AS1246" s="13" t="s">
        <v>49</v>
      </c>
      <c r="AT1246" s="13" t="s">
        <v>990</v>
      </c>
      <c r="AU1246" s="13" t="s">
        <v>998</v>
      </c>
      <c r="AV1246" s="23">
        <f>0.079/1000</f>
        <v>7.8999999999999996E-5</v>
      </c>
      <c r="AW1246" s="23">
        <f>0.043/1000</f>
        <v>4.2999999999999995E-5</v>
      </c>
      <c r="AX1246" s="14">
        <f>Table1347456[[#This Row],[treatment_mean]]/Table1347456[[#This Row],[control_mean]]</f>
        <v>1.8372093023255816</v>
      </c>
      <c r="AY1246" s="14">
        <f>LN(Table1347456[[#This Row],[rr]])</f>
        <v>0.60824773677345911</v>
      </c>
      <c r="AZ1246" s="13">
        <v>3</v>
      </c>
      <c r="BA1246" s="13">
        <v>3</v>
      </c>
      <c r="BB1246" s="14">
        <v>0</v>
      </c>
      <c r="BC1246" s="14">
        <v>0</v>
      </c>
      <c r="BD1246" s="15">
        <f>Table1347456[[#This Row],[treatment_se]]*SQRT(Table1347456[[#This Row],[treatment_n]])</f>
        <v>0</v>
      </c>
      <c r="BE1246" s="14">
        <f>Table1347456[[#This Row],[control_se]]*SQRT(Table1347456[[#This Row],[control_n]])</f>
        <v>0</v>
      </c>
      <c r="BF124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46" s="17">
        <f>SQRT(Table1347456[[#This Row],[v_from_sd_and_n]])</f>
        <v>0</v>
      </c>
      <c r="BH1246" s="13" t="s">
        <v>50</v>
      </c>
      <c r="BI1246" s="13">
        <v>5.0000000000000001E-3</v>
      </c>
      <c r="BJ1246" s="18">
        <f>ABS(_xlfn.NORM.S.INV(Table1347456[[#This Row],[p_value]]/2))</f>
        <v>2.8070337683438042</v>
      </c>
      <c r="BK1246" s="19">
        <f>(Table1347456[[#This Row],[lnrr]]/Table1347456[[#This Row],[z_from_p]])^2</f>
        <v>4.6953257607425088E-2</v>
      </c>
      <c r="BL1246" s="16">
        <f>(Table1347456[[#This Row],[lnrr]]/Table1347456[[#This Row],[z_from_p]])^2</f>
        <v>4.6953257607425088E-2</v>
      </c>
      <c r="BM1246" s="20">
        <f>SQRT(Table1347456[[#This Row],[v]])</f>
        <v>0.21668700378062614</v>
      </c>
      <c r="BN1246" s="20">
        <f>Table1347456[[#This Row],[lnrr]]-(1.96*Table1347456[[#This Row],[se]])</f>
        <v>0.18354120936343188</v>
      </c>
      <c r="BO1246" s="20">
        <f>Table1347456[[#This Row],[lnrr]]+(1.96 * Table1347456[[#This Row],[se]])</f>
        <v>1.0329542641834863</v>
      </c>
    </row>
    <row r="1247" spans="1:67">
      <c r="A1247" s="13" t="s">
        <v>390</v>
      </c>
      <c r="B1247" s="13" t="s">
        <v>391</v>
      </c>
      <c r="C1247" s="13" t="s">
        <v>43</v>
      </c>
      <c r="D1247" s="13" t="s">
        <v>392</v>
      </c>
      <c r="E1247" s="13" t="s">
        <v>393</v>
      </c>
      <c r="F1247" s="13" t="s">
        <v>587</v>
      </c>
      <c r="G1247" s="13" t="s">
        <v>46</v>
      </c>
      <c r="H1247" s="13">
        <v>28</v>
      </c>
      <c r="I1247" s="13">
        <v>1851</v>
      </c>
      <c r="J1247" s="13" t="s">
        <v>662</v>
      </c>
      <c r="K1247" s="13" t="s">
        <v>938</v>
      </c>
      <c r="L1247" s="13" t="s">
        <v>939</v>
      </c>
      <c r="M1247" s="13" t="s">
        <v>800</v>
      </c>
      <c r="N1247" s="13" t="s">
        <v>317</v>
      </c>
      <c r="O1247" s="13" t="s">
        <v>644</v>
      </c>
      <c r="P1247" s="13" t="s">
        <v>85</v>
      </c>
      <c r="Q1247" s="13" t="s">
        <v>48</v>
      </c>
      <c r="R1247" s="4">
        <v>3</v>
      </c>
      <c r="S1247" s="13" t="s">
        <v>594</v>
      </c>
      <c r="T1247" s="13">
        <v>300</v>
      </c>
      <c r="U1247" s="4" t="s">
        <v>147</v>
      </c>
      <c r="V1247" s="4">
        <v>450</v>
      </c>
      <c r="W1247" s="4" t="s">
        <v>601</v>
      </c>
      <c r="X1247" s="4">
        <v>673</v>
      </c>
      <c r="Y1247" s="4">
        <v>5</v>
      </c>
      <c r="AA1247" s="4" t="s">
        <v>50</v>
      </c>
      <c r="AB1247" s="4">
        <v>150</v>
      </c>
      <c r="AC1247" s="4" t="s">
        <v>49</v>
      </c>
      <c r="AD1247" s="4">
        <v>0</v>
      </c>
      <c r="AE1247" s="4" t="s">
        <v>49</v>
      </c>
      <c r="AF1247" s="4">
        <v>0</v>
      </c>
      <c r="AG1247" s="4" t="s">
        <v>691</v>
      </c>
      <c r="AH1247" s="4" t="s">
        <v>684</v>
      </c>
      <c r="AI1247" s="4" t="s">
        <v>64</v>
      </c>
      <c r="AJ1247" s="13">
        <v>0</v>
      </c>
      <c r="AK1247" s="13">
        <v>15</v>
      </c>
      <c r="AM1247" s="13" t="s">
        <v>560</v>
      </c>
      <c r="AP1247" s="13" t="s">
        <v>50</v>
      </c>
      <c r="AQ1247" s="13" t="s">
        <v>49</v>
      </c>
      <c r="AR1247" s="13" t="s">
        <v>50</v>
      </c>
      <c r="AS1247" s="13" t="s">
        <v>49</v>
      </c>
      <c r="AT1247" s="13" t="s">
        <v>992</v>
      </c>
      <c r="AU1247" s="4" t="s">
        <v>1000</v>
      </c>
      <c r="AV1247" s="23">
        <f>0.081/1000</f>
        <v>8.1000000000000004E-5</v>
      </c>
      <c r="AW1247" s="23">
        <f>0.083/1000</f>
        <v>8.2999999999999998E-5</v>
      </c>
      <c r="AX1247" s="14">
        <f>Table1347456[[#This Row],[treatment_mean]]/Table1347456[[#This Row],[control_mean]]</f>
        <v>0.97590361445783136</v>
      </c>
      <c r="AY1247" s="14">
        <f>LN(Table1347456[[#This Row],[rr]])</f>
        <v>-2.4391453124159124E-2</v>
      </c>
      <c r="AZ1247" s="13">
        <v>3</v>
      </c>
      <c r="BA1247" s="13">
        <v>3</v>
      </c>
      <c r="BB1247" s="14">
        <v>0</v>
      </c>
      <c r="BC1247" s="14">
        <v>0</v>
      </c>
      <c r="BD1247" s="15">
        <f>Table1347456[[#This Row],[treatment_se]]*SQRT(Table1347456[[#This Row],[treatment_n]])</f>
        <v>0</v>
      </c>
      <c r="BE1247" s="14">
        <f>Table1347456[[#This Row],[control_se]]*SQRT(Table1347456[[#This Row],[control_n]])</f>
        <v>0</v>
      </c>
      <c r="BF124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47" s="17">
        <f>SQRT(Table1347456[[#This Row],[v_from_sd_and_n]])</f>
        <v>0</v>
      </c>
      <c r="BH1247" s="13" t="s">
        <v>50</v>
      </c>
      <c r="BI1247" s="13">
        <v>5.0000000000000001E-3</v>
      </c>
      <c r="BJ1247" s="18">
        <f>ABS(_xlfn.NORM.S.INV(Table1347456[[#This Row],[p_value]]/2))</f>
        <v>2.8070337683438042</v>
      </c>
      <c r="BK1247" s="19">
        <f>(Table1347456[[#This Row],[lnrr]]/Table1347456[[#This Row],[z_from_p]])^2</f>
        <v>7.5505758401771684E-5</v>
      </c>
      <c r="BL1247" s="16">
        <f>(Table1347456[[#This Row],[lnrr]]/Table1347456[[#This Row],[z_from_p]])^2</f>
        <v>7.5505758401771684E-5</v>
      </c>
      <c r="BM1247" s="20">
        <f>SQRT(Table1347456[[#This Row],[v]])</f>
        <v>8.6894049509602025E-3</v>
      </c>
      <c r="BN1247" s="20">
        <f>Table1347456[[#This Row],[lnrr]]-(1.96*Table1347456[[#This Row],[se]])</f>
        <v>-4.1422686828041122E-2</v>
      </c>
      <c r="BO1247" s="20">
        <f>Table1347456[[#This Row],[lnrr]]+(1.96 * Table1347456[[#This Row],[se]])</f>
        <v>-7.3602194202771268E-3</v>
      </c>
    </row>
    <row r="1248" spans="1:67">
      <c r="A1248" s="13" t="s">
        <v>390</v>
      </c>
      <c r="B1248" s="13" t="s">
        <v>391</v>
      </c>
      <c r="C1248" s="13" t="s">
        <v>43</v>
      </c>
      <c r="D1248" s="13" t="s">
        <v>392</v>
      </c>
      <c r="E1248" s="13" t="s">
        <v>393</v>
      </c>
      <c r="F1248" s="13" t="s">
        <v>587</v>
      </c>
      <c r="G1248" s="13" t="s">
        <v>46</v>
      </c>
      <c r="H1248" s="13">
        <v>28</v>
      </c>
      <c r="I1248" s="13">
        <v>1851</v>
      </c>
      <c r="K1248" s="13" t="s">
        <v>938</v>
      </c>
      <c r="L1248" s="13" t="s">
        <v>939</v>
      </c>
      <c r="N1248" s="13" t="s">
        <v>86</v>
      </c>
      <c r="O1248" s="13" t="s">
        <v>644</v>
      </c>
      <c r="P1248" s="13" t="s">
        <v>85</v>
      </c>
      <c r="Q1248" s="13" t="s">
        <v>48</v>
      </c>
      <c r="R1248" s="4">
        <v>3</v>
      </c>
      <c r="S1248" s="13" t="s">
        <v>594</v>
      </c>
      <c r="T1248" s="13">
        <v>300</v>
      </c>
      <c r="U1248" s="4" t="s">
        <v>147</v>
      </c>
      <c r="V1248" s="4">
        <v>450</v>
      </c>
      <c r="W1248" s="4" t="s">
        <v>601</v>
      </c>
      <c r="X1248" s="4">
        <v>673</v>
      </c>
      <c r="Y1248" s="4">
        <v>5</v>
      </c>
      <c r="AA1248" s="4" t="s">
        <v>49</v>
      </c>
      <c r="AB1248" s="4">
        <v>0</v>
      </c>
      <c r="AC1248" s="4" t="s">
        <v>49</v>
      </c>
      <c r="AD1248" s="4">
        <v>0</v>
      </c>
      <c r="AE1248" s="4" t="s">
        <v>49</v>
      </c>
      <c r="AF1248" s="4">
        <v>0</v>
      </c>
      <c r="AG1248" s="4" t="s">
        <v>691</v>
      </c>
      <c r="AH1248" s="4" t="s">
        <v>684</v>
      </c>
      <c r="AI1248" s="4" t="s">
        <v>64</v>
      </c>
      <c r="AJ1248" s="13">
        <v>0</v>
      </c>
      <c r="AK1248" s="13">
        <v>15</v>
      </c>
      <c r="AM1248" s="13" t="s">
        <v>560</v>
      </c>
      <c r="AP1248" s="13" t="s">
        <v>50</v>
      </c>
      <c r="AQ1248" s="13" t="s">
        <v>49</v>
      </c>
      <c r="AR1248" s="13" t="s">
        <v>50</v>
      </c>
      <c r="AS1248" s="13" t="s">
        <v>49</v>
      </c>
      <c r="AT1248" s="13" t="s">
        <v>990</v>
      </c>
      <c r="AU1248" s="13" t="s">
        <v>998</v>
      </c>
      <c r="AV1248" s="14">
        <f>0.506/1000</f>
        <v>5.0600000000000005E-4</v>
      </c>
      <c r="AW1248" s="14">
        <f>0.232/1000</f>
        <v>2.32E-4</v>
      </c>
      <c r="AX1248" s="14">
        <f>Table1347456[[#This Row],[treatment_mean]]/Table1347456[[#This Row],[control_mean]]</f>
        <v>2.181034482758621</v>
      </c>
      <c r="AY1248" s="14">
        <f>LN(Table1347456[[#This Row],[rr]])</f>
        <v>0.77979929762115574</v>
      </c>
      <c r="AZ1248" s="13">
        <v>3</v>
      </c>
      <c r="BA1248" s="13">
        <v>3</v>
      </c>
      <c r="BB1248" s="14">
        <v>0</v>
      </c>
      <c r="BC1248" s="14">
        <v>0</v>
      </c>
      <c r="BD1248" s="15">
        <f>Table1347456[[#This Row],[treatment_se]]*SQRT(Table1347456[[#This Row],[treatment_n]])</f>
        <v>0</v>
      </c>
      <c r="BE1248" s="14">
        <f>Table1347456[[#This Row],[control_se]]*SQRT(Table1347456[[#This Row],[control_n]])</f>
        <v>0</v>
      </c>
      <c r="BF124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48" s="17">
        <f>SQRT(Table1347456[[#This Row],[v_from_sd_and_n]])</f>
        <v>0</v>
      </c>
      <c r="BH1248" s="13" t="s">
        <v>50</v>
      </c>
      <c r="BI1248" s="13">
        <v>5.0000000000000001E-3</v>
      </c>
      <c r="BJ1248" s="18">
        <f>ABS(_xlfn.NORM.S.INV(Table1347456[[#This Row],[p_value]]/2))</f>
        <v>2.8070337683438042</v>
      </c>
      <c r="BK1248" s="19">
        <f>(Table1347456[[#This Row],[lnrr]]/Table1347456[[#This Row],[z_from_p]])^2</f>
        <v>7.7173892360121552E-2</v>
      </c>
      <c r="BL1248" s="16">
        <f>(Table1347456[[#This Row],[lnrr]]/Table1347456[[#This Row],[z_from_p]])^2</f>
        <v>7.7173892360121552E-2</v>
      </c>
      <c r="BM1248" s="20">
        <f>SQRT(Table1347456[[#This Row],[v]])</f>
        <v>0.27780189409023393</v>
      </c>
      <c r="BN1248" s="20">
        <f>Table1347456[[#This Row],[lnrr]]-(1.96*Table1347456[[#This Row],[se]])</f>
        <v>0.23530758520429729</v>
      </c>
      <c r="BO1248" s="20">
        <f>Table1347456[[#This Row],[lnrr]]+(1.96 * Table1347456[[#This Row],[se]])</f>
        <v>1.3242910100380141</v>
      </c>
    </row>
    <row r="1249" spans="1:67">
      <c r="A1249" s="13" t="s">
        <v>390</v>
      </c>
      <c r="B1249" s="13" t="s">
        <v>391</v>
      </c>
      <c r="C1249" s="13" t="s">
        <v>43</v>
      </c>
      <c r="D1249" s="13" t="s">
        <v>392</v>
      </c>
      <c r="E1249" s="13" t="s">
        <v>393</v>
      </c>
      <c r="F1249" s="13" t="s">
        <v>587</v>
      </c>
      <c r="G1249" s="13" t="s">
        <v>46</v>
      </c>
      <c r="H1249" s="13">
        <v>28</v>
      </c>
      <c r="I1249" s="13">
        <v>1851</v>
      </c>
      <c r="K1249" s="13" t="s">
        <v>938</v>
      </c>
      <c r="L1249" s="13" t="s">
        <v>939</v>
      </c>
      <c r="N1249" s="13" t="s">
        <v>86</v>
      </c>
      <c r="O1249" s="13" t="s">
        <v>644</v>
      </c>
      <c r="P1249" s="13" t="s">
        <v>85</v>
      </c>
      <c r="Q1249" s="13" t="s">
        <v>48</v>
      </c>
      <c r="R1249" s="4">
        <v>3</v>
      </c>
      <c r="S1249" s="13" t="s">
        <v>594</v>
      </c>
      <c r="T1249" s="13">
        <v>300</v>
      </c>
      <c r="U1249" s="4" t="s">
        <v>147</v>
      </c>
      <c r="V1249" s="4">
        <v>450</v>
      </c>
      <c r="W1249" s="4" t="s">
        <v>601</v>
      </c>
      <c r="X1249" s="4">
        <v>673</v>
      </c>
      <c r="Y1249" s="4">
        <v>5</v>
      </c>
      <c r="AA1249" s="4" t="s">
        <v>50</v>
      </c>
      <c r="AB1249" s="4">
        <v>150</v>
      </c>
      <c r="AC1249" s="4" t="s">
        <v>49</v>
      </c>
      <c r="AD1249" s="4">
        <v>0</v>
      </c>
      <c r="AE1249" s="4" t="s">
        <v>49</v>
      </c>
      <c r="AF1249" s="4">
        <v>0</v>
      </c>
      <c r="AG1249" s="4" t="s">
        <v>691</v>
      </c>
      <c r="AH1249" s="4" t="s">
        <v>684</v>
      </c>
      <c r="AI1249" s="4" t="s">
        <v>64</v>
      </c>
      <c r="AJ1249" s="13">
        <v>0</v>
      </c>
      <c r="AK1249" s="13">
        <v>15</v>
      </c>
      <c r="AM1249" s="13" t="s">
        <v>560</v>
      </c>
      <c r="AP1249" s="13" t="s">
        <v>50</v>
      </c>
      <c r="AQ1249" s="13" t="s">
        <v>49</v>
      </c>
      <c r="AR1249" s="13" t="s">
        <v>50</v>
      </c>
      <c r="AS1249" s="13" t="s">
        <v>49</v>
      </c>
      <c r="AT1249" s="13" t="s">
        <v>992</v>
      </c>
      <c r="AU1249" s="4" t="s">
        <v>1000</v>
      </c>
      <c r="AV1249" s="14">
        <f>0.6/1000</f>
        <v>5.9999999999999995E-4</v>
      </c>
      <c r="AW1249" s="14">
        <f>0.49/1000</f>
        <v>4.8999999999999998E-4</v>
      </c>
      <c r="AX1249" s="14">
        <f>Table1347456[[#This Row],[treatment_mean]]/Table1347456[[#This Row],[control_mean]]</f>
        <v>1.2244897959183674</v>
      </c>
      <c r="AY1249" s="14">
        <f>LN(Table1347456[[#This Row],[rr]])</f>
        <v>0.20252426411147409</v>
      </c>
      <c r="AZ1249" s="13">
        <v>3</v>
      </c>
      <c r="BA1249" s="13">
        <v>3</v>
      </c>
      <c r="BB1249" s="14">
        <v>0</v>
      </c>
      <c r="BC1249" s="14">
        <v>0</v>
      </c>
      <c r="BD1249" s="15">
        <f>Table1347456[[#This Row],[treatment_se]]*SQRT(Table1347456[[#This Row],[treatment_n]])</f>
        <v>0</v>
      </c>
      <c r="BE1249" s="14">
        <f>Table1347456[[#This Row],[control_se]]*SQRT(Table1347456[[#This Row],[control_n]])</f>
        <v>0</v>
      </c>
      <c r="BF124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49" s="17">
        <f>SQRT(Table1347456[[#This Row],[v_from_sd_and_n]])</f>
        <v>0</v>
      </c>
      <c r="BH1249" s="13" t="s">
        <v>50</v>
      </c>
      <c r="BI1249" s="13">
        <v>5.0000000000000001E-3</v>
      </c>
      <c r="BJ1249" s="18">
        <f>ABS(_xlfn.NORM.S.INV(Table1347456[[#This Row],[p_value]]/2))</f>
        <v>2.8070337683438042</v>
      </c>
      <c r="BK1249" s="19">
        <f>(Table1347456[[#This Row],[lnrr]]/Table1347456[[#This Row],[z_from_p]])^2</f>
        <v>5.2054568552111196E-3</v>
      </c>
      <c r="BL1249" s="16">
        <f>(Table1347456[[#This Row],[lnrr]]/Table1347456[[#This Row],[z_from_p]])^2</f>
        <v>5.2054568552111196E-3</v>
      </c>
      <c r="BM1249" s="20">
        <f>SQRT(Table1347456[[#This Row],[v]])</f>
        <v>7.2148852071333189E-2</v>
      </c>
      <c r="BN1249" s="20">
        <f>Table1347456[[#This Row],[lnrr]]-(1.96*Table1347456[[#This Row],[se]])</f>
        <v>6.1112514051661043E-2</v>
      </c>
      <c r="BO1249" s="20">
        <f>Table1347456[[#This Row],[lnrr]]+(1.96 * Table1347456[[#This Row],[se]])</f>
        <v>0.34393601417128716</v>
      </c>
    </row>
    <row r="1250" spans="1:67">
      <c r="A1250" s="13" t="s">
        <v>390</v>
      </c>
      <c r="B1250" s="13" t="s">
        <v>391</v>
      </c>
      <c r="C1250" s="13" t="s">
        <v>43</v>
      </c>
      <c r="D1250" s="13" t="s">
        <v>392</v>
      </c>
      <c r="E1250" s="13" t="s">
        <v>393</v>
      </c>
      <c r="F1250" s="13" t="s">
        <v>587</v>
      </c>
      <c r="G1250" s="13" t="s">
        <v>46</v>
      </c>
      <c r="H1250" s="13">
        <v>28</v>
      </c>
      <c r="I1250" s="13">
        <v>1851</v>
      </c>
      <c r="K1250" s="13" t="s">
        <v>938</v>
      </c>
      <c r="L1250" s="13" t="s">
        <v>939</v>
      </c>
      <c r="N1250" s="13" t="s">
        <v>617</v>
      </c>
      <c r="O1250" s="13" t="s">
        <v>54</v>
      </c>
      <c r="P1250" s="13" t="s">
        <v>394</v>
      </c>
      <c r="Q1250" s="13" t="s">
        <v>48</v>
      </c>
      <c r="R1250" s="4">
        <v>3</v>
      </c>
      <c r="S1250" s="13" t="s">
        <v>594</v>
      </c>
      <c r="T1250" s="13">
        <v>300</v>
      </c>
      <c r="U1250" s="4" t="s">
        <v>147</v>
      </c>
      <c r="V1250" s="4">
        <v>450</v>
      </c>
      <c r="W1250" s="4" t="s">
        <v>601</v>
      </c>
      <c r="X1250" s="4">
        <v>673</v>
      </c>
      <c r="Y1250" s="4">
        <v>5</v>
      </c>
      <c r="AA1250" s="4" t="s">
        <v>49</v>
      </c>
      <c r="AB1250" s="4">
        <v>0</v>
      </c>
      <c r="AC1250" s="4" t="s">
        <v>49</v>
      </c>
      <c r="AD1250" s="4">
        <v>0</v>
      </c>
      <c r="AE1250" s="4" t="s">
        <v>49</v>
      </c>
      <c r="AF1250" s="4">
        <v>0</v>
      </c>
      <c r="AG1250" s="4" t="s">
        <v>691</v>
      </c>
      <c r="AH1250" s="4" t="s">
        <v>684</v>
      </c>
      <c r="AI1250" s="4" t="s">
        <v>64</v>
      </c>
      <c r="AJ1250" s="13">
        <v>0</v>
      </c>
      <c r="AK1250" s="13">
        <v>15</v>
      </c>
      <c r="AM1250" s="13" t="s">
        <v>560</v>
      </c>
      <c r="AP1250" s="13" t="s">
        <v>50</v>
      </c>
      <c r="AQ1250" s="13" t="s">
        <v>49</v>
      </c>
      <c r="AR1250" s="13" t="s">
        <v>50</v>
      </c>
      <c r="AS1250" s="13" t="s">
        <v>49</v>
      </c>
      <c r="AT1250" s="13" t="s">
        <v>990</v>
      </c>
      <c r="AU1250" s="13" t="s">
        <v>998</v>
      </c>
      <c r="AV1250" s="14">
        <f>2.39*0.000189</f>
        <v>4.5171000000000008E-4</v>
      </c>
      <c r="AW1250" s="14">
        <f>1.28*0.000189</f>
        <v>2.4192000000000001E-4</v>
      </c>
      <c r="AX1250" s="14">
        <f>Table1347456[[#This Row],[treatment_mean]]/Table1347456[[#This Row],[control_mean]]</f>
        <v>1.8671875000000002</v>
      </c>
      <c r="AY1250" s="14">
        <f>LN(Table1347456[[#This Row],[rr]])</f>
        <v>0.62443328801189357</v>
      </c>
      <c r="AZ1250" s="13">
        <v>3</v>
      </c>
      <c r="BA1250" s="13">
        <v>3</v>
      </c>
      <c r="BB1250" s="14">
        <v>0</v>
      </c>
      <c r="BC1250" s="14">
        <v>0</v>
      </c>
      <c r="BD1250" s="15">
        <f>Table1347456[[#This Row],[treatment_se]]*SQRT(Table1347456[[#This Row],[treatment_n]])</f>
        <v>0</v>
      </c>
      <c r="BE1250" s="14">
        <f>Table1347456[[#This Row],[control_se]]*SQRT(Table1347456[[#This Row],[control_n]])</f>
        <v>0</v>
      </c>
      <c r="BF125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50" s="17">
        <f>SQRT(Table1347456[[#This Row],[v_from_sd_and_n]])</f>
        <v>0</v>
      </c>
      <c r="BH1250" s="13" t="s">
        <v>50</v>
      </c>
      <c r="BI1250" s="13">
        <v>5.0000000000000001E-3</v>
      </c>
      <c r="BJ1250" s="18">
        <f>ABS(_xlfn.NORM.S.INV(Table1347456[[#This Row],[p_value]]/2))</f>
        <v>2.8070337683438042</v>
      </c>
      <c r="BK1250" s="19">
        <f>(Table1347456[[#This Row],[lnrr]]/Table1347456[[#This Row],[z_from_p]])^2</f>
        <v>4.9485369723446131E-2</v>
      </c>
      <c r="BL1250" s="16">
        <f>(Table1347456[[#This Row],[lnrr]]/Table1347456[[#This Row],[z_from_p]])^2</f>
        <v>4.9485369723446131E-2</v>
      </c>
      <c r="BM1250" s="20">
        <f>SQRT(Table1347456[[#This Row],[v]])</f>
        <v>0.22245307308159654</v>
      </c>
      <c r="BN1250" s="20">
        <f>Table1347456[[#This Row],[lnrr]]-(1.96*Table1347456[[#This Row],[se]])</f>
        <v>0.18842526477196436</v>
      </c>
      <c r="BO1250" s="20">
        <f>Table1347456[[#This Row],[lnrr]]+(1.96 * Table1347456[[#This Row],[se]])</f>
        <v>1.0604413112518227</v>
      </c>
    </row>
    <row r="1251" spans="1:67">
      <c r="A1251" s="13" t="s">
        <v>390</v>
      </c>
      <c r="B1251" s="13" t="s">
        <v>391</v>
      </c>
      <c r="C1251" s="13" t="s">
        <v>43</v>
      </c>
      <c r="D1251" s="13" t="s">
        <v>392</v>
      </c>
      <c r="E1251" s="13" t="s">
        <v>393</v>
      </c>
      <c r="F1251" s="13" t="s">
        <v>587</v>
      </c>
      <c r="G1251" s="13" t="s">
        <v>46</v>
      </c>
      <c r="H1251" s="13">
        <v>28</v>
      </c>
      <c r="I1251" s="13">
        <v>1851</v>
      </c>
      <c r="K1251" s="13" t="s">
        <v>938</v>
      </c>
      <c r="L1251" s="13" t="s">
        <v>939</v>
      </c>
      <c r="N1251" s="13" t="s">
        <v>617</v>
      </c>
      <c r="O1251" s="13" t="s">
        <v>54</v>
      </c>
      <c r="P1251" s="13" t="s">
        <v>394</v>
      </c>
      <c r="Q1251" s="13" t="s">
        <v>48</v>
      </c>
      <c r="R1251" s="4">
        <v>3</v>
      </c>
      <c r="S1251" s="13" t="s">
        <v>594</v>
      </c>
      <c r="T1251" s="13">
        <v>300</v>
      </c>
      <c r="U1251" s="4" t="s">
        <v>147</v>
      </c>
      <c r="V1251" s="4">
        <v>450</v>
      </c>
      <c r="W1251" s="4" t="s">
        <v>601</v>
      </c>
      <c r="X1251" s="4">
        <v>673</v>
      </c>
      <c r="Y1251" s="4">
        <v>5</v>
      </c>
      <c r="AA1251" s="4" t="s">
        <v>50</v>
      </c>
      <c r="AB1251" s="4">
        <v>150</v>
      </c>
      <c r="AC1251" s="4" t="s">
        <v>49</v>
      </c>
      <c r="AD1251" s="4">
        <v>0</v>
      </c>
      <c r="AE1251" s="4" t="s">
        <v>49</v>
      </c>
      <c r="AF1251" s="4">
        <v>0</v>
      </c>
      <c r="AG1251" s="4" t="s">
        <v>691</v>
      </c>
      <c r="AH1251" s="4" t="s">
        <v>684</v>
      </c>
      <c r="AI1251" s="4" t="s">
        <v>64</v>
      </c>
      <c r="AJ1251" s="13">
        <v>0</v>
      </c>
      <c r="AK1251" s="13">
        <v>15</v>
      </c>
      <c r="AM1251" s="13" t="s">
        <v>560</v>
      </c>
      <c r="AP1251" s="13" t="s">
        <v>50</v>
      </c>
      <c r="AQ1251" s="13" t="s">
        <v>49</v>
      </c>
      <c r="AR1251" s="13" t="s">
        <v>50</v>
      </c>
      <c r="AS1251" s="13" t="s">
        <v>49</v>
      </c>
      <c r="AT1251" s="13" t="s">
        <v>992</v>
      </c>
      <c r="AU1251" s="4" t="s">
        <v>1000</v>
      </c>
      <c r="AV1251" s="14">
        <f>2.4*0.000189</f>
        <v>4.5360000000000002E-4</v>
      </c>
      <c r="AW1251" s="14">
        <f>2.38*0.000189</f>
        <v>4.4982000000000003E-4</v>
      </c>
      <c r="AX1251" s="14">
        <f>Table1347456[[#This Row],[treatment_mean]]/Table1347456[[#This Row],[control_mean]]</f>
        <v>1.0084033613445378</v>
      </c>
      <c r="AY1251" s="14">
        <f>LN(Table1347456[[#This Row],[rr]])</f>
        <v>8.3682496705165792E-3</v>
      </c>
      <c r="AZ1251" s="13">
        <v>3</v>
      </c>
      <c r="BA1251" s="13">
        <v>3</v>
      </c>
      <c r="BB1251" s="14">
        <v>0</v>
      </c>
      <c r="BC1251" s="14">
        <v>0</v>
      </c>
      <c r="BD1251" s="15">
        <f>Table1347456[[#This Row],[treatment_se]]*SQRT(Table1347456[[#This Row],[treatment_n]])</f>
        <v>0</v>
      </c>
      <c r="BE1251" s="14">
        <f>Table1347456[[#This Row],[control_se]]*SQRT(Table1347456[[#This Row],[control_n]])</f>
        <v>0</v>
      </c>
      <c r="BF125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51" s="17">
        <f>SQRT(Table1347456[[#This Row],[v_from_sd_and_n]])</f>
        <v>0</v>
      </c>
      <c r="BH1251" s="13" t="s">
        <v>50</v>
      </c>
      <c r="BI1251" s="13">
        <v>5.0000000000000001E-3</v>
      </c>
      <c r="BJ1251" s="18">
        <f>ABS(_xlfn.NORM.S.INV(Table1347456[[#This Row],[p_value]]/2))</f>
        <v>2.8070337683438042</v>
      </c>
      <c r="BK1251" s="19">
        <f>(Table1347456[[#This Row],[lnrr]]/Table1347456[[#This Row],[z_from_p]])^2</f>
        <v>8.8873847885389206E-6</v>
      </c>
      <c r="BL1251" s="16">
        <f>(Table1347456[[#This Row],[lnrr]]/Table1347456[[#This Row],[z_from_p]])^2</f>
        <v>8.8873847885389206E-6</v>
      </c>
      <c r="BM1251" s="20">
        <f>SQRT(Table1347456[[#This Row],[v]])</f>
        <v>2.9811717140310655E-3</v>
      </c>
      <c r="BN1251" s="20">
        <f>Table1347456[[#This Row],[lnrr]]-(1.96*Table1347456[[#This Row],[se]])</f>
        <v>2.525153111015691E-3</v>
      </c>
      <c r="BO1251" s="20">
        <f>Table1347456[[#This Row],[lnrr]]+(1.96 * Table1347456[[#This Row],[se]])</f>
        <v>1.4211346230017467E-2</v>
      </c>
    </row>
    <row r="1252" spans="1:67">
      <c r="A1252" s="13" t="s">
        <v>390</v>
      </c>
      <c r="B1252" s="13" t="s">
        <v>391</v>
      </c>
      <c r="C1252" s="13" t="s">
        <v>43</v>
      </c>
      <c r="D1252" s="13" t="s">
        <v>392</v>
      </c>
      <c r="E1252" s="13" t="s">
        <v>393</v>
      </c>
      <c r="F1252" s="13" t="s">
        <v>587</v>
      </c>
      <c r="G1252" s="13" t="s">
        <v>46</v>
      </c>
      <c r="H1252" s="13">
        <v>28</v>
      </c>
      <c r="I1252" s="13">
        <v>1851</v>
      </c>
      <c r="K1252" s="13" t="s">
        <v>938</v>
      </c>
      <c r="L1252" s="13" t="s">
        <v>939</v>
      </c>
      <c r="N1252" s="13" t="s">
        <v>81</v>
      </c>
      <c r="O1252" s="13" t="s">
        <v>82</v>
      </c>
      <c r="P1252" s="13" t="s">
        <v>83</v>
      </c>
      <c r="Q1252" s="13" t="s">
        <v>83</v>
      </c>
      <c r="R1252" s="4">
        <v>3</v>
      </c>
      <c r="S1252" s="13" t="s">
        <v>594</v>
      </c>
      <c r="T1252" s="13">
        <v>300</v>
      </c>
      <c r="U1252" s="4" t="s">
        <v>147</v>
      </c>
      <c r="V1252" s="4">
        <v>450</v>
      </c>
      <c r="W1252" s="4" t="s">
        <v>601</v>
      </c>
      <c r="X1252" s="4">
        <v>673</v>
      </c>
      <c r="Y1252" s="4">
        <v>5</v>
      </c>
      <c r="AA1252" s="4" t="s">
        <v>49</v>
      </c>
      <c r="AB1252" s="4">
        <v>0</v>
      </c>
      <c r="AC1252" s="4" t="s">
        <v>49</v>
      </c>
      <c r="AD1252" s="4">
        <v>0</v>
      </c>
      <c r="AE1252" s="4" t="s">
        <v>49</v>
      </c>
      <c r="AF1252" s="4">
        <v>0</v>
      </c>
      <c r="AG1252" s="4" t="s">
        <v>691</v>
      </c>
      <c r="AH1252" s="4" t="s">
        <v>684</v>
      </c>
      <c r="AI1252" s="4" t="s">
        <v>64</v>
      </c>
      <c r="AJ1252" s="13">
        <v>0</v>
      </c>
      <c r="AK1252" s="13">
        <v>15</v>
      </c>
      <c r="AM1252" s="13" t="s">
        <v>560</v>
      </c>
      <c r="AP1252" s="13" t="s">
        <v>50</v>
      </c>
      <c r="AQ1252" s="13" t="s">
        <v>49</v>
      </c>
      <c r="AR1252" s="13" t="s">
        <v>50</v>
      </c>
      <c r="AS1252" s="13" t="s">
        <v>49</v>
      </c>
      <c r="AT1252" s="13" t="s">
        <v>990</v>
      </c>
      <c r="AU1252" s="13" t="s">
        <v>998</v>
      </c>
      <c r="AV1252" s="14">
        <f>368.54/1000</f>
        <v>0.36854000000000003</v>
      </c>
      <c r="AW1252" s="14">
        <f>310.75/1000</f>
        <v>0.31075000000000003</v>
      </c>
      <c r="AX1252" s="14">
        <f>Table1347456[[#This Row],[treatment_mean]]/Table1347456[[#This Row],[control_mean]]</f>
        <v>1.1859694288012872</v>
      </c>
      <c r="AY1252" s="14">
        <f>LN(Table1347456[[#This Row],[rr]])</f>
        <v>0.17056052351589432</v>
      </c>
      <c r="AZ1252" s="13">
        <v>3</v>
      </c>
      <c r="BA1252" s="13">
        <v>3</v>
      </c>
      <c r="BB1252" s="14">
        <v>0</v>
      </c>
      <c r="BC1252" s="14">
        <v>0</v>
      </c>
      <c r="BD1252" s="15">
        <f>Table1347456[[#This Row],[treatment_se]]*SQRT(Table1347456[[#This Row],[treatment_n]])</f>
        <v>0</v>
      </c>
      <c r="BE1252" s="14">
        <f>Table1347456[[#This Row],[control_se]]*SQRT(Table1347456[[#This Row],[control_n]])</f>
        <v>0</v>
      </c>
      <c r="BF125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52" s="17">
        <f>SQRT(Table1347456[[#This Row],[v_from_sd_and_n]])</f>
        <v>0</v>
      </c>
      <c r="BH1252" s="13" t="s">
        <v>50</v>
      </c>
      <c r="BI1252" s="13">
        <v>5.0000000000000001E-3</v>
      </c>
      <c r="BJ1252" s="18">
        <f>ABS(_xlfn.NORM.S.INV(Table1347456[[#This Row],[p_value]]/2))</f>
        <v>2.8070337683438042</v>
      </c>
      <c r="BK1252" s="19">
        <f>(Table1347456[[#This Row],[lnrr]]/Table1347456[[#This Row],[z_from_p]])^2</f>
        <v>3.6920006291217226E-3</v>
      </c>
      <c r="BL1252" s="16">
        <f>(Table1347456[[#This Row],[lnrr]]/Table1347456[[#This Row],[z_from_p]])^2</f>
        <v>3.6920006291217226E-3</v>
      </c>
      <c r="BM1252" s="20">
        <f>SQRT(Table1347456[[#This Row],[v]])</f>
        <v>6.076183530080146E-2</v>
      </c>
      <c r="BN1252" s="20">
        <f>Table1347456[[#This Row],[lnrr]]-(1.96*Table1347456[[#This Row],[se]])</f>
        <v>5.1467326326323462E-2</v>
      </c>
      <c r="BO1252" s="20">
        <f>Table1347456[[#This Row],[lnrr]]+(1.96 * Table1347456[[#This Row],[se]])</f>
        <v>0.28965372070546519</v>
      </c>
    </row>
    <row r="1253" spans="1:67">
      <c r="A1253" s="13" t="s">
        <v>390</v>
      </c>
      <c r="B1253" s="13" t="s">
        <v>391</v>
      </c>
      <c r="C1253" s="13" t="s">
        <v>43</v>
      </c>
      <c r="D1253" s="13" t="s">
        <v>392</v>
      </c>
      <c r="E1253" s="13" t="s">
        <v>393</v>
      </c>
      <c r="F1253" s="13" t="s">
        <v>587</v>
      </c>
      <c r="G1253" s="13" t="s">
        <v>46</v>
      </c>
      <c r="H1253" s="13">
        <v>28</v>
      </c>
      <c r="I1253" s="13">
        <v>1851</v>
      </c>
      <c r="K1253" s="13" t="s">
        <v>938</v>
      </c>
      <c r="L1253" s="13" t="s">
        <v>939</v>
      </c>
      <c r="N1253" s="13" t="s">
        <v>81</v>
      </c>
      <c r="O1253" s="13" t="s">
        <v>82</v>
      </c>
      <c r="P1253" s="13" t="s">
        <v>83</v>
      </c>
      <c r="Q1253" s="13" t="s">
        <v>83</v>
      </c>
      <c r="R1253" s="4">
        <v>3</v>
      </c>
      <c r="S1253" s="13" t="s">
        <v>594</v>
      </c>
      <c r="T1253" s="13">
        <v>300</v>
      </c>
      <c r="U1253" s="4" t="s">
        <v>147</v>
      </c>
      <c r="V1253" s="4">
        <v>450</v>
      </c>
      <c r="W1253" s="4" t="s">
        <v>601</v>
      </c>
      <c r="X1253" s="4">
        <v>673</v>
      </c>
      <c r="Y1253" s="4">
        <v>5</v>
      </c>
      <c r="AA1253" s="4" t="s">
        <v>50</v>
      </c>
      <c r="AB1253" s="4">
        <v>150</v>
      </c>
      <c r="AC1253" s="4" t="s">
        <v>49</v>
      </c>
      <c r="AD1253" s="4">
        <v>0</v>
      </c>
      <c r="AE1253" s="4" t="s">
        <v>49</v>
      </c>
      <c r="AF1253" s="4">
        <v>0</v>
      </c>
      <c r="AG1253" s="4" t="s">
        <v>691</v>
      </c>
      <c r="AH1253" s="4" t="s">
        <v>684</v>
      </c>
      <c r="AI1253" s="4" t="s">
        <v>64</v>
      </c>
      <c r="AJ1253" s="13">
        <v>0</v>
      </c>
      <c r="AK1253" s="13">
        <v>15</v>
      </c>
      <c r="AM1253" s="13" t="s">
        <v>560</v>
      </c>
      <c r="AP1253" s="13" t="s">
        <v>50</v>
      </c>
      <c r="AQ1253" s="13" t="s">
        <v>49</v>
      </c>
      <c r="AR1253" s="13" t="s">
        <v>50</v>
      </c>
      <c r="AS1253" s="13" t="s">
        <v>49</v>
      </c>
      <c r="AT1253" s="13" t="s">
        <v>992</v>
      </c>
      <c r="AU1253" s="4" t="s">
        <v>1000</v>
      </c>
      <c r="AV1253" s="14">
        <f>425.01/1000</f>
        <v>0.42501</v>
      </c>
      <c r="AW1253" s="14">
        <f>310.75/1000</f>
        <v>0.31075000000000003</v>
      </c>
      <c r="AX1253" s="14">
        <f>Table1347456[[#This Row],[treatment_mean]]/Table1347456[[#This Row],[control_mean]]</f>
        <v>1.3676910699919549</v>
      </c>
      <c r="AY1253" s="14">
        <f>LN(Table1347456[[#This Row],[rr]])</f>
        <v>0.31312396766854872</v>
      </c>
      <c r="AZ1253" s="13">
        <v>3</v>
      </c>
      <c r="BA1253" s="13">
        <v>3</v>
      </c>
      <c r="BB1253" s="14">
        <v>0</v>
      </c>
      <c r="BC1253" s="14">
        <v>0</v>
      </c>
      <c r="BD1253" s="15">
        <f>Table1347456[[#This Row],[treatment_se]]*SQRT(Table1347456[[#This Row],[treatment_n]])</f>
        <v>0</v>
      </c>
      <c r="BE1253" s="14">
        <f>Table1347456[[#This Row],[control_se]]*SQRT(Table1347456[[#This Row],[control_n]])</f>
        <v>0</v>
      </c>
      <c r="BF125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53" s="17">
        <f>SQRT(Table1347456[[#This Row],[v_from_sd_and_n]])</f>
        <v>0</v>
      </c>
      <c r="BH1253" s="13" t="s">
        <v>50</v>
      </c>
      <c r="BI1253" s="13">
        <v>5.0000000000000001E-3</v>
      </c>
      <c r="BJ1253" s="18">
        <f>ABS(_xlfn.NORM.S.INV(Table1347456[[#This Row],[p_value]]/2))</f>
        <v>2.8070337683438042</v>
      </c>
      <c r="BK1253" s="19">
        <f>(Table1347456[[#This Row],[lnrr]]/Table1347456[[#This Row],[z_from_p]])^2</f>
        <v>1.2443350903120152E-2</v>
      </c>
      <c r="BL1253" s="16">
        <f>(Table1347456[[#This Row],[lnrr]]/Table1347456[[#This Row],[z_from_p]])^2</f>
        <v>1.2443350903120152E-2</v>
      </c>
      <c r="BM1253" s="20">
        <f>SQRT(Table1347456[[#This Row],[v]])</f>
        <v>0.11154976872732705</v>
      </c>
      <c r="BN1253" s="20">
        <f>Table1347456[[#This Row],[lnrr]]-(1.96*Table1347456[[#This Row],[se]])</f>
        <v>9.4486420962987705E-2</v>
      </c>
      <c r="BO1253" s="20">
        <f>Table1347456[[#This Row],[lnrr]]+(1.96 * Table1347456[[#This Row],[se]])</f>
        <v>0.53176151437410968</v>
      </c>
    </row>
    <row r="1254" spans="1:67">
      <c r="A1254" s="13" t="s">
        <v>395</v>
      </c>
      <c r="B1254" s="13" t="s">
        <v>396</v>
      </c>
      <c r="C1254" s="13" t="s">
        <v>43</v>
      </c>
      <c r="D1254" s="13" t="s">
        <v>397</v>
      </c>
      <c r="E1254" s="13" t="s">
        <v>238</v>
      </c>
      <c r="F1254" s="13" t="s">
        <v>586</v>
      </c>
      <c r="G1254" s="13" t="s">
        <v>398</v>
      </c>
      <c r="H1254" s="13">
        <v>5.6</v>
      </c>
      <c r="I1254" s="13">
        <v>642</v>
      </c>
      <c r="J1254" s="13" t="s">
        <v>673</v>
      </c>
      <c r="K1254" s="13" t="s">
        <v>981</v>
      </c>
      <c r="L1254" s="13" t="s">
        <v>982</v>
      </c>
      <c r="M1254" s="13" t="s">
        <v>798</v>
      </c>
      <c r="N1254" s="13" t="s">
        <v>317</v>
      </c>
      <c r="O1254" s="13" t="s">
        <v>644</v>
      </c>
      <c r="P1254" s="13" t="s">
        <v>399</v>
      </c>
      <c r="Q1254" s="13" t="s">
        <v>48</v>
      </c>
      <c r="R1254" s="4">
        <v>4</v>
      </c>
      <c r="S1254" s="13" t="s">
        <v>594</v>
      </c>
      <c r="T1254" s="13">
        <v>1095</v>
      </c>
      <c r="U1254" s="4" t="s">
        <v>186</v>
      </c>
      <c r="V1254" s="4">
        <v>600</v>
      </c>
      <c r="W1254" s="4" t="s">
        <v>602</v>
      </c>
      <c r="X1254" s="4" t="s">
        <v>46</v>
      </c>
      <c r="Y1254" s="4">
        <v>5</v>
      </c>
      <c r="AA1254" s="4" t="s">
        <v>49</v>
      </c>
      <c r="AB1254" s="4">
        <v>0</v>
      </c>
      <c r="AC1254" s="4" t="s">
        <v>49</v>
      </c>
      <c r="AD1254" s="4">
        <v>0</v>
      </c>
      <c r="AE1254" s="4" t="s">
        <v>49</v>
      </c>
      <c r="AF1254" s="4">
        <v>0</v>
      </c>
      <c r="AG1254" s="4" t="s">
        <v>718</v>
      </c>
      <c r="AH1254" s="4" t="s">
        <v>717</v>
      </c>
      <c r="AI1254" s="4" t="s">
        <v>52</v>
      </c>
      <c r="AJ1254" s="13">
        <v>0</v>
      </c>
      <c r="AK1254" s="13">
        <v>20</v>
      </c>
      <c r="AM1254" s="13" t="s">
        <v>561</v>
      </c>
      <c r="AP1254" s="13" t="s">
        <v>50</v>
      </c>
      <c r="AQ1254" s="13" t="s">
        <v>49</v>
      </c>
      <c r="AR1254" s="13" t="s">
        <v>49</v>
      </c>
      <c r="AS1254" s="13" t="s">
        <v>50</v>
      </c>
      <c r="AT1254" s="13" t="s">
        <v>990</v>
      </c>
      <c r="AU1254" s="13" t="s">
        <v>998</v>
      </c>
      <c r="AV1254" s="23">
        <f>(2*1.23)/1000</f>
        <v>2.4599999999999999E-3</v>
      </c>
      <c r="AW1254" s="23">
        <f>(2.6*1.23)/1000</f>
        <v>3.1979999999999999E-3</v>
      </c>
      <c r="AX1254" s="14">
        <f>Table1347456[[#This Row],[treatment_mean]]/Table1347456[[#This Row],[control_mean]]</f>
        <v>0.76923076923076927</v>
      </c>
      <c r="AY1254" s="14">
        <f>LN(Table1347456[[#This Row],[rr]])</f>
        <v>-0.262364264467491</v>
      </c>
      <c r="AZ1254" s="13">
        <v>12</v>
      </c>
      <c r="BA1254" s="13">
        <v>12</v>
      </c>
      <c r="BB1254" s="14">
        <v>0</v>
      </c>
      <c r="BC1254" s="14">
        <v>0</v>
      </c>
      <c r="BD1254" s="15">
        <f>Table1347456[[#This Row],[treatment_se]]*SQRT(Table1347456[[#This Row],[treatment_n]])</f>
        <v>0</v>
      </c>
      <c r="BE1254" s="14">
        <f>Table1347456[[#This Row],[control_se]]*SQRT(Table1347456[[#This Row],[control_n]])</f>
        <v>0</v>
      </c>
      <c r="BF125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54" s="17">
        <f>SQRT(Table1347456[[#This Row],[v_from_sd_and_n]])</f>
        <v>0</v>
      </c>
      <c r="BH1254" s="13" t="s">
        <v>50</v>
      </c>
      <c r="BI1254" s="13">
        <v>2.5000000000000001E-2</v>
      </c>
      <c r="BJ1254" s="18">
        <f>ABS(_xlfn.NORM.S.INV(Table1347456[[#This Row],[p_value]]/2))</f>
        <v>2.2414027276049446</v>
      </c>
      <c r="BK1254" s="19">
        <f>(Table1347456[[#This Row],[lnrr]]/Table1347456[[#This Row],[z_from_p]])^2</f>
        <v>1.3701545915465449E-2</v>
      </c>
      <c r="BL1254" s="16">
        <f>(Table1347456[[#This Row],[lnrr]]/Table1347456[[#This Row],[z_from_p]])^2</f>
        <v>1.3701545915465449E-2</v>
      </c>
      <c r="BM1254" s="20">
        <f>SQRT(Table1347456[[#This Row],[v]])</f>
        <v>0.11705360274449245</v>
      </c>
      <c r="BN1254" s="20">
        <f>Table1347456[[#This Row],[lnrr]]-(1.96*Table1347456[[#This Row],[se]])</f>
        <v>-0.49178932584669621</v>
      </c>
      <c r="BO1254" s="20">
        <f>Table1347456[[#This Row],[lnrr]]+(1.96 * Table1347456[[#This Row],[se]])</f>
        <v>-3.2939203088285823E-2</v>
      </c>
    </row>
    <row r="1255" spans="1:67">
      <c r="A1255" s="13" t="s">
        <v>395</v>
      </c>
      <c r="B1255" s="13" t="s">
        <v>396</v>
      </c>
      <c r="C1255" s="13" t="s">
        <v>43</v>
      </c>
      <c r="D1255" s="13" t="s">
        <v>397</v>
      </c>
      <c r="E1255" s="13" t="s">
        <v>238</v>
      </c>
      <c r="F1255" s="13" t="s">
        <v>586</v>
      </c>
      <c r="G1255" s="13" t="s">
        <v>398</v>
      </c>
      <c r="H1255" s="13">
        <v>5.6</v>
      </c>
      <c r="I1255" s="13">
        <v>642</v>
      </c>
      <c r="J1255" s="13" t="s">
        <v>673</v>
      </c>
      <c r="K1255" s="13" t="s">
        <v>983</v>
      </c>
      <c r="L1255" s="13" t="s">
        <v>982</v>
      </c>
      <c r="M1255" s="13" t="s">
        <v>798</v>
      </c>
      <c r="N1255" s="13" t="s">
        <v>317</v>
      </c>
      <c r="O1255" s="13" t="s">
        <v>644</v>
      </c>
      <c r="P1255" s="13" t="s">
        <v>399</v>
      </c>
      <c r="Q1255" s="13" t="s">
        <v>48</v>
      </c>
      <c r="R1255" s="4">
        <v>4</v>
      </c>
      <c r="S1255" s="13" t="s">
        <v>594</v>
      </c>
      <c r="T1255" s="13">
        <v>1095</v>
      </c>
      <c r="U1255" s="4" t="s">
        <v>186</v>
      </c>
      <c r="V1255" s="4">
        <v>600</v>
      </c>
      <c r="W1255" s="4" t="s">
        <v>602</v>
      </c>
      <c r="X1255" s="4" t="s">
        <v>46</v>
      </c>
      <c r="Y1255" s="4">
        <v>10</v>
      </c>
      <c r="AA1255" s="4" t="s">
        <v>49</v>
      </c>
      <c r="AB1255" s="4">
        <v>0</v>
      </c>
      <c r="AC1255" s="4" t="s">
        <v>49</v>
      </c>
      <c r="AD1255" s="4">
        <v>0</v>
      </c>
      <c r="AE1255" s="4" t="s">
        <v>49</v>
      </c>
      <c r="AF1255" s="4">
        <v>0</v>
      </c>
      <c r="AG1255" s="4" t="s">
        <v>718</v>
      </c>
      <c r="AH1255" s="4" t="s">
        <v>717</v>
      </c>
      <c r="AI1255" s="4" t="s">
        <v>52</v>
      </c>
      <c r="AJ1255" s="13">
        <v>0</v>
      </c>
      <c r="AK1255" s="13">
        <v>20</v>
      </c>
      <c r="AM1255" s="13" t="s">
        <v>561</v>
      </c>
      <c r="AP1255" s="13" t="s">
        <v>50</v>
      </c>
      <c r="AQ1255" s="13" t="s">
        <v>49</v>
      </c>
      <c r="AR1255" s="13" t="s">
        <v>49</v>
      </c>
      <c r="AS1255" s="13" t="s">
        <v>50</v>
      </c>
      <c r="AT1255" s="13" t="s">
        <v>990</v>
      </c>
      <c r="AU1255" s="13" t="s">
        <v>998</v>
      </c>
      <c r="AV1255" s="23">
        <f>(1.4*1.23)/1000</f>
        <v>1.722E-3</v>
      </c>
      <c r="AW1255" s="23">
        <f>(2.6*1.23)/1000</f>
        <v>3.1979999999999999E-3</v>
      </c>
      <c r="AX1255" s="14">
        <f>Table1347456[[#This Row],[treatment_mean]]/Table1347456[[#This Row],[control_mean]]</f>
        <v>0.53846153846153844</v>
      </c>
      <c r="AY1255" s="14">
        <f>LN(Table1347456[[#This Row],[rr]])</f>
        <v>-0.61903920840622351</v>
      </c>
      <c r="AZ1255" s="13">
        <v>12</v>
      </c>
      <c r="BA1255" s="13">
        <v>12</v>
      </c>
      <c r="BB1255" s="14">
        <v>0</v>
      </c>
      <c r="BC1255" s="14">
        <v>0</v>
      </c>
      <c r="BD1255" s="15">
        <f>Table1347456[[#This Row],[treatment_se]]*SQRT(Table1347456[[#This Row],[treatment_n]])</f>
        <v>0</v>
      </c>
      <c r="BE1255" s="14">
        <f>Table1347456[[#This Row],[control_se]]*SQRT(Table1347456[[#This Row],[control_n]])</f>
        <v>0</v>
      </c>
      <c r="BF125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55" s="17">
        <f>SQRT(Table1347456[[#This Row],[v_from_sd_and_n]])</f>
        <v>0</v>
      </c>
      <c r="BH1255" s="13" t="s">
        <v>50</v>
      </c>
      <c r="BI1255" s="13">
        <v>2.5000000000000001E-2</v>
      </c>
      <c r="BJ1255" s="18">
        <f>ABS(_xlfn.NORM.S.INV(Table1347456[[#This Row],[p_value]]/2))</f>
        <v>2.2414027276049446</v>
      </c>
      <c r="BK1255" s="19">
        <f>(Table1347456[[#This Row],[lnrr]]/Table1347456[[#This Row],[z_from_p]])^2</f>
        <v>7.6277512518454882E-2</v>
      </c>
      <c r="BL1255" s="16">
        <f>(Table1347456[[#This Row],[lnrr]]/Table1347456[[#This Row],[z_from_p]])^2</f>
        <v>7.6277512518454882E-2</v>
      </c>
      <c r="BM1255" s="20">
        <f>SQRT(Table1347456[[#This Row],[v]])</f>
        <v>0.27618383826439752</v>
      </c>
      <c r="BN1255" s="20">
        <f>Table1347456[[#This Row],[lnrr]]-(1.96*Table1347456[[#This Row],[se]])</f>
        <v>-1.1603595314044426</v>
      </c>
      <c r="BO1255" s="20">
        <f>Table1347456[[#This Row],[lnrr]]+(1.96 * Table1347456[[#This Row],[se]])</f>
        <v>-7.7718885408004423E-2</v>
      </c>
    </row>
    <row r="1256" spans="1:67">
      <c r="A1256" s="13" t="s">
        <v>395</v>
      </c>
      <c r="B1256" s="13" t="s">
        <v>396</v>
      </c>
      <c r="C1256" s="13" t="s">
        <v>43</v>
      </c>
      <c r="D1256" s="13" t="s">
        <v>397</v>
      </c>
      <c r="E1256" s="13" t="s">
        <v>238</v>
      </c>
      <c r="F1256" s="13" t="s">
        <v>586</v>
      </c>
      <c r="G1256" s="13" t="s">
        <v>398</v>
      </c>
      <c r="H1256" s="13">
        <v>5.6</v>
      </c>
      <c r="I1256" s="13">
        <v>642</v>
      </c>
      <c r="K1256" s="13" t="s">
        <v>983</v>
      </c>
      <c r="L1256" s="13" t="s">
        <v>982</v>
      </c>
      <c r="N1256" s="13" t="s">
        <v>400</v>
      </c>
      <c r="O1256" s="13" t="s">
        <v>644</v>
      </c>
      <c r="P1256" s="13" t="s">
        <v>399</v>
      </c>
      <c r="Q1256" s="13" t="s">
        <v>48</v>
      </c>
      <c r="R1256" s="4">
        <v>4</v>
      </c>
      <c r="S1256" s="13" t="s">
        <v>594</v>
      </c>
      <c r="T1256" s="13">
        <v>1095</v>
      </c>
      <c r="U1256" s="4" t="s">
        <v>186</v>
      </c>
      <c r="V1256" s="4">
        <v>600</v>
      </c>
      <c r="W1256" s="4" t="s">
        <v>602</v>
      </c>
      <c r="X1256" s="4" t="s">
        <v>46</v>
      </c>
      <c r="Y1256" s="4">
        <v>5</v>
      </c>
      <c r="AA1256" s="4" t="s">
        <v>49</v>
      </c>
      <c r="AB1256" s="4">
        <v>0</v>
      </c>
      <c r="AC1256" s="4" t="s">
        <v>49</v>
      </c>
      <c r="AD1256" s="4">
        <v>0</v>
      </c>
      <c r="AE1256" s="4" t="s">
        <v>49</v>
      </c>
      <c r="AF1256" s="4">
        <v>0</v>
      </c>
      <c r="AG1256" s="4" t="s">
        <v>718</v>
      </c>
      <c r="AH1256" s="4" t="s">
        <v>717</v>
      </c>
      <c r="AI1256" s="4" t="s">
        <v>52</v>
      </c>
      <c r="AJ1256" s="13">
        <v>0</v>
      </c>
      <c r="AK1256" s="13">
        <v>20</v>
      </c>
      <c r="AM1256" s="13" t="s">
        <v>561</v>
      </c>
      <c r="AP1256" s="13" t="s">
        <v>50</v>
      </c>
      <c r="AQ1256" s="13" t="s">
        <v>49</v>
      </c>
      <c r="AR1256" s="13" t="s">
        <v>49</v>
      </c>
      <c r="AS1256" s="13" t="s">
        <v>50</v>
      </c>
      <c r="AT1256" s="13" t="s">
        <v>990</v>
      </c>
      <c r="AU1256" s="13" t="s">
        <v>998</v>
      </c>
      <c r="AV1256" s="14">
        <f>(14*1.23)/1000</f>
        <v>1.7219999999999999E-2</v>
      </c>
      <c r="AW1256" s="14">
        <f>(13*1.23)/1000</f>
        <v>1.5990000000000001E-2</v>
      </c>
      <c r="AX1256" s="14">
        <f>Table1347456[[#This Row],[treatment_mean]]/Table1347456[[#This Row],[control_mean]]</f>
        <v>1.0769230769230769</v>
      </c>
      <c r="AY1256" s="14">
        <f>LN(Table1347456[[#This Row],[rr]])</f>
        <v>7.4107972153721835E-2</v>
      </c>
      <c r="AZ1256" s="13">
        <v>12</v>
      </c>
      <c r="BA1256" s="13">
        <v>12</v>
      </c>
      <c r="BB1256" s="14">
        <v>0</v>
      </c>
      <c r="BC1256" s="14">
        <v>0</v>
      </c>
      <c r="BD1256" s="15">
        <f>Table1347456[[#This Row],[treatment_se]]*SQRT(Table1347456[[#This Row],[treatment_n]])</f>
        <v>0</v>
      </c>
      <c r="BE1256" s="14">
        <f>Table1347456[[#This Row],[control_se]]*SQRT(Table1347456[[#This Row],[control_n]])</f>
        <v>0</v>
      </c>
      <c r="BF125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56" s="17">
        <f>SQRT(Table1347456[[#This Row],[v_from_sd_and_n]])</f>
        <v>0</v>
      </c>
      <c r="BH1256" s="13" t="s">
        <v>50</v>
      </c>
      <c r="BI1256" s="13">
        <v>2.5000000000000001E-2</v>
      </c>
      <c r="BJ1256" s="18">
        <f>ABS(_xlfn.NORM.S.INV(Table1347456[[#This Row],[p_value]]/2))</f>
        <v>2.2414027276049446</v>
      </c>
      <c r="BK1256" s="19">
        <f>(Table1347456[[#This Row],[lnrr]]/Table1347456[[#This Row],[z_from_p]])^2</f>
        <v>1.0931759462632477E-3</v>
      </c>
      <c r="BL1256" s="16">
        <f>(Table1347456[[#This Row],[lnrr]]/Table1347456[[#This Row],[z_from_p]])^2</f>
        <v>1.0931759462632477E-3</v>
      </c>
      <c r="BM1256" s="20">
        <f>SQRT(Table1347456[[#This Row],[v]])</f>
        <v>3.3063211372509595E-2</v>
      </c>
      <c r="BN1256" s="20">
        <f>Table1347456[[#This Row],[lnrr]]-(1.96*Table1347456[[#This Row],[se]])</f>
        <v>9.3040778636030302E-3</v>
      </c>
      <c r="BO1256" s="20">
        <f>Table1347456[[#This Row],[lnrr]]+(1.96 * Table1347456[[#This Row],[se]])</f>
        <v>0.13891186644384063</v>
      </c>
    </row>
    <row r="1257" spans="1:67">
      <c r="A1257" s="13" t="s">
        <v>395</v>
      </c>
      <c r="B1257" s="13" t="s">
        <v>396</v>
      </c>
      <c r="C1257" s="13" t="s">
        <v>43</v>
      </c>
      <c r="D1257" s="13" t="s">
        <v>397</v>
      </c>
      <c r="E1257" s="13" t="s">
        <v>238</v>
      </c>
      <c r="F1257" s="13" t="s">
        <v>586</v>
      </c>
      <c r="G1257" s="13" t="s">
        <v>398</v>
      </c>
      <c r="H1257" s="13">
        <v>5.6</v>
      </c>
      <c r="I1257" s="13">
        <v>642</v>
      </c>
      <c r="K1257" s="13" t="s">
        <v>983</v>
      </c>
      <c r="L1257" s="13" t="s">
        <v>982</v>
      </c>
      <c r="N1257" s="13" t="s">
        <v>400</v>
      </c>
      <c r="O1257" s="13" t="s">
        <v>644</v>
      </c>
      <c r="P1257" s="13" t="s">
        <v>399</v>
      </c>
      <c r="Q1257" s="13" t="s">
        <v>48</v>
      </c>
      <c r="R1257" s="4">
        <v>4</v>
      </c>
      <c r="S1257" s="13" t="s">
        <v>594</v>
      </c>
      <c r="T1257" s="13">
        <v>1095</v>
      </c>
      <c r="U1257" s="4" t="s">
        <v>186</v>
      </c>
      <c r="V1257" s="4">
        <v>600</v>
      </c>
      <c r="W1257" s="4" t="s">
        <v>602</v>
      </c>
      <c r="X1257" s="4" t="s">
        <v>46</v>
      </c>
      <c r="Y1257" s="4">
        <v>10</v>
      </c>
      <c r="AA1257" s="4" t="s">
        <v>49</v>
      </c>
      <c r="AB1257" s="4">
        <v>0</v>
      </c>
      <c r="AC1257" s="4" t="s">
        <v>49</v>
      </c>
      <c r="AD1257" s="4">
        <v>0</v>
      </c>
      <c r="AE1257" s="4" t="s">
        <v>49</v>
      </c>
      <c r="AF1257" s="4">
        <v>0</v>
      </c>
      <c r="AG1257" s="4" t="s">
        <v>718</v>
      </c>
      <c r="AH1257" s="4" t="s">
        <v>717</v>
      </c>
      <c r="AI1257" s="4" t="s">
        <v>52</v>
      </c>
      <c r="AJ1257" s="13">
        <v>0</v>
      </c>
      <c r="AK1257" s="13">
        <v>20</v>
      </c>
      <c r="AM1257" s="13" t="s">
        <v>561</v>
      </c>
      <c r="AP1257" s="13" t="s">
        <v>50</v>
      </c>
      <c r="AQ1257" s="13" t="s">
        <v>49</v>
      </c>
      <c r="AR1257" s="13" t="s">
        <v>49</v>
      </c>
      <c r="AS1257" s="13" t="s">
        <v>50</v>
      </c>
      <c r="AT1257" s="13" t="s">
        <v>990</v>
      </c>
      <c r="AU1257" s="13" t="s">
        <v>998</v>
      </c>
      <c r="AV1257" s="14">
        <f>(23*1.23)/1000</f>
        <v>2.8289999999999999E-2</v>
      </c>
      <c r="AW1257" s="14">
        <f>(13*1.23)/1000</f>
        <v>1.5990000000000001E-2</v>
      </c>
      <c r="AX1257" s="14">
        <f>Table1347456[[#This Row],[treatment_mean]]/Table1347456[[#This Row],[control_mean]]</f>
        <v>1.7692307692307692</v>
      </c>
      <c r="AY1257" s="14">
        <f>LN(Table1347456[[#This Row],[rr]])</f>
        <v>0.57054485846761294</v>
      </c>
      <c r="AZ1257" s="13">
        <v>12</v>
      </c>
      <c r="BA1257" s="13">
        <v>12</v>
      </c>
      <c r="BB1257" s="14">
        <v>0</v>
      </c>
      <c r="BC1257" s="14">
        <v>0</v>
      </c>
      <c r="BD1257" s="15">
        <f>Table1347456[[#This Row],[treatment_se]]*SQRT(Table1347456[[#This Row],[treatment_n]])</f>
        <v>0</v>
      </c>
      <c r="BE1257" s="14">
        <f>Table1347456[[#This Row],[control_se]]*SQRT(Table1347456[[#This Row],[control_n]])</f>
        <v>0</v>
      </c>
      <c r="BF125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57" s="17">
        <f>SQRT(Table1347456[[#This Row],[v_from_sd_and_n]])</f>
        <v>0</v>
      </c>
      <c r="BH1257" s="13" t="s">
        <v>50</v>
      </c>
      <c r="BI1257" s="13">
        <v>2.5000000000000001E-2</v>
      </c>
      <c r="BJ1257" s="18">
        <f>ABS(_xlfn.NORM.S.INV(Table1347456[[#This Row],[p_value]]/2))</f>
        <v>2.2414027276049446</v>
      </c>
      <c r="BK1257" s="19">
        <f>(Table1347456[[#This Row],[lnrr]]/Table1347456[[#This Row],[z_from_p]])^2</f>
        <v>6.4794747210985243E-2</v>
      </c>
      <c r="BL1257" s="16">
        <f>(Table1347456[[#This Row],[lnrr]]/Table1347456[[#This Row],[z_from_p]])^2</f>
        <v>6.4794747210985243E-2</v>
      </c>
      <c r="BM1257" s="20">
        <f>SQRT(Table1347456[[#This Row],[v]])</f>
        <v>0.2545481235660268</v>
      </c>
      <c r="BN1257" s="20">
        <f>Table1347456[[#This Row],[lnrr]]-(1.96*Table1347456[[#This Row],[se]])</f>
        <v>7.163053627820043E-2</v>
      </c>
      <c r="BO1257" s="20">
        <f>Table1347456[[#This Row],[lnrr]]+(1.96 * Table1347456[[#This Row],[se]])</f>
        <v>1.0694591806570255</v>
      </c>
    </row>
    <row r="1258" spans="1:67">
      <c r="A1258" s="13" t="s">
        <v>395</v>
      </c>
      <c r="B1258" s="13" t="s">
        <v>396</v>
      </c>
      <c r="C1258" s="13" t="s">
        <v>43</v>
      </c>
      <c r="D1258" s="13" t="s">
        <v>397</v>
      </c>
      <c r="E1258" s="13" t="s">
        <v>238</v>
      </c>
      <c r="F1258" s="13" t="s">
        <v>586</v>
      </c>
      <c r="G1258" s="13" t="s">
        <v>398</v>
      </c>
      <c r="H1258" s="13">
        <v>5.6</v>
      </c>
      <c r="I1258" s="13">
        <v>642</v>
      </c>
      <c r="K1258" s="13" t="s">
        <v>983</v>
      </c>
      <c r="L1258" s="13" t="s">
        <v>982</v>
      </c>
      <c r="N1258" s="13" t="s">
        <v>47</v>
      </c>
      <c r="O1258" s="13" t="s">
        <v>645</v>
      </c>
      <c r="P1258" s="13" t="s">
        <v>48</v>
      </c>
      <c r="Q1258" s="13" t="s">
        <v>48</v>
      </c>
      <c r="R1258" s="4">
        <v>4</v>
      </c>
      <c r="S1258" s="13" t="s">
        <v>594</v>
      </c>
      <c r="T1258" s="13">
        <v>1095</v>
      </c>
      <c r="U1258" s="4" t="s">
        <v>186</v>
      </c>
      <c r="V1258" s="4">
        <v>600</v>
      </c>
      <c r="W1258" s="4" t="s">
        <v>602</v>
      </c>
      <c r="X1258" s="4" t="s">
        <v>46</v>
      </c>
      <c r="Y1258" s="4">
        <v>5</v>
      </c>
      <c r="AA1258" s="4" t="s">
        <v>49</v>
      </c>
      <c r="AB1258" s="4">
        <v>0</v>
      </c>
      <c r="AC1258" s="4" t="s">
        <v>49</v>
      </c>
      <c r="AD1258" s="4">
        <v>0</v>
      </c>
      <c r="AE1258" s="4" t="s">
        <v>49</v>
      </c>
      <c r="AF1258" s="4">
        <v>0</v>
      </c>
      <c r="AG1258" s="4" t="s">
        <v>718</v>
      </c>
      <c r="AH1258" s="4" t="s">
        <v>717</v>
      </c>
      <c r="AI1258" s="4" t="s">
        <v>52</v>
      </c>
      <c r="AJ1258" s="13">
        <v>0</v>
      </c>
      <c r="AK1258" s="13">
        <v>20</v>
      </c>
      <c r="AM1258" s="13" t="s">
        <v>561</v>
      </c>
      <c r="AP1258" s="13" t="s">
        <v>50</v>
      </c>
      <c r="AQ1258" s="13" t="s">
        <v>49</v>
      </c>
      <c r="AR1258" s="13" t="s">
        <v>49</v>
      </c>
      <c r="AS1258" s="13" t="s">
        <v>50</v>
      </c>
      <c r="AT1258" s="13" t="s">
        <v>990</v>
      </c>
      <c r="AU1258" s="13" t="s">
        <v>998</v>
      </c>
      <c r="AV1258" s="14">
        <v>7.0000000000000007E-2</v>
      </c>
      <c r="AW1258" s="14">
        <v>0.22</v>
      </c>
      <c r="AX1258" s="14">
        <f>Table1347456[[#This Row],[treatment_mean]]/Table1347456[[#This Row],[control_mean]]</f>
        <v>0.31818181818181823</v>
      </c>
      <c r="AY1258" s="14">
        <f>LN(Table1347456[[#This Row],[rr]])</f>
        <v>-1.1451323043030024</v>
      </c>
      <c r="AZ1258" s="13">
        <v>12</v>
      </c>
      <c r="BA1258" s="13">
        <v>12</v>
      </c>
      <c r="BB1258" s="14">
        <v>0</v>
      </c>
      <c r="BC1258" s="14">
        <v>0</v>
      </c>
      <c r="BD1258" s="15">
        <f>Table1347456[[#This Row],[treatment_se]]*SQRT(Table1347456[[#This Row],[treatment_n]])</f>
        <v>0</v>
      </c>
      <c r="BE1258" s="14">
        <f>Table1347456[[#This Row],[control_se]]*SQRT(Table1347456[[#This Row],[control_n]])</f>
        <v>0</v>
      </c>
      <c r="BF125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58" s="17">
        <f>SQRT(Table1347456[[#This Row],[v_from_sd_and_n]])</f>
        <v>0</v>
      </c>
      <c r="BH1258" s="13" t="s">
        <v>50</v>
      </c>
      <c r="BI1258" s="13">
        <v>2.5000000000000001E-2</v>
      </c>
      <c r="BJ1258" s="18">
        <f>ABS(_xlfn.NORM.S.INV(Table1347456[[#This Row],[p_value]]/2))</f>
        <v>2.2414027276049446</v>
      </c>
      <c r="BK1258" s="19">
        <f>(Table1347456[[#This Row],[lnrr]]/Table1347456[[#This Row],[z_from_p]])^2</f>
        <v>0.26101865079454939</v>
      </c>
      <c r="BL1258" s="16">
        <f>(Table1347456[[#This Row],[lnrr]]/Table1347456[[#This Row],[z_from_p]])^2</f>
        <v>0.26101865079454939</v>
      </c>
      <c r="BM1258" s="20">
        <f>SQRT(Table1347456[[#This Row],[v]])</f>
        <v>0.51089984419115786</v>
      </c>
      <c r="BN1258" s="20">
        <f>Table1347456[[#This Row],[lnrr]]-(1.96*Table1347456[[#This Row],[se]])</f>
        <v>-2.146495998917672</v>
      </c>
      <c r="BO1258" s="20">
        <f>Table1347456[[#This Row],[lnrr]]+(1.96 * Table1347456[[#This Row],[se]])</f>
        <v>-0.14376860968833305</v>
      </c>
    </row>
    <row r="1259" spans="1:67">
      <c r="A1259" s="13" t="s">
        <v>395</v>
      </c>
      <c r="B1259" s="13" t="s">
        <v>396</v>
      </c>
      <c r="C1259" s="13" t="s">
        <v>43</v>
      </c>
      <c r="D1259" s="13" t="s">
        <v>397</v>
      </c>
      <c r="E1259" s="13" t="s">
        <v>238</v>
      </c>
      <c r="F1259" s="13" t="s">
        <v>586</v>
      </c>
      <c r="G1259" s="13" t="s">
        <v>398</v>
      </c>
      <c r="H1259" s="13">
        <v>5.6</v>
      </c>
      <c r="I1259" s="13">
        <v>642</v>
      </c>
      <c r="K1259" s="13" t="s">
        <v>983</v>
      </c>
      <c r="L1259" s="13" t="s">
        <v>982</v>
      </c>
      <c r="N1259" s="13" t="s">
        <v>47</v>
      </c>
      <c r="O1259" s="13" t="s">
        <v>645</v>
      </c>
      <c r="P1259" s="13" t="s">
        <v>48</v>
      </c>
      <c r="Q1259" s="13" t="s">
        <v>48</v>
      </c>
      <c r="R1259" s="4">
        <v>4</v>
      </c>
      <c r="S1259" s="13" t="s">
        <v>594</v>
      </c>
      <c r="T1259" s="13">
        <v>1095</v>
      </c>
      <c r="U1259" s="4" t="s">
        <v>186</v>
      </c>
      <c r="V1259" s="4">
        <v>600</v>
      </c>
      <c r="W1259" s="4" t="s">
        <v>602</v>
      </c>
      <c r="X1259" s="4" t="s">
        <v>46</v>
      </c>
      <c r="Y1259" s="4">
        <v>10</v>
      </c>
      <c r="AA1259" s="4" t="s">
        <v>49</v>
      </c>
      <c r="AB1259" s="4">
        <v>0</v>
      </c>
      <c r="AC1259" s="4" t="s">
        <v>49</v>
      </c>
      <c r="AD1259" s="4">
        <v>0</v>
      </c>
      <c r="AE1259" s="4" t="s">
        <v>49</v>
      </c>
      <c r="AF1259" s="4">
        <v>0</v>
      </c>
      <c r="AG1259" s="4" t="s">
        <v>718</v>
      </c>
      <c r="AH1259" s="4" t="s">
        <v>717</v>
      </c>
      <c r="AI1259" s="4" t="s">
        <v>52</v>
      </c>
      <c r="AJ1259" s="13">
        <v>0</v>
      </c>
      <c r="AK1259" s="13">
        <v>20</v>
      </c>
      <c r="AM1259" s="13" t="s">
        <v>561</v>
      </c>
      <c r="AP1259" s="13" t="s">
        <v>50</v>
      </c>
      <c r="AQ1259" s="13" t="s">
        <v>49</v>
      </c>
      <c r="AR1259" s="13" t="s">
        <v>49</v>
      </c>
      <c r="AS1259" s="13" t="s">
        <v>50</v>
      </c>
      <c r="AT1259" s="13" t="s">
        <v>990</v>
      </c>
      <c r="AU1259" s="13" t="s">
        <v>998</v>
      </c>
      <c r="AV1259" s="14">
        <v>0.2</v>
      </c>
      <c r="AW1259" s="14">
        <v>0.22</v>
      </c>
      <c r="AX1259" s="14">
        <f>Table1347456[[#This Row],[treatment_mean]]/Table1347456[[#This Row],[control_mean]]</f>
        <v>0.90909090909090917</v>
      </c>
      <c r="AY1259" s="14">
        <f>LN(Table1347456[[#This Row],[rr]])</f>
        <v>-9.5310179804324768E-2</v>
      </c>
      <c r="AZ1259" s="13">
        <v>12</v>
      </c>
      <c r="BA1259" s="13">
        <v>12</v>
      </c>
      <c r="BB1259" s="14">
        <v>0</v>
      </c>
      <c r="BC1259" s="14">
        <v>0</v>
      </c>
      <c r="BD1259" s="15">
        <f>Table1347456[[#This Row],[treatment_se]]*SQRT(Table1347456[[#This Row],[treatment_n]])</f>
        <v>0</v>
      </c>
      <c r="BE1259" s="14">
        <f>Table1347456[[#This Row],[control_se]]*SQRT(Table1347456[[#This Row],[control_n]])</f>
        <v>0</v>
      </c>
      <c r="BF125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59" s="17">
        <f>SQRT(Table1347456[[#This Row],[v_from_sd_and_n]])</f>
        <v>0</v>
      </c>
      <c r="BH1259" s="13" t="s">
        <v>50</v>
      </c>
      <c r="BI1259" s="13">
        <v>2.5000000000000001E-2</v>
      </c>
      <c r="BJ1259" s="18">
        <f>ABS(_xlfn.NORM.S.INV(Table1347456[[#This Row],[p_value]]/2))</f>
        <v>2.2414027276049446</v>
      </c>
      <c r="BK1259" s="19">
        <f>(Table1347456[[#This Row],[lnrr]]/Table1347456[[#This Row],[z_from_p]])^2</f>
        <v>1.8081680268294165E-3</v>
      </c>
      <c r="BL1259" s="16">
        <f>(Table1347456[[#This Row],[lnrr]]/Table1347456[[#This Row],[z_from_p]])^2</f>
        <v>1.8081680268294165E-3</v>
      </c>
      <c r="BM1259" s="20">
        <f>SQRT(Table1347456[[#This Row],[v]])</f>
        <v>4.2522559034345715E-2</v>
      </c>
      <c r="BN1259" s="20">
        <f>Table1347456[[#This Row],[lnrr]]-(1.96*Table1347456[[#This Row],[se]])</f>
        <v>-0.17865439551164236</v>
      </c>
      <c r="BO1259" s="20">
        <f>Table1347456[[#This Row],[lnrr]]+(1.96 * Table1347456[[#This Row],[se]])</f>
        <v>-1.1965964097007162E-2</v>
      </c>
    </row>
    <row r="1260" spans="1:67">
      <c r="A1260" s="13" t="s">
        <v>395</v>
      </c>
      <c r="B1260" s="13" t="s">
        <v>396</v>
      </c>
      <c r="C1260" s="13" t="s">
        <v>43</v>
      </c>
      <c r="D1260" s="13" t="s">
        <v>397</v>
      </c>
      <c r="E1260" s="13" t="s">
        <v>238</v>
      </c>
      <c r="F1260" s="13" t="s">
        <v>586</v>
      </c>
      <c r="G1260" s="13" t="s">
        <v>398</v>
      </c>
      <c r="H1260" s="13">
        <v>5.6</v>
      </c>
      <c r="I1260" s="13">
        <v>642</v>
      </c>
      <c r="K1260" s="13" t="s">
        <v>983</v>
      </c>
      <c r="L1260" s="13" t="s">
        <v>982</v>
      </c>
      <c r="N1260" s="13" t="s">
        <v>255</v>
      </c>
      <c r="O1260" s="13" t="s">
        <v>645</v>
      </c>
      <c r="P1260" s="13" t="s">
        <v>48</v>
      </c>
      <c r="Q1260" s="13" t="s">
        <v>48</v>
      </c>
      <c r="R1260" s="4">
        <v>4</v>
      </c>
      <c r="S1260" s="13" t="s">
        <v>594</v>
      </c>
      <c r="T1260" s="13">
        <v>1095</v>
      </c>
      <c r="U1260" s="4" t="s">
        <v>186</v>
      </c>
      <c r="V1260" s="4">
        <v>600</v>
      </c>
      <c r="W1260" s="4" t="s">
        <v>602</v>
      </c>
      <c r="X1260" s="4" t="s">
        <v>46</v>
      </c>
      <c r="Y1260" s="4">
        <v>5</v>
      </c>
      <c r="AA1260" s="4" t="s">
        <v>49</v>
      </c>
      <c r="AB1260" s="4">
        <v>0</v>
      </c>
      <c r="AC1260" s="4" t="s">
        <v>49</v>
      </c>
      <c r="AD1260" s="4">
        <v>0</v>
      </c>
      <c r="AE1260" s="4" t="s">
        <v>49</v>
      </c>
      <c r="AF1260" s="4">
        <v>0</v>
      </c>
      <c r="AG1260" s="4" t="s">
        <v>718</v>
      </c>
      <c r="AH1260" s="4" t="s">
        <v>717</v>
      </c>
      <c r="AI1260" s="4" t="s">
        <v>52</v>
      </c>
      <c r="AJ1260" s="13">
        <v>0</v>
      </c>
      <c r="AK1260" s="13">
        <v>20</v>
      </c>
      <c r="AM1260" s="13" t="s">
        <v>561</v>
      </c>
      <c r="AP1260" s="13" t="s">
        <v>50</v>
      </c>
      <c r="AQ1260" s="13" t="s">
        <v>49</v>
      </c>
      <c r="AR1260" s="13" t="s">
        <v>49</v>
      </c>
      <c r="AS1260" s="13" t="s">
        <v>50</v>
      </c>
      <c r="AT1260" s="13" t="s">
        <v>990</v>
      </c>
      <c r="AU1260" s="13" t="s">
        <v>998</v>
      </c>
      <c r="AV1260" s="14">
        <v>160.6</v>
      </c>
      <c r="AW1260" s="14">
        <v>159.9</v>
      </c>
      <c r="AX1260" s="14">
        <f>Table1347456[[#This Row],[treatment_mean]]/Table1347456[[#This Row],[control_mean]]</f>
        <v>1.004377736085053</v>
      </c>
      <c r="AY1260" s="14">
        <f>LN(Table1347456[[#This Row],[rr]])</f>
        <v>4.3681816727525798E-3</v>
      </c>
      <c r="AZ1260" s="13">
        <v>12</v>
      </c>
      <c r="BA1260" s="13">
        <v>12</v>
      </c>
      <c r="BB1260" s="14">
        <v>0</v>
      </c>
      <c r="BC1260" s="14">
        <v>0</v>
      </c>
      <c r="BD1260" s="15">
        <f>Table1347456[[#This Row],[treatment_se]]*SQRT(Table1347456[[#This Row],[treatment_n]])</f>
        <v>0</v>
      </c>
      <c r="BE1260" s="14">
        <f>Table1347456[[#This Row],[control_se]]*SQRT(Table1347456[[#This Row],[control_n]])</f>
        <v>0</v>
      </c>
      <c r="BF126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60" s="17">
        <f>SQRT(Table1347456[[#This Row],[v_from_sd_and_n]])</f>
        <v>0</v>
      </c>
      <c r="BH1260" s="13" t="s">
        <v>50</v>
      </c>
      <c r="BI1260" s="13">
        <v>2.5000000000000001E-2</v>
      </c>
      <c r="BJ1260" s="18">
        <f>ABS(_xlfn.NORM.S.INV(Table1347456[[#This Row],[p_value]]/2))</f>
        <v>2.2414027276049446</v>
      </c>
      <c r="BK1260" s="19">
        <f>(Table1347456[[#This Row],[lnrr]]/Table1347456[[#This Row],[z_from_p]])^2</f>
        <v>3.7980580002688612E-6</v>
      </c>
      <c r="BL1260" s="16">
        <f>(Table1347456[[#This Row],[lnrr]]/Table1347456[[#This Row],[z_from_p]])^2</f>
        <v>3.7980580002688612E-6</v>
      </c>
      <c r="BM1260" s="20">
        <f>SQRT(Table1347456[[#This Row],[v]])</f>
        <v>1.9488606928841428E-3</v>
      </c>
      <c r="BN1260" s="20">
        <f>Table1347456[[#This Row],[lnrr]]-(1.96*Table1347456[[#This Row],[se]])</f>
        <v>5.484147146996598E-4</v>
      </c>
      <c r="BO1260" s="20">
        <f>Table1347456[[#This Row],[lnrr]]+(1.96 * Table1347456[[#This Row],[se]])</f>
        <v>8.1879486308055003E-3</v>
      </c>
    </row>
    <row r="1261" spans="1:67">
      <c r="A1261" s="13" t="s">
        <v>395</v>
      </c>
      <c r="B1261" s="13" t="s">
        <v>396</v>
      </c>
      <c r="C1261" s="13" t="s">
        <v>43</v>
      </c>
      <c r="D1261" s="13" t="s">
        <v>397</v>
      </c>
      <c r="E1261" s="13" t="s">
        <v>238</v>
      </c>
      <c r="F1261" s="13" t="s">
        <v>586</v>
      </c>
      <c r="G1261" s="13" t="s">
        <v>398</v>
      </c>
      <c r="H1261" s="13">
        <v>5.6</v>
      </c>
      <c r="I1261" s="13">
        <v>642</v>
      </c>
      <c r="K1261" s="13" t="s">
        <v>983</v>
      </c>
      <c r="L1261" s="13" t="s">
        <v>982</v>
      </c>
      <c r="N1261" s="13" t="s">
        <v>255</v>
      </c>
      <c r="O1261" s="13" t="s">
        <v>645</v>
      </c>
      <c r="P1261" s="13" t="s">
        <v>48</v>
      </c>
      <c r="Q1261" s="13" t="s">
        <v>48</v>
      </c>
      <c r="R1261" s="4">
        <v>4</v>
      </c>
      <c r="S1261" s="13" t="s">
        <v>594</v>
      </c>
      <c r="T1261" s="13">
        <v>1095</v>
      </c>
      <c r="U1261" s="4" t="s">
        <v>186</v>
      </c>
      <c r="V1261" s="4">
        <v>600</v>
      </c>
      <c r="W1261" s="4" t="s">
        <v>602</v>
      </c>
      <c r="X1261" s="4" t="s">
        <v>46</v>
      </c>
      <c r="Y1261" s="4">
        <v>10</v>
      </c>
      <c r="AA1261" s="4" t="s">
        <v>49</v>
      </c>
      <c r="AB1261" s="4">
        <v>0</v>
      </c>
      <c r="AC1261" s="4" t="s">
        <v>49</v>
      </c>
      <c r="AD1261" s="4">
        <v>0</v>
      </c>
      <c r="AE1261" s="4" t="s">
        <v>49</v>
      </c>
      <c r="AF1261" s="4">
        <v>0</v>
      </c>
      <c r="AG1261" s="4" t="s">
        <v>718</v>
      </c>
      <c r="AH1261" s="4" t="s">
        <v>717</v>
      </c>
      <c r="AI1261" s="4" t="s">
        <v>52</v>
      </c>
      <c r="AJ1261" s="13">
        <v>0</v>
      </c>
      <c r="AK1261" s="13">
        <v>20</v>
      </c>
      <c r="AM1261" s="13" t="s">
        <v>561</v>
      </c>
      <c r="AP1261" s="13" t="s">
        <v>50</v>
      </c>
      <c r="AQ1261" s="13" t="s">
        <v>49</v>
      </c>
      <c r="AR1261" s="13" t="s">
        <v>49</v>
      </c>
      <c r="AS1261" s="13" t="s">
        <v>50</v>
      </c>
      <c r="AT1261" s="13" t="s">
        <v>990</v>
      </c>
      <c r="AU1261" s="13" t="s">
        <v>998</v>
      </c>
      <c r="AV1261" s="14">
        <v>158.6</v>
      </c>
      <c r="AW1261" s="14">
        <v>159.9</v>
      </c>
      <c r="AX1261" s="14">
        <f>Table1347456[[#This Row],[treatment_mean]]/Table1347456[[#This Row],[control_mean]]</f>
        <v>0.99186991869918695</v>
      </c>
      <c r="AY1261" s="14">
        <f>LN(Table1347456[[#This Row],[rr]])</f>
        <v>-8.1633106391609811E-3</v>
      </c>
      <c r="AZ1261" s="13">
        <v>12</v>
      </c>
      <c r="BA1261" s="13">
        <v>12</v>
      </c>
      <c r="BB1261" s="14">
        <v>0</v>
      </c>
      <c r="BC1261" s="14">
        <v>0</v>
      </c>
      <c r="BD1261" s="15">
        <f>Table1347456[[#This Row],[treatment_se]]*SQRT(Table1347456[[#This Row],[treatment_n]])</f>
        <v>0</v>
      </c>
      <c r="BE1261" s="14">
        <f>Table1347456[[#This Row],[control_se]]*SQRT(Table1347456[[#This Row],[control_n]])</f>
        <v>0</v>
      </c>
      <c r="BF126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61" s="17">
        <f>SQRT(Table1347456[[#This Row],[v_from_sd_and_n]])</f>
        <v>0</v>
      </c>
      <c r="BH1261" s="13" t="s">
        <v>50</v>
      </c>
      <c r="BI1261" s="13">
        <v>2.5000000000000001E-2</v>
      </c>
      <c r="BJ1261" s="18">
        <f>ABS(_xlfn.NORM.S.INV(Table1347456[[#This Row],[p_value]]/2))</f>
        <v>2.2414027276049446</v>
      </c>
      <c r="BK1261" s="19">
        <f>(Table1347456[[#This Row],[lnrr]]/Table1347456[[#This Row],[z_from_p]])^2</f>
        <v>1.326456016453982E-5</v>
      </c>
      <c r="BL1261" s="16">
        <f>(Table1347456[[#This Row],[lnrr]]/Table1347456[[#This Row],[z_from_p]])^2</f>
        <v>1.326456016453982E-5</v>
      </c>
      <c r="BM1261" s="20">
        <f>SQRT(Table1347456[[#This Row],[v]])</f>
        <v>3.6420543879162239E-3</v>
      </c>
      <c r="BN1261" s="20">
        <f>Table1347456[[#This Row],[lnrr]]-(1.96*Table1347456[[#This Row],[se]])</f>
        <v>-1.530173723947678E-2</v>
      </c>
      <c r="BO1261" s="20">
        <f>Table1347456[[#This Row],[lnrr]]+(1.96 * Table1347456[[#This Row],[se]])</f>
        <v>-1.0248840388451825E-3</v>
      </c>
    </row>
    <row r="1262" spans="1:67">
      <c r="A1262" s="13" t="s">
        <v>401</v>
      </c>
      <c r="B1262" s="13" t="s">
        <v>402</v>
      </c>
      <c r="C1262" s="13" t="s">
        <v>43</v>
      </c>
      <c r="D1262" s="13" t="s">
        <v>403</v>
      </c>
      <c r="E1262" s="13" t="s">
        <v>404</v>
      </c>
      <c r="F1262" s="13" t="s">
        <v>586</v>
      </c>
      <c r="G1262" s="13" t="s">
        <v>46</v>
      </c>
      <c r="H1262" s="13">
        <v>11.55</v>
      </c>
      <c r="I1262" s="13">
        <v>862</v>
      </c>
      <c r="K1262" s="13" t="s">
        <v>940</v>
      </c>
      <c r="L1262" s="13" t="s">
        <v>941</v>
      </c>
      <c r="N1262" s="13" t="s">
        <v>47</v>
      </c>
      <c r="O1262" s="13" t="s">
        <v>645</v>
      </c>
      <c r="P1262" s="13" t="s">
        <v>418</v>
      </c>
      <c r="Q1262" s="13" t="s">
        <v>48</v>
      </c>
      <c r="R1262" s="4">
        <v>4</v>
      </c>
      <c r="S1262" s="13" t="s">
        <v>594</v>
      </c>
      <c r="T1262" s="13">
        <v>402</v>
      </c>
      <c r="U1262" s="4" t="s">
        <v>200</v>
      </c>
      <c r="V1262" s="4">
        <v>750</v>
      </c>
      <c r="W1262" s="4" t="s">
        <v>602</v>
      </c>
      <c r="X1262" s="4">
        <v>724</v>
      </c>
      <c r="Y1262" s="4">
        <v>15</v>
      </c>
      <c r="AA1262" s="4" t="s">
        <v>49</v>
      </c>
      <c r="AB1262" s="4">
        <v>0</v>
      </c>
      <c r="AC1262" s="4" t="s">
        <v>49</v>
      </c>
      <c r="AD1262" s="4">
        <v>0</v>
      </c>
      <c r="AE1262" s="4" t="s">
        <v>49</v>
      </c>
      <c r="AF1262" s="4">
        <v>0</v>
      </c>
      <c r="AG1262" s="4" t="s">
        <v>786</v>
      </c>
      <c r="AH1262" s="4" t="s">
        <v>784</v>
      </c>
      <c r="AI1262" s="4" t="s">
        <v>64</v>
      </c>
      <c r="AJ1262" s="13">
        <v>0</v>
      </c>
      <c r="AK1262" s="13">
        <v>8</v>
      </c>
      <c r="AM1262" s="13" t="s">
        <v>562</v>
      </c>
      <c r="AP1262" s="13" t="s">
        <v>50</v>
      </c>
      <c r="AQ1262" s="13" t="s">
        <v>49</v>
      </c>
      <c r="AR1262" s="13" t="s">
        <v>49</v>
      </c>
      <c r="AS1262" s="13" t="s">
        <v>49</v>
      </c>
      <c r="AT1262" s="13" t="s">
        <v>990</v>
      </c>
      <c r="AU1262" s="13" t="s">
        <v>998</v>
      </c>
      <c r="AV1262" s="14">
        <v>1.27</v>
      </c>
      <c r="AW1262" s="14">
        <v>1.24</v>
      </c>
      <c r="AX1262" s="14">
        <f>Table1347456[[#This Row],[treatment_mean]]/Table1347456[[#This Row],[control_mean]]</f>
        <v>1.0241935483870968</v>
      </c>
      <c r="AY1262" s="14">
        <f>LN(Table1347456[[#This Row],[rr]])</f>
        <v>2.3905520853554386E-2</v>
      </c>
      <c r="AZ1262" s="13">
        <v>4</v>
      </c>
      <c r="BA1262" s="13">
        <v>4</v>
      </c>
      <c r="BB1262" s="14">
        <v>0.05</v>
      </c>
      <c r="BC1262" s="14">
        <v>0.03</v>
      </c>
      <c r="BD1262" s="15">
        <f>Table1347456[[#This Row],[treatment_se]]*SQRT(Table1347456[[#This Row],[treatment_n]])</f>
        <v>0.1</v>
      </c>
      <c r="BE1262" s="14">
        <f>Table1347456[[#This Row],[control_se]]*SQRT(Table1347456[[#This Row],[control_n]])</f>
        <v>0.06</v>
      </c>
      <c r="BF126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2.1353308835649933E-3</v>
      </c>
      <c r="BG1262" s="17">
        <f>SQRT(Table1347456[[#This Row],[v_from_sd_and_n]])</f>
        <v>4.6209640591168777E-2</v>
      </c>
      <c r="BH1262" s="13" t="s">
        <v>50</v>
      </c>
      <c r="BI1262" s="13">
        <v>2.5000000000000001E-2</v>
      </c>
      <c r="BJ1262" s="18">
        <f>ABS(_xlfn.NORM.S.INV(Table1347456[[#This Row],[p_value]]/2))</f>
        <v>2.2414027276049446</v>
      </c>
      <c r="BK1262" s="19">
        <f>(Table1347456[[#This Row],[lnrr]]/Table1347456[[#This Row],[z_from_p]])^2</f>
        <v>1.1375136815851298E-4</v>
      </c>
      <c r="BL1262" s="16">
        <f>Table1347456[[#This Row],[v_from_sd_and_n]]</f>
        <v>2.1353308835649933E-3</v>
      </c>
      <c r="BM1262" s="20">
        <f>SQRT(Table1347456[[#This Row],[v]])</f>
        <v>4.6209640591168777E-2</v>
      </c>
      <c r="BN1262" s="20">
        <f>Table1347456[[#This Row],[lnrr]]-(1.96*Table1347456[[#This Row],[se]])</f>
        <v>-6.6665374705136421E-2</v>
      </c>
      <c r="BO1262" s="20">
        <f>Table1347456[[#This Row],[lnrr]]+(1.96 * Table1347456[[#This Row],[se]])</f>
        <v>0.11447641641224518</v>
      </c>
    </row>
    <row r="1263" spans="1:67">
      <c r="A1263" s="13" t="s">
        <v>401</v>
      </c>
      <c r="B1263" s="13" t="s">
        <v>402</v>
      </c>
      <c r="C1263" s="13" t="s">
        <v>43</v>
      </c>
      <c r="D1263" s="13" t="s">
        <v>403</v>
      </c>
      <c r="E1263" s="13" t="s">
        <v>404</v>
      </c>
      <c r="F1263" s="13" t="s">
        <v>586</v>
      </c>
      <c r="G1263" s="13" t="s">
        <v>46</v>
      </c>
      <c r="H1263" s="13">
        <v>11.55</v>
      </c>
      <c r="I1263" s="13">
        <v>862</v>
      </c>
      <c r="K1263" s="13" t="s">
        <v>940</v>
      </c>
      <c r="L1263" s="13" t="s">
        <v>941</v>
      </c>
      <c r="N1263" s="13" t="s">
        <v>47</v>
      </c>
      <c r="O1263" s="13" t="s">
        <v>645</v>
      </c>
      <c r="P1263" s="13" t="s">
        <v>418</v>
      </c>
      <c r="Q1263" s="13" t="s">
        <v>48</v>
      </c>
      <c r="R1263" s="4">
        <v>4</v>
      </c>
      <c r="S1263" s="13" t="s">
        <v>594</v>
      </c>
      <c r="T1263" s="13">
        <v>402</v>
      </c>
      <c r="U1263" s="4" t="s">
        <v>405</v>
      </c>
      <c r="V1263" s="4">
        <v>750</v>
      </c>
      <c r="W1263" s="4" t="s">
        <v>602</v>
      </c>
      <c r="X1263" s="4">
        <v>551</v>
      </c>
      <c r="Y1263" s="4">
        <v>15</v>
      </c>
      <c r="AA1263" s="4" t="s">
        <v>49</v>
      </c>
      <c r="AB1263" s="4">
        <v>0</v>
      </c>
      <c r="AC1263" s="4" t="s">
        <v>49</v>
      </c>
      <c r="AD1263" s="4">
        <v>0</v>
      </c>
      <c r="AE1263" s="4" t="s">
        <v>49</v>
      </c>
      <c r="AF1263" s="4">
        <v>0</v>
      </c>
      <c r="AG1263" s="4" t="s">
        <v>785</v>
      </c>
      <c r="AH1263" s="4" t="s">
        <v>784</v>
      </c>
      <c r="AI1263" s="4" t="s">
        <v>64</v>
      </c>
      <c r="AJ1263" s="13">
        <v>0</v>
      </c>
      <c r="AK1263" s="13">
        <v>8</v>
      </c>
      <c r="AM1263" s="13" t="s">
        <v>562</v>
      </c>
      <c r="AP1263" s="13" t="s">
        <v>50</v>
      </c>
      <c r="AQ1263" s="13" t="s">
        <v>49</v>
      </c>
      <c r="AR1263" s="13" t="s">
        <v>49</v>
      </c>
      <c r="AS1263" s="13" t="s">
        <v>49</v>
      </c>
      <c r="AT1263" s="13" t="s">
        <v>990</v>
      </c>
      <c r="AU1263" s="13" t="s">
        <v>998</v>
      </c>
      <c r="AV1263" s="14">
        <v>1.3</v>
      </c>
      <c r="AW1263" s="14">
        <v>1.24</v>
      </c>
      <c r="AX1263" s="14">
        <f>Table1347456[[#This Row],[treatment_mean]]/Table1347456[[#This Row],[control_mean]]</f>
        <v>1.0483870967741935</v>
      </c>
      <c r="AY1263" s="14">
        <f>LN(Table1347456[[#This Row],[rr]])</f>
        <v>4.7252884850545511E-2</v>
      </c>
      <c r="AZ1263" s="13">
        <v>4</v>
      </c>
      <c r="BA1263" s="13">
        <v>4</v>
      </c>
      <c r="BB1263" s="14">
        <v>0.06</v>
      </c>
      <c r="BC1263" s="14">
        <v>0.03</v>
      </c>
      <c r="BD1263" s="15">
        <f>Table1347456[[#This Row],[treatment_se]]*SQRT(Table1347456[[#This Row],[treatment_n]])</f>
        <v>0.12</v>
      </c>
      <c r="BE1263" s="14">
        <f>Table1347456[[#This Row],[control_se]]*SQRT(Table1347456[[#This Row],[control_n]])</f>
        <v>0.06</v>
      </c>
      <c r="BF126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2.7155052983516923E-3</v>
      </c>
      <c r="BG1263" s="17">
        <f>SQRT(Table1347456[[#This Row],[v_from_sd_and_n]])</f>
        <v>5.2110510440329522E-2</v>
      </c>
      <c r="BH1263" s="13" t="s">
        <v>50</v>
      </c>
      <c r="BI1263" s="13">
        <v>2.5000000000000001E-2</v>
      </c>
      <c r="BJ1263" s="18">
        <f>ABS(_xlfn.NORM.S.INV(Table1347456[[#This Row],[p_value]]/2))</f>
        <v>2.2414027276049446</v>
      </c>
      <c r="BK1263" s="19">
        <f>(Table1347456[[#This Row],[lnrr]]/Table1347456[[#This Row],[z_from_p]])^2</f>
        <v>4.4444381171228245E-4</v>
      </c>
      <c r="BL1263" s="16">
        <f>Table1347456[[#This Row],[v_from_sd_and_n]]</f>
        <v>2.7155052983516923E-3</v>
      </c>
      <c r="BM1263" s="20">
        <f>SQRT(Table1347456[[#This Row],[v]])</f>
        <v>5.2110510440329522E-2</v>
      </c>
      <c r="BN1263" s="20">
        <f>Table1347456[[#This Row],[lnrr]]-(1.96*Table1347456[[#This Row],[se]])</f>
        <v>-5.4883715612500349E-2</v>
      </c>
      <c r="BO1263" s="20">
        <f>Table1347456[[#This Row],[lnrr]]+(1.96 * Table1347456[[#This Row],[se]])</f>
        <v>0.14938948531359136</v>
      </c>
    </row>
    <row r="1264" spans="1:67">
      <c r="A1264" s="13" t="s">
        <v>401</v>
      </c>
      <c r="B1264" s="13" t="s">
        <v>402</v>
      </c>
      <c r="C1264" s="13" t="s">
        <v>43</v>
      </c>
      <c r="D1264" s="13" t="s">
        <v>403</v>
      </c>
      <c r="E1264" s="13" t="s">
        <v>404</v>
      </c>
      <c r="F1264" s="13" t="s">
        <v>586</v>
      </c>
      <c r="G1264" s="13" t="s">
        <v>46</v>
      </c>
      <c r="H1264" s="13">
        <v>11.55</v>
      </c>
      <c r="I1264" s="13">
        <v>862</v>
      </c>
      <c r="K1264" s="13" t="s">
        <v>940</v>
      </c>
      <c r="L1264" s="13" t="s">
        <v>941</v>
      </c>
      <c r="N1264" s="13" t="s">
        <v>53</v>
      </c>
      <c r="O1264" s="13" t="s">
        <v>54</v>
      </c>
      <c r="P1264" s="13" t="s">
        <v>71</v>
      </c>
      <c r="Q1264" s="13" t="s">
        <v>48</v>
      </c>
      <c r="R1264" s="4">
        <v>4</v>
      </c>
      <c r="S1264" s="13" t="s">
        <v>594</v>
      </c>
      <c r="T1264" s="13">
        <v>402</v>
      </c>
      <c r="U1264" s="4" t="s">
        <v>200</v>
      </c>
      <c r="V1264" s="4">
        <v>750</v>
      </c>
      <c r="W1264" s="4" t="s">
        <v>602</v>
      </c>
      <c r="X1264" s="4">
        <v>724</v>
      </c>
      <c r="Y1264" s="4">
        <v>15</v>
      </c>
      <c r="AA1264" s="4" t="s">
        <v>49</v>
      </c>
      <c r="AB1264" s="4">
        <v>0</v>
      </c>
      <c r="AC1264" s="4" t="s">
        <v>49</v>
      </c>
      <c r="AD1264" s="4">
        <v>0</v>
      </c>
      <c r="AE1264" s="4" t="s">
        <v>49</v>
      </c>
      <c r="AF1264" s="4">
        <v>0</v>
      </c>
      <c r="AG1264" s="4" t="s">
        <v>786</v>
      </c>
      <c r="AH1264" s="4" t="s">
        <v>784</v>
      </c>
      <c r="AI1264" s="4" t="s">
        <v>64</v>
      </c>
      <c r="AJ1264" s="13">
        <v>0</v>
      </c>
      <c r="AK1264" s="13">
        <v>8</v>
      </c>
      <c r="AM1264" s="13" t="s">
        <v>562</v>
      </c>
      <c r="AP1264" s="13" t="s">
        <v>50</v>
      </c>
      <c r="AQ1264" s="13" t="s">
        <v>49</v>
      </c>
      <c r="AR1264" s="13" t="s">
        <v>49</v>
      </c>
      <c r="AS1264" s="13" t="s">
        <v>49</v>
      </c>
      <c r="AT1264" s="13" t="s">
        <v>990</v>
      </c>
      <c r="AU1264" s="13" t="s">
        <v>998</v>
      </c>
      <c r="AV1264" s="14">
        <f>(12.3*0.8)/1.4/1000</f>
        <v>7.02857142857143E-3</v>
      </c>
      <c r="AW1264" s="14">
        <f>(6.7*0.8)/1.44/1000</f>
        <v>3.7222222222222227E-3</v>
      </c>
      <c r="AX1264" s="14">
        <f>Table1347456[[#This Row],[treatment_mean]]/Table1347456[[#This Row],[control_mean]]</f>
        <v>1.8882729211087421</v>
      </c>
      <c r="AY1264" s="14">
        <f>LN(Table1347456[[#This Row],[rr]])</f>
        <v>0.63566261294814785</v>
      </c>
      <c r="AZ1264" s="13">
        <v>4</v>
      </c>
      <c r="BA1264" s="13">
        <v>4</v>
      </c>
      <c r="BB1264" s="14">
        <f>(9.5*0.8)/1.44/1000</f>
        <v>5.2777777777777788E-3</v>
      </c>
      <c r="BC1264" s="14">
        <v>0</v>
      </c>
      <c r="BD1264" s="15">
        <f>Table1347456[[#This Row],[treatment_se]]*SQRT(Table1347456[[#This Row],[treatment_n]])</f>
        <v>1.0555555555555558E-2</v>
      </c>
      <c r="BE1264" s="14">
        <f>Table1347456[[#This Row],[control_se]]*SQRT(Table1347456[[#This Row],[control_n]])</f>
        <v>0</v>
      </c>
      <c r="BF126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0.56385582957756708</v>
      </c>
      <c r="BG1264" s="17">
        <f>SQRT(Table1347456[[#This Row],[v_from_sd_and_n]])</f>
        <v>0.75090334236675704</v>
      </c>
      <c r="BH1264" s="13" t="s">
        <v>50</v>
      </c>
      <c r="BI1264" s="13">
        <v>2.5000000000000001E-2</v>
      </c>
      <c r="BJ1264" s="18">
        <f>ABS(_xlfn.NORM.S.INV(Table1347456[[#This Row],[p_value]]/2))</f>
        <v>2.2414027276049446</v>
      </c>
      <c r="BK1264" s="19">
        <f>(Table1347456[[#This Row],[lnrr]]/Table1347456[[#This Row],[z_from_p]])^2</f>
        <v>8.0429162292792358E-2</v>
      </c>
      <c r="BL1264" s="16">
        <f>Table1347456[[#This Row],[v_from_sd_and_n]]</f>
        <v>0.56385582957756708</v>
      </c>
      <c r="BM1264" s="20">
        <f>SQRT(Table1347456[[#This Row],[v]])</f>
        <v>0.75090334236675704</v>
      </c>
      <c r="BN1264" s="20">
        <f>Table1347456[[#This Row],[lnrr]]-(1.96*Table1347456[[#This Row],[se]])</f>
        <v>-0.83610793809069583</v>
      </c>
      <c r="BO1264" s="20">
        <f>Table1347456[[#This Row],[lnrr]]+(1.96 * Table1347456[[#This Row],[se]])</f>
        <v>2.1074331639869914</v>
      </c>
    </row>
    <row r="1265" spans="1:67">
      <c r="A1265" s="13" t="s">
        <v>401</v>
      </c>
      <c r="B1265" s="13" t="s">
        <v>402</v>
      </c>
      <c r="C1265" s="13" t="s">
        <v>43</v>
      </c>
      <c r="D1265" s="13" t="s">
        <v>403</v>
      </c>
      <c r="E1265" s="13" t="s">
        <v>404</v>
      </c>
      <c r="F1265" s="13" t="s">
        <v>586</v>
      </c>
      <c r="G1265" s="13" t="s">
        <v>46</v>
      </c>
      <c r="H1265" s="13">
        <v>11.55</v>
      </c>
      <c r="I1265" s="13">
        <v>862</v>
      </c>
      <c r="K1265" s="13" t="s">
        <v>940</v>
      </c>
      <c r="L1265" s="13" t="s">
        <v>941</v>
      </c>
      <c r="N1265" s="13" t="s">
        <v>53</v>
      </c>
      <c r="O1265" s="13" t="s">
        <v>54</v>
      </c>
      <c r="P1265" s="13" t="s">
        <v>71</v>
      </c>
      <c r="Q1265" s="13" t="s">
        <v>48</v>
      </c>
      <c r="R1265" s="4">
        <v>4</v>
      </c>
      <c r="S1265" s="13" t="s">
        <v>594</v>
      </c>
      <c r="T1265" s="13">
        <v>402</v>
      </c>
      <c r="U1265" s="4" t="s">
        <v>405</v>
      </c>
      <c r="V1265" s="4">
        <v>750</v>
      </c>
      <c r="W1265" s="4" t="s">
        <v>602</v>
      </c>
      <c r="X1265" s="4">
        <v>551</v>
      </c>
      <c r="Y1265" s="4">
        <v>15</v>
      </c>
      <c r="AA1265" s="4" t="s">
        <v>49</v>
      </c>
      <c r="AB1265" s="4">
        <v>0</v>
      </c>
      <c r="AC1265" s="4" t="s">
        <v>49</v>
      </c>
      <c r="AD1265" s="4">
        <v>0</v>
      </c>
      <c r="AE1265" s="4" t="s">
        <v>49</v>
      </c>
      <c r="AF1265" s="4">
        <v>0</v>
      </c>
      <c r="AG1265" s="4" t="s">
        <v>785</v>
      </c>
      <c r="AH1265" s="4" t="s">
        <v>784</v>
      </c>
      <c r="AI1265" s="4" t="s">
        <v>64</v>
      </c>
      <c r="AJ1265" s="13">
        <v>0</v>
      </c>
      <c r="AK1265" s="13">
        <v>8</v>
      </c>
      <c r="AM1265" s="13" t="s">
        <v>562</v>
      </c>
      <c r="AP1265" s="13" t="s">
        <v>50</v>
      </c>
      <c r="AQ1265" s="13" t="s">
        <v>49</v>
      </c>
      <c r="AR1265" s="13" t="s">
        <v>49</v>
      </c>
      <c r="AS1265" s="13" t="s">
        <v>49</v>
      </c>
      <c r="AT1265" s="13" t="s">
        <v>990</v>
      </c>
      <c r="AU1265" s="13" t="s">
        <v>998</v>
      </c>
      <c r="AV1265" s="14">
        <f>(12.8*0.8)/1.4/1000</f>
        <v>7.3142857142857159E-3</v>
      </c>
      <c r="AW1265" s="14">
        <f>(6.7*0.8)/1.44/1000</f>
        <v>3.7222222222222227E-3</v>
      </c>
      <c r="AX1265" s="14">
        <f>Table1347456[[#This Row],[treatment_mean]]/Table1347456[[#This Row],[control_mean]]</f>
        <v>1.965031982942431</v>
      </c>
      <c r="AY1265" s="14">
        <f>LN(Table1347456[[#This Row],[rr]])</f>
        <v>0.67550852149534757</v>
      </c>
      <c r="AZ1265" s="13">
        <v>4</v>
      </c>
      <c r="BA1265" s="13">
        <v>4</v>
      </c>
      <c r="BB1265" s="14">
        <f>(9.9*0.8)/1.44/1000</f>
        <v>5.5000000000000005E-3</v>
      </c>
      <c r="BC1265" s="14">
        <v>0</v>
      </c>
      <c r="BD1265" s="15">
        <f>Table1347456[[#This Row],[treatment_se]]*SQRT(Table1347456[[#This Row],[treatment_n]])</f>
        <v>1.1000000000000001E-2</v>
      </c>
      <c r="BE1265" s="14">
        <f>Table1347456[[#This Row],[control_se]]*SQRT(Table1347456[[#This Row],[control_n]])</f>
        <v>0</v>
      </c>
      <c r="BF126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0.56543350219726551</v>
      </c>
      <c r="BG1265" s="17">
        <f>SQRT(Table1347456[[#This Row],[v_from_sd_and_n]])</f>
        <v>0.75195312499999989</v>
      </c>
      <c r="BH1265" s="13" t="s">
        <v>50</v>
      </c>
      <c r="BI1265" s="13">
        <v>2.5000000000000001E-2</v>
      </c>
      <c r="BJ1265" s="18">
        <f>ABS(_xlfn.NORM.S.INV(Table1347456[[#This Row],[p_value]]/2))</f>
        <v>2.2414027276049446</v>
      </c>
      <c r="BK1265" s="19">
        <f>(Table1347456[[#This Row],[lnrr]]/Table1347456[[#This Row],[z_from_p]])^2</f>
        <v>9.0828443479671117E-2</v>
      </c>
      <c r="BL1265" s="16">
        <f>Table1347456[[#This Row],[v_from_sd_and_n]]</f>
        <v>0.56543350219726551</v>
      </c>
      <c r="BM1265" s="20">
        <f>SQRT(Table1347456[[#This Row],[v]])</f>
        <v>0.75195312499999989</v>
      </c>
      <c r="BN1265" s="20">
        <f>Table1347456[[#This Row],[lnrr]]-(1.96*Table1347456[[#This Row],[se]])</f>
        <v>-0.79831960350465225</v>
      </c>
      <c r="BO1265" s="20">
        <f>Table1347456[[#This Row],[lnrr]]+(1.96 * Table1347456[[#This Row],[se]])</f>
        <v>2.1493366464953474</v>
      </c>
    </row>
    <row r="1266" spans="1:67">
      <c r="A1266" s="13" t="s">
        <v>401</v>
      </c>
      <c r="B1266" s="13" t="s">
        <v>402</v>
      </c>
      <c r="C1266" s="13" t="s">
        <v>43</v>
      </c>
      <c r="D1266" s="13" t="s">
        <v>403</v>
      </c>
      <c r="E1266" s="13" t="s">
        <v>404</v>
      </c>
      <c r="F1266" s="13" t="s">
        <v>586</v>
      </c>
      <c r="G1266" s="13" t="s">
        <v>46</v>
      </c>
      <c r="H1266" s="13">
        <v>11.55</v>
      </c>
      <c r="I1266" s="13">
        <v>862</v>
      </c>
      <c r="K1266" s="13" t="s">
        <v>940</v>
      </c>
      <c r="L1266" s="13" t="s">
        <v>941</v>
      </c>
      <c r="N1266" s="13" t="s">
        <v>617</v>
      </c>
      <c r="O1266" s="13" t="s">
        <v>54</v>
      </c>
      <c r="P1266" s="13" t="s">
        <v>71</v>
      </c>
      <c r="Q1266" s="13" t="s">
        <v>48</v>
      </c>
      <c r="R1266" s="4">
        <v>4</v>
      </c>
      <c r="S1266" s="13" t="s">
        <v>594</v>
      </c>
      <c r="T1266" s="13">
        <v>402</v>
      </c>
      <c r="U1266" s="4" t="s">
        <v>200</v>
      </c>
      <c r="V1266" s="4">
        <v>750</v>
      </c>
      <c r="W1266" s="4" t="s">
        <v>602</v>
      </c>
      <c r="X1266" s="4">
        <v>724</v>
      </c>
      <c r="Y1266" s="4">
        <v>15</v>
      </c>
      <c r="AA1266" s="4" t="s">
        <v>49</v>
      </c>
      <c r="AB1266" s="4">
        <v>0</v>
      </c>
      <c r="AC1266" s="4" t="s">
        <v>49</v>
      </c>
      <c r="AD1266" s="4">
        <v>0</v>
      </c>
      <c r="AE1266" s="4" t="s">
        <v>49</v>
      </c>
      <c r="AF1266" s="4">
        <v>0</v>
      </c>
      <c r="AG1266" s="4" t="s">
        <v>786</v>
      </c>
      <c r="AH1266" s="4" t="s">
        <v>784</v>
      </c>
      <c r="AI1266" s="4" t="s">
        <v>64</v>
      </c>
      <c r="AJ1266" s="13">
        <v>0</v>
      </c>
      <c r="AK1266" s="13">
        <v>8</v>
      </c>
      <c r="AM1266" s="13" t="s">
        <v>562</v>
      </c>
      <c r="AP1266" s="13" t="s">
        <v>50</v>
      </c>
      <c r="AQ1266" s="13" t="s">
        <v>49</v>
      </c>
      <c r="AR1266" s="13" t="s">
        <v>49</v>
      </c>
      <c r="AS1266" s="13" t="s">
        <v>49</v>
      </c>
      <c r="AT1266" s="13" t="s">
        <v>990</v>
      </c>
      <c r="AU1266" s="13" t="s">
        <v>998</v>
      </c>
      <c r="AV1266" s="14">
        <f>(13.9*0.8)/1.4/1000</f>
        <v>7.9428571428571439E-3</v>
      </c>
      <c r="AW1266" s="14">
        <f>(5.3*0.8)/1.44/1000</f>
        <v>2.9444444444444448E-3</v>
      </c>
      <c r="AX1266" s="14">
        <f>Table1347456[[#This Row],[treatment_mean]]/Table1347456[[#This Row],[control_mean]]</f>
        <v>2.6975741239892184</v>
      </c>
      <c r="AY1266" s="14">
        <f>LN(Table1347456[[#This Row],[rr]])</f>
        <v>0.99235289654526626</v>
      </c>
      <c r="AZ1266" s="13">
        <v>4</v>
      </c>
      <c r="BA1266" s="13">
        <v>4</v>
      </c>
      <c r="BB1266" s="14">
        <v>0</v>
      </c>
      <c r="BC1266" s="14">
        <v>0</v>
      </c>
      <c r="BD1266" s="15">
        <f>Table1347456[[#This Row],[treatment_se]]*SQRT(Table1347456[[#This Row],[treatment_n]])</f>
        <v>0</v>
      </c>
      <c r="BE1266" s="14">
        <f>Table1347456[[#This Row],[control_se]]*SQRT(Table1347456[[#This Row],[control_n]])</f>
        <v>0</v>
      </c>
      <c r="BF126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66" s="17">
        <f>SQRT(Table1347456[[#This Row],[v_from_sd_and_n]])</f>
        <v>0</v>
      </c>
      <c r="BH1266" s="13" t="s">
        <v>50</v>
      </c>
      <c r="BI1266" s="13">
        <v>2.5000000000000001E-2</v>
      </c>
      <c r="BJ1266" s="18">
        <f>ABS(_xlfn.NORM.S.INV(Table1347456[[#This Row],[p_value]]/2))</f>
        <v>2.2414027276049446</v>
      </c>
      <c r="BK1266" s="19">
        <f>(Table1347456[[#This Row],[lnrr]]/Table1347456[[#This Row],[z_from_p]])^2</f>
        <v>0.19601643718925615</v>
      </c>
      <c r="BL1266" s="16">
        <f>(Table1347456[[#This Row],[lnrr]]/Table1347456[[#This Row],[z_from_p]])^2</f>
        <v>0.19601643718925615</v>
      </c>
      <c r="BM1266" s="20">
        <f>SQRT(Table1347456[[#This Row],[v]])</f>
        <v>0.44273743594737519</v>
      </c>
      <c r="BN1266" s="20">
        <f>Table1347456[[#This Row],[lnrr]]-(1.96*Table1347456[[#This Row],[se]])</f>
        <v>0.12458752208841095</v>
      </c>
      <c r="BO1266" s="20">
        <f>Table1347456[[#This Row],[lnrr]]+(1.96 * Table1347456[[#This Row],[se]])</f>
        <v>1.8601182710021216</v>
      </c>
    </row>
    <row r="1267" spans="1:67">
      <c r="A1267" s="13" t="s">
        <v>401</v>
      </c>
      <c r="B1267" s="13" t="s">
        <v>402</v>
      </c>
      <c r="C1267" s="13" t="s">
        <v>43</v>
      </c>
      <c r="D1267" s="13" t="s">
        <v>403</v>
      </c>
      <c r="E1267" s="13" t="s">
        <v>404</v>
      </c>
      <c r="F1267" s="13" t="s">
        <v>586</v>
      </c>
      <c r="G1267" s="13" t="s">
        <v>46</v>
      </c>
      <c r="H1267" s="13">
        <v>11.55</v>
      </c>
      <c r="I1267" s="13">
        <v>862</v>
      </c>
      <c r="K1267" s="13" t="s">
        <v>940</v>
      </c>
      <c r="L1267" s="13" t="s">
        <v>941</v>
      </c>
      <c r="N1267" s="13" t="s">
        <v>617</v>
      </c>
      <c r="O1267" s="13" t="s">
        <v>54</v>
      </c>
      <c r="P1267" s="13" t="s">
        <v>71</v>
      </c>
      <c r="Q1267" s="13" t="s">
        <v>48</v>
      </c>
      <c r="R1267" s="4">
        <v>4</v>
      </c>
      <c r="S1267" s="13" t="s">
        <v>594</v>
      </c>
      <c r="T1267" s="13">
        <v>402</v>
      </c>
      <c r="U1267" s="4" t="s">
        <v>405</v>
      </c>
      <c r="V1267" s="4">
        <v>750</v>
      </c>
      <c r="W1267" s="4" t="s">
        <v>602</v>
      </c>
      <c r="X1267" s="4">
        <v>551</v>
      </c>
      <c r="Y1267" s="4">
        <v>15</v>
      </c>
      <c r="AA1267" s="4" t="s">
        <v>49</v>
      </c>
      <c r="AB1267" s="4">
        <v>0</v>
      </c>
      <c r="AC1267" s="4" t="s">
        <v>49</v>
      </c>
      <c r="AD1267" s="4">
        <v>0</v>
      </c>
      <c r="AE1267" s="4" t="s">
        <v>49</v>
      </c>
      <c r="AF1267" s="4">
        <v>0</v>
      </c>
      <c r="AG1267" s="4" t="s">
        <v>785</v>
      </c>
      <c r="AH1267" s="4" t="s">
        <v>784</v>
      </c>
      <c r="AI1267" s="4" t="s">
        <v>64</v>
      </c>
      <c r="AJ1267" s="13">
        <v>0</v>
      </c>
      <c r="AK1267" s="13">
        <v>8</v>
      </c>
      <c r="AM1267" s="13" t="s">
        <v>562</v>
      </c>
      <c r="AP1267" s="13" t="s">
        <v>50</v>
      </c>
      <c r="AQ1267" s="13" t="s">
        <v>49</v>
      </c>
      <c r="AR1267" s="13" t="s">
        <v>49</v>
      </c>
      <c r="AS1267" s="13" t="s">
        <v>49</v>
      </c>
      <c r="AT1267" s="13" t="s">
        <v>990</v>
      </c>
      <c r="AU1267" s="13" t="s">
        <v>998</v>
      </c>
      <c r="AV1267" s="14">
        <f>(15.8*0.8)/1.44/1000</f>
        <v>8.7777777777777784E-3</v>
      </c>
      <c r="AW1267" s="14">
        <f>(5.3*0.8)/1.44/1000</f>
        <v>2.9444444444444448E-3</v>
      </c>
      <c r="AX1267" s="14">
        <f>Table1347456[[#This Row],[treatment_mean]]/Table1347456[[#This Row],[control_mean]]</f>
        <v>2.9811320754716979</v>
      </c>
      <c r="AY1267" s="14">
        <f>LN(Table1347456[[#This Row],[rr]])</f>
        <v>1.0923031194748449</v>
      </c>
      <c r="AZ1267" s="13">
        <v>4</v>
      </c>
      <c r="BA1267" s="13">
        <v>4</v>
      </c>
      <c r="BB1267" s="14">
        <v>0</v>
      </c>
      <c r="BC1267" s="14">
        <v>0</v>
      </c>
      <c r="BD1267" s="15">
        <f>Table1347456[[#This Row],[treatment_se]]*SQRT(Table1347456[[#This Row],[treatment_n]])</f>
        <v>0</v>
      </c>
      <c r="BE1267" s="14">
        <f>Table1347456[[#This Row],[control_se]]*SQRT(Table1347456[[#This Row],[control_n]])</f>
        <v>0</v>
      </c>
      <c r="BF126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67" s="17">
        <f>SQRT(Table1347456[[#This Row],[v_from_sd_and_n]])</f>
        <v>0</v>
      </c>
      <c r="BH1267" s="13" t="s">
        <v>50</v>
      </c>
      <c r="BI1267" s="13">
        <v>2.5000000000000001E-2</v>
      </c>
      <c r="BJ1267" s="18">
        <f>ABS(_xlfn.NORM.S.INV(Table1347456[[#This Row],[p_value]]/2))</f>
        <v>2.2414027276049446</v>
      </c>
      <c r="BK1267" s="19">
        <f>(Table1347456[[#This Row],[lnrr]]/Table1347456[[#This Row],[z_from_p]])^2</f>
        <v>0.23749067162928048</v>
      </c>
      <c r="BL1267" s="16">
        <f>(Table1347456[[#This Row],[lnrr]]/Table1347456[[#This Row],[z_from_p]])^2</f>
        <v>0.23749067162928048</v>
      </c>
      <c r="BM1267" s="20">
        <f>SQRT(Table1347456[[#This Row],[v]])</f>
        <v>0.48733014644004991</v>
      </c>
      <c r="BN1267" s="20">
        <f>Table1347456[[#This Row],[lnrr]]-(1.96*Table1347456[[#This Row],[se]])</f>
        <v>0.13713603245234718</v>
      </c>
      <c r="BO1267" s="20">
        <f>Table1347456[[#This Row],[lnrr]]+(1.96 * Table1347456[[#This Row],[se]])</f>
        <v>2.0474702064973425</v>
      </c>
    </row>
    <row r="1268" spans="1:67">
      <c r="A1268" s="13" t="s">
        <v>401</v>
      </c>
      <c r="B1268" s="13" t="s">
        <v>402</v>
      </c>
      <c r="C1268" s="13" t="s">
        <v>43</v>
      </c>
      <c r="D1268" s="13" t="s">
        <v>403</v>
      </c>
      <c r="E1268" s="13" t="s">
        <v>404</v>
      </c>
      <c r="F1268" s="13" t="s">
        <v>586</v>
      </c>
      <c r="G1268" s="13" t="s">
        <v>46</v>
      </c>
      <c r="H1268" s="13">
        <v>11.55</v>
      </c>
      <c r="I1268" s="13">
        <v>862</v>
      </c>
      <c r="K1268" s="13" t="s">
        <v>940</v>
      </c>
      <c r="L1268" s="13" t="s">
        <v>941</v>
      </c>
      <c r="N1268" s="13" t="s">
        <v>381</v>
      </c>
      <c r="O1268" s="13" t="s">
        <v>70</v>
      </c>
      <c r="P1268" s="13" t="s">
        <v>563</v>
      </c>
      <c r="Q1268" s="13" t="s">
        <v>71</v>
      </c>
      <c r="R1268" s="4">
        <v>4</v>
      </c>
      <c r="S1268" s="13" t="s">
        <v>594</v>
      </c>
      <c r="T1268" s="13">
        <v>402</v>
      </c>
      <c r="U1268" s="4" t="s">
        <v>200</v>
      </c>
      <c r="V1268" s="4">
        <v>750</v>
      </c>
      <c r="W1268" s="4" t="s">
        <v>602</v>
      </c>
      <c r="X1268" s="4">
        <v>724</v>
      </c>
      <c r="Y1268" s="4">
        <v>15</v>
      </c>
      <c r="AA1268" s="4" t="s">
        <v>49</v>
      </c>
      <c r="AB1268" s="4">
        <v>0</v>
      </c>
      <c r="AC1268" s="4" t="s">
        <v>49</v>
      </c>
      <c r="AD1268" s="4">
        <v>0</v>
      </c>
      <c r="AE1268" s="4" t="s">
        <v>49</v>
      </c>
      <c r="AF1268" s="4">
        <v>0</v>
      </c>
      <c r="AG1268" s="4" t="s">
        <v>786</v>
      </c>
      <c r="AH1268" s="4" t="s">
        <v>784</v>
      </c>
      <c r="AI1268" s="4" t="s">
        <v>64</v>
      </c>
      <c r="AJ1268" s="13">
        <v>0</v>
      </c>
      <c r="AK1268" s="13">
        <v>8</v>
      </c>
      <c r="AM1268" s="13" t="s">
        <v>562</v>
      </c>
      <c r="AP1268" s="13" t="s">
        <v>50</v>
      </c>
      <c r="AQ1268" s="13" t="s">
        <v>49</v>
      </c>
      <c r="AR1268" s="13" t="s">
        <v>49</v>
      </c>
      <c r="AS1268" s="13" t="s">
        <v>49</v>
      </c>
      <c r="AT1268" s="13" t="s">
        <v>990</v>
      </c>
      <c r="AU1268" s="13" t="s">
        <v>998</v>
      </c>
      <c r="AV1268" s="14">
        <f>2266/1000</f>
        <v>2.266</v>
      </c>
      <c r="AW1268" s="14">
        <f>1242/1000</f>
        <v>1.242</v>
      </c>
      <c r="AX1268" s="14">
        <f>Table1347456[[#This Row],[treatment_mean]]/Table1347456[[#This Row],[control_mean]]</f>
        <v>1.8244766505636072</v>
      </c>
      <c r="AY1268" s="14">
        <f>LN(Table1347456[[#This Row],[rr]])</f>
        <v>0.60129317909452762</v>
      </c>
      <c r="AZ1268" s="13">
        <v>4</v>
      </c>
      <c r="BA1268" s="13">
        <v>4</v>
      </c>
      <c r="BB1268" s="14">
        <f>483/1000</f>
        <v>0.48299999999999998</v>
      </c>
      <c r="BC1268" s="14">
        <f>189/1000</f>
        <v>0.189</v>
      </c>
      <c r="BD1268" s="15">
        <f>Table1347456[[#This Row],[treatment_se]]*SQRT(Table1347456[[#This Row],[treatment_n]])</f>
        <v>0.96599999999999997</v>
      </c>
      <c r="BE1268" s="14">
        <f>Table1347456[[#This Row],[control_se]]*SQRT(Table1347456[[#This Row],[control_n]])</f>
        <v>0.378</v>
      </c>
      <c r="BF126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6.8590217382431942E-2</v>
      </c>
      <c r="BG1268" s="17">
        <f>SQRT(Table1347456[[#This Row],[v_from_sd_and_n]])</f>
        <v>0.26189734130462633</v>
      </c>
      <c r="BH1268" s="13" t="s">
        <v>50</v>
      </c>
      <c r="BI1268" s="13">
        <v>2.5000000000000001E-2</v>
      </c>
      <c r="BJ1268" s="18">
        <f>ABS(_xlfn.NORM.S.INV(Table1347456[[#This Row],[p_value]]/2))</f>
        <v>2.2414027276049446</v>
      </c>
      <c r="BK1268" s="19">
        <f>(Table1347456[[#This Row],[lnrr]]/Table1347456[[#This Row],[z_from_p]])^2</f>
        <v>7.1966894500618259E-2</v>
      </c>
      <c r="BL1268" s="16">
        <f>Table1347456[[#This Row],[v_from_sd_and_n]]</f>
        <v>6.8590217382431942E-2</v>
      </c>
      <c r="BM1268" s="20">
        <f>SQRT(Table1347456[[#This Row],[v]])</f>
        <v>0.26189734130462633</v>
      </c>
      <c r="BN1268" s="20">
        <f>Table1347456[[#This Row],[lnrr]]-(1.96*Table1347456[[#This Row],[se]])</f>
        <v>8.7974390137460001E-2</v>
      </c>
      <c r="BO1268" s="20">
        <f>Table1347456[[#This Row],[lnrr]]+(1.96 * Table1347456[[#This Row],[se]])</f>
        <v>1.1146119680515953</v>
      </c>
    </row>
    <row r="1269" spans="1:67">
      <c r="A1269" s="13" t="s">
        <v>401</v>
      </c>
      <c r="B1269" s="13" t="s">
        <v>402</v>
      </c>
      <c r="C1269" s="13" t="s">
        <v>43</v>
      </c>
      <c r="D1269" s="13" t="s">
        <v>403</v>
      </c>
      <c r="E1269" s="13" t="s">
        <v>404</v>
      </c>
      <c r="F1269" s="13" t="s">
        <v>586</v>
      </c>
      <c r="G1269" s="13" t="s">
        <v>46</v>
      </c>
      <c r="H1269" s="13">
        <v>11.55</v>
      </c>
      <c r="I1269" s="13">
        <v>862</v>
      </c>
      <c r="K1269" s="13" t="s">
        <v>940</v>
      </c>
      <c r="L1269" s="13" t="s">
        <v>941</v>
      </c>
      <c r="N1269" s="13" t="s">
        <v>381</v>
      </c>
      <c r="O1269" s="13" t="s">
        <v>70</v>
      </c>
      <c r="P1269" s="13" t="s">
        <v>563</v>
      </c>
      <c r="Q1269" s="13" t="s">
        <v>71</v>
      </c>
      <c r="R1269" s="4">
        <v>4</v>
      </c>
      <c r="S1269" s="13" t="s">
        <v>594</v>
      </c>
      <c r="T1269" s="13">
        <v>402</v>
      </c>
      <c r="U1269" s="4" t="s">
        <v>405</v>
      </c>
      <c r="V1269" s="4">
        <v>750</v>
      </c>
      <c r="W1269" s="4" t="s">
        <v>602</v>
      </c>
      <c r="X1269" s="4">
        <v>551</v>
      </c>
      <c r="Y1269" s="4">
        <v>15</v>
      </c>
      <c r="AA1269" s="4" t="s">
        <v>49</v>
      </c>
      <c r="AB1269" s="4">
        <v>0</v>
      </c>
      <c r="AC1269" s="4" t="s">
        <v>49</v>
      </c>
      <c r="AD1269" s="4">
        <v>0</v>
      </c>
      <c r="AE1269" s="4" t="s">
        <v>49</v>
      </c>
      <c r="AF1269" s="4">
        <v>0</v>
      </c>
      <c r="AG1269" s="4" t="s">
        <v>785</v>
      </c>
      <c r="AH1269" s="4" t="s">
        <v>784</v>
      </c>
      <c r="AI1269" s="4" t="s">
        <v>64</v>
      </c>
      <c r="AJ1269" s="13">
        <v>0</v>
      </c>
      <c r="AK1269" s="13">
        <v>8</v>
      </c>
      <c r="AM1269" s="13" t="s">
        <v>562</v>
      </c>
      <c r="AP1269" s="13" t="s">
        <v>50</v>
      </c>
      <c r="AQ1269" s="13" t="s">
        <v>49</v>
      </c>
      <c r="AR1269" s="13" t="s">
        <v>49</v>
      </c>
      <c r="AS1269" s="13" t="s">
        <v>49</v>
      </c>
      <c r="AT1269" s="13" t="s">
        <v>990</v>
      </c>
      <c r="AU1269" s="13" t="s">
        <v>998</v>
      </c>
      <c r="AV1269" s="14">
        <f>2555/1000</f>
        <v>2.5550000000000002</v>
      </c>
      <c r="AW1269" s="14">
        <f>1242/1000</f>
        <v>1.242</v>
      </c>
      <c r="AX1269" s="14">
        <f>Table1347456[[#This Row],[treatment_mean]]/Table1347456[[#This Row],[control_mean]]</f>
        <v>2.0571658615136879</v>
      </c>
      <c r="AY1269" s="14">
        <f>LN(Table1347456[[#This Row],[rr]])</f>
        <v>0.72132924014438082</v>
      </c>
      <c r="AZ1269" s="13">
        <v>4</v>
      </c>
      <c r="BA1269" s="13">
        <v>4</v>
      </c>
      <c r="BB1269" s="14">
        <f>435/1000</f>
        <v>0.435</v>
      </c>
      <c r="BC1269" s="14">
        <f>189/1000</f>
        <v>0.189</v>
      </c>
      <c r="BD1269" s="15">
        <f>Table1347456[[#This Row],[treatment_se]]*SQRT(Table1347456[[#This Row],[treatment_n]])</f>
        <v>0.87</v>
      </c>
      <c r="BE1269" s="14">
        <f>Table1347456[[#This Row],[control_se]]*SQRT(Table1347456[[#This Row],[control_n]])</f>
        <v>0.378</v>
      </c>
      <c r="BF126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5.2143461596496465E-2</v>
      </c>
      <c r="BG1269" s="17">
        <f>SQRT(Table1347456[[#This Row],[v_from_sd_and_n]])</f>
        <v>0.22834942871944405</v>
      </c>
      <c r="BH1269" s="13" t="s">
        <v>50</v>
      </c>
      <c r="BI1269" s="13">
        <v>2.5000000000000001E-2</v>
      </c>
      <c r="BJ1269" s="18">
        <f>ABS(_xlfn.NORM.S.INV(Table1347456[[#This Row],[p_value]]/2))</f>
        <v>2.2414027276049446</v>
      </c>
      <c r="BK1269" s="19">
        <f>(Table1347456[[#This Row],[lnrr]]/Table1347456[[#This Row],[z_from_p]])^2</f>
        <v>0.10356840367941593</v>
      </c>
      <c r="BL1269" s="16">
        <f>Table1347456[[#This Row],[v_from_sd_and_n]]</f>
        <v>5.2143461596496465E-2</v>
      </c>
      <c r="BM1269" s="20">
        <f>SQRT(Table1347456[[#This Row],[v]])</f>
        <v>0.22834942871944405</v>
      </c>
      <c r="BN1269" s="20">
        <f>Table1347456[[#This Row],[lnrr]]-(1.96*Table1347456[[#This Row],[se]])</f>
        <v>0.2737643598542705</v>
      </c>
      <c r="BO1269" s="20">
        <f>Table1347456[[#This Row],[lnrr]]+(1.96 * Table1347456[[#This Row],[se]])</f>
        <v>1.1688941204344911</v>
      </c>
    </row>
    <row r="1270" spans="1:67">
      <c r="A1270" s="13" t="s">
        <v>406</v>
      </c>
      <c r="B1270" s="13" t="s">
        <v>408</v>
      </c>
      <c r="C1270" s="13" t="s">
        <v>43</v>
      </c>
      <c r="D1270" s="13" t="s">
        <v>379</v>
      </c>
      <c r="E1270" s="13" t="s">
        <v>91</v>
      </c>
      <c r="F1270" s="13" t="s">
        <v>587</v>
      </c>
      <c r="G1270" s="13" t="s">
        <v>380</v>
      </c>
      <c r="H1270" s="13">
        <v>12.4</v>
      </c>
      <c r="I1270" s="13">
        <v>600</v>
      </c>
      <c r="K1270" s="13" t="s">
        <v>942</v>
      </c>
      <c r="L1270" s="13" t="s">
        <v>943</v>
      </c>
      <c r="N1270" s="13" t="s">
        <v>614</v>
      </c>
      <c r="O1270" s="13" t="s">
        <v>614</v>
      </c>
      <c r="P1270" s="13" t="s">
        <v>87</v>
      </c>
      <c r="Q1270" s="13" t="s">
        <v>87</v>
      </c>
      <c r="R1270" s="4">
        <v>3</v>
      </c>
      <c r="S1270" s="13" t="s">
        <v>594</v>
      </c>
      <c r="T1270" s="13">
        <v>365</v>
      </c>
      <c r="U1270" s="4" t="s">
        <v>385</v>
      </c>
      <c r="V1270" s="4">
        <v>360</v>
      </c>
      <c r="W1270" s="4" t="s">
        <v>42</v>
      </c>
      <c r="X1270" s="4">
        <v>657.3</v>
      </c>
      <c r="Y1270" s="4">
        <v>2.25</v>
      </c>
      <c r="AA1270" s="4" t="s">
        <v>49</v>
      </c>
      <c r="AB1270" s="4">
        <v>0</v>
      </c>
      <c r="AC1270" s="4" t="s">
        <v>49</v>
      </c>
      <c r="AD1270" s="4">
        <v>0</v>
      </c>
      <c r="AE1270" s="4" t="s">
        <v>49</v>
      </c>
      <c r="AF1270" s="4">
        <v>0</v>
      </c>
      <c r="AG1270" s="4" t="s">
        <v>689</v>
      </c>
      <c r="AH1270" s="4" t="s">
        <v>688</v>
      </c>
      <c r="AI1270" s="4" t="s">
        <v>64</v>
      </c>
      <c r="AJ1270" s="13">
        <v>0</v>
      </c>
      <c r="AK1270" s="13">
        <v>20</v>
      </c>
      <c r="AM1270" s="13" t="s">
        <v>564</v>
      </c>
      <c r="AP1270" s="13" t="s">
        <v>50</v>
      </c>
      <c r="AQ1270" s="13" t="s">
        <v>49</v>
      </c>
      <c r="AR1270" s="13" t="s">
        <v>50</v>
      </c>
      <c r="AS1270" s="13" t="s">
        <v>50</v>
      </c>
      <c r="AT1270" s="13" t="s">
        <v>990</v>
      </c>
      <c r="AU1270" s="13" t="s">
        <v>998</v>
      </c>
      <c r="AV1270" s="14">
        <v>15.72</v>
      </c>
      <c r="AW1270" s="14">
        <v>15.23</v>
      </c>
      <c r="AX1270" s="14">
        <f>Table1347456[[#This Row],[treatment_mean]]/Table1347456[[#This Row],[control_mean]]</f>
        <v>1.0321733420879842</v>
      </c>
      <c r="AY1270" s="14">
        <f>LN(Table1347456[[#This Row],[rr]])</f>
        <v>3.1666620093989975E-2</v>
      </c>
      <c r="AZ1270" s="13">
        <v>3</v>
      </c>
      <c r="BA1270" s="13">
        <v>3</v>
      </c>
      <c r="BB1270" s="14">
        <v>0</v>
      </c>
      <c r="BC1270" s="14">
        <v>0</v>
      </c>
      <c r="BD1270" s="15">
        <f>Table1347456[[#This Row],[treatment_se]]*SQRT(Table1347456[[#This Row],[treatment_n]])</f>
        <v>0</v>
      </c>
      <c r="BE1270" s="14">
        <f>Table1347456[[#This Row],[control_se]]*SQRT(Table1347456[[#This Row],[control_n]])</f>
        <v>0</v>
      </c>
      <c r="BF127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70" s="17">
        <f>SQRT(Table1347456[[#This Row],[v_from_sd_and_n]])</f>
        <v>0</v>
      </c>
      <c r="BH1270" s="13" t="s">
        <v>50</v>
      </c>
      <c r="BI1270" s="13">
        <v>2.5000000000000001E-2</v>
      </c>
      <c r="BJ1270" s="18">
        <f>ABS(_xlfn.NORM.S.INV(Table1347456[[#This Row],[p_value]]/2))</f>
        <v>2.2414027276049446</v>
      </c>
      <c r="BK1270" s="19">
        <f>(Table1347456[[#This Row],[lnrr]]/Table1347456[[#This Row],[z_from_p]])^2</f>
        <v>1.9960142224341318E-4</v>
      </c>
      <c r="BL1270" s="16">
        <f>(Table1347456[[#This Row],[lnrr]]/Table1347456[[#This Row],[z_from_p]])^2</f>
        <v>1.9960142224341318E-4</v>
      </c>
      <c r="BM1270" s="20">
        <f>SQRT(Table1347456[[#This Row],[v]])</f>
        <v>1.4128036744127373E-2</v>
      </c>
      <c r="BN1270" s="20">
        <f>Table1347456[[#This Row],[lnrr]]-(1.96*Table1347456[[#This Row],[se]])</f>
        <v>3.9756680755003264E-3</v>
      </c>
      <c r="BO1270" s="20">
        <f>Table1347456[[#This Row],[lnrr]]+(1.96 * Table1347456[[#This Row],[se]])</f>
        <v>5.935757211247962E-2</v>
      </c>
    </row>
    <row r="1271" spans="1:67">
      <c r="A1271" s="13" t="s">
        <v>406</v>
      </c>
      <c r="B1271" s="13" t="s">
        <v>408</v>
      </c>
      <c r="C1271" s="13" t="s">
        <v>43</v>
      </c>
      <c r="D1271" s="13" t="s">
        <v>379</v>
      </c>
      <c r="E1271" s="13" t="s">
        <v>91</v>
      </c>
      <c r="F1271" s="13" t="s">
        <v>587</v>
      </c>
      <c r="G1271" s="13" t="s">
        <v>380</v>
      </c>
      <c r="H1271" s="13">
        <v>12.4</v>
      </c>
      <c r="I1271" s="13">
        <v>600</v>
      </c>
      <c r="K1271" s="13" t="s">
        <v>942</v>
      </c>
      <c r="L1271" s="13" t="s">
        <v>943</v>
      </c>
      <c r="N1271" s="13" t="s">
        <v>614</v>
      </c>
      <c r="O1271" s="13" t="s">
        <v>614</v>
      </c>
      <c r="P1271" s="13" t="s">
        <v>87</v>
      </c>
      <c r="Q1271" s="13" t="s">
        <v>87</v>
      </c>
      <c r="R1271" s="4">
        <v>3</v>
      </c>
      <c r="S1271" s="13" t="s">
        <v>594</v>
      </c>
      <c r="T1271" s="13">
        <v>365</v>
      </c>
      <c r="U1271" s="4" t="s">
        <v>385</v>
      </c>
      <c r="V1271" s="4">
        <v>360</v>
      </c>
      <c r="W1271" s="4" t="s">
        <v>42</v>
      </c>
      <c r="X1271" s="4">
        <v>657.3</v>
      </c>
      <c r="Y1271" s="4">
        <v>4.5</v>
      </c>
      <c r="AA1271" s="4" t="s">
        <v>49</v>
      </c>
      <c r="AB1271" s="4">
        <v>0</v>
      </c>
      <c r="AC1271" s="4" t="s">
        <v>49</v>
      </c>
      <c r="AD1271" s="4">
        <v>0</v>
      </c>
      <c r="AE1271" s="4" t="s">
        <v>49</v>
      </c>
      <c r="AF1271" s="4">
        <v>0</v>
      </c>
      <c r="AG1271" s="4" t="s">
        <v>689</v>
      </c>
      <c r="AH1271" s="4" t="s">
        <v>688</v>
      </c>
      <c r="AI1271" s="4" t="s">
        <v>64</v>
      </c>
      <c r="AJ1271" s="13">
        <v>0</v>
      </c>
      <c r="AK1271" s="13">
        <v>20</v>
      </c>
      <c r="AM1271" s="13" t="s">
        <v>564</v>
      </c>
      <c r="AP1271" s="13" t="s">
        <v>50</v>
      </c>
      <c r="AQ1271" s="13" t="s">
        <v>49</v>
      </c>
      <c r="AR1271" s="13" t="s">
        <v>50</v>
      </c>
      <c r="AS1271" s="13" t="s">
        <v>50</v>
      </c>
      <c r="AT1271" s="13" t="s">
        <v>990</v>
      </c>
      <c r="AU1271" s="13" t="s">
        <v>998</v>
      </c>
      <c r="AV1271" s="14">
        <v>16.23</v>
      </c>
      <c r="AW1271" s="14">
        <v>15.23</v>
      </c>
      <c r="AX1271" s="14">
        <f>Table1347456[[#This Row],[treatment_mean]]/Table1347456[[#This Row],[control_mean]]</f>
        <v>1.0656598818122127</v>
      </c>
      <c r="AY1271" s="14">
        <f>LN(Table1347456[[#This Row],[rr]])</f>
        <v>6.3594214619429379E-2</v>
      </c>
      <c r="AZ1271" s="13">
        <v>3</v>
      </c>
      <c r="BA1271" s="13">
        <v>3</v>
      </c>
      <c r="BB1271" s="14">
        <v>0</v>
      </c>
      <c r="BC1271" s="14">
        <v>0</v>
      </c>
      <c r="BD1271" s="15">
        <f>Table1347456[[#This Row],[treatment_se]]*SQRT(Table1347456[[#This Row],[treatment_n]])</f>
        <v>0</v>
      </c>
      <c r="BE1271" s="14">
        <f>Table1347456[[#This Row],[control_se]]*SQRT(Table1347456[[#This Row],[control_n]])</f>
        <v>0</v>
      </c>
      <c r="BF127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71" s="17">
        <f>SQRT(Table1347456[[#This Row],[v_from_sd_and_n]])</f>
        <v>0</v>
      </c>
      <c r="BH1271" s="13" t="s">
        <v>50</v>
      </c>
      <c r="BI1271" s="13">
        <v>2.5000000000000001E-2</v>
      </c>
      <c r="BJ1271" s="18">
        <f>ABS(_xlfn.NORM.S.INV(Table1347456[[#This Row],[p_value]]/2))</f>
        <v>2.2414027276049446</v>
      </c>
      <c r="BK1271" s="19">
        <f>(Table1347456[[#This Row],[lnrr]]/Table1347456[[#This Row],[z_from_p]])^2</f>
        <v>8.049991544938959E-4</v>
      </c>
      <c r="BL1271" s="16">
        <f>(Table1347456[[#This Row],[lnrr]]/Table1347456[[#This Row],[z_from_p]])^2</f>
        <v>8.049991544938959E-4</v>
      </c>
      <c r="BM1271" s="20">
        <f>SQRT(Table1347456[[#This Row],[v]])</f>
        <v>2.8372507018131054E-2</v>
      </c>
      <c r="BN1271" s="20">
        <f>Table1347456[[#This Row],[lnrr]]-(1.96*Table1347456[[#This Row],[se]])</f>
        <v>7.984100863892514E-3</v>
      </c>
      <c r="BO1271" s="20">
        <f>Table1347456[[#This Row],[lnrr]]+(1.96 * Table1347456[[#This Row],[se]])</f>
        <v>0.11920432837496625</v>
      </c>
    </row>
    <row r="1272" spans="1:67">
      <c r="A1272" s="13" t="s">
        <v>406</v>
      </c>
      <c r="B1272" s="13" t="s">
        <v>408</v>
      </c>
      <c r="C1272" s="13" t="s">
        <v>43</v>
      </c>
      <c r="D1272" s="13" t="s">
        <v>379</v>
      </c>
      <c r="E1272" s="13" t="s">
        <v>91</v>
      </c>
      <c r="F1272" s="13" t="s">
        <v>587</v>
      </c>
      <c r="G1272" s="13" t="s">
        <v>380</v>
      </c>
      <c r="H1272" s="13">
        <v>12.4</v>
      </c>
      <c r="I1272" s="13">
        <v>600</v>
      </c>
      <c r="K1272" s="13" t="s">
        <v>942</v>
      </c>
      <c r="L1272" s="13" t="s">
        <v>943</v>
      </c>
      <c r="N1272" s="13" t="s">
        <v>53</v>
      </c>
      <c r="O1272" s="13" t="s">
        <v>54</v>
      </c>
      <c r="P1272" s="13" t="s">
        <v>71</v>
      </c>
      <c r="Q1272" s="13" t="s">
        <v>48</v>
      </c>
      <c r="R1272" s="4">
        <v>3</v>
      </c>
      <c r="S1272" s="13" t="s">
        <v>594</v>
      </c>
      <c r="T1272" s="13">
        <v>365</v>
      </c>
      <c r="U1272" s="4" t="s">
        <v>385</v>
      </c>
      <c r="V1272" s="4">
        <v>360</v>
      </c>
      <c r="W1272" s="4" t="s">
        <v>42</v>
      </c>
      <c r="X1272" s="4">
        <v>657.3</v>
      </c>
      <c r="Y1272" s="4">
        <v>2.25</v>
      </c>
      <c r="AA1272" s="4" t="s">
        <v>49</v>
      </c>
      <c r="AB1272" s="4">
        <v>0</v>
      </c>
      <c r="AC1272" s="4" t="s">
        <v>49</v>
      </c>
      <c r="AD1272" s="4">
        <v>0</v>
      </c>
      <c r="AE1272" s="4" t="s">
        <v>49</v>
      </c>
      <c r="AF1272" s="4">
        <v>0</v>
      </c>
      <c r="AG1272" s="4" t="s">
        <v>689</v>
      </c>
      <c r="AH1272" s="4" t="s">
        <v>688</v>
      </c>
      <c r="AI1272" s="4" t="s">
        <v>64</v>
      </c>
      <c r="AJ1272" s="13">
        <v>0</v>
      </c>
      <c r="AK1272" s="13">
        <v>20</v>
      </c>
      <c r="AM1272" s="13" t="s">
        <v>564</v>
      </c>
      <c r="AP1272" s="13" t="s">
        <v>50</v>
      </c>
      <c r="AQ1272" s="13" t="s">
        <v>49</v>
      </c>
      <c r="AR1272" s="13" t="s">
        <v>50</v>
      </c>
      <c r="AS1272" s="13" t="s">
        <v>50</v>
      </c>
      <c r="AT1272" s="13" t="s">
        <v>990</v>
      </c>
      <c r="AU1272" s="13" t="s">
        <v>998</v>
      </c>
      <c r="AV1272" s="14">
        <f>(35.14*2)/1.52/1000</f>
        <v>4.623684210526316E-2</v>
      </c>
      <c r="AW1272" s="14">
        <f>(33.34*2)/1.52/1000</f>
        <v>4.3868421052631584E-2</v>
      </c>
      <c r="AX1272" s="14">
        <f>Table1347456[[#This Row],[treatment_mean]]/Table1347456[[#This Row],[control_mean]]</f>
        <v>1.053989202159568</v>
      </c>
      <c r="AY1272" s="14">
        <f>LN(Table1347456[[#This Row],[rr]])</f>
        <v>5.2582205436303146E-2</v>
      </c>
      <c r="AZ1272" s="13">
        <v>3</v>
      </c>
      <c r="BA1272" s="13">
        <v>3</v>
      </c>
      <c r="BB1272" s="14">
        <v>0</v>
      </c>
      <c r="BC1272" s="14">
        <v>0</v>
      </c>
      <c r="BD1272" s="15">
        <f>Table1347456[[#This Row],[treatment_se]]*SQRT(Table1347456[[#This Row],[treatment_n]])</f>
        <v>0</v>
      </c>
      <c r="BE1272" s="14">
        <f>Table1347456[[#This Row],[control_se]]*SQRT(Table1347456[[#This Row],[control_n]])</f>
        <v>0</v>
      </c>
      <c r="BF127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72" s="17">
        <f>SQRT(Table1347456[[#This Row],[v_from_sd_and_n]])</f>
        <v>0</v>
      </c>
      <c r="BH1272" s="13" t="s">
        <v>50</v>
      </c>
      <c r="BI1272" s="13">
        <v>2.5000000000000001E-2</v>
      </c>
      <c r="BJ1272" s="18">
        <f>ABS(_xlfn.NORM.S.INV(Table1347456[[#This Row],[p_value]]/2))</f>
        <v>2.2414027276049446</v>
      </c>
      <c r="BK1272" s="19">
        <f>(Table1347456[[#This Row],[lnrr]]/Table1347456[[#This Row],[z_from_p]])^2</f>
        <v>5.5034852014100599E-4</v>
      </c>
      <c r="BL1272" s="16">
        <f>(Table1347456[[#This Row],[lnrr]]/Table1347456[[#This Row],[z_from_p]])^2</f>
        <v>5.5034852014100599E-4</v>
      </c>
      <c r="BM1272" s="20">
        <f>SQRT(Table1347456[[#This Row],[v]])</f>
        <v>2.3459508096739922E-2</v>
      </c>
      <c r="BN1272" s="20">
        <f>Table1347456[[#This Row],[lnrr]]-(1.96*Table1347456[[#This Row],[se]])</f>
        <v>6.6015695666929025E-3</v>
      </c>
      <c r="BO1272" s="20">
        <f>Table1347456[[#This Row],[lnrr]]+(1.96 * Table1347456[[#This Row],[se]])</f>
        <v>9.856284130591339E-2</v>
      </c>
    </row>
    <row r="1273" spans="1:67">
      <c r="A1273" s="13" t="s">
        <v>406</v>
      </c>
      <c r="B1273" s="13" t="s">
        <v>407</v>
      </c>
      <c r="C1273" s="13" t="s">
        <v>43</v>
      </c>
      <c r="D1273" s="13" t="s">
        <v>379</v>
      </c>
      <c r="E1273" s="13" t="s">
        <v>91</v>
      </c>
      <c r="F1273" s="13" t="s">
        <v>587</v>
      </c>
      <c r="G1273" s="13" t="s">
        <v>380</v>
      </c>
      <c r="H1273" s="13">
        <v>12.4</v>
      </c>
      <c r="I1273" s="13">
        <v>600</v>
      </c>
      <c r="K1273" s="13" t="s">
        <v>942</v>
      </c>
      <c r="L1273" s="13" t="s">
        <v>943</v>
      </c>
      <c r="N1273" s="13" t="s">
        <v>53</v>
      </c>
      <c r="O1273" s="13" t="s">
        <v>54</v>
      </c>
      <c r="P1273" s="13" t="s">
        <v>71</v>
      </c>
      <c r="Q1273" s="13" t="s">
        <v>48</v>
      </c>
      <c r="R1273" s="4">
        <v>3</v>
      </c>
      <c r="S1273" s="13" t="s">
        <v>594</v>
      </c>
      <c r="T1273" s="13">
        <v>365</v>
      </c>
      <c r="U1273" s="4" t="s">
        <v>385</v>
      </c>
      <c r="V1273" s="4">
        <v>360</v>
      </c>
      <c r="W1273" s="4" t="s">
        <v>42</v>
      </c>
      <c r="X1273" s="4">
        <v>657.3</v>
      </c>
      <c r="Y1273" s="4">
        <v>4.5</v>
      </c>
      <c r="AA1273" s="4" t="s">
        <v>49</v>
      </c>
      <c r="AB1273" s="4">
        <v>0</v>
      </c>
      <c r="AC1273" s="4" t="s">
        <v>49</v>
      </c>
      <c r="AD1273" s="4">
        <v>0</v>
      </c>
      <c r="AE1273" s="4" t="s">
        <v>49</v>
      </c>
      <c r="AF1273" s="4">
        <v>0</v>
      </c>
      <c r="AG1273" s="4" t="s">
        <v>689</v>
      </c>
      <c r="AH1273" s="4" t="s">
        <v>688</v>
      </c>
      <c r="AI1273" s="4" t="s">
        <v>64</v>
      </c>
      <c r="AJ1273" s="13">
        <v>0</v>
      </c>
      <c r="AK1273" s="13">
        <v>20</v>
      </c>
      <c r="AM1273" s="13" t="s">
        <v>564</v>
      </c>
      <c r="AP1273" s="13" t="s">
        <v>50</v>
      </c>
      <c r="AQ1273" s="13" t="s">
        <v>49</v>
      </c>
      <c r="AR1273" s="13" t="s">
        <v>50</v>
      </c>
      <c r="AS1273" s="13" t="s">
        <v>50</v>
      </c>
      <c r="AT1273" s="13" t="s">
        <v>990</v>
      </c>
      <c r="AU1273" s="13" t="s">
        <v>998</v>
      </c>
      <c r="AV1273" s="14">
        <f>(39.21*2)/1.52/1000</f>
        <v>5.1592105263157897E-2</v>
      </c>
      <c r="AW1273" s="14">
        <f>(33.34*2)/1.52/1000</f>
        <v>4.3868421052631584E-2</v>
      </c>
      <c r="AX1273" s="14">
        <f>Table1347456[[#This Row],[treatment_mean]]/Table1347456[[#This Row],[control_mean]]</f>
        <v>1.1760647870425913</v>
      </c>
      <c r="AY1273" s="14">
        <f>LN(Table1347456[[#This Row],[rr]])</f>
        <v>0.16217393898159219</v>
      </c>
      <c r="AZ1273" s="13">
        <v>3</v>
      </c>
      <c r="BA1273" s="13">
        <v>3</v>
      </c>
      <c r="BB1273" s="14">
        <v>0</v>
      </c>
      <c r="BC1273" s="14">
        <v>0</v>
      </c>
      <c r="BD1273" s="15">
        <f>Table1347456[[#This Row],[treatment_se]]*SQRT(Table1347456[[#This Row],[treatment_n]])</f>
        <v>0</v>
      </c>
      <c r="BE1273" s="14">
        <f>Table1347456[[#This Row],[control_se]]*SQRT(Table1347456[[#This Row],[control_n]])</f>
        <v>0</v>
      </c>
      <c r="BF127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73" s="17">
        <f>SQRT(Table1347456[[#This Row],[v_from_sd_and_n]])</f>
        <v>0</v>
      </c>
      <c r="BH1273" s="13" t="s">
        <v>50</v>
      </c>
      <c r="BI1273" s="13">
        <v>2.5000000000000001E-2</v>
      </c>
      <c r="BJ1273" s="18">
        <f>ABS(_xlfn.NORM.S.INV(Table1347456[[#This Row],[p_value]]/2))</f>
        <v>2.2414027276049446</v>
      </c>
      <c r="BK1273" s="19">
        <f>(Table1347456[[#This Row],[lnrr]]/Table1347456[[#This Row],[z_from_p]])^2</f>
        <v>5.2350681333531443E-3</v>
      </c>
      <c r="BL1273" s="16">
        <f>(Table1347456[[#This Row],[lnrr]]/Table1347456[[#This Row],[z_from_p]])^2</f>
        <v>5.2350681333531443E-3</v>
      </c>
      <c r="BM1273" s="20">
        <f>SQRT(Table1347456[[#This Row],[v]])</f>
        <v>7.2353770692018149E-2</v>
      </c>
      <c r="BN1273" s="20">
        <f>Table1347456[[#This Row],[lnrr]]-(1.96*Table1347456[[#This Row],[se]])</f>
        <v>2.036054842523663E-2</v>
      </c>
      <c r="BO1273" s="20">
        <f>Table1347456[[#This Row],[lnrr]]+(1.96 * Table1347456[[#This Row],[se]])</f>
        <v>0.30398732953794771</v>
      </c>
    </row>
    <row r="1274" spans="1:67">
      <c r="A1274" s="13" t="s">
        <v>406</v>
      </c>
      <c r="B1274" s="13" t="s">
        <v>407</v>
      </c>
      <c r="C1274" s="13" t="s">
        <v>43</v>
      </c>
      <c r="D1274" s="13" t="s">
        <v>379</v>
      </c>
      <c r="E1274" s="13" t="s">
        <v>91</v>
      </c>
      <c r="F1274" s="13" t="s">
        <v>587</v>
      </c>
      <c r="G1274" s="13" t="s">
        <v>380</v>
      </c>
      <c r="H1274" s="13">
        <v>12.4</v>
      </c>
      <c r="I1274" s="13">
        <v>600</v>
      </c>
      <c r="K1274" s="13" t="s">
        <v>942</v>
      </c>
      <c r="L1274" s="13" t="s">
        <v>943</v>
      </c>
      <c r="N1274" s="13" t="s">
        <v>81</v>
      </c>
      <c r="O1274" s="13" t="s">
        <v>82</v>
      </c>
      <c r="P1274" s="13" t="s">
        <v>83</v>
      </c>
      <c r="Q1274" s="13" t="s">
        <v>83</v>
      </c>
      <c r="R1274" s="4">
        <v>3</v>
      </c>
      <c r="S1274" s="13" t="s">
        <v>594</v>
      </c>
      <c r="T1274" s="13">
        <v>365</v>
      </c>
      <c r="U1274" s="4" t="s">
        <v>385</v>
      </c>
      <c r="V1274" s="4">
        <v>360</v>
      </c>
      <c r="W1274" s="4" t="s">
        <v>42</v>
      </c>
      <c r="X1274" s="4">
        <v>657.3</v>
      </c>
      <c r="Y1274" s="4">
        <v>2.25</v>
      </c>
      <c r="AA1274" s="4" t="s">
        <v>49</v>
      </c>
      <c r="AB1274" s="4">
        <v>0</v>
      </c>
      <c r="AC1274" s="4" t="s">
        <v>49</v>
      </c>
      <c r="AD1274" s="4">
        <v>0</v>
      </c>
      <c r="AE1274" s="4" t="s">
        <v>49</v>
      </c>
      <c r="AF1274" s="4">
        <v>0</v>
      </c>
      <c r="AG1274" s="4" t="s">
        <v>689</v>
      </c>
      <c r="AH1274" s="4" t="s">
        <v>688</v>
      </c>
      <c r="AI1274" s="4" t="s">
        <v>64</v>
      </c>
      <c r="AJ1274" s="13">
        <v>0</v>
      </c>
      <c r="AK1274" s="13">
        <v>20</v>
      </c>
      <c r="AM1274" s="13" t="s">
        <v>564</v>
      </c>
      <c r="AP1274" s="13" t="s">
        <v>50</v>
      </c>
      <c r="AQ1274" s="13" t="s">
        <v>49</v>
      </c>
      <c r="AR1274" s="13" t="s">
        <v>50</v>
      </c>
      <c r="AS1274" s="13" t="s">
        <v>50</v>
      </c>
      <c r="AT1274" s="13" t="s">
        <v>990</v>
      </c>
      <c r="AU1274" s="13" t="s">
        <v>998</v>
      </c>
      <c r="AV1274" s="14">
        <v>6.26</v>
      </c>
      <c r="AW1274" s="14">
        <v>5.69</v>
      </c>
      <c r="AX1274" s="14">
        <f>Table1347456[[#This Row],[treatment_mean]]/Table1347456[[#This Row],[control_mean]]</f>
        <v>1.1001757469244287</v>
      </c>
      <c r="AY1274" s="14">
        <f>LN(Table1347456[[#This Row],[rr]])</f>
        <v>9.5469936973767447E-2</v>
      </c>
      <c r="AZ1274" s="13">
        <v>3</v>
      </c>
      <c r="BA1274" s="13">
        <v>3</v>
      </c>
      <c r="BB1274" s="14">
        <v>0</v>
      </c>
      <c r="BC1274" s="14">
        <v>0</v>
      </c>
      <c r="BD1274" s="15">
        <f>Table1347456[[#This Row],[treatment_se]]*SQRT(Table1347456[[#This Row],[treatment_n]])</f>
        <v>0</v>
      </c>
      <c r="BE1274" s="14">
        <f>Table1347456[[#This Row],[control_se]]*SQRT(Table1347456[[#This Row],[control_n]])</f>
        <v>0</v>
      </c>
      <c r="BF127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74" s="17">
        <f>SQRT(Table1347456[[#This Row],[v_from_sd_and_n]])</f>
        <v>0</v>
      </c>
      <c r="BH1274" s="13" t="s">
        <v>50</v>
      </c>
      <c r="BI1274" s="13">
        <v>2.5000000000000001E-2</v>
      </c>
      <c r="BJ1274" s="18">
        <f>ABS(_xlfn.NORM.S.INV(Table1347456[[#This Row],[p_value]]/2))</f>
        <v>2.2414027276049446</v>
      </c>
      <c r="BK1274" s="19">
        <f>(Table1347456[[#This Row],[lnrr]]/Table1347456[[#This Row],[z_from_p]])^2</f>
        <v>1.8142347429742545E-3</v>
      </c>
      <c r="BL1274" s="16">
        <f>(Table1347456[[#This Row],[lnrr]]/Table1347456[[#This Row],[z_from_p]])^2</f>
        <v>1.8142347429742545E-3</v>
      </c>
      <c r="BM1274" s="20">
        <f>SQRT(Table1347456[[#This Row],[v]])</f>
        <v>4.2593834565277808E-2</v>
      </c>
      <c r="BN1274" s="20">
        <f>Table1347456[[#This Row],[lnrr]]-(1.96*Table1347456[[#This Row],[se]])</f>
        <v>1.1986021225822943E-2</v>
      </c>
      <c r="BO1274" s="20">
        <f>Table1347456[[#This Row],[lnrr]]+(1.96 * Table1347456[[#This Row],[se]])</f>
        <v>0.17895385272171194</v>
      </c>
    </row>
    <row r="1275" spans="1:67">
      <c r="A1275" s="13" t="s">
        <v>406</v>
      </c>
      <c r="B1275" s="13" t="s">
        <v>407</v>
      </c>
      <c r="C1275" s="13" t="s">
        <v>43</v>
      </c>
      <c r="D1275" s="13" t="s">
        <v>379</v>
      </c>
      <c r="E1275" s="13" t="s">
        <v>91</v>
      </c>
      <c r="F1275" s="13" t="s">
        <v>587</v>
      </c>
      <c r="G1275" s="13" t="s">
        <v>380</v>
      </c>
      <c r="H1275" s="13">
        <v>12.4</v>
      </c>
      <c r="I1275" s="13">
        <v>600</v>
      </c>
      <c r="K1275" s="13" t="s">
        <v>942</v>
      </c>
      <c r="L1275" s="13" t="s">
        <v>943</v>
      </c>
      <c r="N1275" s="13" t="s">
        <v>81</v>
      </c>
      <c r="O1275" s="13" t="s">
        <v>82</v>
      </c>
      <c r="P1275" s="13" t="s">
        <v>83</v>
      </c>
      <c r="Q1275" s="13" t="s">
        <v>83</v>
      </c>
      <c r="R1275" s="4">
        <v>3</v>
      </c>
      <c r="S1275" s="13" t="s">
        <v>594</v>
      </c>
      <c r="T1275" s="13">
        <v>365</v>
      </c>
      <c r="U1275" s="4" t="s">
        <v>385</v>
      </c>
      <c r="V1275" s="4">
        <v>360</v>
      </c>
      <c r="W1275" s="4" t="s">
        <v>42</v>
      </c>
      <c r="X1275" s="4">
        <v>657.3</v>
      </c>
      <c r="Y1275" s="4">
        <v>4.5</v>
      </c>
      <c r="AA1275" s="4" t="s">
        <v>49</v>
      </c>
      <c r="AB1275" s="4">
        <v>0</v>
      </c>
      <c r="AC1275" s="4" t="s">
        <v>49</v>
      </c>
      <c r="AD1275" s="4">
        <v>0</v>
      </c>
      <c r="AE1275" s="4" t="s">
        <v>49</v>
      </c>
      <c r="AF1275" s="4">
        <v>0</v>
      </c>
      <c r="AG1275" s="4" t="s">
        <v>689</v>
      </c>
      <c r="AH1275" s="4" t="s">
        <v>688</v>
      </c>
      <c r="AI1275" s="4" t="s">
        <v>64</v>
      </c>
      <c r="AJ1275" s="13">
        <v>0</v>
      </c>
      <c r="AK1275" s="13">
        <v>20</v>
      </c>
      <c r="AM1275" s="13" t="s">
        <v>564</v>
      </c>
      <c r="AP1275" s="13" t="s">
        <v>50</v>
      </c>
      <c r="AQ1275" s="13" t="s">
        <v>49</v>
      </c>
      <c r="AR1275" s="13" t="s">
        <v>50</v>
      </c>
      <c r="AS1275" s="13" t="s">
        <v>50</v>
      </c>
      <c r="AT1275" s="13" t="s">
        <v>990</v>
      </c>
      <c r="AU1275" s="13" t="s">
        <v>998</v>
      </c>
      <c r="AV1275" s="14">
        <v>6.64</v>
      </c>
      <c r="AW1275" s="14">
        <v>5.69</v>
      </c>
      <c r="AX1275" s="14">
        <f>Table1347456[[#This Row],[treatment_mean]]/Table1347456[[#This Row],[control_mean]]</f>
        <v>1.1669595782073812</v>
      </c>
      <c r="AY1275" s="14">
        <f>LN(Table1347456[[#This Row],[rr]])</f>
        <v>0.15440171535010275</v>
      </c>
      <c r="AZ1275" s="13">
        <v>3</v>
      </c>
      <c r="BA1275" s="13">
        <v>3</v>
      </c>
      <c r="BB1275" s="14">
        <v>0</v>
      </c>
      <c r="BC1275" s="14">
        <v>0</v>
      </c>
      <c r="BD1275" s="15">
        <f>Table1347456[[#This Row],[treatment_se]]*SQRT(Table1347456[[#This Row],[treatment_n]])</f>
        <v>0</v>
      </c>
      <c r="BE1275" s="14">
        <f>Table1347456[[#This Row],[control_se]]*SQRT(Table1347456[[#This Row],[control_n]])</f>
        <v>0</v>
      </c>
      <c r="BF127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75" s="17">
        <f>SQRT(Table1347456[[#This Row],[v_from_sd_and_n]])</f>
        <v>0</v>
      </c>
      <c r="BH1275" s="13" t="s">
        <v>50</v>
      </c>
      <c r="BI1275" s="13">
        <v>2.5000000000000001E-2</v>
      </c>
      <c r="BJ1275" s="18">
        <f>ABS(_xlfn.NORM.S.INV(Table1347456[[#This Row],[p_value]]/2))</f>
        <v>2.2414027276049446</v>
      </c>
      <c r="BK1275" s="19">
        <f>(Table1347456[[#This Row],[lnrr]]/Table1347456[[#This Row],[z_from_p]])^2</f>
        <v>4.7453084751897714E-3</v>
      </c>
      <c r="BL1275" s="16">
        <f>(Table1347456[[#This Row],[lnrr]]/Table1347456[[#This Row],[z_from_p]])^2</f>
        <v>4.7453084751897714E-3</v>
      </c>
      <c r="BM1275" s="20">
        <f>SQRT(Table1347456[[#This Row],[v]])</f>
        <v>6.8886199453807667E-2</v>
      </c>
      <c r="BN1275" s="20">
        <f>Table1347456[[#This Row],[lnrr]]-(1.96*Table1347456[[#This Row],[se]])</f>
        <v>1.9384764420639716E-2</v>
      </c>
      <c r="BO1275" s="20">
        <f>Table1347456[[#This Row],[lnrr]]+(1.96 * Table1347456[[#This Row],[se]])</f>
        <v>0.28941866627956581</v>
      </c>
    </row>
    <row r="1276" spans="1:67">
      <c r="A1276" s="13" t="s">
        <v>409</v>
      </c>
      <c r="B1276" s="13" t="s">
        <v>410</v>
      </c>
      <c r="C1276" s="13" t="s">
        <v>43</v>
      </c>
      <c r="D1276" s="13" t="s">
        <v>90</v>
      </c>
      <c r="E1276" s="13" t="s">
        <v>91</v>
      </c>
      <c r="F1276" s="13" t="s">
        <v>587</v>
      </c>
      <c r="G1276" s="13" t="s">
        <v>411</v>
      </c>
      <c r="H1276" s="13">
        <v>13.9</v>
      </c>
      <c r="I1276" s="13">
        <v>656.3</v>
      </c>
      <c r="K1276" s="13" t="s">
        <v>944</v>
      </c>
      <c r="L1276" s="13" t="s">
        <v>945</v>
      </c>
      <c r="N1276" s="13" t="s">
        <v>381</v>
      </c>
      <c r="O1276" s="13" t="s">
        <v>70</v>
      </c>
      <c r="P1276" s="13" t="s">
        <v>71</v>
      </c>
      <c r="Q1276" s="13" t="s">
        <v>71</v>
      </c>
      <c r="R1276" s="4">
        <v>3</v>
      </c>
      <c r="S1276" s="13" t="s">
        <v>594</v>
      </c>
      <c r="T1276" s="13">
        <v>365</v>
      </c>
      <c r="U1276" s="4" t="s">
        <v>200</v>
      </c>
      <c r="V1276" s="4">
        <v>450</v>
      </c>
      <c r="W1276" s="4" t="s">
        <v>601</v>
      </c>
      <c r="X1276" s="4">
        <v>486.6</v>
      </c>
      <c r="Y1276" s="4">
        <v>0.22500000000000001</v>
      </c>
      <c r="AA1276" s="4" t="s">
        <v>49</v>
      </c>
      <c r="AB1276" s="4">
        <v>0</v>
      </c>
      <c r="AC1276" s="4" t="s">
        <v>49</v>
      </c>
      <c r="AD1276" s="4">
        <v>0</v>
      </c>
      <c r="AE1276" s="4" t="s">
        <v>49</v>
      </c>
      <c r="AF1276" s="4">
        <v>0</v>
      </c>
      <c r="AG1276" s="4" t="s">
        <v>692</v>
      </c>
      <c r="AH1276" s="4" t="s">
        <v>720</v>
      </c>
      <c r="AI1276" s="4" t="s">
        <v>64</v>
      </c>
      <c r="AJ1276" s="13">
        <v>0</v>
      </c>
      <c r="AK1276" s="13">
        <v>15</v>
      </c>
      <c r="AM1276" s="13" t="s">
        <v>533</v>
      </c>
      <c r="AP1276" s="13" t="s">
        <v>50</v>
      </c>
      <c r="AQ1276" s="13" t="s">
        <v>49</v>
      </c>
      <c r="AR1276" s="13" t="s">
        <v>50</v>
      </c>
      <c r="AS1276" s="13" t="s">
        <v>50</v>
      </c>
      <c r="AT1276" s="13" t="s">
        <v>990</v>
      </c>
      <c r="AU1276" s="13" t="s">
        <v>998</v>
      </c>
      <c r="AV1276" s="14">
        <v>2.87</v>
      </c>
      <c r="AW1276" s="14">
        <v>0.96</v>
      </c>
      <c r="AX1276" s="14">
        <f>Table1347456[[#This Row],[treatment_mean]]/Table1347456[[#This Row],[control_mean]]</f>
        <v>2.9895833333333335</v>
      </c>
      <c r="AY1276" s="14">
        <f>LN(Table1347456[[#This Row],[rr]])</f>
        <v>1.0951340242917849</v>
      </c>
      <c r="AZ1276" s="13">
        <v>3</v>
      </c>
      <c r="BA1276" s="13">
        <v>3</v>
      </c>
      <c r="BB1276" s="14">
        <f>Table1347456[[#This Row],[treatment_sd]]/SQRT(Table1347456[[#This Row],[treatment_n]])</f>
        <v>6.3508529610858844E-2</v>
      </c>
      <c r="BC1276" s="14">
        <f>Table1347456[[#This Row],[control_sd]]/SQRT(Table1347456[[#This Row],[control_n]])</f>
        <v>5.7735026918962581E-2</v>
      </c>
      <c r="BD1276" s="15">
        <v>0.11</v>
      </c>
      <c r="BE1276" s="14">
        <v>0.1</v>
      </c>
      <c r="BF127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4.1065645679581901E-3</v>
      </c>
      <c r="BG1276" s="17">
        <f>SQRT(Table1347456[[#This Row],[v_from_sd_and_n]])</f>
        <v>6.4082482535855231E-2</v>
      </c>
      <c r="BH1276" s="13" t="s">
        <v>50</v>
      </c>
      <c r="BI1276" s="13">
        <v>2.5000000000000001E-2</v>
      </c>
      <c r="BJ1276" s="18">
        <f>ABS(_xlfn.NORM.S.INV(Table1347456[[#This Row],[p_value]]/2))</f>
        <v>2.2414027276049446</v>
      </c>
      <c r="BK1276" s="19">
        <f>(Table1347456[[#This Row],[lnrr]]/Table1347456[[#This Row],[z_from_p]])^2</f>
        <v>0.2387232684907854</v>
      </c>
      <c r="BL1276" s="16">
        <f>Table1347456[[#This Row],[v_from_sd_and_n]]</f>
        <v>4.1065645679581901E-3</v>
      </c>
      <c r="BM1276" s="20">
        <f>SQRT(Table1347456[[#This Row],[v]])</f>
        <v>6.4082482535855231E-2</v>
      </c>
      <c r="BN1276" s="20">
        <f>Table1347456[[#This Row],[lnrr]]-(1.96*Table1347456[[#This Row],[se]])</f>
        <v>0.96953235852150854</v>
      </c>
      <c r="BO1276" s="20">
        <f>Table1347456[[#This Row],[lnrr]]+(1.96 * Table1347456[[#This Row],[se]])</f>
        <v>1.2207356900620612</v>
      </c>
    </row>
    <row r="1277" spans="1:67">
      <c r="A1277" s="13" t="s">
        <v>409</v>
      </c>
      <c r="B1277" s="13" t="s">
        <v>410</v>
      </c>
      <c r="C1277" s="13" t="s">
        <v>43</v>
      </c>
      <c r="D1277" s="13" t="s">
        <v>90</v>
      </c>
      <c r="E1277" s="13" t="s">
        <v>91</v>
      </c>
      <c r="F1277" s="13" t="s">
        <v>587</v>
      </c>
      <c r="G1277" s="13" t="s">
        <v>411</v>
      </c>
      <c r="H1277" s="13">
        <v>13.9</v>
      </c>
      <c r="I1277" s="13">
        <v>656.3</v>
      </c>
      <c r="K1277" s="13" t="s">
        <v>944</v>
      </c>
      <c r="L1277" s="13" t="s">
        <v>945</v>
      </c>
      <c r="N1277" s="13" t="s">
        <v>47</v>
      </c>
      <c r="O1277" s="13" t="s">
        <v>645</v>
      </c>
      <c r="P1277" s="13" t="s">
        <v>48</v>
      </c>
      <c r="Q1277" s="13" t="s">
        <v>48</v>
      </c>
      <c r="R1277" s="4">
        <v>3</v>
      </c>
      <c r="S1277" s="13" t="s">
        <v>594</v>
      </c>
      <c r="T1277" s="13">
        <v>365</v>
      </c>
      <c r="U1277" s="4" t="s">
        <v>200</v>
      </c>
      <c r="V1277" s="4">
        <v>450</v>
      </c>
      <c r="W1277" s="4" t="s">
        <v>601</v>
      </c>
      <c r="X1277" s="4">
        <v>486.6</v>
      </c>
      <c r="Y1277" s="4">
        <v>0.22500000000000001</v>
      </c>
      <c r="AA1277" s="4" t="s">
        <v>49</v>
      </c>
      <c r="AB1277" s="4">
        <v>0</v>
      </c>
      <c r="AC1277" s="4" t="s">
        <v>49</v>
      </c>
      <c r="AD1277" s="4">
        <v>0</v>
      </c>
      <c r="AE1277" s="4" t="s">
        <v>49</v>
      </c>
      <c r="AF1277" s="4">
        <v>0</v>
      </c>
      <c r="AG1277" s="4" t="s">
        <v>692</v>
      </c>
      <c r="AH1277" s="4" t="s">
        <v>720</v>
      </c>
      <c r="AI1277" s="4" t="s">
        <v>64</v>
      </c>
      <c r="AJ1277" s="13">
        <v>0</v>
      </c>
      <c r="AK1277" s="13">
        <v>15</v>
      </c>
      <c r="AM1277" s="13" t="s">
        <v>533</v>
      </c>
      <c r="AP1277" s="13" t="s">
        <v>50</v>
      </c>
      <c r="AQ1277" s="13" t="s">
        <v>49</v>
      </c>
      <c r="AR1277" s="13" t="s">
        <v>50</v>
      </c>
      <c r="AS1277" s="13" t="s">
        <v>50</v>
      </c>
      <c r="AT1277" s="13" t="s">
        <v>990</v>
      </c>
      <c r="AU1277" s="13" t="s">
        <v>998</v>
      </c>
      <c r="AV1277" s="14">
        <v>0.92</v>
      </c>
      <c r="AW1277" s="14">
        <v>0.79</v>
      </c>
      <c r="AX1277" s="14">
        <f>Table1347456[[#This Row],[treatment_mean]]/Table1347456[[#This Row],[control_mean]]</f>
        <v>1.1645569620253164</v>
      </c>
      <c r="AY1277" s="14">
        <f>LN(Table1347456[[#This Row],[rr]])</f>
        <v>0.1523407245820188</v>
      </c>
      <c r="AZ1277" s="13">
        <v>3</v>
      </c>
      <c r="BA1277" s="13">
        <v>3</v>
      </c>
      <c r="BB1277" s="14">
        <f>Table1347456[[#This Row],[treatment_sd]]/SQRT(Table1347456[[#This Row],[treatment_n]])</f>
        <v>1.1547005383792516E-2</v>
      </c>
      <c r="BC1277" s="14">
        <f>Table1347456[[#This Row],[control_sd]]/SQRT(Table1347456[[#This Row],[control_n]])</f>
        <v>5.773502691896258E-3</v>
      </c>
      <c r="BD1277" s="15">
        <v>0.02</v>
      </c>
      <c r="BE1277" s="14">
        <v>0.01</v>
      </c>
      <c r="BF127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2.1094017477164595E-4</v>
      </c>
      <c r="BG1277" s="17">
        <f>SQRT(Table1347456[[#This Row],[v_from_sd_and_n]])</f>
        <v>1.4523779631061811E-2</v>
      </c>
      <c r="BH1277" s="13" t="s">
        <v>50</v>
      </c>
      <c r="BI1277" s="13">
        <v>2.5000000000000001E-2</v>
      </c>
      <c r="BJ1277" s="18">
        <f>ABS(_xlfn.NORM.S.INV(Table1347456[[#This Row],[p_value]]/2))</f>
        <v>2.2414027276049446</v>
      </c>
      <c r="BK1277" s="19">
        <f>(Table1347456[[#This Row],[lnrr]]/Table1347456[[#This Row],[z_from_p]])^2</f>
        <v>4.619470963488987E-3</v>
      </c>
      <c r="BL1277" s="16">
        <f>Table1347456[[#This Row],[v_from_sd_and_n]]</f>
        <v>2.1094017477164595E-4</v>
      </c>
      <c r="BM1277" s="20">
        <f>SQRT(Table1347456[[#This Row],[v]])</f>
        <v>1.4523779631061811E-2</v>
      </c>
      <c r="BN1277" s="20">
        <f>Table1347456[[#This Row],[lnrr]]-(1.96*Table1347456[[#This Row],[se]])</f>
        <v>0.12387411650513766</v>
      </c>
      <c r="BO1277" s="20">
        <f>Table1347456[[#This Row],[lnrr]]+(1.96 * Table1347456[[#This Row],[se]])</f>
        <v>0.18080733265889995</v>
      </c>
    </row>
    <row r="1278" spans="1:67">
      <c r="A1278" s="13" t="s">
        <v>409</v>
      </c>
      <c r="B1278" s="13" t="s">
        <v>410</v>
      </c>
      <c r="C1278" s="13" t="s">
        <v>43</v>
      </c>
      <c r="D1278" s="13" t="s">
        <v>90</v>
      </c>
      <c r="E1278" s="13" t="s">
        <v>91</v>
      </c>
      <c r="F1278" s="13" t="s">
        <v>587</v>
      </c>
      <c r="G1278" s="13" t="s">
        <v>411</v>
      </c>
      <c r="H1278" s="13">
        <v>13.9</v>
      </c>
      <c r="I1278" s="13">
        <v>656.3</v>
      </c>
      <c r="J1278" s="13" t="s">
        <v>651</v>
      </c>
      <c r="K1278" s="13" t="s">
        <v>944</v>
      </c>
      <c r="L1278" s="13" t="s">
        <v>945</v>
      </c>
      <c r="M1278" s="13" t="s">
        <v>659</v>
      </c>
      <c r="N1278" s="13" t="s">
        <v>317</v>
      </c>
      <c r="O1278" s="13" t="s">
        <v>644</v>
      </c>
      <c r="P1278" s="13" t="s">
        <v>85</v>
      </c>
      <c r="Q1278" s="13" t="s">
        <v>48</v>
      </c>
      <c r="R1278" s="4">
        <v>3</v>
      </c>
      <c r="S1278" s="13" t="s">
        <v>594</v>
      </c>
      <c r="T1278" s="13">
        <v>365</v>
      </c>
      <c r="U1278" s="4" t="s">
        <v>200</v>
      </c>
      <c r="V1278" s="4">
        <v>450</v>
      </c>
      <c r="W1278" s="4" t="s">
        <v>601</v>
      </c>
      <c r="X1278" s="4">
        <v>486.6</v>
      </c>
      <c r="Y1278" s="4">
        <v>0.22500000000000001</v>
      </c>
      <c r="AA1278" s="4" t="s">
        <v>49</v>
      </c>
      <c r="AB1278" s="4">
        <v>0</v>
      </c>
      <c r="AC1278" s="4" t="s">
        <v>49</v>
      </c>
      <c r="AD1278" s="4">
        <v>0</v>
      </c>
      <c r="AE1278" s="4" t="s">
        <v>49</v>
      </c>
      <c r="AF1278" s="4">
        <v>0</v>
      </c>
      <c r="AG1278" s="4" t="s">
        <v>692</v>
      </c>
      <c r="AH1278" s="4" t="s">
        <v>720</v>
      </c>
      <c r="AI1278" s="4" t="s">
        <v>64</v>
      </c>
      <c r="AJ1278" s="13">
        <v>0</v>
      </c>
      <c r="AK1278" s="13">
        <v>15</v>
      </c>
      <c r="AM1278" s="13" t="s">
        <v>533</v>
      </c>
      <c r="AP1278" s="13" t="s">
        <v>50</v>
      </c>
      <c r="AQ1278" s="13" t="s">
        <v>49</v>
      </c>
      <c r="AR1278" s="13" t="s">
        <v>50</v>
      </c>
      <c r="AS1278" s="13" t="s">
        <v>50</v>
      </c>
      <c r="AT1278" s="13" t="s">
        <v>990</v>
      </c>
      <c r="AU1278" s="13" t="s">
        <v>998</v>
      </c>
      <c r="AV1278" s="23">
        <f>50.35/1000</f>
        <v>5.0349999999999999E-2</v>
      </c>
      <c r="AW1278" s="23">
        <f>22.98/1000</f>
        <v>2.298E-2</v>
      </c>
      <c r="AX1278" s="14">
        <f>Table1347456[[#This Row],[treatment_mean]]/Table1347456[[#This Row],[control_mean]]</f>
        <v>2.1910356832027849</v>
      </c>
      <c r="AY1278" s="14">
        <f>LN(Table1347456[[#This Row],[rr]])</f>
        <v>0.78437434674396156</v>
      </c>
      <c r="AZ1278" s="13">
        <v>3</v>
      </c>
      <c r="BA1278" s="13">
        <v>3</v>
      </c>
      <c r="BB1278" s="14">
        <f>Table1347456[[#This Row],[treatment_sd]]/SQRT(Table1347456[[#This Row],[treatment_n]])</f>
        <v>2.8578838324886478E-3</v>
      </c>
      <c r="BC1278" s="14">
        <f>Table1347456[[#This Row],[control_sd]]/SQRT(Table1347456[[#This Row],[control_n]])</f>
        <v>5.2538874496255953E-4</v>
      </c>
      <c r="BD1278" s="15">
        <f>4.95/1000</f>
        <v>4.9500000000000004E-3</v>
      </c>
      <c r="BE1278" s="14">
        <f>0.91/1000</f>
        <v>9.1E-4</v>
      </c>
      <c r="BF127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3.7444486150094297E-3</v>
      </c>
      <c r="BG1278" s="17">
        <f>SQRT(Table1347456[[#This Row],[v_from_sd_and_n]])</f>
        <v>6.1191899913382572E-2</v>
      </c>
      <c r="BH1278" s="13" t="s">
        <v>50</v>
      </c>
      <c r="BI1278" s="13">
        <v>2.5000000000000001E-2</v>
      </c>
      <c r="BJ1278" s="18">
        <f>ABS(_xlfn.NORM.S.INV(Table1347456[[#This Row],[p_value]]/2))</f>
        <v>2.2414027276049446</v>
      </c>
      <c r="BK1278" s="19">
        <f>(Table1347456[[#This Row],[lnrr]]/Table1347456[[#This Row],[z_from_p]])^2</f>
        <v>0.12246358553732388</v>
      </c>
      <c r="BL1278" s="16">
        <f>Table1347456[[#This Row],[v_from_sd_and_n]]</f>
        <v>3.7444486150094297E-3</v>
      </c>
      <c r="BM1278" s="20">
        <f>SQRT(Table1347456[[#This Row],[v]])</f>
        <v>6.1191899913382572E-2</v>
      </c>
      <c r="BN1278" s="20">
        <f>Table1347456[[#This Row],[lnrr]]-(1.96*Table1347456[[#This Row],[se]])</f>
        <v>0.66443822291373178</v>
      </c>
      <c r="BO1278" s="20">
        <f>Table1347456[[#This Row],[lnrr]]+(1.96 * Table1347456[[#This Row],[se]])</f>
        <v>0.90431047057419134</v>
      </c>
    </row>
    <row r="1279" spans="1:67">
      <c r="A1279" s="13" t="s">
        <v>409</v>
      </c>
      <c r="B1279" s="13" t="s">
        <v>410</v>
      </c>
      <c r="C1279" s="13" t="s">
        <v>43</v>
      </c>
      <c r="D1279" s="13" t="s">
        <v>90</v>
      </c>
      <c r="E1279" s="13" t="s">
        <v>91</v>
      </c>
      <c r="F1279" s="13" t="s">
        <v>587</v>
      </c>
      <c r="G1279" s="13" t="s">
        <v>411</v>
      </c>
      <c r="H1279" s="13">
        <v>13.9</v>
      </c>
      <c r="I1279" s="13">
        <v>656.3</v>
      </c>
      <c r="K1279" s="13" t="s">
        <v>944</v>
      </c>
      <c r="L1279" s="13" t="s">
        <v>945</v>
      </c>
      <c r="N1279" s="13" t="s">
        <v>381</v>
      </c>
      <c r="O1279" s="13" t="s">
        <v>70</v>
      </c>
      <c r="P1279" s="13" t="s">
        <v>71</v>
      </c>
      <c r="Q1279" s="13" t="s">
        <v>71</v>
      </c>
      <c r="R1279" s="4">
        <v>3</v>
      </c>
      <c r="S1279" s="13" t="s">
        <v>594</v>
      </c>
      <c r="T1279" s="13">
        <v>365</v>
      </c>
      <c r="U1279" s="4" t="s">
        <v>200</v>
      </c>
      <c r="V1279" s="4">
        <v>450</v>
      </c>
      <c r="W1279" s="4" t="s">
        <v>601</v>
      </c>
      <c r="X1279" s="4">
        <v>486.6</v>
      </c>
      <c r="Y1279" s="4" t="s">
        <v>811</v>
      </c>
      <c r="AA1279" s="4" t="s">
        <v>50</v>
      </c>
      <c r="AB1279" s="4" t="s">
        <v>810</v>
      </c>
      <c r="AC1279" s="4" t="s">
        <v>49</v>
      </c>
      <c r="AD1279" s="4">
        <v>0</v>
      </c>
      <c r="AE1279" s="4" t="s">
        <v>49</v>
      </c>
      <c r="AF1279" s="4">
        <v>0</v>
      </c>
      <c r="AG1279" s="4" t="s">
        <v>692</v>
      </c>
      <c r="AH1279" s="4" t="s">
        <v>720</v>
      </c>
      <c r="AI1279" s="4" t="s">
        <v>64</v>
      </c>
      <c r="AJ1279" s="13">
        <v>0</v>
      </c>
      <c r="AK1279" s="13">
        <v>15</v>
      </c>
      <c r="AM1279" s="13" t="s">
        <v>533</v>
      </c>
      <c r="AP1279" s="13" t="s">
        <v>50</v>
      </c>
      <c r="AQ1279" s="13" t="s">
        <v>49</v>
      </c>
      <c r="AR1279" s="13" t="s">
        <v>50</v>
      </c>
      <c r="AS1279" s="13" t="s">
        <v>50</v>
      </c>
      <c r="AT1279" s="13" t="s">
        <v>990</v>
      </c>
      <c r="AU1279" s="13" t="s">
        <v>998</v>
      </c>
      <c r="AV1279" s="14">
        <v>2.93</v>
      </c>
      <c r="AW1279" s="14">
        <v>2.92</v>
      </c>
      <c r="AX1279" s="14">
        <f>Table1347456[[#This Row],[treatment_mean]]/Table1347456[[#This Row],[control_mean]]</f>
        <v>1.0034246575342467</v>
      </c>
      <c r="AY1279" s="14">
        <f>LN(Table1347456[[#This Row],[rr]])</f>
        <v>3.4188067487856823E-3</v>
      </c>
      <c r="AZ1279" s="13">
        <v>3</v>
      </c>
      <c r="BA1279" s="13">
        <v>3</v>
      </c>
      <c r="BB1279" s="14">
        <f>Table1347456[[#This Row],[treatment_sd]]/SQRT(Table1347456[[#This Row],[treatment_n]])</f>
        <v>2.8867513459481291E-2</v>
      </c>
      <c r="BC1279" s="14">
        <f>Table1347456[[#This Row],[control_sd]]/SQRT(Table1347456[[#This Row],[control_n]])</f>
        <v>5.7735026918962581E-2</v>
      </c>
      <c r="BD1279" s="15">
        <v>0.05</v>
      </c>
      <c r="BE1279" s="14">
        <v>0.1</v>
      </c>
      <c r="BF127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4.8801230196729933E-4</v>
      </c>
      <c r="BG1279" s="17">
        <f>SQRT(Table1347456[[#This Row],[v_from_sd_and_n]])</f>
        <v>2.2091000474566545E-2</v>
      </c>
      <c r="BH1279" s="13" t="s">
        <v>50</v>
      </c>
      <c r="BI1279" s="13">
        <v>2.5000000000000001E-2</v>
      </c>
      <c r="BJ1279" s="18">
        <f>ABS(_xlfn.NORM.S.INV(Table1347456[[#This Row],[p_value]]/2))</f>
        <v>2.2414027276049446</v>
      </c>
      <c r="BK1279" s="19">
        <f>(Table1347456[[#This Row],[lnrr]]/Table1347456[[#This Row],[z_from_p]])^2</f>
        <v>2.3265335140463313E-6</v>
      </c>
      <c r="BL1279" s="16">
        <f>Table1347456[[#This Row],[v_from_sd_and_n]]</f>
        <v>4.8801230196729933E-4</v>
      </c>
      <c r="BM1279" s="20">
        <f>SQRT(Table1347456[[#This Row],[v]])</f>
        <v>2.2091000474566545E-2</v>
      </c>
      <c r="BN1279" s="20">
        <f>Table1347456[[#This Row],[lnrr]]-(1.96*Table1347456[[#This Row],[se]])</f>
        <v>-3.9879554181364747E-2</v>
      </c>
      <c r="BO1279" s="20">
        <f>Table1347456[[#This Row],[lnrr]]+(1.96 * Table1347456[[#This Row],[se]])</f>
        <v>4.6717167678936113E-2</v>
      </c>
    </row>
    <row r="1280" spans="1:67">
      <c r="A1280" s="13" t="s">
        <v>409</v>
      </c>
      <c r="B1280" s="13" t="s">
        <v>410</v>
      </c>
      <c r="C1280" s="13" t="s">
        <v>43</v>
      </c>
      <c r="D1280" s="13" t="s">
        <v>90</v>
      </c>
      <c r="E1280" s="13" t="s">
        <v>91</v>
      </c>
      <c r="F1280" s="13" t="s">
        <v>587</v>
      </c>
      <c r="G1280" s="13" t="s">
        <v>411</v>
      </c>
      <c r="H1280" s="13">
        <v>13.9</v>
      </c>
      <c r="I1280" s="13">
        <v>656.3</v>
      </c>
      <c r="K1280" s="13" t="s">
        <v>944</v>
      </c>
      <c r="L1280" s="13" t="s">
        <v>945</v>
      </c>
      <c r="N1280" s="13" t="s">
        <v>47</v>
      </c>
      <c r="O1280" s="13" t="s">
        <v>645</v>
      </c>
      <c r="P1280" s="13" t="s">
        <v>48</v>
      </c>
      <c r="Q1280" s="13" t="s">
        <v>48</v>
      </c>
      <c r="R1280" s="4">
        <v>3</v>
      </c>
      <c r="S1280" s="13" t="s">
        <v>594</v>
      </c>
      <c r="T1280" s="13">
        <v>365</v>
      </c>
      <c r="U1280" s="4" t="s">
        <v>200</v>
      </c>
      <c r="V1280" s="4">
        <v>450</v>
      </c>
      <c r="W1280" s="4" t="s">
        <v>601</v>
      </c>
      <c r="X1280" s="4">
        <v>486.6</v>
      </c>
      <c r="Y1280" s="4" t="s">
        <v>811</v>
      </c>
      <c r="AA1280" s="4" t="s">
        <v>50</v>
      </c>
      <c r="AB1280" s="4" t="s">
        <v>810</v>
      </c>
      <c r="AC1280" s="4" t="s">
        <v>49</v>
      </c>
      <c r="AD1280" s="4">
        <v>0</v>
      </c>
      <c r="AE1280" s="4" t="s">
        <v>49</v>
      </c>
      <c r="AF1280" s="4">
        <v>0</v>
      </c>
      <c r="AG1280" s="4" t="s">
        <v>692</v>
      </c>
      <c r="AH1280" s="4" t="s">
        <v>720</v>
      </c>
      <c r="AI1280" s="4" t="s">
        <v>64</v>
      </c>
      <c r="AJ1280" s="13">
        <v>0</v>
      </c>
      <c r="AK1280" s="13">
        <v>15</v>
      </c>
      <c r="AM1280" s="13" t="s">
        <v>533</v>
      </c>
      <c r="AP1280" s="13" t="s">
        <v>50</v>
      </c>
      <c r="AQ1280" s="13" t="s">
        <v>49</v>
      </c>
      <c r="AR1280" s="13" t="s">
        <v>50</v>
      </c>
      <c r="AS1280" s="13" t="s">
        <v>50</v>
      </c>
      <c r="AT1280" s="13" t="s">
        <v>990</v>
      </c>
      <c r="AU1280" s="13" t="s">
        <v>998</v>
      </c>
      <c r="AV1280" s="14">
        <v>0.88</v>
      </c>
      <c r="AW1280" s="14">
        <v>0.86</v>
      </c>
      <c r="AX1280" s="14">
        <f>Table1347456[[#This Row],[treatment_mean]]/Table1347456[[#This Row],[control_mean]]</f>
        <v>1.0232558139534884</v>
      </c>
      <c r="AY1280" s="14">
        <f>LN(Table1347456[[#This Row],[rr]])</f>
        <v>2.2989518224698781E-2</v>
      </c>
      <c r="AZ1280" s="13">
        <v>3</v>
      </c>
      <c r="BA1280" s="13">
        <v>3</v>
      </c>
      <c r="BB1280" s="14">
        <v>0.02</v>
      </c>
      <c r="BC1280" s="14">
        <v>0.02</v>
      </c>
      <c r="BD1280" s="15">
        <v>0.02</v>
      </c>
      <c r="BE1280" s="14">
        <v>0.01</v>
      </c>
      <c r="BF128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2.1724571542655027E-4</v>
      </c>
      <c r="BG1280" s="17">
        <f>SQRT(Table1347456[[#This Row],[v_from_sd_and_n]])</f>
        <v>1.4739257628067645E-2</v>
      </c>
      <c r="BH1280" s="13" t="s">
        <v>50</v>
      </c>
      <c r="BI1280" s="13">
        <v>2.5000000000000001E-2</v>
      </c>
      <c r="BJ1280" s="18">
        <f>ABS(_xlfn.NORM.S.INV(Table1347456[[#This Row],[p_value]]/2))</f>
        <v>2.2414027276049446</v>
      </c>
      <c r="BK1280" s="19">
        <f>(Table1347456[[#This Row],[lnrr]]/Table1347456[[#This Row],[z_from_p]])^2</f>
        <v>1.0520101938977924E-4</v>
      </c>
      <c r="BL1280" s="16">
        <f>Table1347456[[#This Row],[v_from_sd_and_n]]</f>
        <v>2.1724571542655027E-4</v>
      </c>
      <c r="BM1280" s="20">
        <f>SQRT(Table1347456[[#This Row],[v]])</f>
        <v>1.4739257628067645E-2</v>
      </c>
      <c r="BN1280" s="20">
        <f>Table1347456[[#This Row],[lnrr]]-(1.96*Table1347456[[#This Row],[se]])</f>
        <v>-5.8994267263138035E-3</v>
      </c>
      <c r="BO1280" s="20">
        <f>Table1347456[[#This Row],[lnrr]]+(1.96 * Table1347456[[#This Row],[se]])</f>
        <v>5.1878463175711362E-2</v>
      </c>
    </row>
    <row r="1281" spans="1:67">
      <c r="A1281" s="13" t="s">
        <v>409</v>
      </c>
      <c r="B1281" s="13" t="s">
        <v>410</v>
      </c>
      <c r="C1281" s="13" t="s">
        <v>43</v>
      </c>
      <c r="D1281" s="13" t="s">
        <v>90</v>
      </c>
      <c r="E1281" s="13" t="s">
        <v>91</v>
      </c>
      <c r="F1281" s="13" t="s">
        <v>587</v>
      </c>
      <c r="G1281" s="13" t="s">
        <v>411</v>
      </c>
      <c r="H1281" s="13">
        <v>13.9</v>
      </c>
      <c r="I1281" s="13">
        <v>656.3</v>
      </c>
      <c r="J1281" s="13" t="s">
        <v>651</v>
      </c>
      <c r="K1281" s="13" t="s">
        <v>944</v>
      </c>
      <c r="L1281" s="13" t="s">
        <v>945</v>
      </c>
      <c r="M1281" s="13" t="s">
        <v>659</v>
      </c>
      <c r="N1281" s="13" t="s">
        <v>317</v>
      </c>
      <c r="O1281" s="13" t="s">
        <v>644</v>
      </c>
      <c r="P1281" s="13" t="s">
        <v>85</v>
      </c>
      <c r="Q1281" s="13" t="s">
        <v>48</v>
      </c>
      <c r="R1281" s="4">
        <v>3</v>
      </c>
      <c r="S1281" s="13" t="s">
        <v>594</v>
      </c>
      <c r="T1281" s="13">
        <v>365</v>
      </c>
      <c r="U1281" s="4" t="s">
        <v>200</v>
      </c>
      <c r="V1281" s="4">
        <v>450</v>
      </c>
      <c r="W1281" s="4" t="s">
        <v>601</v>
      </c>
      <c r="X1281" s="4">
        <v>486.6</v>
      </c>
      <c r="Y1281" s="4" t="s">
        <v>811</v>
      </c>
      <c r="AA1281" s="4" t="s">
        <v>50</v>
      </c>
      <c r="AB1281" s="4" t="s">
        <v>810</v>
      </c>
      <c r="AC1281" s="4" t="s">
        <v>49</v>
      </c>
      <c r="AD1281" s="4">
        <v>0</v>
      </c>
      <c r="AE1281" s="4" t="s">
        <v>49</v>
      </c>
      <c r="AF1281" s="4">
        <v>0</v>
      </c>
      <c r="AG1281" s="4" t="s">
        <v>692</v>
      </c>
      <c r="AH1281" s="4" t="s">
        <v>720</v>
      </c>
      <c r="AI1281" s="4" t="s">
        <v>64</v>
      </c>
      <c r="AJ1281" s="13">
        <v>0</v>
      </c>
      <c r="AK1281" s="13">
        <v>15</v>
      </c>
      <c r="AM1281" s="13" t="s">
        <v>533</v>
      </c>
      <c r="AP1281" s="13" t="s">
        <v>50</v>
      </c>
      <c r="AQ1281" s="13" t="s">
        <v>49</v>
      </c>
      <c r="AR1281" s="13" t="s">
        <v>50</v>
      </c>
      <c r="AS1281" s="13" t="s">
        <v>50</v>
      </c>
      <c r="AT1281" s="13" t="s">
        <v>990</v>
      </c>
      <c r="AU1281" s="13" t="s">
        <v>998</v>
      </c>
      <c r="AV1281" s="23">
        <f>29.02/1000</f>
        <v>2.9020000000000001E-2</v>
      </c>
      <c r="AW1281" s="23">
        <f>32/1000</f>
        <v>3.2000000000000001E-2</v>
      </c>
      <c r="AX1281" s="14">
        <f>Table1347456[[#This Row],[treatment_mean]]/Table1347456[[#This Row],[control_mean]]</f>
        <v>0.90687499999999999</v>
      </c>
      <c r="AY1281" s="14">
        <f>LN(Table1347456[[#This Row],[rr]])</f>
        <v>-9.7750655343684767E-2</v>
      </c>
      <c r="AZ1281" s="13">
        <v>3</v>
      </c>
      <c r="BA1281" s="13">
        <v>3</v>
      </c>
      <c r="BB1281" s="14">
        <v>4.1100000000000003</v>
      </c>
      <c r="BC1281" s="14">
        <v>1.69</v>
      </c>
      <c r="BD1281" s="15">
        <f>4.95/1000</f>
        <v>4.9500000000000004E-3</v>
      </c>
      <c r="BE1281" s="14">
        <f>0.91/1000</f>
        <v>9.1E-4</v>
      </c>
      <c r="BF128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9.9678350577728676E-3</v>
      </c>
      <c r="BG1281" s="17">
        <f>SQRT(Table1347456[[#This Row],[v_from_sd_and_n]])</f>
        <v>9.9839045757523476E-2</v>
      </c>
      <c r="BH1281" s="13" t="s">
        <v>50</v>
      </c>
      <c r="BI1281" s="13">
        <v>2.5000000000000001E-2</v>
      </c>
      <c r="BJ1281" s="18">
        <f>ABS(_xlfn.NORM.S.INV(Table1347456[[#This Row],[p_value]]/2))</f>
        <v>2.2414027276049446</v>
      </c>
      <c r="BK1281" s="19">
        <f>(Table1347456[[#This Row],[lnrr]]/Table1347456[[#This Row],[z_from_p]])^2</f>
        <v>1.9019520474501048E-3</v>
      </c>
      <c r="BL1281" s="16">
        <f>Table1347456[[#This Row],[v_from_sd_and_n]]</f>
        <v>9.9678350577728676E-3</v>
      </c>
      <c r="BM1281" s="20">
        <f>SQRT(Table1347456[[#This Row],[v]])</f>
        <v>9.9839045757523476E-2</v>
      </c>
      <c r="BN1281" s="20">
        <f>Table1347456[[#This Row],[lnrr]]-(1.96*Table1347456[[#This Row],[se]])</f>
        <v>-0.2934351850284308</v>
      </c>
      <c r="BO1281" s="20">
        <f>Table1347456[[#This Row],[lnrr]]+(1.96 * Table1347456[[#This Row],[se]])</f>
        <v>9.7933874341061239E-2</v>
      </c>
    </row>
    <row r="1282" spans="1:67">
      <c r="A1282" s="13" t="s">
        <v>412</v>
      </c>
      <c r="B1282" s="13" t="s">
        <v>413</v>
      </c>
      <c r="C1282" s="13" t="s">
        <v>341</v>
      </c>
      <c r="D1282" s="13" t="s">
        <v>414</v>
      </c>
      <c r="E1282" s="13" t="s">
        <v>415</v>
      </c>
      <c r="F1282" s="13" t="s">
        <v>590</v>
      </c>
      <c r="G1282" s="13" t="s">
        <v>46</v>
      </c>
      <c r="H1282" s="13" t="s">
        <v>46</v>
      </c>
      <c r="I1282" s="13" t="s">
        <v>46</v>
      </c>
      <c r="K1282" s="13" t="s">
        <v>946</v>
      </c>
      <c r="L1282" s="13" t="s">
        <v>947</v>
      </c>
      <c r="N1282" s="13" t="s">
        <v>122</v>
      </c>
      <c r="O1282" s="13" t="s">
        <v>645</v>
      </c>
      <c r="P1282" s="13" t="s">
        <v>418</v>
      </c>
      <c r="Q1282" s="13" t="s">
        <v>48</v>
      </c>
      <c r="R1282" s="4">
        <v>3</v>
      </c>
      <c r="S1282" s="13" t="s">
        <v>596</v>
      </c>
      <c r="T1282" s="13">
        <v>90</v>
      </c>
      <c r="U1282" s="4" t="s">
        <v>416</v>
      </c>
      <c r="V1282" s="4">
        <v>550</v>
      </c>
      <c r="W1282" s="4" t="s">
        <v>601</v>
      </c>
      <c r="X1282" s="4">
        <v>261</v>
      </c>
      <c r="Y1282" s="4">
        <v>1.5</v>
      </c>
      <c r="AA1282" s="4" t="s">
        <v>49</v>
      </c>
      <c r="AB1282" s="4">
        <v>0</v>
      </c>
      <c r="AC1282" s="4" t="s">
        <v>49</v>
      </c>
      <c r="AD1282" s="4">
        <v>0</v>
      </c>
      <c r="AE1282" s="4" t="s">
        <v>49</v>
      </c>
      <c r="AF1282" s="4">
        <v>0</v>
      </c>
      <c r="AG1282" s="4" t="s">
        <v>768</v>
      </c>
      <c r="AH1282" s="4" t="s">
        <v>722</v>
      </c>
      <c r="AI1282" s="4" t="s">
        <v>78</v>
      </c>
      <c r="AJ1282" s="13">
        <v>0</v>
      </c>
      <c r="AK1282" s="13">
        <v>15</v>
      </c>
      <c r="AL1282" s="13" t="s">
        <v>565</v>
      </c>
      <c r="AM1282" s="13" t="s">
        <v>566</v>
      </c>
      <c r="AO1282" s="13" t="s">
        <v>567</v>
      </c>
      <c r="AP1282" s="13" t="s">
        <v>49</v>
      </c>
      <c r="AQ1282" s="13" t="s">
        <v>49</v>
      </c>
      <c r="AR1282" s="13" t="s">
        <v>49</v>
      </c>
      <c r="AS1282" s="13" t="s">
        <v>49</v>
      </c>
      <c r="AT1282" s="13" t="s">
        <v>990</v>
      </c>
      <c r="AU1282" s="13" t="s">
        <v>998</v>
      </c>
      <c r="AV1282" s="14">
        <v>14.45</v>
      </c>
      <c r="AW1282" s="14">
        <v>20.58</v>
      </c>
      <c r="AX1282" s="14">
        <f>Table1347456[[#This Row],[treatment_mean]]/Table1347456[[#This Row],[control_mean]]</f>
        <v>0.70213799805636545</v>
      </c>
      <c r="AY1282" s="14">
        <f>LN(Table1347456[[#This Row],[rr]])</f>
        <v>-0.35362531584746232</v>
      </c>
      <c r="AZ1282" s="13">
        <v>3</v>
      </c>
      <c r="BA1282" s="13">
        <v>3</v>
      </c>
      <c r="BB1282" s="14">
        <v>0</v>
      </c>
      <c r="BC1282" s="14">
        <v>0</v>
      </c>
      <c r="BD1282" s="15">
        <f>Table1347456[[#This Row],[treatment_se]]*SQRT(Table1347456[[#This Row],[treatment_n]])</f>
        <v>0</v>
      </c>
      <c r="BE1282" s="14">
        <f>Table1347456[[#This Row],[control_se]]*SQRT(Table1347456[[#This Row],[control_n]])</f>
        <v>0</v>
      </c>
      <c r="BF128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82" s="17">
        <f>SQRT(Table1347456[[#This Row],[v_from_sd_and_n]])</f>
        <v>0</v>
      </c>
      <c r="BH1282" s="13" t="s">
        <v>50</v>
      </c>
      <c r="BI1282" s="13">
        <v>2.5000000000000001E-2</v>
      </c>
      <c r="BJ1282" s="18">
        <f>ABS(_xlfn.NORM.S.INV(Table1347456[[#This Row],[p_value]]/2))</f>
        <v>2.2414027276049446</v>
      </c>
      <c r="BK1282" s="19">
        <f>(Table1347456[[#This Row],[lnrr]]/Table1347456[[#This Row],[z_from_p]])^2</f>
        <v>2.4891261335490838E-2</v>
      </c>
      <c r="BL1282" s="16">
        <f>(Table1347456[[#This Row],[lnrr]]/Table1347456[[#This Row],[z_from_p]])^2</f>
        <v>2.4891261335490838E-2</v>
      </c>
      <c r="BM1282" s="20">
        <f>SQRT(Table1347456[[#This Row],[v]])</f>
        <v>0.1577696464326736</v>
      </c>
      <c r="BN1282" s="20">
        <f>Table1347456[[#This Row],[lnrr]]-(1.96*Table1347456[[#This Row],[se]])</f>
        <v>-0.66285382285550254</v>
      </c>
      <c r="BO1282" s="20">
        <f>Table1347456[[#This Row],[lnrr]]+(1.96 * Table1347456[[#This Row],[se]])</f>
        <v>-4.4396808839422042E-2</v>
      </c>
    </row>
    <row r="1283" spans="1:67">
      <c r="A1283" s="13" t="s">
        <v>412</v>
      </c>
      <c r="B1283" s="13" t="s">
        <v>413</v>
      </c>
      <c r="C1283" s="13" t="s">
        <v>341</v>
      </c>
      <c r="D1283" s="13" t="s">
        <v>414</v>
      </c>
      <c r="E1283" s="13" t="s">
        <v>415</v>
      </c>
      <c r="F1283" s="13" t="s">
        <v>590</v>
      </c>
      <c r="G1283" s="13" t="s">
        <v>46</v>
      </c>
      <c r="H1283" s="13" t="s">
        <v>46</v>
      </c>
      <c r="I1283" s="13" t="s">
        <v>46</v>
      </c>
      <c r="K1283" s="13" t="s">
        <v>946</v>
      </c>
      <c r="L1283" s="13" t="s">
        <v>947</v>
      </c>
      <c r="N1283" s="13" t="s">
        <v>122</v>
      </c>
      <c r="O1283" s="13" t="s">
        <v>645</v>
      </c>
      <c r="P1283" s="13" t="s">
        <v>418</v>
      </c>
      <c r="Q1283" s="13" t="s">
        <v>48</v>
      </c>
      <c r="R1283" s="4">
        <v>3</v>
      </c>
      <c r="S1283" s="13" t="s">
        <v>596</v>
      </c>
      <c r="T1283" s="13">
        <v>90</v>
      </c>
      <c r="U1283" s="4" t="s">
        <v>416</v>
      </c>
      <c r="V1283" s="4">
        <v>550</v>
      </c>
      <c r="W1283" s="4" t="s">
        <v>601</v>
      </c>
      <c r="X1283" s="4">
        <v>261</v>
      </c>
      <c r="Y1283" s="4">
        <v>5</v>
      </c>
      <c r="AA1283" s="4" t="s">
        <v>49</v>
      </c>
      <c r="AB1283" s="4">
        <v>0</v>
      </c>
      <c r="AC1283" s="4" t="s">
        <v>49</v>
      </c>
      <c r="AD1283" s="4">
        <v>0</v>
      </c>
      <c r="AE1283" s="4" t="s">
        <v>49</v>
      </c>
      <c r="AF1283" s="4">
        <v>0</v>
      </c>
      <c r="AG1283" s="4" t="s">
        <v>768</v>
      </c>
      <c r="AH1283" s="4" t="s">
        <v>722</v>
      </c>
      <c r="AI1283" s="4" t="s">
        <v>78</v>
      </c>
      <c r="AJ1283" s="13">
        <v>0</v>
      </c>
      <c r="AK1283" s="13">
        <v>15</v>
      </c>
      <c r="AL1283" s="13" t="s">
        <v>565</v>
      </c>
      <c r="AM1283" s="13" t="s">
        <v>566</v>
      </c>
      <c r="AO1283" s="13" t="s">
        <v>567</v>
      </c>
      <c r="AP1283" s="13" t="s">
        <v>49</v>
      </c>
      <c r="AQ1283" s="13" t="s">
        <v>49</v>
      </c>
      <c r="AR1283" s="13" t="s">
        <v>49</v>
      </c>
      <c r="AS1283" s="13" t="s">
        <v>49</v>
      </c>
      <c r="AT1283" s="13" t="s">
        <v>990</v>
      </c>
      <c r="AU1283" s="13" t="s">
        <v>998</v>
      </c>
      <c r="AV1283" s="14">
        <v>13.91</v>
      </c>
      <c r="AW1283" s="14">
        <v>20.58</v>
      </c>
      <c r="AX1283" s="14">
        <f>Table1347456[[#This Row],[treatment_mean]]/Table1347456[[#This Row],[control_mean]]</f>
        <v>0.67589893100097187</v>
      </c>
      <c r="AY1283" s="14">
        <f>LN(Table1347456[[#This Row],[rr]])</f>
        <v>-0.39171172447055191</v>
      </c>
      <c r="AZ1283" s="13">
        <v>3</v>
      </c>
      <c r="BA1283" s="13">
        <v>3</v>
      </c>
      <c r="BB1283" s="14">
        <v>0</v>
      </c>
      <c r="BC1283" s="14">
        <v>0</v>
      </c>
      <c r="BD1283" s="15">
        <f>Table1347456[[#This Row],[treatment_se]]*SQRT(Table1347456[[#This Row],[treatment_n]])</f>
        <v>0</v>
      </c>
      <c r="BE1283" s="14">
        <f>Table1347456[[#This Row],[control_se]]*SQRT(Table1347456[[#This Row],[control_n]])</f>
        <v>0</v>
      </c>
      <c r="BF128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83" s="17">
        <f>SQRT(Table1347456[[#This Row],[v_from_sd_and_n]])</f>
        <v>0</v>
      </c>
      <c r="BH1283" s="13" t="s">
        <v>50</v>
      </c>
      <c r="BI1283" s="13">
        <v>2.5000000000000001E-2</v>
      </c>
      <c r="BJ1283" s="18">
        <f>ABS(_xlfn.NORM.S.INV(Table1347456[[#This Row],[p_value]]/2))</f>
        <v>2.2414027276049446</v>
      </c>
      <c r="BK1283" s="19">
        <f>(Table1347456[[#This Row],[lnrr]]/Table1347456[[#This Row],[z_from_p]])^2</f>
        <v>3.0541710016265631E-2</v>
      </c>
      <c r="BL1283" s="16">
        <f>(Table1347456[[#This Row],[lnrr]]/Table1347456[[#This Row],[z_from_p]])^2</f>
        <v>3.0541710016265631E-2</v>
      </c>
      <c r="BM1283" s="20">
        <f>SQRT(Table1347456[[#This Row],[v]])</f>
        <v>0.17476186659642209</v>
      </c>
      <c r="BN1283" s="20">
        <f>Table1347456[[#This Row],[lnrr]]-(1.96*Table1347456[[#This Row],[se]])</f>
        <v>-0.73424498299953922</v>
      </c>
      <c r="BO1283" s="20">
        <f>Table1347456[[#This Row],[lnrr]]+(1.96 * Table1347456[[#This Row],[se]])</f>
        <v>-4.9178465941564609E-2</v>
      </c>
    </row>
    <row r="1284" spans="1:67">
      <c r="A1284" s="13" t="s">
        <v>412</v>
      </c>
      <c r="B1284" s="13" t="s">
        <v>413</v>
      </c>
      <c r="C1284" s="13" t="s">
        <v>341</v>
      </c>
      <c r="D1284" s="13" t="s">
        <v>414</v>
      </c>
      <c r="E1284" s="13" t="s">
        <v>415</v>
      </c>
      <c r="F1284" s="13" t="s">
        <v>590</v>
      </c>
      <c r="G1284" s="13" t="s">
        <v>46</v>
      </c>
      <c r="H1284" s="13" t="s">
        <v>46</v>
      </c>
      <c r="I1284" s="13" t="s">
        <v>46</v>
      </c>
      <c r="K1284" s="13" t="s">
        <v>946</v>
      </c>
      <c r="L1284" s="13" t="s">
        <v>947</v>
      </c>
      <c r="N1284" s="13" t="s">
        <v>122</v>
      </c>
      <c r="O1284" s="13" t="s">
        <v>645</v>
      </c>
      <c r="P1284" s="13" t="s">
        <v>418</v>
      </c>
      <c r="Q1284" s="13" t="s">
        <v>48</v>
      </c>
      <c r="R1284" s="4">
        <v>3</v>
      </c>
      <c r="S1284" s="13" t="s">
        <v>596</v>
      </c>
      <c r="T1284" s="13">
        <v>90</v>
      </c>
      <c r="U1284" s="4" t="s">
        <v>416</v>
      </c>
      <c r="V1284" s="4">
        <v>550</v>
      </c>
      <c r="W1284" s="4" t="s">
        <v>601</v>
      </c>
      <c r="X1284" s="4">
        <v>261</v>
      </c>
      <c r="Y1284" s="4">
        <v>10</v>
      </c>
      <c r="AA1284" s="4" t="s">
        <v>49</v>
      </c>
      <c r="AB1284" s="4">
        <v>0</v>
      </c>
      <c r="AC1284" s="4" t="s">
        <v>49</v>
      </c>
      <c r="AD1284" s="4">
        <v>0</v>
      </c>
      <c r="AE1284" s="4" t="s">
        <v>49</v>
      </c>
      <c r="AF1284" s="4">
        <v>0</v>
      </c>
      <c r="AG1284" s="4" t="s">
        <v>768</v>
      </c>
      <c r="AH1284" s="4" t="s">
        <v>722</v>
      </c>
      <c r="AI1284" s="4" t="s">
        <v>78</v>
      </c>
      <c r="AJ1284" s="13">
        <v>0</v>
      </c>
      <c r="AK1284" s="13">
        <v>15</v>
      </c>
      <c r="AL1284" s="13" t="s">
        <v>565</v>
      </c>
      <c r="AM1284" s="13" t="s">
        <v>566</v>
      </c>
      <c r="AO1284" s="13" t="s">
        <v>567</v>
      </c>
      <c r="AP1284" s="13" t="s">
        <v>49</v>
      </c>
      <c r="AQ1284" s="13" t="s">
        <v>49</v>
      </c>
      <c r="AR1284" s="13" t="s">
        <v>49</v>
      </c>
      <c r="AS1284" s="13" t="s">
        <v>49</v>
      </c>
      <c r="AT1284" s="13" t="s">
        <v>990</v>
      </c>
      <c r="AU1284" s="13" t="s">
        <v>998</v>
      </c>
      <c r="AV1284" s="14">
        <v>15.89</v>
      </c>
      <c r="AW1284" s="14">
        <v>20.58</v>
      </c>
      <c r="AX1284" s="14">
        <f>Table1347456[[#This Row],[treatment_mean]]/Table1347456[[#This Row],[control_mean]]</f>
        <v>0.77210884353741505</v>
      </c>
      <c r="AY1284" s="14">
        <f>LN(Table1347456[[#This Row],[rr]])</f>
        <v>-0.25862974985727882</v>
      </c>
      <c r="AZ1284" s="13">
        <v>3</v>
      </c>
      <c r="BA1284" s="13">
        <v>3</v>
      </c>
      <c r="BB1284" s="14">
        <v>0</v>
      </c>
      <c r="BC1284" s="14">
        <v>0</v>
      </c>
      <c r="BD1284" s="15">
        <f>Table1347456[[#This Row],[treatment_se]]*SQRT(Table1347456[[#This Row],[treatment_n]])</f>
        <v>0</v>
      </c>
      <c r="BE1284" s="14">
        <f>Table1347456[[#This Row],[control_se]]*SQRT(Table1347456[[#This Row],[control_n]])</f>
        <v>0</v>
      </c>
      <c r="BF128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84" s="17">
        <f>SQRT(Table1347456[[#This Row],[v_from_sd_and_n]])</f>
        <v>0</v>
      </c>
      <c r="BH1284" s="13" t="s">
        <v>50</v>
      </c>
      <c r="BI1284" s="13">
        <v>2.5000000000000001E-2</v>
      </c>
      <c r="BJ1284" s="18">
        <f>ABS(_xlfn.NORM.S.INV(Table1347456[[#This Row],[p_value]]/2))</f>
        <v>2.2414027276049446</v>
      </c>
      <c r="BK1284" s="19">
        <f>(Table1347456[[#This Row],[lnrr]]/Table1347456[[#This Row],[z_from_p]])^2</f>
        <v>1.331426410099249E-2</v>
      </c>
      <c r="BL1284" s="16">
        <f>(Table1347456[[#This Row],[lnrr]]/Table1347456[[#This Row],[z_from_p]])^2</f>
        <v>1.331426410099249E-2</v>
      </c>
      <c r="BM1284" s="20">
        <f>SQRT(Table1347456[[#This Row],[v]])</f>
        <v>0.1153874520950718</v>
      </c>
      <c r="BN1284" s="20">
        <f>Table1347456[[#This Row],[lnrr]]-(1.96*Table1347456[[#This Row],[se]])</f>
        <v>-0.48478915596361954</v>
      </c>
      <c r="BO1284" s="20">
        <f>Table1347456[[#This Row],[lnrr]]+(1.96 * Table1347456[[#This Row],[se]])</f>
        <v>-3.2470343750938102E-2</v>
      </c>
    </row>
    <row r="1285" spans="1:67">
      <c r="A1285" s="13" t="s">
        <v>412</v>
      </c>
      <c r="B1285" s="13" t="s">
        <v>413</v>
      </c>
      <c r="C1285" s="13" t="s">
        <v>341</v>
      </c>
      <c r="D1285" s="13" t="s">
        <v>414</v>
      </c>
      <c r="E1285" s="13" t="s">
        <v>415</v>
      </c>
      <c r="F1285" s="13" t="s">
        <v>590</v>
      </c>
      <c r="G1285" s="13" t="s">
        <v>46</v>
      </c>
      <c r="H1285" s="13" t="s">
        <v>46</v>
      </c>
      <c r="I1285" s="13" t="s">
        <v>46</v>
      </c>
      <c r="K1285" s="13" t="s">
        <v>946</v>
      </c>
      <c r="L1285" s="13" t="s">
        <v>947</v>
      </c>
      <c r="N1285" s="13" t="s">
        <v>122</v>
      </c>
      <c r="O1285" s="13" t="s">
        <v>645</v>
      </c>
      <c r="P1285" s="13" t="s">
        <v>418</v>
      </c>
      <c r="Q1285" s="13" t="s">
        <v>48</v>
      </c>
      <c r="R1285" s="4">
        <v>3</v>
      </c>
      <c r="S1285" s="13" t="s">
        <v>596</v>
      </c>
      <c r="T1285" s="13">
        <v>90</v>
      </c>
      <c r="U1285" s="4" t="s">
        <v>417</v>
      </c>
      <c r="V1285" s="4">
        <v>550</v>
      </c>
      <c r="W1285" s="4" t="s">
        <v>601</v>
      </c>
      <c r="X1285" s="4">
        <v>452</v>
      </c>
      <c r="Y1285" s="4">
        <v>1.5</v>
      </c>
      <c r="AA1285" s="4" t="s">
        <v>49</v>
      </c>
      <c r="AB1285" s="4">
        <v>0</v>
      </c>
      <c r="AC1285" s="4" t="s">
        <v>49</v>
      </c>
      <c r="AD1285" s="4">
        <v>0</v>
      </c>
      <c r="AE1285" s="4" t="s">
        <v>49</v>
      </c>
      <c r="AF1285" s="4">
        <v>0</v>
      </c>
      <c r="AG1285" s="4" t="s">
        <v>776</v>
      </c>
      <c r="AH1285" s="4" t="s">
        <v>722</v>
      </c>
      <c r="AI1285" s="4" t="s">
        <v>78</v>
      </c>
      <c r="AJ1285" s="13">
        <v>0</v>
      </c>
      <c r="AK1285" s="13">
        <v>15</v>
      </c>
      <c r="AL1285" s="13" t="s">
        <v>565</v>
      </c>
      <c r="AM1285" s="13" t="s">
        <v>566</v>
      </c>
      <c r="AO1285" s="13" t="s">
        <v>567</v>
      </c>
      <c r="AP1285" s="13" t="s">
        <v>49</v>
      </c>
      <c r="AQ1285" s="13" t="s">
        <v>49</v>
      </c>
      <c r="AR1285" s="13" t="s">
        <v>49</v>
      </c>
      <c r="AS1285" s="13" t="s">
        <v>49</v>
      </c>
      <c r="AT1285" s="13" t="s">
        <v>990</v>
      </c>
      <c r="AU1285" s="13" t="s">
        <v>998</v>
      </c>
      <c r="AV1285" s="14">
        <v>16.66</v>
      </c>
      <c r="AW1285" s="14">
        <v>23.18</v>
      </c>
      <c r="AX1285" s="14">
        <f>Table1347456[[#This Row],[treatment_mean]]/Table1347456[[#This Row],[control_mean]]</f>
        <v>0.71872303710094909</v>
      </c>
      <c r="AY1285" s="14">
        <f>LN(Table1347456[[#This Row],[rr]])</f>
        <v>-0.33027920117290904</v>
      </c>
      <c r="AZ1285" s="13">
        <v>3</v>
      </c>
      <c r="BA1285" s="13">
        <v>3</v>
      </c>
      <c r="BB1285" s="14">
        <v>0</v>
      </c>
      <c r="BC1285" s="14">
        <v>0</v>
      </c>
      <c r="BD1285" s="15">
        <f>Table1347456[[#This Row],[treatment_se]]*SQRT(Table1347456[[#This Row],[treatment_n]])</f>
        <v>0</v>
      </c>
      <c r="BE1285" s="14">
        <f>Table1347456[[#This Row],[control_se]]*SQRT(Table1347456[[#This Row],[control_n]])</f>
        <v>0</v>
      </c>
      <c r="BF128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85" s="17">
        <f>SQRT(Table1347456[[#This Row],[v_from_sd_and_n]])</f>
        <v>0</v>
      </c>
      <c r="BH1285" s="13" t="s">
        <v>50</v>
      </c>
      <c r="BI1285" s="13">
        <v>2.5000000000000001E-2</v>
      </c>
      <c r="BJ1285" s="18">
        <f>ABS(_xlfn.NORM.S.INV(Table1347456[[#This Row],[p_value]]/2))</f>
        <v>2.2414027276049446</v>
      </c>
      <c r="BK1285" s="19">
        <f>(Table1347456[[#This Row],[lnrr]]/Table1347456[[#This Row],[z_from_p]])^2</f>
        <v>2.171314131336188E-2</v>
      </c>
      <c r="BL1285" s="16">
        <f>(Table1347456[[#This Row],[lnrr]]/Table1347456[[#This Row],[z_from_p]])^2</f>
        <v>2.171314131336188E-2</v>
      </c>
      <c r="BM1285" s="20">
        <f>SQRT(Table1347456[[#This Row],[v]])</f>
        <v>0.14735379639955626</v>
      </c>
      <c r="BN1285" s="20">
        <f>Table1347456[[#This Row],[lnrr]]-(1.96*Table1347456[[#This Row],[se]])</f>
        <v>-0.61909264211603932</v>
      </c>
      <c r="BO1285" s="20">
        <f>Table1347456[[#This Row],[lnrr]]+(1.96 * Table1347456[[#This Row],[se]])</f>
        <v>-4.146576022977877E-2</v>
      </c>
    </row>
    <row r="1286" spans="1:67">
      <c r="A1286" s="13" t="s">
        <v>412</v>
      </c>
      <c r="B1286" s="13" t="s">
        <v>413</v>
      </c>
      <c r="C1286" s="13" t="s">
        <v>341</v>
      </c>
      <c r="D1286" s="13" t="s">
        <v>414</v>
      </c>
      <c r="E1286" s="13" t="s">
        <v>415</v>
      </c>
      <c r="F1286" s="13" t="s">
        <v>590</v>
      </c>
      <c r="G1286" s="13" t="s">
        <v>46</v>
      </c>
      <c r="H1286" s="13" t="s">
        <v>46</v>
      </c>
      <c r="I1286" s="13" t="s">
        <v>46</v>
      </c>
      <c r="K1286" s="13" t="s">
        <v>946</v>
      </c>
      <c r="L1286" s="13" t="s">
        <v>947</v>
      </c>
      <c r="N1286" s="13" t="s">
        <v>122</v>
      </c>
      <c r="O1286" s="13" t="s">
        <v>645</v>
      </c>
      <c r="P1286" s="13" t="s">
        <v>418</v>
      </c>
      <c r="Q1286" s="13" t="s">
        <v>48</v>
      </c>
      <c r="R1286" s="4">
        <v>3</v>
      </c>
      <c r="S1286" s="13" t="s">
        <v>596</v>
      </c>
      <c r="T1286" s="13">
        <v>90</v>
      </c>
      <c r="U1286" s="4" t="s">
        <v>417</v>
      </c>
      <c r="V1286" s="4">
        <v>550</v>
      </c>
      <c r="W1286" s="4" t="s">
        <v>601</v>
      </c>
      <c r="X1286" s="4">
        <v>452</v>
      </c>
      <c r="Y1286" s="4">
        <v>5</v>
      </c>
      <c r="AA1286" s="4" t="s">
        <v>49</v>
      </c>
      <c r="AB1286" s="4">
        <v>0</v>
      </c>
      <c r="AC1286" s="4" t="s">
        <v>49</v>
      </c>
      <c r="AD1286" s="4">
        <v>0</v>
      </c>
      <c r="AE1286" s="4" t="s">
        <v>49</v>
      </c>
      <c r="AF1286" s="4">
        <v>0</v>
      </c>
      <c r="AG1286" s="4" t="s">
        <v>776</v>
      </c>
      <c r="AH1286" s="4" t="s">
        <v>722</v>
      </c>
      <c r="AI1286" s="4" t="s">
        <v>78</v>
      </c>
      <c r="AJ1286" s="13">
        <v>0</v>
      </c>
      <c r="AK1286" s="13">
        <v>15</v>
      </c>
      <c r="AL1286" s="13" t="s">
        <v>565</v>
      </c>
      <c r="AM1286" s="13" t="s">
        <v>566</v>
      </c>
      <c r="AO1286" s="13" t="s">
        <v>567</v>
      </c>
      <c r="AP1286" s="13" t="s">
        <v>49</v>
      </c>
      <c r="AQ1286" s="13" t="s">
        <v>49</v>
      </c>
      <c r="AR1286" s="13" t="s">
        <v>49</v>
      </c>
      <c r="AS1286" s="13" t="s">
        <v>49</v>
      </c>
      <c r="AT1286" s="13" t="s">
        <v>990</v>
      </c>
      <c r="AU1286" s="13" t="s">
        <v>998</v>
      </c>
      <c r="AV1286" s="14">
        <v>17.37</v>
      </c>
      <c r="AW1286" s="14">
        <v>23.18</v>
      </c>
      <c r="AX1286" s="14">
        <f>Table1347456[[#This Row],[treatment_mean]]/Table1347456[[#This Row],[control_mean]]</f>
        <v>0.74935289042277831</v>
      </c>
      <c r="AY1286" s="14">
        <f>LN(Table1347456[[#This Row],[rr]])</f>
        <v>-0.28854525765859201</v>
      </c>
      <c r="AZ1286" s="13">
        <v>3</v>
      </c>
      <c r="BA1286" s="13">
        <v>3</v>
      </c>
      <c r="BB1286" s="14">
        <v>0</v>
      </c>
      <c r="BC1286" s="14">
        <v>0</v>
      </c>
      <c r="BD1286" s="15">
        <f>Table1347456[[#This Row],[treatment_se]]*SQRT(Table1347456[[#This Row],[treatment_n]])</f>
        <v>0</v>
      </c>
      <c r="BE1286" s="14">
        <f>Table1347456[[#This Row],[control_se]]*SQRT(Table1347456[[#This Row],[control_n]])</f>
        <v>0</v>
      </c>
      <c r="BF128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86" s="17">
        <f>SQRT(Table1347456[[#This Row],[v_from_sd_and_n]])</f>
        <v>0</v>
      </c>
      <c r="BH1286" s="13" t="s">
        <v>50</v>
      </c>
      <c r="BI1286" s="13">
        <v>2.5000000000000001E-2</v>
      </c>
      <c r="BJ1286" s="18">
        <f>ABS(_xlfn.NORM.S.INV(Table1347456[[#This Row],[p_value]]/2))</f>
        <v>2.2414027276049446</v>
      </c>
      <c r="BK1286" s="19">
        <f>(Table1347456[[#This Row],[lnrr]]/Table1347456[[#This Row],[z_from_p]])^2</f>
        <v>1.6572502364302629E-2</v>
      </c>
      <c r="BL1286" s="16">
        <f>(Table1347456[[#This Row],[lnrr]]/Table1347456[[#This Row],[z_from_p]])^2</f>
        <v>1.6572502364302629E-2</v>
      </c>
      <c r="BM1286" s="20">
        <f>SQRT(Table1347456[[#This Row],[v]])</f>
        <v>0.1287342315171168</v>
      </c>
      <c r="BN1286" s="20">
        <f>Table1347456[[#This Row],[lnrr]]-(1.96*Table1347456[[#This Row],[se]])</f>
        <v>-0.54086435143214096</v>
      </c>
      <c r="BO1286" s="20">
        <f>Table1347456[[#This Row],[lnrr]]+(1.96 * Table1347456[[#This Row],[se]])</f>
        <v>-3.6226163885043072E-2</v>
      </c>
    </row>
    <row r="1287" spans="1:67">
      <c r="A1287" s="13" t="s">
        <v>412</v>
      </c>
      <c r="B1287" s="13" t="s">
        <v>413</v>
      </c>
      <c r="C1287" s="13" t="s">
        <v>341</v>
      </c>
      <c r="D1287" s="13" t="s">
        <v>414</v>
      </c>
      <c r="E1287" s="13" t="s">
        <v>415</v>
      </c>
      <c r="F1287" s="13" t="s">
        <v>590</v>
      </c>
      <c r="G1287" s="13" t="s">
        <v>46</v>
      </c>
      <c r="H1287" s="13" t="s">
        <v>46</v>
      </c>
      <c r="I1287" s="13" t="s">
        <v>46</v>
      </c>
      <c r="K1287" s="13" t="s">
        <v>946</v>
      </c>
      <c r="L1287" s="13" t="s">
        <v>947</v>
      </c>
      <c r="N1287" s="13" t="s">
        <v>122</v>
      </c>
      <c r="O1287" s="13" t="s">
        <v>645</v>
      </c>
      <c r="P1287" s="13" t="s">
        <v>418</v>
      </c>
      <c r="Q1287" s="13" t="s">
        <v>48</v>
      </c>
      <c r="R1287" s="4">
        <v>3</v>
      </c>
      <c r="S1287" s="13" t="s">
        <v>596</v>
      </c>
      <c r="T1287" s="13">
        <v>90</v>
      </c>
      <c r="U1287" s="4" t="s">
        <v>417</v>
      </c>
      <c r="V1287" s="4">
        <v>550</v>
      </c>
      <c r="W1287" s="4" t="s">
        <v>601</v>
      </c>
      <c r="X1287" s="4">
        <v>452</v>
      </c>
      <c r="Y1287" s="4">
        <v>10</v>
      </c>
      <c r="AA1287" s="4" t="s">
        <v>49</v>
      </c>
      <c r="AB1287" s="4">
        <v>0</v>
      </c>
      <c r="AC1287" s="4" t="s">
        <v>49</v>
      </c>
      <c r="AD1287" s="4">
        <v>0</v>
      </c>
      <c r="AE1287" s="4" t="s">
        <v>49</v>
      </c>
      <c r="AF1287" s="4">
        <v>0</v>
      </c>
      <c r="AG1287" s="4" t="s">
        <v>776</v>
      </c>
      <c r="AH1287" s="4" t="s">
        <v>722</v>
      </c>
      <c r="AI1287" s="4" t="s">
        <v>78</v>
      </c>
      <c r="AJ1287" s="13">
        <v>0</v>
      </c>
      <c r="AK1287" s="13">
        <v>15</v>
      </c>
      <c r="AL1287" s="13" t="s">
        <v>565</v>
      </c>
      <c r="AM1287" s="13" t="s">
        <v>566</v>
      </c>
      <c r="AO1287" s="13" t="s">
        <v>567</v>
      </c>
      <c r="AP1287" s="13" t="s">
        <v>49</v>
      </c>
      <c r="AQ1287" s="13" t="s">
        <v>49</v>
      </c>
      <c r="AR1287" s="13" t="s">
        <v>49</v>
      </c>
      <c r="AS1287" s="13" t="s">
        <v>49</v>
      </c>
      <c r="AT1287" s="13" t="s">
        <v>990</v>
      </c>
      <c r="AU1287" s="13" t="s">
        <v>998</v>
      </c>
      <c r="AV1287" s="14">
        <v>17.89</v>
      </c>
      <c r="AW1287" s="14">
        <v>23.18</v>
      </c>
      <c r="AX1287" s="14">
        <f>Table1347456[[#This Row],[treatment_mean]]/Table1347456[[#This Row],[control_mean]]</f>
        <v>0.77178602243313199</v>
      </c>
      <c r="AY1287" s="14">
        <f>LN(Table1347456[[#This Row],[rr]])</f>
        <v>-0.25904794039097789</v>
      </c>
      <c r="AZ1287" s="13">
        <v>3</v>
      </c>
      <c r="BA1287" s="13">
        <v>3</v>
      </c>
      <c r="BB1287" s="14">
        <v>0</v>
      </c>
      <c r="BC1287" s="14">
        <v>0</v>
      </c>
      <c r="BD1287" s="15">
        <f>Table1347456[[#This Row],[treatment_se]]*SQRT(Table1347456[[#This Row],[treatment_n]])</f>
        <v>0</v>
      </c>
      <c r="BE1287" s="14">
        <f>Table1347456[[#This Row],[control_se]]*SQRT(Table1347456[[#This Row],[control_n]])</f>
        <v>0</v>
      </c>
      <c r="BF128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87" s="17">
        <f>SQRT(Table1347456[[#This Row],[v_from_sd_and_n]])</f>
        <v>0</v>
      </c>
      <c r="BH1287" s="13" t="s">
        <v>50</v>
      </c>
      <c r="BI1287" s="13">
        <v>2.5000000000000001E-2</v>
      </c>
      <c r="BJ1287" s="18">
        <f>ABS(_xlfn.NORM.S.INV(Table1347456[[#This Row],[p_value]]/2))</f>
        <v>2.2414027276049446</v>
      </c>
      <c r="BK1287" s="19">
        <f>(Table1347456[[#This Row],[lnrr]]/Table1347456[[#This Row],[z_from_p]])^2</f>
        <v>1.3357355823515113E-2</v>
      </c>
      <c r="BL1287" s="16">
        <f>(Table1347456[[#This Row],[lnrr]]/Table1347456[[#This Row],[z_from_p]])^2</f>
        <v>1.3357355823515113E-2</v>
      </c>
      <c r="BM1287" s="20">
        <f>SQRT(Table1347456[[#This Row],[v]])</f>
        <v>0.11557402746082319</v>
      </c>
      <c r="BN1287" s="20">
        <f>Table1347456[[#This Row],[lnrr]]-(1.96*Table1347456[[#This Row],[se]])</f>
        <v>-0.48557303421419135</v>
      </c>
      <c r="BO1287" s="20">
        <f>Table1347456[[#This Row],[lnrr]]+(1.96 * Table1347456[[#This Row],[se]])</f>
        <v>-3.2522846567764441E-2</v>
      </c>
    </row>
    <row r="1288" spans="1:67">
      <c r="A1288" s="13" t="s">
        <v>412</v>
      </c>
      <c r="B1288" s="13" t="s">
        <v>413</v>
      </c>
      <c r="C1288" s="13" t="s">
        <v>341</v>
      </c>
      <c r="D1288" s="13" t="s">
        <v>414</v>
      </c>
      <c r="E1288" s="13" t="s">
        <v>415</v>
      </c>
      <c r="F1288" s="13" t="s">
        <v>590</v>
      </c>
      <c r="G1288" s="13" t="s">
        <v>46</v>
      </c>
      <c r="H1288" s="13" t="s">
        <v>46</v>
      </c>
      <c r="I1288" s="13" t="s">
        <v>46</v>
      </c>
      <c r="K1288" s="13" t="s">
        <v>946</v>
      </c>
      <c r="L1288" s="13" t="s">
        <v>947</v>
      </c>
      <c r="N1288" s="13" t="s">
        <v>122</v>
      </c>
      <c r="O1288" s="13" t="s">
        <v>645</v>
      </c>
      <c r="P1288" s="13" t="s">
        <v>418</v>
      </c>
      <c r="Q1288" s="13" t="s">
        <v>48</v>
      </c>
      <c r="R1288" s="4">
        <v>3</v>
      </c>
      <c r="S1288" s="13" t="s">
        <v>596</v>
      </c>
      <c r="T1288" s="13">
        <v>90</v>
      </c>
      <c r="U1288" s="4" t="s">
        <v>416</v>
      </c>
      <c r="V1288" s="4">
        <v>550</v>
      </c>
      <c r="W1288" s="4" t="s">
        <v>601</v>
      </c>
      <c r="X1288" s="4">
        <v>261</v>
      </c>
      <c r="Y1288" s="4">
        <v>1.5</v>
      </c>
      <c r="AA1288" s="4" t="s">
        <v>50</v>
      </c>
      <c r="AB1288" s="4">
        <v>113</v>
      </c>
      <c r="AC1288" s="4" t="s">
        <v>49</v>
      </c>
      <c r="AD1288" s="4">
        <v>0</v>
      </c>
      <c r="AE1288" s="4" t="s">
        <v>49</v>
      </c>
      <c r="AF1288" s="4">
        <v>0</v>
      </c>
      <c r="AG1288" s="4" t="s">
        <v>768</v>
      </c>
      <c r="AH1288" s="4" t="s">
        <v>722</v>
      </c>
      <c r="AI1288" s="4" t="s">
        <v>78</v>
      </c>
      <c r="AJ1288" s="13">
        <v>0</v>
      </c>
      <c r="AK1288" s="13">
        <v>15</v>
      </c>
      <c r="AL1288" s="13" t="s">
        <v>565</v>
      </c>
      <c r="AM1288" s="13" t="s">
        <v>566</v>
      </c>
      <c r="AO1288" s="13" t="s">
        <v>567</v>
      </c>
      <c r="AP1288" s="13" t="s">
        <v>49</v>
      </c>
      <c r="AQ1288" s="13" t="s">
        <v>49</v>
      </c>
      <c r="AR1288" s="13" t="s">
        <v>49</v>
      </c>
      <c r="AS1288" s="13" t="s">
        <v>49</v>
      </c>
      <c r="AT1288" s="13" t="s">
        <v>992</v>
      </c>
      <c r="AU1288" s="4" t="s">
        <v>1000</v>
      </c>
      <c r="AV1288" s="14">
        <v>28.51</v>
      </c>
      <c r="AW1288" s="14">
        <v>44.66</v>
      </c>
      <c r="AX1288" s="14">
        <f>Table1347456[[#This Row],[treatment_mean]]/Table1347456[[#This Row],[control_mean]]</f>
        <v>0.63837886251679365</v>
      </c>
      <c r="AY1288" s="14">
        <f>LN(Table1347456[[#This Row],[rr]])</f>
        <v>-0.44882334348743103</v>
      </c>
      <c r="AZ1288" s="13">
        <v>3</v>
      </c>
      <c r="BA1288" s="13">
        <v>3</v>
      </c>
      <c r="BB1288" s="14">
        <v>0</v>
      </c>
      <c r="BC1288" s="14">
        <v>0</v>
      </c>
      <c r="BD1288" s="15">
        <f>Table1347456[[#This Row],[treatment_se]]*SQRT(Table1347456[[#This Row],[treatment_n]])</f>
        <v>0</v>
      </c>
      <c r="BE1288" s="14">
        <f>Table1347456[[#This Row],[control_se]]*SQRT(Table1347456[[#This Row],[control_n]])</f>
        <v>0</v>
      </c>
      <c r="BF128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88" s="17">
        <f>SQRT(Table1347456[[#This Row],[v_from_sd_and_n]])</f>
        <v>0</v>
      </c>
      <c r="BH1288" s="13" t="s">
        <v>50</v>
      </c>
      <c r="BI1288" s="13">
        <v>2.5000000000000001E-2</v>
      </c>
      <c r="BJ1288" s="18">
        <f>ABS(_xlfn.NORM.S.INV(Table1347456[[#This Row],[p_value]]/2))</f>
        <v>2.2414027276049446</v>
      </c>
      <c r="BK1288" s="19">
        <f>(Table1347456[[#This Row],[lnrr]]/Table1347456[[#This Row],[z_from_p]])^2</f>
        <v>4.009692619388365E-2</v>
      </c>
      <c r="BL1288" s="16">
        <f>(Table1347456[[#This Row],[lnrr]]/Table1347456[[#This Row],[z_from_p]])^2</f>
        <v>4.009692619388365E-2</v>
      </c>
      <c r="BM1288" s="20">
        <f>SQRT(Table1347456[[#This Row],[v]])</f>
        <v>0.20024216887030477</v>
      </c>
      <c r="BN1288" s="20">
        <f>Table1347456[[#This Row],[lnrr]]-(1.96*Table1347456[[#This Row],[se]])</f>
        <v>-0.84129799447322839</v>
      </c>
      <c r="BO1288" s="20">
        <f>Table1347456[[#This Row],[lnrr]]+(1.96 * Table1347456[[#This Row],[se]])</f>
        <v>-5.6348692501633657E-2</v>
      </c>
    </row>
    <row r="1289" spans="1:67">
      <c r="A1289" s="13" t="s">
        <v>412</v>
      </c>
      <c r="B1289" s="13" t="s">
        <v>413</v>
      </c>
      <c r="C1289" s="13" t="s">
        <v>341</v>
      </c>
      <c r="D1289" s="13" t="s">
        <v>414</v>
      </c>
      <c r="E1289" s="13" t="s">
        <v>415</v>
      </c>
      <c r="F1289" s="13" t="s">
        <v>590</v>
      </c>
      <c r="G1289" s="13" t="s">
        <v>46</v>
      </c>
      <c r="H1289" s="13" t="s">
        <v>46</v>
      </c>
      <c r="I1289" s="13" t="s">
        <v>46</v>
      </c>
      <c r="K1289" s="13" t="s">
        <v>946</v>
      </c>
      <c r="L1289" s="13" t="s">
        <v>947</v>
      </c>
      <c r="N1289" s="13" t="s">
        <v>122</v>
      </c>
      <c r="O1289" s="13" t="s">
        <v>645</v>
      </c>
      <c r="P1289" s="13" t="s">
        <v>418</v>
      </c>
      <c r="Q1289" s="13" t="s">
        <v>48</v>
      </c>
      <c r="R1289" s="4">
        <v>3</v>
      </c>
      <c r="S1289" s="13" t="s">
        <v>596</v>
      </c>
      <c r="T1289" s="13">
        <v>90</v>
      </c>
      <c r="U1289" s="4" t="s">
        <v>416</v>
      </c>
      <c r="V1289" s="4">
        <v>550</v>
      </c>
      <c r="W1289" s="4" t="s">
        <v>601</v>
      </c>
      <c r="X1289" s="4">
        <v>261</v>
      </c>
      <c r="Y1289" s="4">
        <v>5</v>
      </c>
      <c r="AA1289" s="4" t="s">
        <v>50</v>
      </c>
      <c r="AB1289" s="4">
        <v>113</v>
      </c>
      <c r="AC1289" s="4" t="s">
        <v>49</v>
      </c>
      <c r="AD1289" s="4">
        <v>0</v>
      </c>
      <c r="AE1289" s="4" t="s">
        <v>49</v>
      </c>
      <c r="AF1289" s="4">
        <v>0</v>
      </c>
      <c r="AG1289" s="4" t="s">
        <v>768</v>
      </c>
      <c r="AH1289" s="4" t="s">
        <v>722</v>
      </c>
      <c r="AI1289" s="4" t="s">
        <v>78</v>
      </c>
      <c r="AJ1289" s="13">
        <v>0</v>
      </c>
      <c r="AK1289" s="13">
        <v>15</v>
      </c>
      <c r="AL1289" s="13" t="s">
        <v>565</v>
      </c>
      <c r="AM1289" s="13" t="s">
        <v>566</v>
      </c>
      <c r="AO1289" s="13" t="s">
        <v>567</v>
      </c>
      <c r="AP1289" s="13" t="s">
        <v>49</v>
      </c>
      <c r="AQ1289" s="13" t="s">
        <v>49</v>
      </c>
      <c r="AR1289" s="13" t="s">
        <v>49</v>
      </c>
      <c r="AS1289" s="13" t="s">
        <v>49</v>
      </c>
      <c r="AT1289" s="13" t="s">
        <v>992</v>
      </c>
      <c r="AU1289" s="4" t="s">
        <v>1000</v>
      </c>
      <c r="AV1289" s="14">
        <v>26.18</v>
      </c>
      <c r="AW1289" s="14">
        <v>44.66</v>
      </c>
      <c r="AX1289" s="14">
        <f>Table1347456[[#This Row],[treatment_mean]]/Table1347456[[#This Row],[control_mean]]</f>
        <v>0.5862068965517242</v>
      </c>
      <c r="AY1289" s="14">
        <f>LN(Table1347456[[#This Row],[rr]])</f>
        <v>-0.53408248593025787</v>
      </c>
      <c r="AZ1289" s="13">
        <v>3</v>
      </c>
      <c r="BA1289" s="13">
        <v>3</v>
      </c>
      <c r="BB1289" s="14">
        <v>0</v>
      </c>
      <c r="BC1289" s="14">
        <v>0</v>
      </c>
      <c r="BD1289" s="15">
        <f>Table1347456[[#This Row],[treatment_se]]*SQRT(Table1347456[[#This Row],[treatment_n]])</f>
        <v>0</v>
      </c>
      <c r="BE1289" s="14">
        <f>Table1347456[[#This Row],[control_se]]*SQRT(Table1347456[[#This Row],[control_n]])</f>
        <v>0</v>
      </c>
      <c r="BF128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89" s="17">
        <f>SQRT(Table1347456[[#This Row],[v_from_sd_and_n]])</f>
        <v>0</v>
      </c>
      <c r="BH1289" s="13" t="s">
        <v>50</v>
      </c>
      <c r="BI1289" s="13">
        <v>2.5000000000000001E-2</v>
      </c>
      <c r="BJ1289" s="18">
        <f>ABS(_xlfn.NORM.S.INV(Table1347456[[#This Row],[p_value]]/2))</f>
        <v>2.2414027276049446</v>
      </c>
      <c r="BK1289" s="19">
        <f>(Table1347456[[#This Row],[lnrr]]/Table1347456[[#This Row],[z_from_p]])^2</f>
        <v>5.6777580371480979E-2</v>
      </c>
      <c r="BL1289" s="16">
        <f>(Table1347456[[#This Row],[lnrr]]/Table1347456[[#This Row],[z_from_p]])^2</f>
        <v>5.6777580371480979E-2</v>
      </c>
      <c r="BM1289" s="20">
        <f>SQRT(Table1347456[[#This Row],[v]])</f>
        <v>0.23828046577821058</v>
      </c>
      <c r="BN1289" s="20">
        <f>Table1347456[[#This Row],[lnrr]]-(1.96*Table1347456[[#This Row],[se]])</f>
        <v>-1.0011121988555507</v>
      </c>
      <c r="BO1289" s="20">
        <f>Table1347456[[#This Row],[lnrr]]+(1.96 * Table1347456[[#This Row],[se]])</f>
        <v>-6.7052773004965149E-2</v>
      </c>
    </row>
    <row r="1290" spans="1:67">
      <c r="A1290" s="13" t="s">
        <v>412</v>
      </c>
      <c r="B1290" s="13" t="s">
        <v>413</v>
      </c>
      <c r="C1290" s="13" t="s">
        <v>341</v>
      </c>
      <c r="D1290" s="13" t="s">
        <v>414</v>
      </c>
      <c r="E1290" s="13" t="s">
        <v>415</v>
      </c>
      <c r="F1290" s="13" t="s">
        <v>590</v>
      </c>
      <c r="G1290" s="13" t="s">
        <v>46</v>
      </c>
      <c r="H1290" s="13" t="s">
        <v>46</v>
      </c>
      <c r="I1290" s="13" t="s">
        <v>46</v>
      </c>
      <c r="K1290" s="13" t="s">
        <v>946</v>
      </c>
      <c r="L1290" s="13" t="s">
        <v>947</v>
      </c>
      <c r="N1290" s="13" t="s">
        <v>122</v>
      </c>
      <c r="O1290" s="13" t="s">
        <v>645</v>
      </c>
      <c r="P1290" s="13" t="s">
        <v>418</v>
      </c>
      <c r="Q1290" s="13" t="s">
        <v>48</v>
      </c>
      <c r="R1290" s="4">
        <v>3</v>
      </c>
      <c r="S1290" s="13" t="s">
        <v>596</v>
      </c>
      <c r="T1290" s="13">
        <v>90</v>
      </c>
      <c r="U1290" s="4" t="s">
        <v>416</v>
      </c>
      <c r="V1290" s="4">
        <v>550</v>
      </c>
      <c r="W1290" s="4" t="s">
        <v>601</v>
      </c>
      <c r="X1290" s="4">
        <v>261</v>
      </c>
      <c r="Y1290" s="4">
        <v>10</v>
      </c>
      <c r="AA1290" s="4" t="s">
        <v>50</v>
      </c>
      <c r="AB1290" s="4">
        <v>113</v>
      </c>
      <c r="AC1290" s="4" t="s">
        <v>49</v>
      </c>
      <c r="AD1290" s="4">
        <v>0</v>
      </c>
      <c r="AE1290" s="4" t="s">
        <v>49</v>
      </c>
      <c r="AF1290" s="4">
        <v>0</v>
      </c>
      <c r="AG1290" s="4" t="s">
        <v>768</v>
      </c>
      <c r="AH1290" s="4" t="s">
        <v>722</v>
      </c>
      <c r="AI1290" s="4" t="s">
        <v>78</v>
      </c>
      <c r="AJ1290" s="13">
        <v>0</v>
      </c>
      <c r="AK1290" s="13">
        <v>15</v>
      </c>
      <c r="AL1290" s="13" t="s">
        <v>565</v>
      </c>
      <c r="AM1290" s="13" t="s">
        <v>566</v>
      </c>
      <c r="AO1290" s="13" t="s">
        <v>567</v>
      </c>
      <c r="AP1290" s="13" t="s">
        <v>49</v>
      </c>
      <c r="AQ1290" s="13" t="s">
        <v>49</v>
      </c>
      <c r="AR1290" s="13" t="s">
        <v>49</v>
      </c>
      <c r="AS1290" s="13" t="s">
        <v>49</v>
      </c>
      <c r="AT1290" s="13" t="s">
        <v>992</v>
      </c>
      <c r="AU1290" s="4" t="s">
        <v>1000</v>
      </c>
      <c r="AV1290" s="14">
        <v>27.32</v>
      </c>
      <c r="AW1290" s="14">
        <v>44.66</v>
      </c>
      <c r="AX1290" s="14">
        <f>Table1347456[[#This Row],[treatment_mean]]/Table1347456[[#This Row],[control_mean]]</f>
        <v>0.6117330944917152</v>
      </c>
      <c r="AY1290" s="14">
        <f>LN(Table1347456[[#This Row],[rr]])</f>
        <v>-0.49145921170942247</v>
      </c>
      <c r="AZ1290" s="13">
        <v>3</v>
      </c>
      <c r="BA1290" s="13">
        <v>3</v>
      </c>
      <c r="BB1290" s="14">
        <v>0</v>
      </c>
      <c r="BC1290" s="14">
        <v>0</v>
      </c>
      <c r="BD1290" s="15">
        <f>Table1347456[[#This Row],[treatment_se]]*SQRT(Table1347456[[#This Row],[treatment_n]])</f>
        <v>0</v>
      </c>
      <c r="BE1290" s="14">
        <f>Table1347456[[#This Row],[control_se]]*SQRT(Table1347456[[#This Row],[control_n]])</f>
        <v>0</v>
      </c>
      <c r="BF129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90" s="17">
        <f>SQRT(Table1347456[[#This Row],[v_from_sd_and_n]])</f>
        <v>0</v>
      </c>
      <c r="BH1290" s="13" t="s">
        <v>50</v>
      </c>
      <c r="BI1290" s="13">
        <v>2.5000000000000001E-2</v>
      </c>
      <c r="BJ1290" s="18">
        <f>ABS(_xlfn.NORM.S.INV(Table1347456[[#This Row],[p_value]]/2))</f>
        <v>2.2414027276049446</v>
      </c>
      <c r="BK1290" s="19">
        <f>(Table1347456[[#This Row],[lnrr]]/Table1347456[[#This Row],[z_from_p]])^2</f>
        <v>4.8076757268886008E-2</v>
      </c>
      <c r="BL1290" s="16">
        <f>(Table1347456[[#This Row],[lnrr]]/Table1347456[[#This Row],[z_from_p]])^2</f>
        <v>4.8076757268886008E-2</v>
      </c>
      <c r="BM1290" s="20">
        <f>SQRT(Table1347456[[#This Row],[v]])</f>
        <v>0.21926412672593301</v>
      </c>
      <c r="BN1290" s="20">
        <f>Table1347456[[#This Row],[lnrr]]-(1.96*Table1347456[[#This Row],[se]])</f>
        <v>-0.92121690009225121</v>
      </c>
      <c r="BO1290" s="20">
        <f>Table1347456[[#This Row],[lnrr]]+(1.96 * Table1347456[[#This Row],[se]])</f>
        <v>-6.1701523326593788E-2</v>
      </c>
    </row>
    <row r="1291" spans="1:67">
      <c r="A1291" s="13" t="s">
        <v>412</v>
      </c>
      <c r="B1291" s="13" t="s">
        <v>413</v>
      </c>
      <c r="C1291" s="13" t="s">
        <v>341</v>
      </c>
      <c r="D1291" s="13" t="s">
        <v>414</v>
      </c>
      <c r="E1291" s="13" t="s">
        <v>415</v>
      </c>
      <c r="F1291" s="13" t="s">
        <v>590</v>
      </c>
      <c r="G1291" s="13" t="s">
        <v>46</v>
      </c>
      <c r="H1291" s="13" t="s">
        <v>46</v>
      </c>
      <c r="I1291" s="13" t="s">
        <v>46</v>
      </c>
      <c r="K1291" s="13" t="s">
        <v>946</v>
      </c>
      <c r="L1291" s="13" t="s">
        <v>947</v>
      </c>
      <c r="N1291" s="13" t="s">
        <v>122</v>
      </c>
      <c r="O1291" s="13" t="s">
        <v>645</v>
      </c>
      <c r="P1291" s="13" t="s">
        <v>418</v>
      </c>
      <c r="Q1291" s="13" t="s">
        <v>48</v>
      </c>
      <c r="R1291" s="4">
        <v>3</v>
      </c>
      <c r="S1291" s="13" t="s">
        <v>596</v>
      </c>
      <c r="T1291" s="13">
        <v>90</v>
      </c>
      <c r="U1291" s="4" t="s">
        <v>417</v>
      </c>
      <c r="V1291" s="4">
        <v>550</v>
      </c>
      <c r="W1291" s="4" t="s">
        <v>601</v>
      </c>
      <c r="X1291" s="4">
        <v>452</v>
      </c>
      <c r="Y1291" s="4">
        <v>1.5</v>
      </c>
      <c r="AA1291" s="4" t="s">
        <v>50</v>
      </c>
      <c r="AB1291" s="4">
        <v>113</v>
      </c>
      <c r="AC1291" s="4" t="s">
        <v>49</v>
      </c>
      <c r="AD1291" s="4">
        <v>0</v>
      </c>
      <c r="AE1291" s="4" t="s">
        <v>49</v>
      </c>
      <c r="AF1291" s="4">
        <v>0</v>
      </c>
      <c r="AG1291" s="4" t="s">
        <v>776</v>
      </c>
      <c r="AH1291" s="4" t="s">
        <v>722</v>
      </c>
      <c r="AI1291" s="4" t="s">
        <v>78</v>
      </c>
      <c r="AJ1291" s="13">
        <v>0</v>
      </c>
      <c r="AK1291" s="13">
        <v>15</v>
      </c>
      <c r="AL1291" s="13" t="s">
        <v>565</v>
      </c>
      <c r="AM1291" s="13" t="s">
        <v>566</v>
      </c>
      <c r="AO1291" s="13" t="s">
        <v>567</v>
      </c>
      <c r="AP1291" s="13" t="s">
        <v>49</v>
      </c>
      <c r="AQ1291" s="13" t="s">
        <v>49</v>
      </c>
      <c r="AR1291" s="13" t="s">
        <v>49</v>
      </c>
      <c r="AS1291" s="13" t="s">
        <v>49</v>
      </c>
      <c r="AT1291" s="13" t="s">
        <v>992</v>
      </c>
      <c r="AU1291" s="4" t="s">
        <v>1000</v>
      </c>
      <c r="AV1291" s="14">
        <v>37.56</v>
      </c>
      <c r="AW1291" s="14">
        <v>46.4</v>
      </c>
      <c r="AX1291" s="14">
        <f>Table1347456[[#This Row],[treatment_mean]]/Table1347456[[#This Row],[control_mean]]</f>
        <v>0.80948275862068975</v>
      </c>
      <c r="AY1291" s="14">
        <f>LN(Table1347456[[#This Row],[rr]])</f>
        <v>-0.21135980489214731</v>
      </c>
      <c r="AZ1291" s="13">
        <v>3</v>
      </c>
      <c r="BA1291" s="13">
        <v>3</v>
      </c>
      <c r="BB1291" s="14">
        <v>0</v>
      </c>
      <c r="BC1291" s="14">
        <v>0</v>
      </c>
      <c r="BD1291" s="15">
        <f>Table1347456[[#This Row],[treatment_se]]*SQRT(Table1347456[[#This Row],[treatment_n]])</f>
        <v>0</v>
      </c>
      <c r="BE1291" s="14">
        <f>Table1347456[[#This Row],[control_se]]*SQRT(Table1347456[[#This Row],[control_n]])</f>
        <v>0</v>
      </c>
      <c r="BF129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91" s="17">
        <f>SQRT(Table1347456[[#This Row],[v_from_sd_and_n]])</f>
        <v>0</v>
      </c>
      <c r="BH1291" s="13" t="s">
        <v>50</v>
      </c>
      <c r="BI1291" s="13">
        <v>2.5000000000000001E-2</v>
      </c>
      <c r="BJ1291" s="18">
        <f>ABS(_xlfn.NORM.S.INV(Table1347456[[#This Row],[p_value]]/2))</f>
        <v>2.2414027276049446</v>
      </c>
      <c r="BK1291" s="19">
        <f>(Table1347456[[#This Row],[lnrr]]/Table1347456[[#This Row],[z_from_p]])^2</f>
        <v>8.8921136861826334E-3</v>
      </c>
      <c r="BL1291" s="16">
        <f>(Table1347456[[#This Row],[lnrr]]/Table1347456[[#This Row],[z_from_p]])^2</f>
        <v>8.8921136861826334E-3</v>
      </c>
      <c r="BM1291" s="20">
        <f>SQRT(Table1347456[[#This Row],[v]])</f>
        <v>9.4298004677631608E-2</v>
      </c>
      <c r="BN1291" s="20">
        <f>Table1347456[[#This Row],[lnrr]]-(1.96*Table1347456[[#This Row],[se]])</f>
        <v>-0.3961838940603053</v>
      </c>
      <c r="BO1291" s="20">
        <f>Table1347456[[#This Row],[lnrr]]+(1.96 * Table1347456[[#This Row],[se]])</f>
        <v>-2.6535715723989356E-2</v>
      </c>
    </row>
    <row r="1292" spans="1:67">
      <c r="A1292" s="13" t="s">
        <v>412</v>
      </c>
      <c r="B1292" s="13" t="s">
        <v>413</v>
      </c>
      <c r="C1292" s="13" t="s">
        <v>341</v>
      </c>
      <c r="D1292" s="13" t="s">
        <v>414</v>
      </c>
      <c r="E1292" s="13" t="s">
        <v>415</v>
      </c>
      <c r="F1292" s="13" t="s">
        <v>590</v>
      </c>
      <c r="G1292" s="13" t="s">
        <v>46</v>
      </c>
      <c r="H1292" s="13" t="s">
        <v>46</v>
      </c>
      <c r="I1292" s="13" t="s">
        <v>46</v>
      </c>
      <c r="K1292" s="13" t="s">
        <v>946</v>
      </c>
      <c r="L1292" s="13" t="s">
        <v>947</v>
      </c>
      <c r="N1292" s="13" t="s">
        <v>122</v>
      </c>
      <c r="O1292" s="13" t="s">
        <v>645</v>
      </c>
      <c r="P1292" s="13" t="s">
        <v>418</v>
      </c>
      <c r="Q1292" s="13" t="s">
        <v>48</v>
      </c>
      <c r="R1292" s="4">
        <v>3</v>
      </c>
      <c r="S1292" s="13" t="s">
        <v>596</v>
      </c>
      <c r="T1292" s="13">
        <v>90</v>
      </c>
      <c r="U1292" s="4" t="s">
        <v>417</v>
      </c>
      <c r="V1292" s="4">
        <v>550</v>
      </c>
      <c r="W1292" s="4" t="s">
        <v>601</v>
      </c>
      <c r="X1292" s="4">
        <v>452</v>
      </c>
      <c r="Y1292" s="4">
        <v>5</v>
      </c>
      <c r="AA1292" s="4" t="s">
        <v>50</v>
      </c>
      <c r="AB1292" s="4">
        <v>113</v>
      </c>
      <c r="AC1292" s="4" t="s">
        <v>49</v>
      </c>
      <c r="AD1292" s="4">
        <v>0</v>
      </c>
      <c r="AE1292" s="4" t="s">
        <v>49</v>
      </c>
      <c r="AF1292" s="4">
        <v>0</v>
      </c>
      <c r="AG1292" s="4" t="s">
        <v>776</v>
      </c>
      <c r="AH1292" s="4" t="s">
        <v>722</v>
      </c>
      <c r="AI1292" s="4" t="s">
        <v>78</v>
      </c>
      <c r="AJ1292" s="13">
        <v>0</v>
      </c>
      <c r="AK1292" s="13">
        <v>15</v>
      </c>
      <c r="AL1292" s="13" t="s">
        <v>565</v>
      </c>
      <c r="AM1292" s="13" t="s">
        <v>566</v>
      </c>
      <c r="AO1292" s="13" t="s">
        <v>567</v>
      </c>
      <c r="AP1292" s="13" t="s">
        <v>49</v>
      </c>
      <c r="AQ1292" s="13" t="s">
        <v>49</v>
      </c>
      <c r="AR1292" s="13" t="s">
        <v>49</v>
      </c>
      <c r="AS1292" s="13" t="s">
        <v>49</v>
      </c>
      <c r="AT1292" s="13" t="s">
        <v>992</v>
      </c>
      <c r="AU1292" s="4" t="s">
        <v>1000</v>
      </c>
      <c r="AV1292" s="14">
        <v>28.46</v>
      </c>
      <c r="AW1292" s="14">
        <v>46.4</v>
      </c>
      <c r="AX1292" s="14">
        <f>Table1347456[[#This Row],[treatment_mean]]/Table1347456[[#This Row],[control_mean]]</f>
        <v>0.61336206896551726</v>
      </c>
      <c r="AY1292" s="14">
        <f>LN(Table1347456[[#This Row],[rr]])</f>
        <v>-0.48879986657050323</v>
      </c>
      <c r="AZ1292" s="13">
        <v>3</v>
      </c>
      <c r="BA1292" s="13">
        <v>3</v>
      </c>
      <c r="BB1292" s="14">
        <v>0</v>
      </c>
      <c r="BC1292" s="14">
        <v>0</v>
      </c>
      <c r="BD1292" s="15">
        <f>Table1347456[[#This Row],[treatment_se]]*SQRT(Table1347456[[#This Row],[treatment_n]])</f>
        <v>0</v>
      </c>
      <c r="BE1292" s="14">
        <f>Table1347456[[#This Row],[control_se]]*SQRT(Table1347456[[#This Row],[control_n]])</f>
        <v>0</v>
      </c>
      <c r="BF129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92" s="17">
        <f>SQRT(Table1347456[[#This Row],[v_from_sd_and_n]])</f>
        <v>0</v>
      </c>
      <c r="BH1292" s="13" t="s">
        <v>50</v>
      </c>
      <c r="BI1292" s="13">
        <v>2.5000000000000001E-2</v>
      </c>
      <c r="BJ1292" s="18">
        <f>ABS(_xlfn.NORM.S.INV(Table1347456[[#This Row],[p_value]]/2))</f>
        <v>2.2414027276049446</v>
      </c>
      <c r="BK1292" s="19">
        <f>(Table1347456[[#This Row],[lnrr]]/Table1347456[[#This Row],[z_from_p]])^2</f>
        <v>4.7557866689460188E-2</v>
      </c>
      <c r="BL1292" s="16">
        <f>(Table1347456[[#This Row],[lnrr]]/Table1347456[[#This Row],[z_from_p]])^2</f>
        <v>4.7557866689460188E-2</v>
      </c>
      <c r="BM1292" s="20">
        <f>SQRT(Table1347456[[#This Row],[v]])</f>
        <v>0.21807766205978132</v>
      </c>
      <c r="BN1292" s="20">
        <f>Table1347456[[#This Row],[lnrr]]-(1.96*Table1347456[[#This Row],[se]])</f>
        <v>-0.91623208420767455</v>
      </c>
      <c r="BO1292" s="20">
        <f>Table1347456[[#This Row],[lnrr]]+(1.96 * Table1347456[[#This Row],[se]])</f>
        <v>-6.1367648933331853E-2</v>
      </c>
    </row>
    <row r="1293" spans="1:67">
      <c r="A1293" s="13" t="s">
        <v>412</v>
      </c>
      <c r="B1293" s="13" t="s">
        <v>413</v>
      </c>
      <c r="C1293" s="13" t="s">
        <v>341</v>
      </c>
      <c r="D1293" s="13" t="s">
        <v>414</v>
      </c>
      <c r="E1293" s="13" t="s">
        <v>415</v>
      </c>
      <c r="F1293" s="13" t="s">
        <v>590</v>
      </c>
      <c r="G1293" s="13" t="s">
        <v>46</v>
      </c>
      <c r="H1293" s="13" t="s">
        <v>46</v>
      </c>
      <c r="I1293" s="13" t="s">
        <v>46</v>
      </c>
      <c r="K1293" s="13" t="s">
        <v>946</v>
      </c>
      <c r="L1293" s="13" t="s">
        <v>947</v>
      </c>
      <c r="N1293" s="13" t="s">
        <v>122</v>
      </c>
      <c r="O1293" s="13" t="s">
        <v>645</v>
      </c>
      <c r="P1293" s="13" t="s">
        <v>418</v>
      </c>
      <c r="Q1293" s="13" t="s">
        <v>48</v>
      </c>
      <c r="R1293" s="4">
        <v>3</v>
      </c>
      <c r="S1293" s="13" t="s">
        <v>596</v>
      </c>
      <c r="T1293" s="13">
        <v>90</v>
      </c>
      <c r="U1293" s="4" t="s">
        <v>417</v>
      </c>
      <c r="V1293" s="4">
        <v>550</v>
      </c>
      <c r="W1293" s="4" t="s">
        <v>601</v>
      </c>
      <c r="X1293" s="4">
        <v>452</v>
      </c>
      <c r="Y1293" s="4">
        <v>10</v>
      </c>
      <c r="AA1293" s="4" t="s">
        <v>50</v>
      </c>
      <c r="AB1293" s="4">
        <v>113</v>
      </c>
      <c r="AC1293" s="4" t="s">
        <v>49</v>
      </c>
      <c r="AD1293" s="4">
        <v>0</v>
      </c>
      <c r="AE1293" s="4" t="s">
        <v>49</v>
      </c>
      <c r="AF1293" s="4">
        <v>0</v>
      </c>
      <c r="AG1293" s="4" t="s">
        <v>776</v>
      </c>
      <c r="AH1293" s="4" t="s">
        <v>722</v>
      </c>
      <c r="AI1293" s="4" t="s">
        <v>78</v>
      </c>
      <c r="AJ1293" s="13">
        <v>0</v>
      </c>
      <c r="AK1293" s="13">
        <v>15</v>
      </c>
      <c r="AL1293" s="13" t="s">
        <v>565</v>
      </c>
      <c r="AM1293" s="13" t="s">
        <v>566</v>
      </c>
      <c r="AO1293" s="13" t="s">
        <v>567</v>
      </c>
      <c r="AP1293" s="13" t="s">
        <v>49</v>
      </c>
      <c r="AQ1293" s="13" t="s">
        <v>49</v>
      </c>
      <c r="AR1293" s="13" t="s">
        <v>49</v>
      </c>
      <c r="AS1293" s="13" t="s">
        <v>49</v>
      </c>
      <c r="AT1293" s="13" t="s">
        <v>992</v>
      </c>
      <c r="AU1293" s="4" t="s">
        <v>1000</v>
      </c>
      <c r="AV1293" s="14">
        <v>31.44</v>
      </c>
      <c r="AW1293" s="14">
        <v>46.4</v>
      </c>
      <c r="AX1293" s="14">
        <f>Table1347456[[#This Row],[treatment_mean]]/Table1347456[[#This Row],[control_mean]]</f>
        <v>0.6775862068965518</v>
      </c>
      <c r="AY1293" s="14">
        <f>LN(Table1347456[[#This Row],[rr]])</f>
        <v>-0.38921849167120365</v>
      </c>
      <c r="AZ1293" s="13">
        <v>3</v>
      </c>
      <c r="BA1293" s="13">
        <v>3</v>
      </c>
      <c r="BB1293" s="14">
        <v>0</v>
      </c>
      <c r="BC1293" s="14">
        <v>0</v>
      </c>
      <c r="BD1293" s="15">
        <f>Table1347456[[#This Row],[treatment_se]]*SQRT(Table1347456[[#This Row],[treatment_n]])</f>
        <v>0</v>
      </c>
      <c r="BE1293" s="14">
        <f>Table1347456[[#This Row],[control_se]]*SQRT(Table1347456[[#This Row],[control_n]])</f>
        <v>0</v>
      </c>
      <c r="BF129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93" s="17">
        <f>SQRT(Table1347456[[#This Row],[v_from_sd_and_n]])</f>
        <v>0</v>
      </c>
      <c r="BH1293" s="13" t="s">
        <v>50</v>
      </c>
      <c r="BI1293" s="13">
        <v>2.5000000000000001E-2</v>
      </c>
      <c r="BJ1293" s="18">
        <f>ABS(_xlfn.NORM.S.INV(Table1347456[[#This Row],[p_value]]/2))</f>
        <v>2.2414027276049446</v>
      </c>
      <c r="BK1293" s="19">
        <f>(Table1347456[[#This Row],[lnrr]]/Table1347456[[#This Row],[z_from_p]])^2</f>
        <v>3.0154153300947718E-2</v>
      </c>
      <c r="BL1293" s="16">
        <f>(Table1347456[[#This Row],[lnrr]]/Table1347456[[#This Row],[z_from_p]])^2</f>
        <v>3.0154153300947718E-2</v>
      </c>
      <c r="BM1293" s="20">
        <f>SQRT(Table1347456[[#This Row],[v]])</f>
        <v>0.17364951281517527</v>
      </c>
      <c r="BN1293" s="20">
        <f>Table1347456[[#This Row],[lnrr]]-(1.96*Table1347456[[#This Row],[se]])</f>
        <v>-0.72957153678894715</v>
      </c>
      <c r="BO1293" s="20">
        <f>Table1347456[[#This Row],[lnrr]]+(1.96 * Table1347456[[#This Row],[se]])</f>
        <v>-4.8865446553460146E-2</v>
      </c>
    </row>
    <row r="1294" spans="1:67">
      <c r="A1294" s="13" t="s">
        <v>412</v>
      </c>
      <c r="B1294" s="13" t="s">
        <v>413</v>
      </c>
      <c r="C1294" s="13" t="s">
        <v>341</v>
      </c>
      <c r="D1294" s="13" t="s">
        <v>414</v>
      </c>
      <c r="E1294" s="13" t="s">
        <v>415</v>
      </c>
      <c r="F1294" s="13" t="s">
        <v>590</v>
      </c>
      <c r="G1294" s="13" t="s">
        <v>46</v>
      </c>
      <c r="H1294" s="13" t="s">
        <v>46</v>
      </c>
      <c r="I1294" s="13" t="s">
        <v>46</v>
      </c>
      <c r="J1294" s="13" t="s">
        <v>656</v>
      </c>
      <c r="K1294" s="13" t="s">
        <v>946</v>
      </c>
      <c r="L1294" s="13" t="s">
        <v>947</v>
      </c>
      <c r="M1294" s="13" t="s">
        <v>803</v>
      </c>
      <c r="N1294" s="13" t="s">
        <v>119</v>
      </c>
      <c r="O1294" s="13" t="s">
        <v>645</v>
      </c>
      <c r="P1294" s="13" t="s">
        <v>418</v>
      </c>
      <c r="Q1294" s="13" t="s">
        <v>48</v>
      </c>
      <c r="R1294" s="4">
        <v>3</v>
      </c>
      <c r="S1294" s="13" t="s">
        <v>596</v>
      </c>
      <c r="T1294" s="13">
        <v>90</v>
      </c>
      <c r="U1294" s="4" t="s">
        <v>416</v>
      </c>
      <c r="V1294" s="4">
        <v>550</v>
      </c>
      <c r="W1294" s="4" t="s">
        <v>601</v>
      </c>
      <c r="X1294" s="4">
        <v>261</v>
      </c>
      <c r="Y1294" s="4">
        <v>1.5</v>
      </c>
      <c r="AA1294" s="4" t="s">
        <v>49</v>
      </c>
      <c r="AB1294" s="4">
        <v>0</v>
      </c>
      <c r="AC1294" s="4" t="s">
        <v>49</v>
      </c>
      <c r="AD1294" s="4">
        <v>0</v>
      </c>
      <c r="AE1294" s="4" t="s">
        <v>49</v>
      </c>
      <c r="AF1294" s="4">
        <v>0</v>
      </c>
      <c r="AG1294" s="4" t="s">
        <v>768</v>
      </c>
      <c r="AH1294" s="4" t="s">
        <v>722</v>
      </c>
      <c r="AI1294" s="4" t="s">
        <v>78</v>
      </c>
      <c r="AJ1294" s="13">
        <v>0</v>
      </c>
      <c r="AK1294" s="13">
        <v>15</v>
      </c>
      <c r="AL1294" s="13" t="s">
        <v>565</v>
      </c>
      <c r="AM1294" s="13" t="s">
        <v>566</v>
      </c>
      <c r="AO1294" s="13" t="s">
        <v>567</v>
      </c>
      <c r="AP1294" s="13" t="s">
        <v>49</v>
      </c>
      <c r="AQ1294" s="13" t="s">
        <v>49</v>
      </c>
      <c r="AR1294" s="13" t="s">
        <v>49</v>
      </c>
      <c r="AS1294" s="13" t="s">
        <v>49</v>
      </c>
      <c r="AT1294" s="13" t="s">
        <v>990</v>
      </c>
      <c r="AU1294" s="13" t="s">
        <v>998</v>
      </c>
      <c r="AV1294" s="23">
        <v>5.44</v>
      </c>
      <c r="AW1294" s="23">
        <v>5.05</v>
      </c>
      <c r="AX1294" s="14">
        <f>Table1347456[[#This Row],[treatment_mean]]/Table1347456[[#This Row],[control_mean]]</f>
        <v>1.0772277227722773</v>
      </c>
      <c r="AY1294" s="14">
        <f>LN(Table1347456[[#This Row],[rr]])</f>
        <v>7.4390817580582871E-2</v>
      </c>
      <c r="AZ1294" s="13">
        <v>3</v>
      </c>
      <c r="BA1294" s="13">
        <v>3</v>
      </c>
      <c r="BB1294" s="14">
        <v>0</v>
      </c>
      <c r="BC1294" s="14">
        <v>0</v>
      </c>
      <c r="BD1294" s="15">
        <f>Table1347456[[#This Row],[treatment_se]]*SQRT(Table1347456[[#This Row],[treatment_n]])</f>
        <v>0</v>
      </c>
      <c r="BE1294" s="14">
        <f>Table1347456[[#This Row],[control_se]]*SQRT(Table1347456[[#This Row],[control_n]])</f>
        <v>0</v>
      </c>
      <c r="BF129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94" s="17">
        <f>SQRT(Table1347456[[#This Row],[v_from_sd_and_n]])</f>
        <v>0</v>
      </c>
      <c r="BH1294" s="13" t="s">
        <v>50</v>
      </c>
      <c r="BI1294" s="13">
        <v>2.5000000000000001E-2</v>
      </c>
      <c r="BJ1294" s="18">
        <f>ABS(_xlfn.NORM.S.INV(Table1347456[[#This Row],[p_value]]/2))</f>
        <v>2.2414027276049446</v>
      </c>
      <c r="BK1294" s="19">
        <f>(Table1347456[[#This Row],[lnrr]]/Table1347456[[#This Row],[z_from_p]])^2</f>
        <v>1.1015364468806388E-3</v>
      </c>
      <c r="BL1294" s="16">
        <f>(Table1347456[[#This Row],[lnrr]]/Table1347456[[#This Row],[z_from_p]])^2</f>
        <v>1.1015364468806388E-3</v>
      </c>
      <c r="BM1294" s="20">
        <f>SQRT(Table1347456[[#This Row],[v]])</f>
        <v>3.3189402629162201E-2</v>
      </c>
      <c r="BN1294" s="20">
        <f>Table1347456[[#This Row],[lnrr]]-(1.96*Table1347456[[#This Row],[se]])</f>
        <v>9.3395884274249524E-3</v>
      </c>
      <c r="BO1294" s="20">
        <f>Table1347456[[#This Row],[lnrr]]+(1.96 * Table1347456[[#This Row],[se]])</f>
        <v>0.13944204673374078</v>
      </c>
    </row>
    <row r="1295" spans="1:67">
      <c r="A1295" s="13" t="s">
        <v>412</v>
      </c>
      <c r="B1295" s="13" t="s">
        <v>413</v>
      </c>
      <c r="C1295" s="13" t="s">
        <v>341</v>
      </c>
      <c r="D1295" s="13" t="s">
        <v>414</v>
      </c>
      <c r="E1295" s="13" t="s">
        <v>415</v>
      </c>
      <c r="F1295" s="13" t="s">
        <v>590</v>
      </c>
      <c r="G1295" s="13" t="s">
        <v>46</v>
      </c>
      <c r="H1295" s="13" t="s">
        <v>46</v>
      </c>
      <c r="I1295" s="13" t="s">
        <v>46</v>
      </c>
      <c r="J1295" s="13" t="s">
        <v>656</v>
      </c>
      <c r="K1295" s="13" t="s">
        <v>946</v>
      </c>
      <c r="L1295" s="13" t="s">
        <v>947</v>
      </c>
      <c r="M1295" s="13" t="s">
        <v>803</v>
      </c>
      <c r="N1295" s="13" t="s">
        <v>119</v>
      </c>
      <c r="O1295" s="13" t="s">
        <v>645</v>
      </c>
      <c r="P1295" s="13" t="s">
        <v>418</v>
      </c>
      <c r="Q1295" s="13" t="s">
        <v>48</v>
      </c>
      <c r="R1295" s="4">
        <v>3</v>
      </c>
      <c r="S1295" s="13" t="s">
        <v>596</v>
      </c>
      <c r="T1295" s="13">
        <v>90</v>
      </c>
      <c r="U1295" s="4" t="s">
        <v>416</v>
      </c>
      <c r="V1295" s="4">
        <v>550</v>
      </c>
      <c r="W1295" s="4" t="s">
        <v>601</v>
      </c>
      <c r="X1295" s="4">
        <v>261</v>
      </c>
      <c r="Y1295" s="4">
        <v>5</v>
      </c>
      <c r="AA1295" s="4" t="s">
        <v>49</v>
      </c>
      <c r="AB1295" s="4">
        <v>0</v>
      </c>
      <c r="AC1295" s="4" t="s">
        <v>49</v>
      </c>
      <c r="AD1295" s="4">
        <v>0</v>
      </c>
      <c r="AE1295" s="4" t="s">
        <v>49</v>
      </c>
      <c r="AF1295" s="4">
        <v>0</v>
      </c>
      <c r="AG1295" s="4" t="s">
        <v>768</v>
      </c>
      <c r="AH1295" s="4" t="s">
        <v>722</v>
      </c>
      <c r="AI1295" s="4" t="s">
        <v>78</v>
      </c>
      <c r="AJ1295" s="13">
        <v>0</v>
      </c>
      <c r="AK1295" s="13">
        <v>15</v>
      </c>
      <c r="AL1295" s="13" t="s">
        <v>565</v>
      </c>
      <c r="AM1295" s="13" t="s">
        <v>566</v>
      </c>
      <c r="AO1295" s="13" t="s">
        <v>567</v>
      </c>
      <c r="AP1295" s="13" t="s">
        <v>49</v>
      </c>
      <c r="AQ1295" s="13" t="s">
        <v>49</v>
      </c>
      <c r="AR1295" s="13" t="s">
        <v>49</v>
      </c>
      <c r="AS1295" s="13" t="s">
        <v>49</v>
      </c>
      <c r="AT1295" s="13" t="s">
        <v>990</v>
      </c>
      <c r="AU1295" s="13" t="s">
        <v>998</v>
      </c>
      <c r="AV1295" s="23">
        <v>5.9</v>
      </c>
      <c r="AW1295" s="23">
        <v>5.05</v>
      </c>
      <c r="AX1295" s="14">
        <f>Table1347456[[#This Row],[treatment_mean]]/Table1347456[[#This Row],[control_mean]]</f>
        <v>1.1683168316831685</v>
      </c>
      <c r="AY1295" s="14">
        <f>LN(Table1347456[[#This Row],[rr]])</f>
        <v>0.15556410762440542</v>
      </c>
      <c r="AZ1295" s="13">
        <v>3</v>
      </c>
      <c r="BA1295" s="13">
        <v>3</v>
      </c>
      <c r="BB1295" s="14">
        <v>0</v>
      </c>
      <c r="BC1295" s="14">
        <v>0</v>
      </c>
      <c r="BD1295" s="15">
        <f>Table1347456[[#This Row],[treatment_se]]*SQRT(Table1347456[[#This Row],[treatment_n]])</f>
        <v>0</v>
      </c>
      <c r="BE1295" s="14">
        <f>Table1347456[[#This Row],[control_se]]*SQRT(Table1347456[[#This Row],[control_n]])</f>
        <v>0</v>
      </c>
      <c r="BF129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95" s="17">
        <f>SQRT(Table1347456[[#This Row],[v_from_sd_and_n]])</f>
        <v>0</v>
      </c>
      <c r="BH1295" s="13" t="s">
        <v>50</v>
      </c>
      <c r="BI1295" s="13">
        <v>2.5000000000000001E-2</v>
      </c>
      <c r="BJ1295" s="18">
        <f>ABS(_xlfn.NORM.S.INV(Table1347456[[#This Row],[p_value]]/2))</f>
        <v>2.2414027276049446</v>
      </c>
      <c r="BK1295" s="19">
        <f>(Table1347456[[#This Row],[lnrr]]/Table1347456[[#This Row],[z_from_p]])^2</f>
        <v>4.8170262379912433E-3</v>
      </c>
      <c r="BL1295" s="16">
        <f>(Table1347456[[#This Row],[lnrr]]/Table1347456[[#This Row],[z_from_p]])^2</f>
        <v>4.8170262379912433E-3</v>
      </c>
      <c r="BM1295" s="20">
        <f>SQRT(Table1347456[[#This Row],[v]])</f>
        <v>6.9404799819545934E-2</v>
      </c>
      <c r="BN1295" s="20">
        <f>Table1347456[[#This Row],[lnrr]]-(1.96*Table1347456[[#This Row],[se]])</f>
        <v>1.9530699978095395E-2</v>
      </c>
      <c r="BO1295" s="20">
        <f>Table1347456[[#This Row],[lnrr]]+(1.96 * Table1347456[[#This Row],[se]])</f>
        <v>0.29159751527071542</v>
      </c>
    </row>
    <row r="1296" spans="1:67">
      <c r="A1296" s="13" t="s">
        <v>412</v>
      </c>
      <c r="B1296" s="13" t="s">
        <v>413</v>
      </c>
      <c r="C1296" s="13" t="s">
        <v>341</v>
      </c>
      <c r="D1296" s="13" t="s">
        <v>414</v>
      </c>
      <c r="E1296" s="13" t="s">
        <v>415</v>
      </c>
      <c r="F1296" s="13" t="s">
        <v>590</v>
      </c>
      <c r="G1296" s="13" t="s">
        <v>46</v>
      </c>
      <c r="H1296" s="13" t="s">
        <v>46</v>
      </c>
      <c r="I1296" s="13" t="s">
        <v>46</v>
      </c>
      <c r="J1296" s="13" t="s">
        <v>656</v>
      </c>
      <c r="K1296" s="13" t="s">
        <v>946</v>
      </c>
      <c r="L1296" s="13" t="s">
        <v>947</v>
      </c>
      <c r="M1296" s="13" t="s">
        <v>803</v>
      </c>
      <c r="N1296" s="13" t="s">
        <v>119</v>
      </c>
      <c r="O1296" s="13" t="s">
        <v>645</v>
      </c>
      <c r="P1296" s="13" t="s">
        <v>418</v>
      </c>
      <c r="Q1296" s="13" t="s">
        <v>48</v>
      </c>
      <c r="R1296" s="4">
        <v>3</v>
      </c>
      <c r="S1296" s="13" t="s">
        <v>596</v>
      </c>
      <c r="T1296" s="13">
        <v>90</v>
      </c>
      <c r="U1296" s="4" t="s">
        <v>416</v>
      </c>
      <c r="V1296" s="4">
        <v>550</v>
      </c>
      <c r="W1296" s="4" t="s">
        <v>601</v>
      </c>
      <c r="X1296" s="4">
        <v>261</v>
      </c>
      <c r="Y1296" s="4">
        <v>10</v>
      </c>
      <c r="AA1296" s="4" t="s">
        <v>49</v>
      </c>
      <c r="AB1296" s="4">
        <v>0</v>
      </c>
      <c r="AC1296" s="4" t="s">
        <v>49</v>
      </c>
      <c r="AD1296" s="4">
        <v>0</v>
      </c>
      <c r="AE1296" s="4" t="s">
        <v>49</v>
      </c>
      <c r="AF1296" s="4">
        <v>0</v>
      </c>
      <c r="AG1296" s="4" t="s">
        <v>768</v>
      </c>
      <c r="AH1296" s="4" t="s">
        <v>722</v>
      </c>
      <c r="AI1296" s="4" t="s">
        <v>78</v>
      </c>
      <c r="AJ1296" s="13">
        <v>0</v>
      </c>
      <c r="AK1296" s="13">
        <v>15</v>
      </c>
      <c r="AL1296" s="13" t="s">
        <v>565</v>
      </c>
      <c r="AM1296" s="13" t="s">
        <v>566</v>
      </c>
      <c r="AO1296" s="13" t="s">
        <v>567</v>
      </c>
      <c r="AP1296" s="13" t="s">
        <v>49</v>
      </c>
      <c r="AQ1296" s="13" t="s">
        <v>49</v>
      </c>
      <c r="AR1296" s="13" t="s">
        <v>49</v>
      </c>
      <c r="AS1296" s="13" t="s">
        <v>49</v>
      </c>
      <c r="AT1296" s="13" t="s">
        <v>990</v>
      </c>
      <c r="AU1296" s="13" t="s">
        <v>998</v>
      </c>
      <c r="AV1296" s="23">
        <v>6.6</v>
      </c>
      <c r="AW1296" s="23">
        <v>5.05</v>
      </c>
      <c r="AX1296" s="14">
        <f>Table1347456[[#This Row],[treatment_mean]]/Table1347456[[#This Row],[control_mean]]</f>
        <v>1.306930693069307</v>
      </c>
      <c r="AY1296" s="14">
        <f>LN(Table1347456[[#This Row],[rr]])</f>
        <v>0.26768140574511146</v>
      </c>
      <c r="AZ1296" s="13">
        <v>3</v>
      </c>
      <c r="BA1296" s="13">
        <v>3</v>
      </c>
      <c r="BB1296" s="14">
        <v>0</v>
      </c>
      <c r="BC1296" s="14">
        <v>0</v>
      </c>
      <c r="BD1296" s="15">
        <f>Table1347456[[#This Row],[treatment_se]]*SQRT(Table1347456[[#This Row],[treatment_n]])</f>
        <v>0</v>
      </c>
      <c r="BE1296" s="14">
        <f>Table1347456[[#This Row],[control_se]]*SQRT(Table1347456[[#This Row],[control_n]])</f>
        <v>0</v>
      </c>
      <c r="BF129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96" s="17">
        <f>SQRT(Table1347456[[#This Row],[v_from_sd_and_n]])</f>
        <v>0</v>
      </c>
      <c r="BH1296" s="13" t="s">
        <v>50</v>
      </c>
      <c r="BI1296" s="13">
        <v>2.5000000000000001E-2</v>
      </c>
      <c r="BJ1296" s="18">
        <f>ABS(_xlfn.NORM.S.INV(Table1347456[[#This Row],[p_value]]/2))</f>
        <v>2.2414027276049446</v>
      </c>
      <c r="BK1296" s="19">
        <f>(Table1347456[[#This Row],[lnrr]]/Table1347456[[#This Row],[z_from_p]])^2</f>
        <v>1.4262531496553569E-2</v>
      </c>
      <c r="BL1296" s="16">
        <f>(Table1347456[[#This Row],[lnrr]]/Table1347456[[#This Row],[z_from_p]])^2</f>
        <v>1.4262531496553569E-2</v>
      </c>
      <c r="BM1296" s="20">
        <f>SQRT(Table1347456[[#This Row],[v]])</f>
        <v>0.11942584099161106</v>
      </c>
      <c r="BN1296" s="20">
        <f>Table1347456[[#This Row],[lnrr]]-(1.96*Table1347456[[#This Row],[se]])</f>
        <v>3.3606757401553777E-2</v>
      </c>
      <c r="BO1296" s="20">
        <f>Table1347456[[#This Row],[lnrr]]+(1.96 * Table1347456[[#This Row],[se]])</f>
        <v>0.50175605408866919</v>
      </c>
    </row>
    <row r="1297" spans="1:67">
      <c r="A1297" s="13" t="s">
        <v>412</v>
      </c>
      <c r="B1297" s="13" t="s">
        <v>413</v>
      </c>
      <c r="C1297" s="13" t="s">
        <v>341</v>
      </c>
      <c r="D1297" s="13" t="s">
        <v>414</v>
      </c>
      <c r="E1297" s="13" t="s">
        <v>415</v>
      </c>
      <c r="F1297" s="13" t="s">
        <v>590</v>
      </c>
      <c r="G1297" s="13" t="s">
        <v>46</v>
      </c>
      <c r="H1297" s="13" t="s">
        <v>46</v>
      </c>
      <c r="I1297" s="13" t="s">
        <v>46</v>
      </c>
      <c r="J1297" s="13" t="s">
        <v>656</v>
      </c>
      <c r="K1297" s="13" t="s">
        <v>946</v>
      </c>
      <c r="L1297" s="13" t="s">
        <v>947</v>
      </c>
      <c r="M1297" s="13" t="s">
        <v>803</v>
      </c>
      <c r="N1297" s="13" t="s">
        <v>119</v>
      </c>
      <c r="O1297" s="13" t="s">
        <v>645</v>
      </c>
      <c r="P1297" s="13" t="s">
        <v>418</v>
      </c>
      <c r="Q1297" s="13" t="s">
        <v>48</v>
      </c>
      <c r="R1297" s="4">
        <v>3</v>
      </c>
      <c r="S1297" s="13" t="s">
        <v>596</v>
      </c>
      <c r="T1297" s="13">
        <v>90</v>
      </c>
      <c r="U1297" s="4" t="s">
        <v>417</v>
      </c>
      <c r="V1297" s="4">
        <v>550</v>
      </c>
      <c r="W1297" s="4" t="s">
        <v>601</v>
      </c>
      <c r="X1297" s="4">
        <v>452</v>
      </c>
      <c r="Y1297" s="4">
        <v>1.5</v>
      </c>
      <c r="AA1297" s="4" t="s">
        <v>49</v>
      </c>
      <c r="AB1297" s="4">
        <v>0</v>
      </c>
      <c r="AC1297" s="4" t="s">
        <v>49</v>
      </c>
      <c r="AD1297" s="4">
        <v>0</v>
      </c>
      <c r="AE1297" s="4" t="s">
        <v>49</v>
      </c>
      <c r="AF1297" s="4">
        <v>0</v>
      </c>
      <c r="AG1297" s="4" t="s">
        <v>776</v>
      </c>
      <c r="AH1297" s="4" t="s">
        <v>722</v>
      </c>
      <c r="AI1297" s="4" t="s">
        <v>78</v>
      </c>
      <c r="AJ1297" s="13">
        <v>0</v>
      </c>
      <c r="AK1297" s="13">
        <v>15</v>
      </c>
      <c r="AL1297" s="13" t="s">
        <v>565</v>
      </c>
      <c r="AM1297" s="13" t="s">
        <v>566</v>
      </c>
      <c r="AO1297" s="13" t="s">
        <v>567</v>
      </c>
      <c r="AP1297" s="13" t="s">
        <v>49</v>
      </c>
      <c r="AQ1297" s="13" t="s">
        <v>49</v>
      </c>
      <c r="AR1297" s="13" t="s">
        <v>49</v>
      </c>
      <c r="AS1297" s="13" t="s">
        <v>49</v>
      </c>
      <c r="AT1297" s="13" t="s">
        <v>990</v>
      </c>
      <c r="AU1297" s="13" t="s">
        <v>998</v>
      </c>
      <c r="AV1297" s="23">
        <v>6.18</v>
      </c>
      <c r="AW1297" s="23">
        <v>5.52</v>
      </c>
      <c r="AX1297" s="14">
        <f>Table1347456[[#This Row],[treatment_mean]]/Table1347456[[#This Row],[control_mean]]</f>
        <v>1.1195652173913044</v>
      </c>
      <c r="AY1297" s="14">
        <f>LN(Table1347456[[#This Row],[rr]])</f>
        <v>0.11294041118059554</v>
      </c>
      <c r="AZ1297" s="13">
        <v>3</v>
      </c>
      <c r="BA1297" s="13">
        <v>3</v>
      </c>
      <c r="BB1297" s="14">
        <v>0</v>
      </c>
      <c r="BC1297" s="14">
        <v>0</v>
      </c>
      <c r="BD1297" s="15">
        <f>Table1347456[[#This Row],[treatment_se]]*SQRT(Table1347456[[#This Row],[treatment_n]])</f>
        <v>0</v>
      </c>
      <c r="BE1297" s="14">
        <f>Table1347456[[#This Row],[control_se]]*SQRT(Table1347456[[#This Row],[control_n]])</f>
        <v>0</v>
      </c>
      <c r="BF129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97" s="17">
        <f>SQRT(Table1347456[[#This Row],[v_from_sd_and_n]])</f>
        <v>0</v>
      </c>
      <c r="BH1297" s="13" t="s">
        <v>50</v>
      </c>
      <c r="BI1297" s="13">
        <v>2.5000000000000001E-2</v>
      </c>
      <c r="BJ1297" s="18">
        <f>ABS(_xlfn.NORM.S.INV(Table1347456[[#This Row],[p_value]]/2))</f>
        <v>2.2414027276049446</v>
      </c>
      <c r="BK1297" s="19">
        <f>(Table1347456[[#This Row],[lnrr]]/Table1347456[[#This Row],[z_from_p]])^2</f>
        <v>2.5389779947342789E-3</v>
      </c>
      <c r="BL1297" s="16">
        <f>(Table1347456[[#This Row],[lnrr]]/Table1347456[[#This Row],[z_from_p]])^2</f>
        <v>2.5389779947342789E-3</v>
      </c>
      <c r="BM1297" s="20">
        <f>SQRT(Table1347456[[#This Row],[v]])</f>
        <v>5.0388272392832431E-2</v>
      </c>
      <c r="BN1297" s="20">
        <f>Table1347456[[#This Row],[lnrr]]-(1.96*Table1347456[[#This Row],[se]])</f>
        <v>1.4179397290643977E-2</v>
      </c>
      <c r="BO1297" s="20">
        <f>Table1347456[[#This Row],[lnrr]]+(1.96 * Table1347456[[#This Row],[se]])</f>
        <v>0.21170142507054712</v>
      </c>
    </row>
    <row r="1298" spans="1:67">
      <c r="A1298" s="13" t="s">
        <v>412</v>
      </c>
      <c r="B1298" s="13" t="s">
        <v>413</v>
      </c>
      <c r="C1298" s="13" t="s">
        <v>341</v>
      </c>
      <c r="D1298" s="13" t="s">
        <v>414</v>
      </c>
      <c r="E1298" s="13" t="s">
        <v>415</v>
      </c>
      <c r="F1298" s="13" t="s">
        <v>590</v>
      </c>
      <c r="G1298" s="13" t="s">
        <v>46</v>
      </c>
      <c r="H1298" s="13" t="s">
        <v>46</v>
      </c>
      <c r="I1298" s="13" t="s">
        <v>46</v>
      </c>
      <c r="J1298" s="13" t="s">
        <v>656</v>
      </c>
      <c r="K1298" s="13" t="s">
        <v>946</v>
      </c>
      <c r="L1298" s="13" t="s">
        <v>947</v>
      </c>
      <c r="M1298" s="13" t="s">
        <v>803</v>
      </c>
      <c r="N1298" s="13" t="s">
        <v>119</v>
      </c>
      <c r="O1298" s="13" t="s">
        <v>645</v>
      </c>
      <c r="P1298" s="13" t="s">
        <v>418</v>
      </c>
      <c r="Q1298" s="13" t="s">
        <v>48</v>
      </c>
      <c r="R1298" s="4">
        <v>3</v>
      </c>
      <c r="S1298" s="13" t="s">
        <v>596</v>
      </c>
      <c r="T1298" s="13">
        <v>90</v>
      </c>
      <c r="U1298" s="4" t="s">
        <v>417</v>
      </c>
      <c r="V1298" s="4">
        <v>550</v>
      </c>
      <c r="W1298" s="4" t="s">
        <v>601</v>
      </c>
      <c r="X1298" s="4">
        <v>452</v>
      </c>
      <c r="Y1298" s="4">
        <v>5</v>
      </c>
      <c r="AA1298" s="4" t="s">
        <v>49</v>
      </c>
      <c r="AB1298" s="4">
        <v>0</v>
      </c>
      <c r="AC1298" s="4" t="s">
        <v>49</v>
      </c>
      <c r="AD1298" s="4">
        <v>0</v>
      </c>
      <c r="AE1298" s="4" t="s">
        <v>49</v>
      </c>
      <c r="AF1298" s="4">
        <v>0</v>
      </c>
      <c r="AG1298" s="4" t="s">
        <v>776</v>
      </c>
      <c r="AH1298" s="4" t="s">
        <v>722</v>
      </c>
      <c r="AI1298" s="4" t="s">
        <v>78</v>
      </c>
      <c r="AJ1298" s="13">
        <v>0</v>
      </c>
      <c r="AK1298" s="13">
        <v>15</v>
      </c>
      <c r="AL1298" s="13" t="s">
        <v>565</v>
      </c>
      <c r="AM1298" s="13" t="s">
        <v>566</v>
      </c>
      <c r="AO1298" s="13" t="s">
        <v>567</v>
      </c>
      <c r="AP1298" s="13" t="s">
        <v>49</v>
      </c>
      <c r="AQ1298" s="13" t="s">
        <v>49</v>
      </c>
      <c r="AR1298" s="13" t="s">
        <v>49</v>
      </c>
      <c r="AS1298" s="13" t="s">
        <v>49</v>
      </c>
      <c r="AT1298" s="13" t="s">
        <v>990</v>
      </c>
      <c r="AU1298" s="13" t="s">
        <v>998</v>
      </c>
      <c r="AV1298" s="23">
        <v>6.76</v>
      </c>
      <c r="AW1298" s="23">
        <v>5.52</v>
      </c>
      <c r="AX1298" s="14">
        <f>Table1347456[[#This Row],[treatment_mean]]/Table1347456[[#This Row],[control_mean]]</f>
        <v>1.2246376811594204</v>
      </c>
      <c r="AY1298" s="14">
        <f>LN(Table1347456[[#This Row],[rr]])</f>
        <v>0.20264502976586887</v>
      </c>
      <c r="AZ1298" s="13">
        <v>3</v>
      </c>
      <c r="BA1298" s="13">
        <v>3</v>
      </c>
      <c r="BB1298" s="14">
        <v>0</v>
      </c>
      <c r="BC1298" s="14">
        <v>0</v>
      </c>
      <c r="BD1298" s="15">
        <f>Table1347456[[#This Row],[treatment_se]]*SQRT(Table1347456[[#This Row],[treatment_n]])</f>
        <v>0</v>
      </c>
      <c r="BE1298" s="14">
        <f>Table1347456[[#This Row],[control_se]]*SQRT(Table1347456[[#This Row],[control_n]])</f>
        <v>0</v>
      </c>
      <c r="BF129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98" s="17">
        <f>SQRT(Table1347456[[#This Row],[v_from_sd_and_n]])</f>
        <v>0</v>
      </c>
      <c r="BH1298" s="13" t="s">
        <v>50</v>
      </c>
      <c r="BI1298" s="13">
        <v>2.5000000000000001E-2</v>
      </c>
      <c r="BJ1298" s="18">
        <f>ABS(_xlfn.NORM.S.INV(Table1347456[[#This Row],[p_value]]/2))</f>
        <v>2.2414027276049446</v>
      </c>
      <c r="BK1298" s="19">
        <f>(Table1347456[[#This Row],[lnrr]]/Table1347456[[#This Row],[z_from_p]])^2</f>
        <v>8.1739527046805725E-3</v>
      </c>
      <c r="BL1298" s="16">
        <f>(Table1347456[[#This Row],[lnrr]]/Table1347456[[#This Row],[z_from_p]])^2</f>
        <v>8.1739527046805725E-3</v>
      </c>
      <c r="BM1298" s="20">
        <f>SQRT(Table1347456[[#This Row],[v]])</f>
        <v>9.0409914858275209E-2</v>
      </c>
      <c r="BN1298" s="20">
        <f>Table1347456[[#This Row],[lnrr]]-(1.96*Table1347456[[#This Row],[se]])</f>
        <v>2.5441596643649478E-2</v>
      </c>
      <c r="BO1298" s="20">
        <f>Table1347456[[#This Row],[lnrr]]+(1.96 * Table1347456[[#This Row],[se]])</f>
        <v>0.37984846288808827</v>
      </c>
    </row>
    <row r="1299" spans="1:67">
      <c r="A1299" s="13" t="s">
        <v>412</v>
      </c>
      <c r="B1299" s="13" t="s">
        <v>413</v>
      </c>
      <c r="C1299" s="13" t="s">
        <v>341</v>
      </c>
      <c r="D1299" s="13" t="s">
        <v>414</v>
      </c>
      <c r="E1299" s="13" t="s">
        <v>415</v>
      </c>
      <c r="F1299" s="13" t="s">
        <v>590</v>
      </c>
      <c r="G1299" s="13" t="s">
        <v>46</v>
      </c>
      <c r="H1299" s="13" t="s">
        <v>46</v>
      </c>
      <c r="I1299" s="13" t="s">
        <v>46</v>
      </c>
      <c r="J1299" s="13" t="s">
        <v>656</v>
      </c>
      <c r="K1299" s="13" t="s">
        <v>946</v>
      </c>
      <c r="L1299" s="13" t="s">
        <v>947</v>
      </c>
      <c r="M1299" s="13" t="s">
        <v>803</v>
      </c>
      <c r="N1299" s="13" t="s">
        <v>119</v>
      </c>
      <c r="O1299" s="13" t="s">
        <v>645</v>
      </c>
      <c r="P1299" s="13" t="s">
        <v>418</v>
      </c>
      <c r="Q1299" s="13" t="s">
        <v>48</v>
      </c>
      <c r="R1299" s="4">
        <v>3</v>
      </c>
      <c r="S1299" s="13" t="s">
        <v>596</v>
      </c>
      <c r="T1299" s="13">
        <v>90</v>
      </c>
      <c r="U1299" s="4" t="s">
        <v>417</v>
      </c>
      <c r="V1299" s="4">
        <v>550</v>
      </c>
      <c r="W1299" s="4" t="s">
        <v>601</v>
      </c>
      <c r="X1299" s="4">
        <v>452</v>
      </c>
      <c r="Y1299" s="4">
        <v>10</v>
      </c>
      <c r="AA1299" s="4" t="s">
        <v>49</v>
      </c>
      <c r="AB1299" s="4">
        <v>0</v>
      </c>
      <c r="AC1299" s="4" t="s">
        <v>49</v>
      </c>
      <c r="AD1299" s="4">
        <v>0</v>
      </c>
      <c r="AE1299" s="4" t="s">
        <v>49</v>
      </c>
      <c r="AF1299" s="4">
        <v>0</v>
      </c>
      <c r="AG1299" s="4" t="s">
        <v>776</v>
      </c>
      <c r="AH1299" s="4" t="s">
        <v>722</v>
      </c>
      <c r="AI1299" s="4" t="s">
        <v>78</v>
      </c>
      <c r="AJ1299" s="13">
        <v>0</v>
      </c>
      <c r="AK1299" s="13">
        <v>15</v>
      </c>
      <c r="AL1299" s="13" t="s">
        <v>565</v>
      </c>
      <c r="AM1299" s="13" t="s">
        <v>566</v>
      </c>
      <c r="AO1299" s="13" t="s">
        <v>567</v>
      </c>
      <c r="AP1299" s="13" t="s">
        <v>49</v>
      </c>
      <c r="AQ1299" s="13" t="s">
        <v>49</v>
      </c>
      <c r="AR1299" s="13" t="s">
        <v>49</v>
      </c>
      <c r="AS1299" s="13" t="s">
        <v>49</v>
      </c>
      <c r="AT1299" s="13" t="s">
        <v>990</v>
      </c>
      <c r="AU1299" s="13" t="s">
        <v>998</v>
      </c>
      <c r="AV1299" s="23">
        <v>7.37</v>
      </c>
      <c r="AW1299" s="23">
        <v>5.52</v>
      </c>
      <c r="AX1299" s="14">
        <f>Table1347456[[#This Row],[treatment_mean]]/Table1347456[[#This Row],[control_mean]]</f>
        <v>1.3351449275362319</v>
      </c>
      <c r="AY1299" s="14">
        <f>LN(Table1347456[[#This Row],[rr]])</f>
        <v>0.2890398459122413</v>
      </c>
      <c r="AZ1299" s="13">
        <v>3</v>
      </c>
      <c r="BA1299" s="13">
        <v>3</v>
      </c>
      <c r="BB1299" s="14">
        <v>0</v>
      </c>
      <c r="BC1299" s="14">
        <v>0</v>
      </c>
      <c r="BD1299" s="15">
        <f>Table1347456[[#This Row],[treatment_se]]*SQRT(Table1347456[[#This Row],[treatment_n]])</f>
        <v>0</v>
      </c>
      <c r="BE1299" s="14">
        <f>Table1347456[[#This Row],[control_se]]*SQRT(Table1347456[[#This Row],[control_n]])</f>
        <v>0</v>
      </c>
      <c r="BF129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299" s="17">
        <f>SQRT(Table1347456[[#This Row],[v_from_sd_and_n]])</f>
        <v>0</v>
      </c>
      <c r="BH1299" s="13" t="s">
        <v>50</v>
      </c>
      <c r="BI1299" s="13">
        <v>2.5000000000000001E-2</v>
      </c>
      <c r="BJ1299" s="18">
        <f>ABS(_xlfn.NORM.S.INV(Table1347456[[#This Row],[p_value]]/2))</f>
        <v>2.2414027276049446</v>
      </c>
      <c r="BK1299" s="19">
        <f>(Table1347456[[#This Row],[lnrr]]/Table1347456[[#This Row],[z_from_p]])^2</f>
        <v>1.6629364083907309E-2</v>
      </c>
      <c r="BL1299" s="16">
        <f>(Table1347456[[#This Row],[lnrr]]/Table1347456[[#This Row],[z_from_p]])^2</f>
        <v>1.6629364083907309E-2</v>
      </c>
      <c r="BM1299" s="20">
        <f>SQRT(Table1347456[[#This Row],[v]])</f>
        <v>0.12895489166335378</v>
      </c>
      <c r="BN1299" s="20">
        <f>Table1347456[[#This Row],[lnrr]]-(1.96*Table1347456[[#This Row],[se]])</f>
        <v>3.6288258252067884E-2</v>
      </c>
      <c r="BO1299" s="20">
        <f>Table1347456[[#This Row],[lnrr]]+(1.96 * Table1347456[[#This Row],[se]])</f>
        <v>0.54179143357241477</v>
      </c>
    </row>
    <row r="1300" spans="1:67">
      <c r="A1300" s="13" t="s">
        <v>412</v>
      </c>
      <c r="B1300" s="13" t="s">
        <v>413</v>
      </c>
      <c r="C1300" s="13" t="s">
        <v>341</v>
      </c>
      <c r="D1300" s="13" t="s">
        <v>414</v>
      </c>
      <c r="E1300" s="13" t="s">
        <v>415</v>
      </c>
      <c r="F1300" s="13" t="s">
        <v>590</v>
      </c>
      <c r="G1300" s="13" t="s">
        <v>46</v>
      </c>
      <c r="H1300" s="13" t="s">
        <v>46</v>
      </c>
      <c r="I1300" s="13" t="s">
        <v>46</v>
      </c>
      <c r="J1300" s="13" t="s">
        <v>656</v>
      </c>
      <c r="K1300" s="13" t="s">
        <v>946</v>
      </c>
      <c r="L1300" s="13" t="s">
        <v>947</v>
      </c>
      <c r="M1300" s="13" t="s">
        <v>803</v>
      </c>
      <c r="N1300" s="13" t="s">
        <v>119</v>
      </c>
      <c r="O1300" s="13" t="s">
        <v>645</v>
      </c>
      <c r="P1300" s="13" t="s">
        <v>418</v>
      </c>
      <c r="Q1300" s="13" t="s">
        <v>48</v>
      </c>
      <c r="R1300" s="4">
        <v>3</v>
      </c>
      <c r="S1300" s="13" t="s">
        <v>596</v>
      </c>
      <c r="T1300" s="13">
        <v>90</v>
      </c>
      <c r="U1300" s="4" t="s">
        <v>416</v>
      </c>
      <c r="V1300" s="4">
        <v>550</v>
      </c>
      <c r="W1300" s="4" t="s">
        <v>601</v>
      </c>
      <c r="X1300" s="4">
        <v>261</v>
      </c>
      <c r="Y1300" s="4">
        <v>1.5</v>
      </c>
      <c r="AA1300" s="4" t="s">
        <v>50</v>
      </c>
      <c r="AB1300" s="4">
        <v>113</v>
      </c>
      <c r="AC1300" s="4" t="s">
        <v>49</v>
      </c>
      <c r="AD1300" s="4">
        <v>0</v>
      </c>
      <c r="AE1300" s="4" t="s">
        <v>49</v>
      </c>
      <c r="AF1300" s="4">
        <v>0</v>
      </c>
      <c r="AG1300" s="4" t="s">
        <v>768</v>
      </c>
      <c r="AH1300" s="4" t="s">
        <v>722</v>
      </c>
      <c r="AI1300" s="4" t="s">
        <v>78</v>
      </c>
      <c r="AJ1300" s="13">
        <v>0</v>
      </c>
      <c r="AK1300" s="13">
        <v>15</v>
      </c>
      <c r="AL1300" s="13" t="s">
        <v>565</v>
      </c>
      <c r="AM1300" s="13" t="s">
        <v>566</v>
      </c>
      <c r="AO1300" s="13" t="s">
        <v>567</v>
      </c>
      <c r="AP1300" s="13" t="s">
        <v>49</v>
      </c>
      <c r="AQ1300" s="13" t="s">
        <v>49</v>
      </c>
      <c r="AR1300" s="13" t="s">
        <v>49</v>
      </c>
      <c r="AS1300" s="13" t="s">
        <v>49</v>
      </c>
      <c r="AT1300" s="13" t="s">
        <v>992</v>
      </c>
      <c r="AU1300" s="4" t="s">
        <v>1000</v>
      </c>
      <c r="AV1300" s="23">
        <v>5.0199999999999996</v>
      </c>
      <c r="AW1300" s="23">
        <v>7.73</v>
      </c>
      <c r="AX1300" s="14">
        <f>Table1347456[[#This Row],[treatment_mean]]/Table1347456[[#This Row],[control_mean]]</f>
        <v>0.64941785252263895</v>
      </c>
      <c r="AY1300" s="14">
        <f>LN(Table1347456[[#This Row],[rr]])</f>
        <v>-0.43167892889569293</v>
      </c>
      <c r="AZ1300" s="13">
        <v>3</v>
      </c>
      <c r="BA1300" s="13">
        <v>3</v>
      </c>
      <c r="BB1300" s="14">
        <v>0</v>
      </c>
      <c r="BC1300" s="14">
        <v>0</v>
      </c>
      <c r="BD1300" s="15">
        <f>Table1347456[[#This Row],[treatment_se]]*SQRT(Table1347456[[#This Row],[treatment_n]])</f>
        <v>0</v>
      </c>
      <c r="BE1300" s="14">
        <f>Table1347456[[#This Row],[control_se]]*SQRT(Table1347456[[#This Row],[control_n]])</f>
        <v>0</v>
      </c>
      <c r="BF130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00" s="17">
        <f>SQRT(Table1347456[[#This Row],[v_from_sd_and_n]])</f>
        <v>0</v>
      </c>
      <c r="BH1300" s="13" t="s">
        <v>50</v>
      </c>
      <c r="BI1300" s="13">
        <v>2.5000000000000001E-2</v>
      </c>
      <c r="BJ1300" s="18">
        <f>ABS(_xlfn.NORM.S.INV(Table1347456[[#This Row],[p_value]]/2))</f>
        <v>2.2414027276049446</v>
      </c>
      <c r="BK1300" s="19">
        <f>(Table1347456[[#This Row],[lnrr]]/Table1347456[[#This Row],[z_from_p]])^2</f>
        <v>3.7092141562253302E-2</v>
      </c>
      <c r="BL1300" s="16">
        <f>(Table1347456[[#This Row],[lnrr]]/Table1347456[[#This Row],[z_from_p]])^2</f>
        <v>3.7092141562253302E-2</v>
      </c>
      <c r="BM1300" s="20">
        <f>SQRT(Table1347456[[#This Row],[v]])</f>
        <v>0.19259320227425811</v>
      </c>
      <c r="BN1300" s="20">
        <f>Table1347456[[#This Row],[lnrr]]-(1.96*Table1347456[[#This Row],[se]])</f>
        <v>-0.80916160535323889</v>
      </c>
      <c r="BO1300" s="20">
        <f>Table1347456[[#This Row],[lnrr]]+(1.96 * Table1347456[[#This Row],[se]])</f>
        <v>-5.4196252438147019E-2</v>
      </c>
    </row>
    <row r="1301" spans="1:67">
      <c r="A1301" s="13" t="s">
        <v>412</v>
      </c>
      <c r="B1301" s="13" t="s">
        <v>413</v>
      </c>
      <c r="C1301" s="13" t="s">
        <v>341</v>
      </c>
      <c r="D1301" s="13" t="s">
        <v>414</v>
      </c>
      <c r="E1301" s="13" t="s">
        <v>415</v>
      </c>
      <c r="F1301" s="13" t="s">
        <v>590</v>
      </c>
      <c r="G1301" s="13" t="s">
        <v>46</v>
      </c>
      <c r="H1301" s="13" t="s">
        <v>46</v>
      </c>
      <c r="I1301" s="13" t="s">
        <v>46</v>
      </c>
      <c r="J1301" s="13" t="s">
        <v>656</v>
      </c>
      <c r="K1301" s="13" t="s">
        <v>946</v>
      </c>
      <c r="L1301" s="13" t="s">
        <v>947</v>
      </c>
      <c r="M1301" s="13" t="s">
        <v>803</v>
      </c>
      <c r="N1301" s="13" t="s">
        <v>119</v>
      </c>
      <c r="O1301" s="13" t="s">
        <v>645</v>
      </c>
      <c r="P1301" s="13" t="s">
        <v>418</v>
      </c>
      <c r="Q1301" s="13" t="s">
        <v>48</v>
      </c>
      <c r="R1301" s="4">
        <v>3</v>
      </c>
      <c r="S1301" s="13" t="s">
        <v>596</v>
      </c>
      <c r="T1301" s="13">
        <v>90</v>
      </c>
      <c r="U1301" s="4" t="s">
        <v>416</v>
      </c>
      <c r="V1301" s="4">
        <v>550</v>
      </c>
      <c r="W1301" s="4" t="s">
        <v>601</v>
      </c>
      <c r="X1301" s="4">
        <v>261</v>
      </c>
      <c r="Y1301" s="4">
        <v>5</v>
      </c>
      <c r="AA1301" s="4" t="s">
        <v>50</v>
      </c>
      <c r="AB1301" s="4">
        <v>113</v>
      </c>
      <c r="AC1301" s="4" t="s">
        <v>49</v>
      </c>
      <c r="AD1301" s="4">
        <v>0</v>
      </c>
      <c r="AE1301" s="4" t="s">
        <v>49</v>
      </c>
      <c r="AF1301" s="4">
        <v>0</v>
      </c>
      <c r="AG1301" s="4" t="s">
        <v>768</v>
      </c>
      <c r="AH1301" s="4" t="s">
        <v>722</v>
      </c>
      <c r="AI1301" s="4" t="s">
        <v>78</v>
      </c>
      <c r="AJ1301" s="13">
        <v>0</v>
      </c>
      <c r="AK1301" s="13">
        <v>15</v>
      </c>
      <c r="AL1301" s="13" t="s">
        <v>565</v>
      </c>
      <c r="AM1301" s="13" t="s">
        <v>566</v>
      </c>
      <c r="AO1301" s="13" t="s">
        <v>567</v>
      </c>
      <c r="AP1301" s="13" t="s">
        <v>49</v>
      </c>
      <c r="AQ1301" s="13" t="s">
        <v>49</v>
      </c>
      <c r="AR1301" s="13" t="s">
        <v>49</v>
      </c>
      <c r="AS1301" s="13" t="s">
        <v>49</v>
      </c>
      <c r="AT1301" s="13" t="s">
        <v>992</v>
      </c>
      <c r="AU1301" s="4" t="s">
        <v>1000</v>
      </c>
      <c r="AV1301" s="23">
        <v>6.02</v>
      </c>
      <c r="AW1301" s="23">
        <v>7.73</v>
      </c>
      <c r="AX1301" s="14">
        <f>Table1347456[[#This Row],[treatment_mean]]/Table1347456[[#This Row],[control_mean]]</f>
        <v>0.77878395860284599</v>
      </c>
      <c r="AY1301" s="14">
        <f>LN(Table1347456[[#This Row],[rr]])</f>
        <v>-0.25002160327860101</v>
      </c>
      <c r="AZ1301" s="13">
        <v>3</v>
      </c>
      <c r="BA1301" s="13">
        <v>3</v>
      </c>
      <c r="BB1301" s="14">
        <v>0</v>
      </c>
      <c r="BC1301" s="14">
        <v>0</v>
      </c>
      <c r="BD1301" s="15">
        <f>Table1347456[[#This Row],[treatment_se]]*SQRT(Table1347456[[#This Row],[treatment_n]])</f>
        <v>0</v>
      </c>
      <c r="BE1301" s="14">
        <f>Table1347456[[#This Row],[control_se]]*SQRT(Table1347456[[#This Row],[control_n]])</f>
        <v>0</v>
      </c>
      <c r="BF130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01" s="17">
        <f>SQRT(Table1347456[[#This Row],[v_from_sd_and_n]])</f>
        <v>0</v>
      </c>
      <c r="BH1301" s="13" t="s">
        <v>50</v>
      </c>
      <c r="BI1301" s="13">
        <v>2.5000000000000001E-2</v>
      </c>
      <c r="BJ1301" s="18">
        <f>ABS(_xlfn.NORM.S.INV(Table1347456[[#This Row],[p_value]]/2))</f>
        <v>2.2414027276049446</v>
      </c>
      <c r="BK1301" s="19">
        <f>(Table1347456[[#This Row],[lnrr]]/Table1347456[[#This Row],[z_from_p]])^2</f>
        <v>1.2442718599764353E-2</v>
      </c>
      <c r="BL1301" s="16">
        <f>(Table1347456[[#This Row],[lnrr]]/Table1347456[[#This Row],[z_from_p]])^2</f>
        <v>1.2442718599764353E-2</v>
      </c>
      <c r="BM1301" s="20">
        <f>SQRT(Table1347456[[#This Row],[v]])</f>
        <v>0.11154693451531671</v>
      </c>
      <c r="BN1301" s="20">
        <f>Table1347456[[#This Row],[lnrr]]-(1.96*Table1347456[[#This Row],[se]])</f>
        <v>-0.46865359492862174</v>
      </c>
      <c r="BO1301" s="20">
        <f>Table1347456[[#This Row],[lnrr]]+(1.96 * Table1347456[[#This Row],[se]])</f>
        <v>-3.1389611628580283E-2</v>
      </c>
    </row>
    <row r="1302" spans="1:67">
      <c r="A1302" s="13" t="s">
        <v>412</v>
      </c>
      <c r="B1302" s="13" t="s">
        <v>413</v>
      </c>
      <c r="C1302" s="13" t="s">
        <v>341</v>
      </c>
      <c r="D1302" s="13" t="s">
        <v>414</v>
      </c>
      <c r="E1302" s="13" t="s">
        <v>415</v>
      </c>
      <c r="F1302" s="13" t="s">
        <v>590</v>
      </c>
      <c r="G1302" s="13" t="s">
        <v>46</v>
      </c>
      <c r="H1302" s="13" t="s">
        <v>46</v>
      </c>
      <c r="I1302" s="13" t="s">
        <v>46</v>
      </c>
      <c r="J1302" s="13" t="s">
        <v>656</v>
      </c>
      <c r="K1302" s="13" t="s">
        <v>946</v>
      </c>
      <c r="L1302" s="13" t="s">
        <v>947</v>
      </c>
      <c r="M1302" s="13" t="s">
        <v>803</v>
      </c>
      <c r="N1302" s="13" t="s">
        <v>119</v>
      </c>
      <c r="O1302" s="13" t="s">
        <v>645</v>
      </c>
      <c r="P1302" s="13" t="s">
        <v>418</v>
      </c>
      <c r="Q1302" s="13" t="s">
        <v>48</v>
      </c>
      <c r="R1302" s="4">
        <v>3</v>
      </c>
      <c r="S1302" s="13" t="s">
        <v>596</v>
      </c>
      <c r="T1302" s="13">
        <v>90</v>
      </c>
      <c r="U1302" s="4" t="s">
        <v>416</v>
      </c>
      <c r="V1302" s="4">
        <v>550</v>
      </c>
      <c r="W1302" s="4" t="s">
        <v>601</v>
      </c>
      <c r="X1302" s="4">
        <v>261</v>
      </c>
      <c r="Y1302" s="4">
        <v>10</v>
      </c>
      <c r="AA1302" s="4" t="s">
        <v>50</v>
      </c>
      <c r="AB1302" s="4">
        <v>113</v>
      </c>
      <c r="AC1302" s="4" t="s">
        <v>49</v>
      </c>
      <c r="AD1302" s="4">
        <v>0</v>
      </c>
      <c r="AE1302" s="4" t="s">
        <v>49</v>
      </c>
      <c r="AF1302" s="4">
        <v>0</v>
      </c>
      <c r="AG1302" s="4" t="s">
        <v>768</v>
      </c>
      <c r="AH1302" s="4" t="s">
        <v>722</v>
      </c>
      <c r="AI1302" s="4" t="s">
        <v>78</v>
      </c>
      <c r="AJ1302" s="13">
        <v>0</v>
      </c>
      <c r="AK1302" s="13">
        <v>15</v>
      </c>
      <c r="AL1302" s="13" t="s">
        <v>565</v>
      </c>
      <c r="AM1302" s="13" t="s">
        <v>566</v>
      </c>
      <c r="AO1302" s="13" t="s">
        <v>567</v>
      </c>
      <c r="AP1302" s="13" t="s">
        <v>49</v>
      </c>
      <c r="AQ1302" s="13" t="s">
        <v>49</v>
      </c>
      <c r="AR1302" s="13" t="s">
        <v>49</v>
      </c>
      <c r="AS1302" s="13" t="s">
        <v>49</v>
      </c>
      <c r="AT1302" s="13" t="s">
        <v>992</v>
      </c>
      <c r="AU1302" s="4" t="s">
        <v>1000</v>
      </c>
      <c r="AV1302" s="23">
        <v>7.3</v>
      </c>
      <c r="AW1302" s="23">
        <v>7.73</v>
      </c>
      <c r="AX1302" s="14">
        <f>Table1347456[[#This Row],[treatment_mean]]/Table1347456[[#This Row],[control_mean]]</f>
        <v>0.94437257438551092</v>
      </c>
      <c r="AY1302" s="14">
        <f>LN(Table1347456[[#This Row],[rr]])</f>
        <v>-5.7234514444985229E-2</v>
      </c>
      <c r="AZ1302" s="13">
        <v>3</v>
      </c>
      <c r="BA1302" s="13">
        <v>3</v>
      </c>
      <c r="BB1302" s="14">
        <v>0</v>
      </c>
      <c r="BC1302" s="14">
        <v>0</v>
      </c>
      <c r="BD1302" s="15">
        <f>Table1347456[[#This Row],[treatment_se]]*SQRT(Table1347456[[#This Row],[treatment_n]])</f>
        <v>0</v>
      </c>
      <c r="BE1302" s="14">
        <f>Table1347456[[#This Row],[control_se]]*SQRT(Table1347456[[#This Row],[control_n]])</f>
        <v>0</v>
      </c>
      <c r="BF130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02" s="17">
        <f>SQRT(Table1347456[[#This Row],[v_from_sd_and_n]])</f>
        <v>0</v>
      </c>
      <c r="BH1302" s="13" t="s">
        <v>50</v>
      </c>
      <c r="BI1302" s="13">
        <v>2.5000000000000001E-2</v>
      </c>
      <c r="BJ1302" s="18">
        <f>ABS(_xlfn.NORM.S.INV(Table1347456[[#This Row],[p_value]]/2))</f>
        <v>2.2414027276049446</v>
      </c>
      <c r="BK1302" s="19">
        <f>(Table1347456[[#This Row],[lnrr]]/Table1347456[[#This Row],[z_from_p]])^2</f>
        <v>6.5204296467234117E-4</v>
      </c>
      <c r="BL1302" s="16">
        <f>(Table1347456[[#This Row],[lnrr]]/Table1347456[[#This Row],[z_from_p]])^2</f>
        <v>6.5204296467234117E-4</v>
      </c>
      <c r="BM1302" s="20">
        <f>SQRT(Table1347456[[#This Row],[v]])</f>
        <v>2.5535131968962704E-2</v>
      </c>
      <c r="BN1302" s="20">
        <f>Table1347456[[#This Row],[lnrr]]-(1.96*Table1347456[[#This Row],[se]])</f>
        <v>-0.10728337310415212</v>
      </c>
      <c r="BO1302" s="20">
        <f>Table1347456[[#This Row],[lnrr]]+(1.96 * Table1347456[[#This Row],[se]])</f>
        <v>-7.1856557858183331E-3</v>
      </c>
    </row>
    <row r="1303" spans="1:67">
      <c r="A1303" s="13" t="s">
        <v>412</v>
      </c>
      <c r="B1303" s="13" t="s">
        <v>413</v>
      </c>
      <c r="C1303" s="13" t="s">
        <v>341</v>
      </c>
      <c r="D1303" s="13" t="s">
        <v>414</v>
      </c>
      <c r="E1303" s="13" t="s">
        <v>415</v>
      </c>
      <c r="F1303" s="13" t="s">
        <v>590</v>
      </c>
      <c r="G1303" s="13" t="s">
        <v>46</v>
      </c>
      <c r="H1303" s="13" t="s">
        <v>46</v>
      </c>
      <c r="I1303" s="13" t="s">
        <v>46</v>
      </c>
      <c r="J1303" s="13" t="s">
        <v>656</v>
      </c>
      <c r="K1303" s="13" t="s">
        <v>946</v>
      </c>
      <c r="L1303" s="13" t="s">
        <v>947</v>
      </c>
      <c r="M1303" s="13" t="s">
        <v>803</v>
      </c>
      <c r="N1303" s="13" t="s">
        <v>119</v>
      </c>
      <c r="O1303" s="13" t="s">
        <v>645</v>
      </c>
      <c r="P1303" s="13" t="s">
        <v>418</v>
      </c>
      <c r="Q1303" s="13" t="s">
        <v>48</v>
      </c>
      <c r="R1303" s="4">
        <v>3</v>
      </c>
      <c r="S1303" s="13" t="s">
        <v>596</v>
      </c>
      <c r="T1303" s="13">
        <v>90</v>
      </c>
      <c r="U1303" s="4" t="s">
        <v>417</v>
      </c>
      <c r="V1303" s="4">
        <v>550</v>
      </c>
      <c r="W1303" s="4" t="s">
        <v>601</v>
      </c>
      <c r="X1303" s="4">
        <v>452</v>
      </c>
      <c r="Y1303" s="4">
        <v>1.5</v>
      </c>
      <c r="AA1303" s="4" t="s">
        <v>50</v>
      </c>
      <c r="AB1303" s="4">
        <v>113</v>
      </c>
      <c r="AC1303" s="4" t="s">
        <v>49</v>
      </c>
      <c r="AD1303" s="4">
        <v>0</v>
      </c>
      <c r="AE1303" s="4" t="s">
        <v>49</v>
      </c>
      <c r="AF1303" s="4">
        <v>0</v>
      </c>
      <c r="AG1303" s="4" t="s">
        <v>776</v>
      </c>
      <c r="AH1303" s="4" t="s">
        <v>722</v>
      </c>
      <c r="AI1303" s="4" t="s">
        <v>78</v>
      </c>
      <c r="AJ1303" s="13">
        <v>0</v>
      </c>
      <c r="AK1303" s="13">
        <v>15</v>
      </c>
      <c r="AL1303" s="13" t="s">
        <v>565</v>
      </c>
      <c r="AM1303" s="13" t="s">
        <v>566</v>
      </c>
      <c r="AO1303" s="13" t="s">
        <v>567</v>
      </c>
      <c r="AP1303" s="13" t="s">
        <v>49</v>
      </c>
      <c r="AQ1303" s="13" t="s">
        <v>49</v>
      </c>
      <c r="AR1303" s="13" t="s">
        <v>49</v>
      </c>
      <c r="AS1303" s="13" t="s">
        <v>49</v>
      </c>
      <c r="AT1303" s="13" t="s">
        <v>992</v>
      </c>
      <c r="AU1303" s="4" t="s">
        <v>1000</v>
      </c>
      <c r="AV1303" s="23">
        <v>5.44</v>
      </c>
      <c r="AW1303" s="23">
        <v>8.15</v>
      </c>
      <c r="AX1303" s="14">
        <f>Table1347456[[#This Row],[treatment_mean]]/Table1347456[[#This Row],[control_mean]]</f>
        <v>0.66748466257668715</v>
      </c>
      <c r="AY1303" s="14">
        <f>LN(Table1347456[[#This Row],[rr]])</f>
        <v>-0.40423886638492001</v>
      </c>
      <c r="AZ1303" s="13">
        <v>3</v>
      </c>
      <c r="BA1303" s="13">
        <v>3</v>
      </c>
      <c r="BB1303" s="14">
        <v>0</v>
      </c>
      <c r="BC1303" s="14">
        <v>0</v>
      </c>
      <c r="BD1303" s="15">
        <f>Table1347456[[#This Row],[treatment_se]]*SQRT(Table1347456[[#This Row],[treatment_n]])</f>
        <v>0</v>
      </c>
      <c r="BE1303" s="14">
        <f>Table1347456[[#This Row],[control_se]]*SQRT(Table1347456[[#This Row],[control_n]])</f>
        <v>0</v>
      </c>
      <c r="BF130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03" s="17">
        <f>SQRT(Table1347456[[#This Row],[v_from_sd_and_n]])</f>
        <v>0</v>
      </c>
      <c r="BH1303" s="13" t="s">
        <v>50</v>
      </c>
      <c r="BI1303" s="13">
        <v>2.5000000000000001E-2</v>
      </c>
      <c r="BJ1303" s="18">
        <f>ABS(_xlfn.NORM.S.INV(Table1347456[[#This Row],[p_value]]/2))</f>
        <v>2.2414027276049446</v>
      </c>
      <c r="BK1303" s="19">
        <f>(Table1347456[[#This Row],[lnrr]]/Table1347456[[#This Row],[z_from_p]])^2</f>
        <v>3.2526425759557741E-2</v>
      </c>
      <c r="BL1303" s="16">
        <f>(Table1347456[[#This Row],[lnrr]]/Table1347456[[#This Row],[z_from_p]])^2</f>
        <v>3.2526425759557741E-2</v>
      </c>
      <c r="BM1303" s="20">
        <f>SQRT(Table1347456[[#This Row],[v]])</f>
        <v>0.18035084075090346</v>
      </c>
      <c r="BN1303" s="20">
        <f>Table1347456[[#This Row],[lnrr]]-(1.96*Table1347456[[#This Row],[se]])</f>
        <v>-0.7577265142566908</v>
      </c>
      <c r="BO1303" s="20">
        <f>Table1347456[[#This Row],[lnrr]]+(1.96 * Table1347456[[#This Row],[se]])</f>
        <v>-5.0751218513149232E-2</v>
      </c>
    </row>
    <row r="1304" spans="1:67">
      <c r="A1304" s="13" t="s">
        <v>412</v>
      </c>
      <c r="B1304" s="13" t="s">
        <v>413</v>
      </c>
      <c r="C1304" s="13" t="s">
        <v>341</v>
      </c>
      <c r="D1304" s="13" t="s">
        <v>414</v>
      </c>
      <c r="E1304" s="13" t="s">
        <v>415</v>
      </c>
      <c r="F1304" s="13" t="s">
        <v>590</v>
      </c>
      <c r="G1304" s="13" t="s">
        <v>46</v>
      </c>
      <c r="H1304" s="13" t="s">
        <v>46</v>
      </c>
      <c r="I1304" s="13" t="s">
        <v>46</v>
      </c>
      <c r="J1304" s="13" t="s">
        <v>656</v>
      </c>
      <c r="K1304" s="13" t="s">
        <v>946</v>
      </c>
      <c r="L1304" s="13" t="s">
        <v>947</v>
      </c>
      <c r="M1304" s="13" t="s">
        <v>803</v>
      </c>
      <c r="N1304" s="13" t="s">
        <v>119</v>
      </c>
      <c r="O1304" s="13" t="s">
        <v>645</v>
      </c>
      <c r="P1304" s="13" t="s">
        <v>418</v>
      </c>
      <c r="Q1304" s="13" t="s">
        <v>48</v>
      </c>
      <c r="R1304" s="4">
        <v>3</v>
      </c>
      <c r="S1304" s="13" t="s">
        <v>596</v>
      </c>
      <c r="T1304" s="13">
        <v>90</v>
      </c>
      <c r="U1304" s="4" t="s">
        <v>417</v>
      </c>
      <c r="V1304" s="4">
        <v>550</v>
      </c>
      <c r="W1304" s="4" t="s">
        <v>601</v>
      </c>
      <c r="X1304" s="4">
        <v>452</v>
      </c>
      <c r="Y1304" s="4">
        <v>10</v>
      </c>
      <c r="AA1304" s="4" t="s">
        <v>50</v>
      </c>
      <c r="AB1304" s="4">
        <v>113</v>
      </c>
      <c r="AC1304" s="4" t="s">
        <v>49</v>
      </c>
      <c r="AD1304" s="4">
        <v>0</v>
      </c>
      <c r="AE1304" s="4" t="s">
        <v>49</v>
      </c>
      <c r="AF1304" s="4">
        <v>0</v>
      </c>
      <c r="AG1304" s="4" t="s">
        <v>776</v>
      </c>
      <c r="AH1304" s="4" t="s">
        <v>722</v>
      </c>
      <c r="AI1304" s="4" t="s">
        <v>78</v>
      </c>
      <c r="AJ1304" s="13">
        <v>0</v>
      </c>
      <c r="AK1304" s="13">
        <v>15</v>
      </c>
      <c r="AL1304" s="13" t="s">
        <v>565</v>
      </c>
      <c r="AM1304" s="13" t="s">
        <v>566</v>
      </c>
      <c r="AO1304" s="13" t="s">
        <v>567</v>
      </c>
      <c r="AP1304" s="13" t="s">
        <v>49</v>
      </c>
      <c r="AQ1304" s="13" t="s">
        <v>49</v>
      </c>
      <c r="AR1304" s="13" t="s">
        <v>49</v>
      </c>
      <c r="AS1304" s="13" t="s">
        <v>49</v>
      </c>
      <c r="AT1304" s="13" t="s">
        <v>992</v>
      </c>
      <c r="AU1304" s="4" t="s">
        <v>1000</v>
      </c>
      <c r="AV1304" s="23">
        <v>6.23</v>
      </c>
      <c r="AW1304" s="23">
        <v>8.15</v>
      </c>
      <c r="AX1304" s="14">
        <f>Table1347456[[#This Row],[treatment_mean]]/Table1347456[[#This Row],[control_mean]]</f>
        <v>0.76441717791411046</v>
      </c>
      <c r="AY1304" s="14">
        <f>LN(Table1347456[[#This Row],[rr]])</f>
        <v>-0.26864159445340952</v>
      </c>
      <c r="AZ1304" s="13">
        <v>3</v>
      </c>
      <c r="BA1304" s="13">
        <v>3</v>
      </c>
      <c r="BB1304" s="14">
        <v>0</v>
      </c>
      <c r="BC1304" s="14">
        <v>0</v>
      </c>
      <c r="BD1304" s="15">
        <f>Table1347456[[#This Row],[treatment_se]]*SQRT(Table1347456[[#This Row],[treatment_n]])</f>
        <v>0</v>
      </c>
      <c r="BE1304" s="14">
        <f>Table1347456[[#This Row],[control_se]]*SQRT(Table1347456[[#This Row],[control_n]])</f>
        <v>0</v>
      </c>
      <c r="BF130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04" s="17">
        <f>SQRT(Table1347456[[#This Row],[v_from_sd_and_n]])</f>
        <v>0</v>
      </c>
      <c r="BH1304" s="13" t="s">
        <v>50</v>
      </c>
      <c r="BI1304" s="13">
        <v>2.5000000000000001E-2</v>
      </c>
      <c r="BJ1304" s="18">
        <f>ABS(_xlfn.NORM.S.INV(Table1347456[[#This Row],[p_value]]/2))</f>
        <v>2.2414027276049446</v>
      </c>
      <c r="BK1304" s="19">
        <f>(Table1347456[[#This Row],[lnrr]]/Table1347456[[#This Row],[z_from_p]])^2</f>
        <v>1.4365036065644215E-2</v>
      </c>
      <c r="BL1304" s="16">
        <f>(Table1347456[[#This Row],[lnrr]]/Table1347456[[#This Row],[z_from_p]])^2</f>
        <v>1.4365036065644215E-2</v>
      </c>
      <c r="BM1304" s="20">
        <f>SQRT(Table1347456[[#This Row],[v]])</f>
        <v>0.11985422840118831</v>
      </c>
      <c r="BN1304" s="20">
        <f>Table1347456[[#This Row],[lnrr]]-(1.96*Table1347456[[#This Row],[se]])</f>
        <v>-0.50355588211973856</v>
      </c>
      <c r="BO1304" s="20">
        <f>Table1347456[[#This Row],[lnrr]]+(1.96 * Table1347456[[#This Row],[se]])</f>
        <v>-3.3727306787080441E-2</v>
      </c>
    </row>
    <row r="1305" spans="1:67">
      <c r="A1305" s="13" t="s">
        <v>412</v>
      </c>
      <c r="B1305" s="13" t="s">
        <v>413</v>
      </c>
      <c r="C1305" s="13" t="s">
        <v>341</v>
      </c>
      <c r="D1305" s="13" t="s">
        <v>414</v>
      </c>
      <c r="E1305" s="13" t="s">
        <v>415</v>
      </c>
      <c r="F1305" s="13" t="s">
        <v>590</v>
      </c>
      <c r="G1305" s="13" t="s">
        <v>46</v>
      </c>
      <c r="H1305" s="13" t="s">
        <v>46</v>
      </c>
      <c r="I1305" s="13" t="s">
        <v>46</v>
      </c>
      <c r="J1305" s="13" t="s">
        <v>656</v>
      </c>
      <c r="K1305" s="13" t="s">
        <v>946</v>
      </c>
      <c r="L1305" s="13" t="s">
        <v>947</v>
      </c>
      <c r="M1305" s="13" t="s">
        <v>803</v>
      </c>
      <c r="N1305" s="13" t="s">
        <v>119</v>
      </c>
      <c r="O1305" s="13" t="s">
        <v>645</v>
      </c>
      <c r="P1305" s="13" t="s">
        <v>418</v>
      </c>
      <c r="Q1305" s="13" t="s">
        <v>48</v>
      </c>
      <c r="R1305" s="4">
        <v>3</v>
      </c>
      <c r="S1305" s="13" t="s">
        <v>596</v>
      </c>
      <c r="T1305" s="13">
        <v>90</v>
      </c>
      <c r="U1305" s="4" t="s">
        <v>417</v>
      </c>
      <c r="V1305" s="4">
        <v>550</v>
      </c>
      <c r="W1305" s="4" t="s">
        <v>601</v>
      </c>
      <c r="X1305" s="4">
        <v>452</v>
      </c>
      <c r="Y1305" s="4">
        <v>20</v>
      </c>
      <c r="AA1305" s="4" t="s">
        <v>50</v>
      </c>
      <c r="AB1305" s="4">
        <v>113</v>
      </c>
      <c r="AC1305" s="4" t="s">
        <v>49</v>
      </c>
      <c r="AD1305" s="4">
        <v>0</v>
      </c>
      <c r="AE1305" s="4" t="s">
        <v>49</v>
      </c>
      <c r="AF1305" s="4">
        <v>0</v>
      </c>
      <c r="AG1305" s="4" t="s">
        <v>776</v>
      </c>
      <c r="AH1305" s="4" t="s">
        <v>722</v>
      </c>
      <c r="AI1305" s="4" t="s">
        <v>78</v>
      </c>
      <c r="AJ1305" s="13">
        <v>0</v>
      </c>
      <c r="AK1305" s="13">
        <v>15</v>
      </c>
      <c r="AL1305" s="13" t="s">
        <v>565</v>
      </c>
      <c r="AM1305" s="13" t="s">
        <v>566</v>
      </c>
      <c r="AO1305" s="13" t="s">
        <v>567</v>
      </c>
      <c r="AP1305" s="13" t="s">
        <v>49</v>
      </c>
      <c r="AQ1305" s="13" t="s">
        <v>49</v>
      </c>
      <c r="AR1305" s="13" t="s">
        <v>49</v>
      </c>
      <c r="AS1305" s="13" t="s">
        <v>49</v>
      </c>
      <c r="AT1305" s="13" t="s">
        <v>992</v>
      </c>
      <c r="AU1305" s="4" t="s">
        <v>1000</v>
      </c>
      <c r="AV1305" s="23">
        <v>7.37</v>
      </c>
      <c r="AW1305" s="23">
        <v>8.15</v>
      </c>
      <c r="AX1305" s="14">
        <f>Table1347456[[#This Row],[treatment_mean]]/Table1347456[[#This Row],[control_mean]]</f>
        <v>0.90429447852760736</v>
      </c>
      <c r="AY1305" s="14">
        <f>LN(Table1347456[[#This Row],[rr]])</f>
        <v>-0.10060022105152611</v>
      </c>
      <c r="AZ1305" s="13">
        <v>3</v>
      </c>
      <c r="BA1305" s="13">
        <v>3</v>
      </c>
      <c r="BB1305" s="14">
        <v>0</v>
      </c>
      <c r="BC1305" s="14">
        <v>0</v>
      </c>
      <c r="BD1305" s="15">
        <f>Table1347456[[#This Row],[treatment_se]]*SQRT(Table1347456[[#This Row],[treatment_n]])</f>
        <v>0</v>
      </c>
      <c r="BE1305" s="14">
        <f>Table1347456[[#This Row],[control_se]]*SQRT(Table1347456[[#This Row],[control_n]])</f>
        <v>0</v>
      </c>
      <c r="BF130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05" s="17">
        <f>SQRT(Table1347456[[#This Row],[v_from_sd_and_n]])</f>
        <v>0</v>
      </c>
      <c r="BH1305" s="13" t="s">
        <v>50</v>
      </c>
      <c r="BI1305" s="13">
        <v>2.5000000000000001E-2</v>
      </c>
      <c r="BJ1305" s="18">
        <f>ABS(_xlfn.NORM.S.INV(Table1347456[[#This Row],[p_value]]/2))</f>
        <v>2.2414027276049446</v>
      </c>
      <c r="BK1305" s="19">
        <f>(Table1347456[[#This Row],[lnrr]]/Table1347456[[#This Row],[z_from_p]])^2</f>
        <v>2.0144573539841604E-3</v>
      </c>
      <c r="BL1305" s="16">
        <f>(Table1347456[[#This Row],[lnrr]]/Table1347456[[#This Row],[z_from_p]])^2</f>
        <v>2.0144573539841604E-3</v>
      </c>
      <c r="BM1305" s="20">
        <f>SQRT(Table1347456[[#This Row],[v]])</f>
        <v>4.4882706624981526E-2</v>
      </c>
      <c r="BN1305" s="20">
        <f>Table1347456[[#This Row],[lnrr]]-(1.96*Table1347456[[#This Row],[se]])</f>
        <v>-0.18857032603648988</v>
      </c>
      <c r="BO1305" s="20">
        <f>Table1347456[[#This Row],[lnrr]]+(1.96 * Table1347456[[#This Row],[se]])</f>
        <v>-1.2630116066562322E-2</v>
      </c>
    </row>
    <row r="1306" spans="1:67">
      <c r="A1306" s="13" t="s">
        <v>412</v>
      </c>
      <c r="B1306" s="13" t="s">
        <v>413</v>
      </c>
      <c r="C1306" s="13" t="s">
        <v>341</v>
      </c>
      <c r="D1306" s="13" t="s">
        <v>414</v>
      </c>
      <c r="E1306" s="13" t="s">
        <v>415</v>
      </c>
      <c r="F1306" s="13" t="s">
        <v>590</v>
      </c>
      <c r="G1306" s="13" t="s">
        <v>46</v>
      </c>
      <c r="H1306" s="13" t="s">
        <v>46</v>
      </c>
      <c r="I1306" s="13" t="s">
        <v>46</v>
      </c>
      <c r="K1306" s="13" t="s">
        <v>946</v>
      </c>
      <c r="L1306" s="13" t="s">
        <v>947</v>
      </c>
      <c r="N1306" s="13" t="s">
        <v>121</v>
      </c>
      <c r="O1306" s="13" t="s">
        <v>645</v>
      </c>
      <c r="P1306" s="13" t="s">
        <v>418</v>
      </c>
      <c r="Q1306" s="13" t="s">
        <v>48</v>
      </c>
      <c r="R1306" s="4">
        <v>3</v>
      </c>
      <c r="S1306" s="13" t="s">
        <v>596</v>
      </c>
      <c r="T1306" s="13">
        <v>90</v>
      </c>
      <c r="U1306" s="4" t="s">
        <v>416</v>
      </c>
      <c r="V1306" s="4">
        <v>550</v>
      </c>
      <c r="W1306" s="4" t="s">
        <v>601</v>
      </c>
      <c r="X1306" s="4">
        <v>261</v>
      </c>
      <c r="Y1306" s="4">
        <v>1.5</v>
      </c>
      <c r="AA1306" s="4" t="s">
        <v>49</v>
      </c>
      <c r="AB1306" s="4">
        <v>0</v>
      </c>
      <c r="AC1306" s="4" t="s">
        <v>49</v>
      </c>
      <c r="AD1306" s="4">
        <v>0</v>
      </c>
      <c r="AE1306" s="4" t="s">
        <v>49</v>
      </c>
      <c r="AF1306" s="4">
        <v>0</v>
      </c>
      <c r="AG1306" s="4" t="s">
        <v>768</v>
      </c>
      <c r="AH1306" s="4" t="s">
        <v>722</v>
      </c>
      <c r="AI1306" s="4" t="s">
        <v>78</v>
      </c>
      <c r="AJ1306" s="13">
        <v>0</v>
      </c>
      <c r="AK1306" s="13">
        <v>15</v>
      </c>
      <c r="AL1306" s="13" t="s">
        <v>565</v>
      </c>
      <c r="AM1306" s="13" t="s">
        <v>566</v>
      </c>
      <c r="AO1306" s="13" t="s">
        <v>567</v>
      </c>
      <c r="AP1306" s="13" t="s">
        <v>49</v>
      </c>
      <c r="AQ1306" s="13" t="s">
        <v>49</v>
      </c>
      <c r="AR1306" s="13" t="s">
        <v>49</v>
      </c>
      <c r="AS1306" s="13" t="s">
        <v>49</v>
      </c>
      <c r="AT1306" s="13" t="s">
        <v>990</v>
      </c>
      <c r="AU1306" s="13" t="s">
        <v>998</v>
      </c>
      <c r="AV1306" s="14">
        <v>41.35</v>
      </c>
      <c r="AW1306" s="14">
        <v>38.29</v>
      </c>
      <c r="AX1306" s="14">
        <f>Table1347456[[#This Row],[treatment_mean]]/Table1347456[[#This Row],[control_mean]]</f>
        <v>1.0799164272656046</v>
      </c>
      <c r="AY1306" s="14">
        <f>LN(Table1347456[[#This Row],[rr]])</f>
        <v>7.6883655980497137E-2</v>
      </c>
      <c r="AZ1306" s="13">
        <v>3</v>
      </c>
      <c r="BA1306" s="13">
        <v>3</v>
      </c>
      <c r="BB1306" s="14">
        <v>0</v>
      </c>
      <c r="BC1306" s="14">
        <v>0</v>
      </c>
      <c r="BD1306" s="15">
        <f>Table1347456[[#This Row],[treatment_se]]*SQRT(Table1347456[[#This Row],[treatment_n]])</f>
        <v>0</v>
      </c>
      <c r="BE1306" s="14">
        <f>Table1347456[[#This Row],[control_se]]*SQRT(Table1347456[[#This Row],[control_n]])</f>
        <v>0</v>
      </c>
      <c r="BF130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06" s="17">
        <f>SQRT(Table1347456[[#This Row],[v_from_sd_and_n]])</f>
        <v>0</v>
      </c>
      <c r="BH1306" s="13" t="s">
        <v>50</v>
      </c>
      <c r="BI1306" s="13">
        <v>2.5000000000000001E-2</v>
      </c>
      <c r="BJ1306" s="18">
        <f>ABS(_xlfn.NORM.S.INV(Table1347456[[#This Row],[p_value]]/2))</f>
        <v>2.2414027276049446</v>
      </c>
      <c r="BK1306" s="19">
        <f>(Table1347456[[#This Row],[lnrr]]/Table1347456[[#This Row],[z_from_p]])^2</f>
        <v>1.1765984213282375E-3</v>
      </c>
      <c r="BL1306" s="16">
        <f>(Table1347456[[#This Row],[lnrr]]/Table1347456[[#This Row],[z_from_p]])^2</f>
        <v>1.1765984213282375E-3</v>
      </c>
      <c r="BM1306" s="20">
        <f>SQRT(Table1347456[[#This Row],[v]])</f>
        <v>3.430158044942299E-2</v>
      </c>
      <c r="BN1306" s="20">
        <f>Table1347456[[#This Row],[lnrr]]-(1.96*Table1347456[[#This Row],[se]])</f>
        <v>9.6525582996280779E-3</v>
      </c>
      <c r="BO1306" s="20">
        <f>Table1347456[[#This Row],[lnrr]]+(1.96 * Table1347456[[#This Row],[se]])</f>
        <v>0.1441147536613662</v>
      </c>
    </row>
    <row r="1307" spans="1:67">
      <c r="A1307" s="13" t="s">
        <v>412</v>
      </c>
      <c r="B1307" s="13" t="s">
        <v>413</v>
      </c>
      <c r="C1307" s="13" t="s">
        <v>341</v>
      </c>
      <c r="D1307" s="13" t="s">
        <v>414</v>
      </c>
      <c r="E1307" s="13" t="s">
        <v>415</v>
      </c>
      <c r="F1307" s="13" t="s">
        <v>590</v>
      </c>
      <c r="G1307" s="13" t="s">
        <v>46</v>
      </c>
      <c r="H1307" s="13" t="s">
        <v>46</v>
      </c>
      <c r="I1307" s="13" t="s">
        <v>46</v>
      </c>
      <c r="K1307" s="13" t="s">
        <v>946</v>
      </c>
      <c r="L1307" s="13" t="s">
        <v>947</v>
      </c>
      <c r="N1307" s="13" t="s">
        <v>121</v>
      </c>
      <c r="O1307" s="13" t="s">
        <v>645</v>
      </c>
      <c r="P1307" s="13" t="s">
        <v>418</v>
      </c>
      <c r="Q1307" s="13" t="s">
        <v>48</v>
      </c>
      <c r="R1307" s="4">
        <v>3</v>
      </c>
      <c r="S1307" s="13" t="s">
        <v>596</v>
      </c>
      <c r="T1307" s="13">
        <v>90</v>
      </c>
      <c r="U1307" s="4" t="s">
        <v>416</v>
      </c>
      <c r="V1307" s="4">
        <v>550</v>
      </c>
      <c r="W1307" s="4" t="s">
        <v>601</v>
      </c>
      <c r="X1307" s="4">
        <v>261</v>
      </c>
      <c r="Y1307" s="4">
        <v>5</v>
      </c>
      <c r="AA1307" s="4" t="s">
        <v>49</v>
      </c>
      <c r="AB1307" s="4">
        <v>0</v>
      </c>
      <c r="AC1307" s="4" t="s">
        <v>49</v>
      </c>
      <c r="AD1307" s="4">
        <v>0</v>
      </c>
      <c r="AE1307" s="4" t="s">
        <v>49</v>
      </c>
      <c r="AF1307" s="4">
        <v>0</v>
      </c>
      <c r="AG1307" s="4" t="s">
        <v>768</v>
      </c>
      <c r="AH1307" s="4" t="s">
        <v>722</v>
      </c>
      <c r="AI1307" s="4" t="s">
        <v>78</v>
      </c>
      <c r="AJ1307" s="13">
        <v>0</v>
      </c>
      <c r="AK1307" s="13">
        <v>15</v>
      </c>
      <c r="AL1307" s="13" t="s">
        <v>565</v>
      </c>
      <c r="AM1307" s="13" t="s">
        <v>566</v>
      </c>
      <c r="AO1307" s="13" t="s">
        <v>567</v>
      </c>
      <c r="AP1307" s="13" t="s">
        <v>49</v>
      </c>
      <c r="AQ1307" s="13" t="s">
        <v>49</v>
      </c>
      <c r="AR1307" s="13" t="s">
        <v>49</v>
      </c>
      <c r="AS1307" s="13" t="s">
        <v>49</v>
      </c>
      <c r="AT1307" s="13" t="s">
        <v>990</v>
      </c>
      <c r="AU1307" s="13" t="s">
        <v>998</v>
      </c>
      <c r="AV1307" s="14">
        <v>41.81</v>
      </c>
      <c r="AW1307" s="14">
        <v>38.29</v>
      </c>
      <c r="AX1307" s="14">
        <f>Table1347456[[#This Row],[treatment_mean]]/Table1347456[[#This Row],[control_mean]]</f>
        <v>1.0919300078349439</v>
      </c>
      <c r="AY1307" s="14">
        <f>LN(Table1347456[[#This Row],[rr]])</f>
        <v>8.794677987927052E-2</v>
      </c>
      <c r="AZ1307" s="13">
        <v>3</v>
      </c>
      <c r="BA1307" s="13">
        <v>3</v>
      </c>
      <c r="BB1307" s="14">
        <v>0</v>
      </c>
      <c r="BC1307" s="14">
        <v>0</v>
      </c>
      <c r="BD1307" s="15">
        <f>Table1347456[[#This Row],[treatment_se]]*SQRT(Table1347456[[#This Row],[treatment_n]])</f>
        <v>0</v>
      </c>
      <c r="BE1307" s="14">
        <f>Table1347456[[#This Row],[control_se]]*SQRT(Table1347456[[#This Row],[control_n]])</f>
        <v>0</v>
      </c>
      <c r="BF130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07" s="17">
        <f>SQRT(Table1347456[[#This Row],[v_from_sd_and_n]])</f>
        <v>0</v>
      </c>
      <c r="BH1307" s="13" t="s">
        <v>50</v>
      </c>
      <c r="BI1307" s="13">
        <v>2.5000000000000001E-2</v>
      </c>
      <c r="BJ1307" s="18">
        <f>ABS(_xlfn.NORM.S.INV(Table1347456[[#This Row],[p_value]]/2))</f>
        <v>2.2414027276049446</v>
      </c>
      <c r="BK1307" s="19">
        <f>(Table1347456[[#This Row],[lnrr]]/Table1347456[[#This Row],[z_from_p]])^2</f>
        <v>1.5395723156831282E-3</v>
      </c>
      <c r="BL1307" s="16">
        <f>(Table1347456[[#This Row],[lnrr]]/Table1347456[[#This Row],[z_from_p]])^2</f>
        <v>1.5395723156831282E-3</v>
      </c>
      <c r="BM1307" s="20">
        <f>SQRT(Table1347456[[#This Row],[v]])</f>
        <v>3.923738415953755E-2</v>
      </c>
      <c r="BN1307" s="20">
        <f>Table1347456[[#This Row],[lnrr]]-(1.96*Table1347456[[#This Row],[se]])</f>
        <v>1.1041506926576919E-2</v>
      </c>
      <c r="BO1307" s="20">
        <f>Table1347456[[#This Row],[lnrr]]+(1.96 * Table1347456[[#This Row],[se]])</f>
        <v>0.16485205283196414</v>
      </c>
    </row>
    <row r="1308" spans="1:67">
      <c r="A1308" s="13" t="s">
        <v>412</v>
      </c>
      <c r="B1308" s="13" t="s">
        <v>413</v>
      </c>
      <c r="C1308" s="13" t="s">
        <v>341</v>
      </c>
      <c r="D1308" s="13" t="s">
        <v>414</v>
      </c>
      <c r="E1308" s="13" t="s">
        <v>415</v>
      </c>
      <c r="F1308" s="13" t="s">
        <v>590</v>
      </c>
      <c r="G1308" s="13" t="s">
        <v>46</v>
      </c>
      <c r="H1308" s="13" t="s">
        <v>46</v>
      </c>
      <c r="I1308" s="13" t="s">
        <v>46</v>
      </c>
      <c r="K1308" s="13" t="s">
        <v>946</v>
      </c>
      <c r="L1308" s="13" t="s">
        <v>947</v>
      </c>
      <c r="N1308" s="13" t="s">
        <v>121</v>
      </c>
      <c r="O1308" s="13" t="s">
        <v>645</v>
      </c>
      <c r="P1308" s="13" t="s">
        <v>418</v>
      </c>
      <c r="Q1308" s="13" t="s">
        <v>48</v>
      </c>
      <c r="R1308" s="4">
        <v>3</v>
      </c>
      <c r="S1308" s="13" t="s">
        <v>596</v>
      </c>
      <c r="T1308" s="13">
        <v>90</v>
      </c>
      <c r="U1308" s="4" t="s">
        <v>416</v>
      </c>
      <c r="V1308" s="4">
        <v>550</v>
      </c>
      <c r="W1308" s="4" t="s">
        <v>601</v>
      </c>
      <c r="X1308" s="4">
        <v>261</v>
      </c>
      <c r="Y1308" s="4">
        <v>10</v>
      </c>
      <c r="AA1308" s="4" t="s">
        <v>49</v>
      </c>
      <c r="AB1308" s="4">
        <v>0</v>
      </c>
      <c r="AC1308" s="4" t="s">
        <v>49</v>
      </c>
      <c r="AD1308" s="4">
        <v>0</v>
      </c>
      <c r="AE1308" s="4" t="s">
        <v>49</v>
      </c>
      <c r="AF1308" s="4">
        <v>0</v>
      </c>
      <c r="AG1308" s="4" t="s">
        <v>768</v>
      </c>
      <c r="AH1308" s="4" t="s">
        <v>722</v>
      </c>
      <c r="AI1308" s="4" t="s">
        <v>78</v>
      </c>
      <c r="AJ1308" s="13">
        <v>0</v>
      </c>
      <c r="AK1308" s="13">
        <v>15</v>
      </c>
      <c r="AL1308" s="13" t="s">
        <v>565</v>
      </c>
      <c r="AM1308" s="13" t="s">
        <v>566</v>
      </c>
      <c r="AO1308" s="13" t="s">
        <v>567</v>
      </c>
      <c r="AP1308" s="13" t="s">
        <v>49</v>
      </c>
      <c r="AQ1308" s="13" t="s">
        <v>49</v>
      </c>
      <c r="AR1308" s="13" t="s">
        <v>49</v>
      </c>
      <c r="AS1308" s="13" t="s">
        <v>49</v>
      </c>
      <c r="AT1308" s="13" t="s">
        <v>990</v>
      </c>
      <c r="AU1308" s="13" t="s">
        <v>998</v>
      </c>
      <c r="AV1308" s="14">
        <v>44.13</v>
      </c>
      <c r="AW1308" s="14">
        <v>38.29</v>
      </c>
      <c r="AX1308" s="14">
        <f>Table1347456[[#This Row],[treatment_mean]]/Table1347456[[#This Row],[control_mean]]</f>
        <v>1.1525202402716115</v>
      </c>
      <c r="AY1308" s="14">
        <f>LN(Table1347456[[#This Row],[rr]])</f>
        <v>0.14195105779225278</v>
      </c>
      <c r="AZ1308" s="13">
        <v>3</v>
      </c>
      <c r="BA1308" s="13">
        <v>3</v>
      </c>
      <c r="BB1308" s="14">
        <v>0</v>
      </c>
      <c r="BC1308" s="14">
        <v>0</v>
      </c>
      <c r="BD1308" s="15">
        <f>Table1347456[[#This Row],[treatment_se]]*SQRT(Table1347456[[#This Row],[treatment_n]])</f>
        <v>0</v>
      </c>
      <c r="BE1308" s="14">
        <f>Table1347456[[#This Row],[control_se]]*SQRT(Table1347456[[#This Row],[control_n]])</f>
        <v>0</v>
      </c>
      <c r="BF130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08" s="17">
        <f>SQRT(Table1347456[[#This Row],[v_from_sd_and_n]])</f>
        <v>0</v>
      </c>
      <c r="BH1308" s="13" t="s">
        <v>50</v>
      </c>
      <c r="BI1308" s="13">
        <v>2.5000000000000001E-2</v>
      </c>
      <c r="BJ1308" s="18">
        <f>ABS(_xlfn.NORM.S.INV(Table1347456[[#This Row],[p_value]]/2))</f>
        <v>2.2414027276049446</v>
      </c>
      <c r="BK1308" s="19">
        <f>(Table1347456[[#This Row],[lnrr]]/Table1347456[[#This Row],[z_from_p]])^2</f>
        <v>4.0108597322960271E-3</v>
      </c>
      <c r="BL1308" s="16">
        <f>(Table1347456[[#This Row],[lnrr]]/Table1347456[[#This Row],[z_from_p]])^2</f>
        <v>4.0108597322960271E-3</v>
      </c>
      <c r="BM1308" s="20">
        <f>SQRT(Table1347456[[#This Row],[v]])</f>
        <v>6.3331348732646037E-2</v>
      </c>
      <c r="BN1308" s="20">
        <f>Table1347456[[#This Row],[lnrr]]-(1.96*Table1347456[[#This Row],[se]])</f>
        <v>1.7821614276266551E-2</v>
      </c>
      <c r="BO1308" s="20">
        <f>Table1347456[[#This Row],[lnrr]]+(1.96 * Table1347456[[#This Row],[se]])</f>
        <v>0.26608050130823901</v>
      </c>
    </row>
    <row r="1309" spans="1:67">
      <c r="A1309" s="13" t="s">
        <v>412</v>
      </c>
      <c r="B1309" s="13" t="s">
        <v>413</v>
      </c>
      <c r="C1309" s="13" t="s">
        <v>341</v>
      </c>
      <c r="D1309" s="13" t="s">
        <v>414</v>
      </c>
      <c r="E1309" s="13" t="s">
        <v>415</v>
      </c>
      <c r="F1309" s="13" t="s">
        <v>590</v>
      </c>
      <c r="G1309" s="13" t="s">
        <v>46</v>
      </c>
      <c r="H1309" s="13" t="s">
        <v>46</v>
      </c>
      <c r="I1309" s="13" t="s">
        <v>46</v>
      </c>
      <c r="K1309" s="13" t="s">
        <v>946</v>
      </c>
      <c r="L1309" s="13" t="s">
        <v>947</v>
      </c>
      <c r="N1309" s="13" t="s">
        <v>121</v>
      </c>
      <c r="O1309" s="13" t="s">
        <v>645</v>
      </c>
      <c r="P1309" s="13" t="s">
        <v>418</v>
      </c>
      <c r="Q1309" s="13" t="s">
        <v>48</v>
      </c>
      <c r="R1309" s="4">
        <v>3</v>
      </c>
      <c r="S1309" s="13" t="s">
        <v>596</v>
      </c>
      <c r="T1309" s="13">
        <v>90</v>
      </c>
      <c r="U1309" s="4" t="s">
        <v>417</v>
      </c>
      <c r="V1309" s="4">
        <v>550</v>
      </c>
      <c r="W1309" s="4" t="s">
        <v>601</v>
      </c>
      <c r="X1309" s="4">
        <v>452</v>
      </c>
      <c r="Y1309" s="4">
        <v>1.5</v>
      </c>
      <c r="AA1309" s="4" t="s">
        <v>49</v>
      </c>
      <c r="AB1309" s="4">
        <v>0</v>
      </c>
      <c r="AC1309" s="4" t="s">
        <v>49</v>
      </c>
      <c r="AD1309" s="4">
        <v>0</v>
      </c>
      <c r="AE1309" s="4" t="s">
        <v>49</v>
      </c>
      <c r="AF1309" s="4">
        <v>0</v>
      </c>
      <c r="AG1309" s="4" t="s">
        <v>776</v>
      </c>
      <c r="AH1309" s="4" t="s">
        <v>722</v>
      </c>
      <c r="AI1309" s="4" t="s">
        <v>78</v>
      </c>
      <c r="AJ1309" s="13">
        <v>0</v>
      </c>
      <c r="AK1309" s="13">
        <v>15</v>
      </c>
      <c r="AL1309" s="13" t="s">
        <v>565</v>
      </c>
      <c r="AM1309" s="13" t="s">
        <v>566</v>
      </c>
      <c r="AO1309" s="13" t="s">
        <v>567</v>
      </c>
      <c r="AP1309" s="13" t="s">
        <v>49</v>
      </c>
      <c r="AQ1309" s="13" t="s">
        <v>49</v>
      </c>
      <c r="AR1309" s="13" t="s">
        <v>49</v>
      </c>
      <c r="AS1309" s="13" t="s">
        <v>49</v>
      </c>
      <c r="AT1309" s="13" t="s">
        <v>990</v>
      </c>
      <c r="AU1309" s="13" t="s">
        <v>998</v>
      </c>
      <c r="AV1309" s="14">
        <v>42.05</v>
      </c>
      <c r="AW1309" s="14">
        <v>40.93</v>
      </c>
      <c r="AX1309" s="14">
        <f>Table1347456[[#This Row],[treatment_mean]]/Table1347456[[#This Row],[control_mean]]</f>
        <v>1.0273637918397263</v>
      </c>
      <c r="AY1309" s="14">
        <f>LN(Table1347456[[#This Row],[rr]])</f>
        <v>2.6996095914645326E-2</v>
      </c>
      <c r="AZ1309" s="13">
        <v>3</v>
      </c>
      <c r="BA1309" s="13">
        <v>3</v>
      </c>
      <c r="BB1309" s="14">
        <v>0</v>
      </c>
      <c r="BC1309" s="14">
        <v>0</v>
      </c>
      <c r="BD1309" s="15">
        <f>Table1347456[[#This Row],[treatment_se]]*SQRT(Table1347456[[#This Row],[treatment_n]])</f>
        <v>0</v>
      </c>
      <c r="BE1309" s="14">
        <f>Table1347456[[#This Row],[control_se]]*SQRT(Table1347456[[#This Row],[control_n]])</f>
        <v>0</v>
      </c>
      <c r="BF130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09" s="17">
        <f>SQRT(Table1347456[[#This Row],[v_from_sd_and_n]])</f>
        <v>0</v>
      </c>
      <c r="BH1309" s="13" t="s">
        <v>50</v>
      </c>
      <c r="BI1309" s="13">
        <v>2.5000000000000001E-2</v>
      </c>
      <c r="BJ1309" s="18">
        <f>ABS(_xlfn.NORM.S.INV(Table1347456[[#This Row],[p_value]]/2))</f>
        <v>2.2414027276049446</v>
      </c>
      <c r="BK1309" s="19">
        <f>(Table1347456[[#This Row],[lnrr]]/Table1347456[[#This Row],[z_from_p]])^2</f>
        <v>1.4506482978712655E-4</v>
      </c>
      <c r="BL1309" s="16">
        <f>(Table1347456[[#This Row],[lnrr]]/Table1347456[[#This Row],[z_from_p]])^2</f>
        <v>1.4506482978712655E-4</v>
      </c>
      <c r="BM1309" s="20">
        <f>SQRT(Table1347456[[#This Row],[v]])</f>
        <v>1.2044286188360294E-2</v>
      </c>
      <c r="BN1309" s="20">
        <f>Table1347456[[#This Row],[lnrr]]-(1.96*Table1347456[[#This Row],[se]])</f>
        <v>3.3892949854591493E-3</v>
      </c>
      <c r="BO1309" s="20">
        <f>Table1347456[[#This Row],[lnrr]]+(1.96 * Table1347456[[#This Row],[se]])</f>
        <v>5.0602896843831499E-2</v>
      </c>
    </row>
    <row r="1310" spans="1:67">
      <c r="A1310" s="13" t="s">
        <v>412</v>
      </c>
      <c r="B1310" s="13" t="s">
        <v>413</v>
      </c>
      <c r="C1310" s="13" t="s">
        <v>341</v>
      </c>
      <c r="D1310" s="13" t="s">
        <v>414</v>
      </c>
      <c r="E1310" s="13" t="s">
        <v>415</v>
      </c>
      <c r="F1310" s="13" t="s">
        <v>590</v>
      </c>
      <c r="G1310" s="13" t="s">
        <v>46</v>
      </c>
      <c r="H1310" s="13" t="s">
        <v>46</v>
      </c>
      <c r="I1310" s="13" t="s">
        <v>46</v>
      </c>
      <c r="K1310" s="13" t="s">
        <v>946</v>
      </c>
      <c r="L1310" s="13" t="s">
        <v>947</v>
      </c>
      <c r="N1310" s="13" t="s">
        <v>121</v>
      </c>
      <c r="O1310" s="13" t="s">
        <v>645</v>
      </c>
      <c r="P1310" s="13" t="s">
        <v>418</v>
      </c>
      <c r="Q1310" s="13" t="s">
        <v>48</v>
      </c>
      <c r="R1310" s="4">
        <v>3</v>
      </c>
      <c r="S1310" s="13" t="s">
        <v>596</v>
      </c>
      <c r="T1310" s="13">
        <v>90</v>
      </c>
      <c r="U1310" s="4" t="s">
        <v>417</v>
      </c>
      <c r="V1310" s="4">
        <v>550</v>
      </c>
      <c r="W1310" s="4" t="s">
        <v>601</v>
      </c>
      <c r="X1310" s="4">
        <v>452</v>
      </c>
      <c r="Y1310" s="4">
        <v>5</v>
      </c>
      <c r="AA1310" s="4" t="s">
        <v>49</v>
      </c>
      <c r="AB1310" s="4">
        <v>0</v>
      </c>
      <c r="AC1310" s="4" t="s">
        <v>49</v>
      </c>
      <c r="AD1310" s="4">
        <v>0</v>
      </c>
      <c r="AE1310" s="4" t="s">
        <v>49</v>
      </c>
      <c r="AF1310" s="4">
        <v>0</v>
      </c>
      <c r="AG1310" s="4" t="s">
        <v>776</v>
      </c>
      <c r="AH1310" s="4" t="s">
        <v>722</v>
      </c>
      <c r="AI1310" s="4" t="s">
        <v>78</v>
      </c>
      <c r="AJ1310" s="13">
        <v>0</v>
      </c>
      <c r="AK1310" s="13">
        <v>15</v>
      </c>
      <c r="AL1310" s="13" t="s">
        <v>565</v>
      </c>
      <c r="AM1310" s="13" t="s">
        <v>566</v>
      </c>
      <c r="AO1310" s="13" t="s">
        <v>567</v>
      </c>
      <c r="AP1310" s="13" t="s">
        <v>49</v>
      </c>
      <c r="AQ1310" s="13" t="s">
        <v>49</v>
      </c>
      <c r="AR1310" s="13" t="s">
        <v>49</v>
      </c>
      <c r="AS1310" s="13" t="s">
        <v>49</v>
      </c>
      <c r="AT1310" s="13" t="s">
        <v>990</v>
      </c>
      <c r="AU1310" s="13" t="s">
        <v>998</v>
      </c>
      <c r="AV1310" s="14">
        <v>45.59</v>
      </c>
      <c r="AW1310" s="14">
        <v>40.93</v>
      </c>
      <c r="AX1310" s="14">
        <f>Table1347456[[#This Row],[treatment_mean]]/Table1347456[[#This Row],[control_mean]]</f>
        <v>1.1138529196188616</v>
      </c>
      <c r="AY1310" s="14">
        <f>LN(Table1347456[[#This Row],[rr]])</f>
        <v>0.1078251037210385</v>
      </c>
      <c r="AZ1310" s="13">
        <v>3</v>
      </c>
      <c r="BA1310" s="13">
        <v>3</v>
      </c>
      <c r="BB1310" s="14">
        <v>0</v>
      </c>
      <c r="BC1310" s="14">
        <v>0</v>
      </c>
      <c r="BD1310" s="15">
        <f>Table1347456[[#This Row],[treatment_se]]*SQRT(Table1347456[[#This Row],[treatment_n]])</f>
        <v>0</v>
      </c>
      <c r="BE1310" s="14">
        <f>Table1347456[[#This Row],[control_se]]*SQRT(Table1347456[[#This Row],[control_n]])</f>
        <v>0</v>
      </c>
      <c r="BF131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10" s="17">
        <f>SQRT(Table1347456[[#This Row],[v_from_sd_and_n]])</f>
        <v>0</v>
      </c>
      <c r="BH1310" s="13" t="s">
        <v>50</v>
      </c>
      <c r="BI1310" s="13">
        <v>2.5000000000000001E-2</v>
      </c>
      <c r="BJ1310" s="18">
        <f>ABS(_xlfn.NORM.S.INV(Table1347456[[#This Row],[p_value]]/2))</f>
        <v>2.2414027276049446</v>
      </c>
      <c r="BK1310" s="19">
        <f>(Table1347456[[#This Row],[lnrr]]/Table1347456[[#This Row],[z_from_p]])^2</f>
        <v>2.3141951387769372E-3</v>
      </c>
      <c r="BL1310" s="16">
        <f>(Table1347456[[#This Row],[lnrr]]/Table1347456[[#This Row],[z_from_p]])^2</f>
        <v>2.3141951387769372E-3</v>
      </c>
      <c r="BM1310" s="20">
        <f>SQRT(Table1347456[[#This Row],[v]])</f>
        <v>4.8106082139132235E-2</v>
      </c>
      <c r="BN1310" s="20">
        <f>Table1347456[[#This Row],[lnrr]]-(1.96*Table1347456[[#This Row],[se]])</f>
        <v>1.3537182728339314E-2</v>
      </c>
      <c r="BO1310" s="20">
        <f>Table1347456[[#This Row],[lnrr]]+(1.96 * Table1347456[[#This Row],[se]])</f>
        <v>0.20211302471373768</v>
      </c>
    </row>
    <row r="1311" spans="1:67">
      <c r="A1311" s="13" t="s">
        <v>412</v>
      </c>
      <c r="B1311" s="13" t="s">
        <v>413</v>
      </c>
      <c r="C1311" s="13" t="s">
        <v>341</v>
      </c>
      <c r="D1311" s="13" t="s">
        <v>414</v>
      </c>
      <c r="E1311" s="13" t="s">
        <v>415</v>
      </c>
      <c r="F1311" s="13" t="s">
        <v>590</v>
      </c>
      <c r="G1311" s="13" t="s">
        <v>46</v>
      </c>
      <c r="H1311" s="13" t="s">
        <v>46</v>
      </c>
      <c r="I1311" s="13" t="s">
        <v>46</v>
      </c>
      <c r="K1311" s="13" t="s">
        <v>946</v>
      </c>
      <c r="L1311" s="13" t="s">
        <v>947</v>
      </c>
      <c r="N1311" s="13" t="s">
        <v>121</v>
      </c>
      <c r="O1311" s="13" t="s">
        <v>645</v>
      </c>
      <c r="P1311" s="13" t="s">
        <v>418</v>
      </c>
      <c r="Q1311" s="13" t="s">
        <v>48</v>
      </c>
      <c r="R1311" s="4">
        <v>3</v>
      </c>
      <c r="S1311" s="13" t="s">
        <v>596</v>
      </c>
      <c r="T1311" s="13">
        <v>90</v>
      </c>
      <c r="U1311" s="4" t="s">
        <v>417</v>
      </c>
      <c r="V1311" s="4">
        <v>550</v>
      </c>
      <c r="W1311" s="4" t="s">
        <v>601</v>
      </c>
      <c r="X1311" s="4">
        <v>452</v>
      </c>
      <c r="Y1311" s="4">
        <v>10</v>
      </c>
      <c r="AA1311" s="4" t="s">
        <v>49</v>
      </c>
      <c r="AB1311" s="4">
        <v>0</v>
      </c>
      <c r="AC1311" s="4" t="s">
        <v>49</v>
      </c>
      <c r="AD1311" s="4">
        <v>0</v>
      </c>
      <c r="AE1311" s="4" t="s">
        <v>49</v>
      </c>
      <c r="AF1311" s="4">
        <v>0</v>
      </c>
      <c r="AG1311" s="4" t="s">
        <v>776</v>
      </c>
      <c r="AH1311" s="4" t="s">
        <v>722</v>
      </c>
      <c r="AI1311" s="4" t="s">
        <v>78</v>
      </c>
      <c r="AJ1311" s="13">
        <v>0</v>
      </c>
      <c r="AK1311" s="13">
        <v>15</v>
      </c>
      <c r="AL1311" s="13" t="s">
        <v>565</v>
      </c>
      <c r="AM1311" s="13" t="s">
        <v>566</v>
      </c>
      <c r="AO1311" s="13" t="s">
        <v>567</v>
      </c>
      <c r="AP1311" s="13" t="s">
        <v>49</v>
      </c>
      <c r="AQ1311" s="13" t="s">
        <v>49</v>
      </c>
      <c r="AR1311" s="13" t="s">
        <v>49</v>
      </c>
      <c r="AS1311" s="13" t="s">
        <v>49</v>
      </c>
      <c r="AT1311" s="13" t="s">
        <v>990</v>
      </c>
      <c r="AU1311" s="13" t="s">
        <v>998</v>
      </c>
      <c r="AV1311" s="14">
        <v>43.3</v>
      </c>
      <c r="AW1311" s="14">
        <v>40.93</v>
      </c>
      <c r="AX1311" s="14">
        <f>Table1347456[[#This Row],[treatment_mean]]/Table1347456[[#This Row],[control_mean]]</f>
        <v>1.057903738089421</v>
      </c>
      <c r="AY1311" s="14">
        <f>LN(Table1347456[[#This Row],[rr]])</f>
        <v>5.6289344504132519E-2</v>
      </c>
      <c r="AZ1311" s="13">
        <v>3</v>
      </c>
      <c r="BA1311" s="13">
        <v>3</v>
      </c>
      <c r="BB1311" s="14">
        <v>0</v>
      </c>
      <c r="BC1311" s="14">
        <v>0</v>
      </c>
      <c r="BD1311" s="15">
        <f>Table1347456[[#This Row],[treatment_se]]*SQRT(Table1347456[[#This Row],[treatment_n]])</f>
        <v>0</v>
      </c>
      <c r="BE1311" s="14">
        <f>Table1347456[[#This Row],[control_se]]*SQRT(Table1347456[[#This Row],[control_n]])</f>
        <v>0</v>
      </c>
      <c r="BF131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11" s="17">
        <f>SQRT(Table1347456[[#This Row],[v_from_sd_and_n]])</f>
        <v>0</v>
      </c>
      <c r="BH1311" s="13" t="s">
        <v>50</v>
      </c>
      <c r="BI1311" s="13">
        <v>2.5000000000000001E-2</v>
      </c>
      <c r="BJ1311" s="18">
        <f>ABS(_xlfn.NORM.S.INV(Table1347456[[#This Row],[p_value]]/2))</f>
        <v>2.2414027276049446</v>
      </c>
      <c r="BK1311" s="19">
        <f>(Table1347456[[#This Row],[lnrr]]/Table1347456[[#This Row],[z_from_p]])^2</f>
        <v>6.3068512831863639E-4</v>
      </c>
      <c r="BL1311" s="16">
        <f>(Table1347456[[#This Row],[lnrr]]/Table1347456[[#This Row],[z_from_p]])^2</f>
        <v>6.3068512831863639E-4</v>
      </c>
      <c r="BM1311" s="20">
        <f>SQRT(Table1347456[[#This Row],[v]])</f>
        <v>2.5113445170239713E-2</v>
      </c>
      <c r="BN1311" s="20">
        <f>Table1347456[[#This Row],[lnrr]]-(1.96*Table1347456[[#This Row],[se]])</f>
        <v>7.0669919704626841E-3</v>
      </c>
      <c r="BO1311" s="20">
        <f>Table1347456[[#This Row],[lnrr]]+(1.96 * Table1347456[[#This Row],[se]])</f>
        <v>0.10551169703780236</v>
      </c>
    </row>
    <row r="1312" spans="1:67">
      <c r="A1312" s="13" t="s">
        <v>412</v>
      </c>
      <c r="B1312" s="13" t="s">
        <v>413</v>
      </c>
      <c r="C1312" s="13" t="s">
        <v>341</v>
      </c>
      <c r="D1312" s="13" t="s">
        <v>414</v>
      </c>
      <c r="E1312" s="13" t="s">
        <v>415</v>
      </c>
      <c r="F1312" s="13" t="s">
        <v>590</v>
      </c>
      <c r="G1312" s="13" t="s">
        <v>46</v>
      </c>
      <c r="H1312" s="13" t="s">
        <v>46</v>
      </c>
      <c r="I1312" s="13" t="s">
        <v>46</v>
      </c>
      <c r="K1312" s="13" t="s">
        <v>946</v>
      </c>
      <c r="L1312" s="13" t="s">
        <v>947</v>
      </c>
      <c r="N1312" s="13" t="s">
        <v>121</v>
      </c>
      <c r="O1312" s="13" t="s">
        <v>645</v>
      </c>
      <c r="P1312" s="13" t="s">
        <v>418</v>
      </c>
      <c r="Q1312" s="13" t="s">
        <v>48</v>
      </c>
      <c r="R1312" s="4">
        <v>3</v>
      </c>
      <c r="S1312" s="13" t="s">
        <v>596</v>
      </c>
      <c r="T1312" s="13">
        <v>90</v>
      </c>
      <c r="U1312" s="4" t="s">
        <v>416</v>
      </c>
      <c r="V1312" s="4">
        <v>550</v>
      </c>
      <c r="W1312" s="4" t="s">
        <v>601</v>
      </c>
      <c r="X1312" s="4">
        <v>261</v>
      </c>
      <c r="Y1312" s="4">
        <v>1.5</v>
      </c>
      <c r="AA1312" s="4" t="s">
        <v>50</v>
      </c>
      <c r="AB1312" s="4">
        <v>113</v>
      </c>
      <c r="AC1312" s="4" t="s">
        <v>49</v>
      </c>
      <c r="AD1312" s="4">
        <v>0</v>
      </c>
      <c r="AE1312" s="4" t="s">
        <v>49</v>
      </c>
      <c r="AF1312" s="4">
        <v>0</v>
      </c>
      <c r="AG1312" s="4" t="s">
        <v>768</v>
      </c>
      <c r="AH1312" s="4" t="s">
        <v>722</v>
      </c>
      <c r="AI1312" s="4" t="s">
        <v>78</v>
      </c>
      <c r="AJ1312" s="13">
        <v>0</v>
      </c>
      <c r="AK1312" s="13">
        <v>15</v>
      </c>
      <c r="AL1312" s="13" t="s">
        <v>565</v>
      </c>
      <c r="AM1312" s="13" t="s">
        <v>566</v>
      </c>
      <c r="AO1312" s="13" t="s">
        <v>567</v>
      </c>
      <c r="AP1312" s="13" t="s">
        <v>49</v>
      </c>
      <c r="AQ1312" s="13" t="s">
        <v>49</v>
      </c>
      <c r="AR1312" s="13" t="s">
        <v>49</v>
      </c>
      <c r="AS1312" s="13" t="s">
        <v>49</v>
      </c>
      <c r="AT1312" s="13" t="s">
        <v>992</v>
      </c>
      <c r="AU1312" s="4" t="s">
        <v>1000</v>
      </c>
      <c r="AV1312" s="14">
        <v>43.69</v>
      </c>
      <c r="AW1312" s="14">
        <v>41.52</v>
      </c>
      <c r="AX1312" s="14">
        <f>Table1347456[[#This Row],[treatment_mean]]/Table1347456[[#This Row],[control_mean]]</f>
        <v>1.0522639691714835</v>
      </c>
      <c r="AY1312" s="14">
        <f>LN(Table1347456[[#This Row],[rr]])</f>
        <v>5.0944004105711156E-2</v>
      </c>
      <c r="AZ1312" s="13">
        <v>3</v>
      </c>
      <c r="BA1312" s="13">
        <v>3</v>
      </c>
      <c r="BB1312" s="14">
        <v>0</v>
      </c>
      <c r="BC1312" s="14">
        <v>0</v>
      </c>
      <c r="BD1312" s="15">
        <f>Table1347456[[#This Row],[treatment_se]]*SQRT(Table1347456[[#This Row],[treatment_n]])</f>
        <v>0</v>
      </c>
      <c r="BE1312" s="14">
        <f>Table1347456[[#This Row],[control_se]]*SQRT(Table1347456[[#This Row],[control_n]])</f>
        <v>0</v>
      </c>
      <c r="BF131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12" s="17">
        <f>SQRT(Table1347456[[#This Row],[v_from_sd_and_n]])</f>
        <v>0</v>
      </c>
      <c r="BH1312" s="13" t="s">
        <v>50</v>
      </c>
      <c r="BI1312" s="13">
        <v>2.5000000000000001E-2</v>
      </c>
      <c r="BJ1312" s="18">
        <f>ABS(_xlfn.NORM.S.INV(Table1347456[[#This Row],[p_value]]/2))</f>
        <v>2.2414027276049446</v>
      </c>
      <c r="BK1312" s="19">
        <f>(Table1347456[[#This Row],[lnrr]]/Table1347456[[#This Row],[z_from_p]])^2</f>
        <v>5.1659043568218644E-4</v>
      </c>
      <c r="BL1312" s="16">
        <f>(Table1347456[[#This Row],[lnrr]]/Table1347456[[#This Row],[z_from_p]])^2</f>
        <v>5.1659043568218644E-4</v>
      </c>
      <c r="BM1312" s="20">
        <f>SQRT(Table1347456[[#This Row],[v]])</f>
        <v>2.2728625908360285E-2</v>
      </c>
      <c r="BN1312" s="20">
        <f>Table1347456[[#This Row],[lnrr]]-(1.96*Table1347456[[#This Row],[se]])</f>
        <v>6.3958973253250007E-3</v>
      </c>
      <c r="BO1312" s="20">
        <f>Table1347456[[#This Row],[lnrr]]+(1.96 * Table1347456[[#This Row],[se]])</f>
        <v>9.5492110886097312E-2</v>
      </c>
    </row>
    <row r="1313" spans="1:67">
      <c r="A1313" s="13" t="s">
        <v>412</v>
      </c>
      <c r="B1313" s="13" t="s">
        <v>413</v>
      </c>
      <c r="C1313" s="13" t="s">
        <v>341</v>
      </c>
      <c r="D1313" s="13" t="s">
        <v>414</v>
      </c>
      <c r="E1313" s="13" t="s">
        <v>415</v>
      </c>
      <c r="F1313" s="13" t="s">
        <v>590</v>
      </c>
      <c r="G1313" s="13" t="s">
        <v>46</v>
      </c>
      <c r="H1313" s="13" t="s">
        <v>46</v>
      </c>
      <c r="I1313" s="13" t="s">
        <v>46</v>
      </c>
      <c r="K1313" s="13" t="s">
        <v>946</v>
      </c>
      <c r="L1313" s="13" t="s">
        <v>947</v>
      </c>
      <c r="N1313" s="13" t="s">
        <v>121</v>
      </c>
      <c r="O1313" s="13" t="s">
        <v>645</v>
      </c>
      <c r="P1313" s="13" t="s">
        <v>418</v>
      </c>
      <c r="Q1313" s="13" t="s">
        <v>48</v>
      </c>
      <c r="R1313" s="4">
        <v>3</v>
      </c>
      <c r="S1313" s="13" t="s">
        <v>596</v>
      </c>
      <c r="T1313" s="13">
        <v>90</v>
      </c>
      <c r="U1313" s="4" t="s">
        <v>416</v>
      </c>
      <c r="V1313" s="4">
        <v>550</v>
      </c>
      <c r="W1313" s="4" t="s">
        <v>601</v>
      </c>
      <c r="X1313" s="4">
        <v>261</v>
      </c>
      <c r="Y1313" s="4">
        <v>10</v>
      </c>
      <c r="AA1313" s="4" t="s">
        <v>50</v>
      </c>
      <c r="AB1313" s="4">
        <v>113</v>
      </c>
      <c r="AC1313" s="4" t="s">
        <v>49</v>
      </c>
      <c r="AD1313" s="4">
        <v>0</v>
      </c>
      <c r="AE1313" s="4" t="s">
        <v>49</v>
      </c>
      <c r="AF1313" s="4">
        <v>0</v>
      </c>
      <c r="AG1313" s="4" t="s">
        <v>768</v>
      </c>
      <c r="AH1313" s="4" t="s">
        <v>722</v>
      </c>
      <c r="AI1313" s="4" t="s">
        <v>78</v>
      </c>
      <c r="AJ1313" s="13">
        <v>0</v>
      </c>
      <c r="AK1313" s="13">
        <v>15</v>
      </c>
      <c r="AL1313" s="13" t="s">
        <v>565</v>
      </c>
      <c r="AM1313" s="13" t="s">
        <v>566</v>
      </c>
      <c r="AO1313" s="13" t="s">
        <v>567</v>
      </c>
      <c r="AP1313" s="13" t="s">
        <v>49</v>
      </c>
      <c r="AQ1313" s="13" t="s">
        <v>49</v>
      </c>
      <c r="AR1313" s="13" t="s">
        <v>49</v>
      </c>
      <c r="AS1313" s="13" t="s">
        <v>49</v>
      </c>
      <c r="AT1313" s="13" t="s">
        <v>992</v>
      </c>
      <c r="AU1313" s="4" t="s">
        <v>1000</v>
      </c>
      <c r="AV1313" s="14">
        <v>40.64</v>
      </c>
      <c r="AW1313" s="14">
        <v>41.52</v>
      </c>
      <c r="AX1313" s="14">
        <f>Table1347456[[#This Row],[treatment_mean]]/Table1347456[[#This Row],[control_mean]]</f>
        <v>0.97880539499036601</v>
      </c>
      <c r="AY1313" s="14">
        <f>LN(Table1347456[[#This Row],[rr]])</f>
        <v>-2.1422435587406832E-2</v>
      </c>
      <c r="AZ1313" s="13">
        <v>3</v>
      </c>
      <c r="BA1313" s="13">
        <v>3</v>
      </c>
      <c r="BB1313" s="14">
        <v>0</v>
      </c>
      <c r="BC1313" s="14">
        <v>0</v>
      </c>
      <c r="BD1313" s="15">
        <f>Table1347456[[#This Row],[treatment_se]]*SQRT(Table1347456[[#This Row],[treatment_n]])</f>
        <v>0</v>
      </c>
      <c r="BE1313" s="14">
        <f>Table1347456[[#This Row],[control_se]]*SQRT(Table1347456[[#This Row],[control_n]])</f>
        <v>0</v>
      </c>
      <c r="BF131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13" s="17">
        <f>SQRT(Table1347456[[#This Row],[v_from_sd_and_n]])</f>
        <v>0</v>
      </c>
      <c r="BH1313" s="13" t="s">
        <v>50</v>
      </c>
      <c r="BI1313" s="13">
        <v>2.5000000000000001E-2</v>
      </c>
      <c r="BJ1313" s="18">
        <f>ABS(_xlfn.NORM.S.INV(Table1347456[[#This Row],[p_value]]/2))</f>
        <v>2.2414027276049446</v>
      </c>
      <c r="BK1313" s="19">
        <f>(Table1347456[[#This Row],[lnrr]]/Table1347456[[#This Row],[z_from_p]])^2</f>
        <v>9.1347759361139877E-5</v>
      </c>
      <c r="BL1313" s="16">
        <f>(Table1347456[[#This Row],[lnrr]]/Table1347456[[#This Row],[z_from_p]])^2</f>
        <v>9.1347759361139877E-5</v>
      </c>
      <c r="BM1313" s="20">
        <f>SQRT(Table1347456[[#This Row],[v]])</f>
        <v>9.5576021763379478E-3</v>
      </c>
      <c r="BN1313" s="20">
        <f>Table1347456[[#This Row],[lnrr]]-(1.96*Table1347456[[#This Row],[se]])</f>
        <v>-4.015533585302921E-2</v>
      </c>
      <c r="BO1313" s="20">
        <f>Table1347456[[#This Row],[lnrr]]+(1.96 * Table1347456[[#This Row],[se]])</f>
        <v>-2.6895353217844531E-3</v>
      </c>
    </row>
    <row r="1314" spans="1:67">
      <c r="A1314" s="13" t="s">
        <v>412</v>
      </c>
      <c r="B1314" s="13" t="s">
        <v>413</v>
      </c>
      <c r="C1314" s="13" t="s">
        <v>341</v>
      </c>
      <c r="D1314" s="13" t="s">
        <v>414</v>
      </c>
      <c r="E1314" s="13" t="s">
        <v>415</v>
      </c>
      <c r="F1314" s="13" t="s">
        <v>590</v>
      </c>
      <c r="G1314" s="13" t="s">
        <v>46</v>
      </c>
      <c r="H1314" s="13" t="s">
        <v>46</v>
      </c>
      <c r="I1314" s="13" t="s">
        <v>46</v>
      </c>
      <c r="K1314" s="13" t="s">
        <v>946</v>
      </c>
      <c r="L1314" s="13" t="s">
        <v>947</v>
      </c>
      <c r="N1314" s="13" t="s">
        <v>121</v>
      </c>
      <c r="O1314" s="13" t="s">
        <v>645</v>
      </c>
      <c r="P1314" s="13" t="s">
        <v>418</v>
      </c>
      <c r="Q1314" s="13" t="s">
        <v>48</v>
      </c>
      <c r="R1314" s="4">
        <v>3</v>
      </c>
      <c r="S1314" s="13" t="s">
        <v>596</v>
      </c>
      <c r="T1314" s="13">
        <v>90</v>
      </c>
      <c r="U1314" s="4" t="s">
        <v>416</v>
      </c>
      <c r="V1314" s="4">
        <v>550</v>
      </c>
      <c r="W1314" s="4" t="s">
        <v>601</v>
      </c>
      <c r="X1314" s="4">
        <v>261</v>
      </c>
      <c r="Y1314" s="4">
        <v>20</v>
      </c>
      <c r="AA1314" s="4" t="s">
        <v>50</v>
      </c>
      <c r="AB1314" s="4">
        <v>113</v>
      </c>
      <c r="AC1314" s="4" t="s">
        <v>49</v>
      </c>
      <c r="AD1314" s="4">
        <v>0</v>
      </c>
      <c r="AE1314" s="4" t="s">
        <v>49</v>
      </c>
      <c r="AF1314" s="4">
        <v>0</v>
      </c>
      <c r="AG1314" s="4" t="s">
        <v>768</v>
      </c>
      <c r="AH1314" s="4" t="s">
        <v>722</v>
      </c>
      <c r="AI1314" s="4" t="s">
        <v>78</v>
      </c>
      <c r="AJ1314" s="13">
        <v>0</v>
      </c>
      <c r="AK1314" s="13">
        <v>15</v>
      </c>
      <c r="AL1314" s="13" t="s">
        <v>565</v>
      </c>
      <c r="AM1314" s="13" t="s">
        <v>566</v>
      </c>
      <c r="AO1314" s="13" t="s">
        <v>567</v>
      </c>
      <c r="AP1314" s="13" t="s">
        <v>49</v>
      </c>
      <c r="AQ1314" s="13" t="s">
        <v>49</v>
      </c>
      <c r="AR1314" s="13" t="s">
        <v>49</v>
      </c>
      <c r="AS1314" s="13" t="s">
        <v>49</v>
      </c>
      <c r="AT1314" s="13" t="s">
        <v>992</v>
      </c>
      <c r="AU1314" s="4" t="s">
        <v>1000</v>
      </c>
      <c r="AV1314" s="14">
        <v>43.7</v>
      </c>
      <c r="AW1314" s="14">
        <v>41.52</v>
      </c>
      <c r="AX1314" s="14">
        <f>Table1347456[[#This Row],[treatment_mean]]/Table1347456[[#This Row],[control_mean]]</f>
        <v>1.0525048169556841</v>
      </c>
      <c r="AY1314" s="14">
        <f>LN(Table1347456[[#This Row],[rr]])</f>
        <v>5.1172863243911355E-2</v>
      </c>
      <c r="AZ1314" s="13">
        <v>3</v>
      </c>
      <c r="BA1314" s="13">
        <v>3</v>
      </c>
      <c r="BB1314" s="14">
        <v>0</v>
      </c>
      <c r="BC1314" s="14">
        <v>0</v>
      </c>
      <c r="BD1314" s="15">
        <f>Table1347456[[#This Row],[treatment_se]]*SQRT(Table1347456[[#This Row],[treatment_n]])</f>
        <v>0</v>
      </c>
      <c r="BE1314" s="14">
        <f>Table1347456[[#This Row],[control_se]]*SQRT(Table1347456[[#This Row],[control_n]])</f>
        <v>0</v>
      </c>
      <c r="BF131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14" s="17">
        <f>SQRT(Table1347456[[#This Row],[v_from_sd_and_n]])</f>
        <v>0</v>
      </c>
      <c r="BH1314" s="13" t="s">
        <v>50</v>
      </c>
      <c r="BI1314" s="13">
        <v>2.5000000000000001E-2</v>
      </c>
      <c r="BJ1314" s="18">
        <f>ABS(_xlfn.NORM.S.INV(Table1347456[[#This Row],[p_value]]/2))</f>
        <v>2.2414027276049446</v>
      </c>
      <c r="BK1314" s="19">
        <f>(Table1347456[[#This Row],[lnrr]]/Table1347456[[#This Row],[z_from_p]])^2</f>
        <v>5.2124228832891803E-4</v>
      </c>
      <c r="BL1314" s="16">
        <f>(Table1347456[[#This Row],[lnrr]]/Table1347456[[#This Row],[z_from_p]])^2</f>
        <v>5.2124228832891803E-4</v>
      </c>
      <c r="BM1314" s="20">
        <f>SQRT(Table1347456[[#This Row],[v]])</f>
        <v>2.2830731226329962E-2</v>
      </c>
      <c r="BN1314" s="20">
        <f>Table1347456[[#This Row],[lnrr]]-(1.96*Table1347456[[#This Row],[se]])</f>
        <v>6.4246300403046283E-3</v>
      </c>
      <c r="BO1314" s="20">
        <f>Table1347456[[#This Row],[lnrr]]+(1.96 * Table1347456[[#This Row],[se]])</f>
        <v>9.5921096447518089E-2</v>
      </c>
    </row>
    <row r="1315" spans="1:67">
      <c r="A1315" s="13" t="s">
        <v>412</v>
      </c>
      <c r="B1315" s="13" t="s">
        <v>413</v>
      </c>
      <c r="C1315" s="13" t="s">
        <v>341</v>
      </c>
      <c r="D1315" s="13" t="s">
        <v>414</v>
      </c>
      <c r="E1315" s="13" t="s">
        <v>415</v>
      </c>
      <c r="F1315" s="13" t="s">
        <v>590</v>
      </c>
      <c r="G1315" s="13" t="s">
        <v>46</v>
      </c>
      <c r="H1315" s="13" t="s">
        <v>46</v>
      </c>
      <c r="I1315" s="13" t="s">
        <v>46</v>
      </c>
      <c r="K1315" s="13" t="s">
        <v>946</v>
      </c>
      <c r="L1315" s="13" t="s">
        <v>947</v>
      </c>
      <c r="N1315" s="13" t="s">
        <v>121</v>
      </c>
      <c r="O1315" s="13" t="s">
        <v>645</v>
      </c>
      <c r="P1315" s="13" t="s">
        <v>418</v>
      </c>
      <c r="Q1315" s="13" t="s">
        <v>48</v>
      </c>
      <c r="R1315" s="4">
        <v>3</v>
      </c>
      <c r="S1315" s="13" t="s">
        <v>596</v>
      </c>
      <c r="T1315" s="13">
        <v>90</v>
      </c>
      <c r="U1315" s="4" t="s">
        <v>417</v>
      </c>
      <c r="V1315" s="4">
        <v>550</v>
      </c>
      <c r="W1315" s="4" t="s">
        <v>601</v>
      </c>
      <c r="X1315" s="4">
        <v>452</v>
      </c>
      <c r="Y1315" s="4">
        <v>1.5</v>
      </c>
      <c r="AA1315" s="4" t="s">
        <v>50</v>
      </c>
      <c r="AB1315" s="4">
        <v>113</v>
      </c>
      <c r="AC1315" s="4" t="s">
        <v>49</v>
      </c>
      <c r="AD1315" s="4">
        <v>0</v>
      </c>
      <c r="AE1315" s="4" t="s">
        <v>49</v>
      </c>
      <c r="AF1315" s="4">
        <v>0</v>
      </c>
      <c r="AG1315" s="4" t="s">
        <v>776</v>
      </c>
      <c r="AH1315" s="4" t="s">
        <v>722</v>
      </c>
      <c r="AI1315" s="4" t="s">
        <v>78</v>
      </c>
      <c r="AJ1315" s="13">
        <v>0</v>
      </c>
      <c r="AK1315" s="13">
        <v>15</v>
      </c>
      <c r="AL1315" s="13" t="s">
        <v>565</v>
      </c>
      <c r="AM1315" s="13" t="s">
        <v>566</v>
      </c>
      <c r="AO1315" s="13" t="s">
        <v>567</v>
      </c>
      <c r="AP1315" s="13" t="s">
        <v>49</v>
      </c>
      <c r="AQ1315" s="13" t="s">
        <v>49</v>
      </c>
      <c r="AR1315" s="13" t="s">
        <v>49</v>
      </c>
      <c r="AS1315" s="13" t="s">
        <v>49</v>
      </c>
      <c r="AT1315" s="13" t="s">
        <v>992</v>
      </c>
      <c r="AU1315" s="4" t="s">
        <v>1000</v>
      </c>
      <c r="AV1315" s="14">
        <v>51.25</v>
      </c>
      <c r="AW1315" s="14">
        <v>44.22</v>
      </c>
      <c r="AX1315" s="14">
        <f>Table1347456[[#This Row],[treatment_mean]]/Table1347456[[#This Row],[control_mean]]</f>
        <v>1.1589778380823157</v>
      </c>
      <c r="AY1315" s="14">
        <f>LN(Table1347456[[#This Row],[rr]])</f>
        <v>0.14753844258921733</v>
      </c>
      <c r="AZ1315" s="13">
        <v>3</v>
      </c>
      <c r="BA1315" s="13">
        <v>3</v>
      </c>
      <c r="BB1315" s="14">
        <v>0</v>
      </c>
      <c r="BC1315" s="14">
        <v>0</v>
      </c>
      <c r="BD1315" s="15">
        <f>Table1347456[[#This Row],[treatment_se]]*SQRT(Table1347456[[#This Row],[treatment_n]])</f>
        <v>0</v>
      </c>
      <c r="BE1315" s="14">
        <f>Table1347456[[#This Row],[control_se]]*SQRT(Table1347456[[#This Row],[control_n]])</f>
        <v>0</v>
      </c>
      <c r="BF131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15" s="17">
        <f>SQRT(Table1347456[[#This Row],[v_from_sd_and_n]])</f>
        <v>0</v>
      </c>
      <c r="BH1315" s="13" t="s">
        <v>50</v>
      </c>
      <c r="BI1315" s="13">
        <v>2.5000000000000001E-2</v>
      </c>
      <c r="BJ1315" s="18">
        <f>ABS(_xlfn.NORM.S.INV(Table1347456[[#This Row],[p_value]]/2))</f>
        <v>2.2414027276049446</v>
      </c>
      <c r="BK1315" s="19">
        <f>(Table1347456[[#This Row],[lnrr]]/Table1347456[[#This Row],[z_from_p]])^2</f>
        <v>4.3328195006913355E-3</v>
      </c>
      <c r="BL1315" s="16">
        <f>(Table1347456[[#This Row],[lnrr]]/Table1347456[[#This Row],[z_from_p]])^2</f>
        <v>4.3328195006913355E-3</v>
      </c>
      <c r="BM1315" s="20">
        <f>SQRT(Table1347456[[#This Row],[v]])</f>
        <v>6.5824155905650134E-2</v>
      </c>
      <c r="BN1315" s="20">
        <f>Table1347456[[#This Row],[lnrr]]-(1.96*Table1347456[[#This Row],[se]])</f>
        <v>1.8523097014143064E-2</v>
      </c>
      <c r="BO1315" s="20">
        <f>Table1347456[[#This Row],[lnrr]]+(1.96 * Table1347456[[#This Row],[se]])</f>
        <v>0.2765537881642916</v>
      </c>
    </row>
    <row r="1316" spans="1:67">
      <c r="A1316" s="13" t="s">
        <v>412</v>
      </c>
      <c r="B1316" s="13" t="s">
        <v>413</v>
      </c>
      <c r="C1316" s="13" t="s">
        <v>341</v>
      </c>
      <c r="D1316" s="13" t="s">
        <v>414</v>
      </c>
      <c r="E1316" s="13" t="s">
        <v>415</v>
      </c>
      <c r="F1316" s="13" t="s">
        <v>590</v>
      </c>
      <c r="G1316" s="13" t="s">
        <v>46</v>
      </c>
      <c r="H1316" s="13" t="s">
        <v>46</v>
      </c>
      <c r="I1316" s="13" t="s">
        <v>46</v>
      </c>
      <c r="K1316" s="13" t="s">
        <v>946</v>
      </c>
      <c r="L1316" s="13" t="s">
        <v>947</v>
      </c>
      <c r="N1316" s="13" t="s">
        <v>121</v>
      </c>
      <c r="O1316" s="13" t="s">
        <v>645</v>
      </c>
      <c r="P1316" s="13" t="s">
        <v>418</v>
      </c>
      <c r="Q1316" s="13" t="s">
        <v>48</v>
      </c>
      <c r="R1316" s="4">
        <v>3</v>
      </c>
      <c r="S1316" s="13" t="s">
        <v>596</v>
      </c>
      <c r="T1316" s="13">
        <v>90</v>
      </c>
      <c r="U1316" s="4" t="s">
        <v>417</v>
      </c>
      <c r="V1316" s="4">
        <v>550</v>
      </c>
      <c r="W1316" s="4" t="s">
        <v>601</v>
      </c>
      <c r="X1316" s="4">
        <v>452</v>
      </c>
      <c r="Y1316" s="4">
        <v>10</v>
      </c>
      <c r="AA1316" s="4" t="s">
        <v>50</v>
      </c>
      <c r="AB1316" s="4">
        <v>113</v>
      </c>
      <c r="AC1316" s="4" t="s">
        <v>49</v>
      </c>
      <c r="AD1316" s="4">
        <v>0</v>
      </c>
      <c r="AE1316" s="4" t="s">
        <v>49</v>
      </c>
      <c r="AF1316" s="4">
        <v>0</v>
      </c>
      <c r="AG1316" s="4" t="s">
        <v>776</v>
      </c>
      <c r="AH1316" s="4" t="s">
        <v>722</v>
      </c>
      <c r="AI1316" s="4" t="s">
        <v>78</v>
      </c>
      <c r="AJ1316" s="13">
        <v>0</v>
      </c>
      <c r="AK1316" s="13">
        <v>15</v>
      </c>
      <c r="AL1316" s="13" t="s">
        <v>565</v>
      </c>
      <c r="AM1316" s="13" t="s">
        <v>566</v>
      </c>
      <c r="AO1316" s="13" t="s">
        <v>567</v>
      </c>
      <c r="AP1316" s="13" t="s">
        <v>49</v>
      </c>
      <c r="AQ1316" s="13" t="s">
        <v>49</v>
      </c>
      <c r="AR1316" s="13" t="s">
        <v>49</v>
      </c>
      <c r="AS1316" s="13" t="s">
        <v>49</v>
      </c>
      <c r="AT1316" s="13" t="s">
        <v>992</v>
      </c>
      <c r="AU1316" s="4" t="s">
        <v>1000</v>
      </c>
      <c r="AV1316" s="14">
        <v>48.54</v>
      </c>
      <c r="AW1316" s="14">
        <v>44.22</v>
      </c>
      <c r="AX1316" s="14">
        <f>Table1347456[[#This Row],[treatment_mean]]/Table1347456[[#This Row],[control_mean]]</f>
        <v>1.0976933514246947</v>
      </c>
      <c r="AY1316" s="14">
        <f>LN(Table1347456[[#This Row],[rr]])</f>
        <v>9.3211024869155085E-2</v>
      </c>
      <c r="AZ1316" s="13">
        <v>3</v>
      </c>
      <c r="BA1316" s="13">
        <v>3</v>
      </c>
      <c r="BB1316" s="14">
        <v>0</v>
      </c>
      <c r="BC1316" s="14">
        <v>0</v>
      </c>
      <c r="BD1316" s="15">
        <f>Table1347456[[#This Row],[treatment_se]]*SQRT(Table1347456[[#This Row],[treatment_n]])</f>
        <v>0</v>
      </c>
      <c r="BE1316" s="14">
        <f>Table1347456[[#This Row],[control_se]]*SQRT(Table1347456[[#This Row],[control_n]])</f>
        <v>0</v>
      </c>
      <c r="BF131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16" s="17">
        <f>SQRT(Table1347456[[#This Row],[v_from_sd_and_n]])</f>
        <v>0</v>
      </c>
      <c r="BH1316" s="13" t="s">
        <v>50</v>
      </c>
      <c r="BI1316" s="13">
        <v>2.5000000000000001E-2</v>
      </c>
      <c r="BJ1316" s="18">
        <f>ABS(_xlfn.NORM.S.INV(Table1347456[[#This Row],[p_value]]/2))</f>
        <v>2.2414027276049446</v>
      </c>
      <c r="BK1316" s="19">
        <f>(Table1347456[[#This Row],[lnrr]]/Table1347456[[#This Row],[z_from_p]])^2</f>
        <v>1.7293972899099204E-3</v>
      </c>
      <c r="BL1316" s="16">
        <f>(Table1347456[[#This Row],[lnrr]]/Table1347456[[#This Row],[z_from_p]])^2</f>
        <v>1.7293972899099204E-3</v>
      </c>
      <c r="BM1316" s="20">
        <f>SQRT(Table1347456[[#This Row],[v]])</f>
        <v>4.1586022770997474E-2</v>
      </c>
      <c r="BN1316" s="20">
        <f>Table1347456[[#This Row],[lnrr]]-(1.96*Table1347456[[#This Row],[se]])</f>
        <v>1.1702420238000041E-2</v>
      </c>
      <c r="BO1316" s="20">
        <f>Table1347456[[#This Row],[lnrr]]+(1.96 * Table1347456[[#This Row],[se]])</f>
        <v>0.17471962950031011</v>
      </c>
    </row>
    <row r="1317" spans="1:67">
      <c r="A1317" s="13" t="s">
        <v>412</v>
      </c>
      <c r="B1317" s="13" t="s">
        <v>413</v>
      </c>
      <c r="C1317" s="13" t="s">
        <v>341</v>
      </c>
      <c r="D1317" s="13" t="s">
        <v>414</v>
      </c>
      <c r="E1317" s="13" t="s">
        <v>415</v>
      </c>
      <c r="F1317" s="13" t="s">
        <v>590</v>
      </c>
      <c r="G1317" s="13" t="s">
        <v>46</v>
      </c>
      <c r="H1317" s="13" t="s">
        <v>46</v>
      </c>
      <c r="I1317" s="13" t="s">
        <v>46</v>
      </c>
      <c r="K1317" s="13" t="s">
        <v>946</v>
      </c>
      <c r="L1317" s="13" t="s">
        <v>947</v>
      </c>
      <c r="N1317" s="13" t="s">
        <v>121</v>
      </c>
      <c r="O1317" s="13" t="s">
        <v>645</v>
      </c>
      <c r="P1317" s="13" t="s">
        <v>418</v>
      </c>
      <c r="Q1317" s="13" t="s">
        <v>48</v>
      </c>
      <c r="R1317" s="4">
        <v>3</v>
      </c>
      <c r="S1317" s="13" t="s">
        <v>596</v>
      </c>
      <c r="T1317" s="13">
        <v>90</v>
      </c>
      <c r="U1317" s="4" t="s">
        <v>417</v>
      </c>
      <c r="V1317" s="4">
        <v>550</v>
      </c>
      <c r="W1317" s="4" t="s">
        <v>601</v>
      </c>
      <c r="X1317" s="4">
        <v>452</v>
      </c>
      <c r="Y1317" s="4">
        <v>20</v>
      </c>
      <c r="AA1317" s="4" t="s">
        <v>50</v>
      </c>
      <c r="AB1317" s="4">
        <v>113</v>
      </c>
      <c r="AC1317" s="4" t="s">
        <v>49</v>
      </c>
      <c r="AD1317" s="4">
        <v>0</v>
      </c>
      <c r="AE1317" s="4" t="s">
        <v>49</v>
      </c>
      <c r="AF1317" s="4">
        <v>0</v>
      </c>
      <c r="AG1317" s="4" t="s">
        <v>776</v>
      </c>
      <c r="AH1317" s="4" t="s">
        <v>722</v>
      </c>
      <c r="AI1317" s="4" t="s">
        <v>78</v>
      </c>
      <c r="AJ1317" s="13">
        <v>0</v>
      </c>
      <c r="AK1317" s="13">
        <v>15</v>
      </c>
      <c r="AL1317" s="13" t="s">
        <v>565</v>
      </c>
      <c r="AM1317" s="13" t="s">
        <v>566</v>
      </c>
      <c r="AO1317" s="13" t="s">
        <v>567</v>
      </c>
      <c r="AP1317" s="13" t="s">
        <v>49</v>
      </c>
      <c r="AQ1317" s="13" t="s">
        <v>49</v>
      </c>
      <c r="AR1317" s="13" t="s">
        <v>49</v>
      </c>
      <c r="AS1317" s="13" t="s">
        <v>49</v>
      </c>
      <c r="AT1317" s="13" t="s">
        <v>992</v>
      </c>
      <c r="AU1317" s="4" t="s">
        <v>1000</v>
      </c>
      <c r="AV1317" s="14">
        <v>48.08</v>
      </c>
      <c r="AW1317" s="14">
        <v>44.22</v>
      </c>
      <c r="AX1317" s="14">
        <f>Table1347456[[#This Row],[treatment_mean]]/Table1347456[[#This Row],[control_mean]]</f>
        <v>1.0872908186341022</v>
      </c>
      <c r="AY1317" s="14">
        <f>LN(Table1347456[[#This Row],[rr]])</f>
        <v>8.3689114797651842E-2</v>
      </c>
      <c r="AZ1317" s="13">
        <v>3</v>
      </c>
      <c r="BA1317" s="13">
        <v>3</v>
      </c>
      <c r="BB1317" s="14">
        <v>0</v>
      </c>
      <c r="BC1317" s="14">
        <v>0</v>
      </c>
      <c r="BD1317" s="15">
        <f>Table1347456[[#This Row],[treatment_se]]*SQRT(Table1347456[[#This Row],[treatment_n]])</f>
        <v>0</v>
      </c>
      <c r="BE1317" s="14">
        <f>Table1347456[[#This Row],[control_se]]*SQRT(Table1347456[[#This Row],[control_n]])</f>
        <v>0</v>
      </c>
      <c r="BF131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17" s="17">
        <f>SQRT(Table1347456[[#This Row],[v_from_sd_and_n]])</f>
        <v>0</v>
      </c>
      <c r="BH1317" s="13" t="s">
        <v>50</v>
      </c>
      <c r="BI1317" s="13">
        <v>2.5000000000000001E-2</v>
      </c>
      <c r="BJ1317" s="18">
        <f>ABS(_xlfn.NORM.S.INV(Table1347456[[#This Row],[p_value]]/2))</f>
        <v>2.2414027276049446</v>
      </c>
      <c r="BK1317" s="19">
        <f>(Table1347456[[#This Row],[lnrr]]/Table1347456[[#This Row],[z_from_p]])^2</f>
        <v>1.3941135755222798E-3</v>
      </c>
      <c r="BL1317" s="16">
        <f>(Table1347456[[#This Row],[lnrr]]/Table1347456[[#This Row],[z_from_p]])^2</f>
        <v>1.3941135755222798E-3</v>
      </c>
      <c r="BM1317" s="20">
        <f>SQRT(Table1347456[[#This Row],[v]])</f>
        <v>3.7337830353708017E-2</v>
      </c>
      <c r="BN1317" s="20">
        <f>Table1347456[[#This Row],[lnrr]]-(1.96*Table1347456[[#This Row],[se]])</f>
        <v>1.0506967304384135E-2</v>
      </c>
      <c r="BO1317" s="20">
        <f>Table1347456[[#This Row],[lnrr]]+(1.96 * Table1347456[[#This Row],[se]])</f>
        <v>0.15687126229091955</v>
      </c>
    </row>
    <row r="1318" spans="1:67">
      <c r="A1318" s="13" t="s">
        <v>412</v>
      </c>
      <c r="B1318" s="13" t="s">
        <v>413</v>
      </c>
      <c r="C1318" s="13" t="s">
        <v>341</v>
      </c>
      <c r="D1318" s="13" t="s">
        <v>414</v>
      </c>
      <c r="E1318" s="13" t="s">
        <v>415</v>
      </c>
      <c r="F1318" s="13" t="s">
        <v>590</v>
      </c>
      <c r="G1318" s="13" t="s">
        <v>46</v>
      </c>
      <c r="H1318" s="13" t="s">
        <v>46</v>
      </c>
      <c r="I1318" s="13" t="s">
        <v>46</v>
      </c>
      <c r="K1318" s="13" t="s">
        <v>946</v>
      </c>
      <c r="L1318" s="13" t="s">
        <v>947</v>
      </c>
      <c r="N1318" s="13" t="s">
        <v>629</v>
      </c>
      <c r="O1318" s="13" t="s">
        <v>812</v>
      </c>
      <c r="P1318" s="13" t="s">
        <v>419</v>
      </c>
      <c r="Q1318" s="13" t="s">
        <v>419</v>
      </c>
      <c r="R1318" s="4">
        <v>3</v>
      </c>
      <c r="S1318" s="13" t="s">
        <v>596</v>
      </c>
      <c r="T1318" s="13">
        <v>90</v>
      </c>
      <c r="U1318" s="4" t="s">
        <v>416</v>
      </c>
      <c r="V1318" s="4">
        <v>550</v>
      </c>
      <c r="W1318" s="4" t="s">
        <v>601</v>
      </c>
      <c r="X1318" s="4">
        <v>261</v>
      </c>
      <c r="Y1318" s="4">
        <v>1.5</v>
      </c>
      <c r="AA1318" s="4" t="s">
        <v>49</v>
      </c>
      <c r="AB1318" s="4">
        <v>0</v>
      </c>
      <c r="AC1318" s="4" t="s">
        <v>49</v>
      </c>
      <c r="AD1318" s="4">
        <v>0</v>
      </c>
      <c r="AE1318" s="4" t="s">
        <v>49</v>
      </c>
      <c r="AF1318" s="4">
        <v>0</v>
      </c>
      <c r="AG1318" s="4" t="s">
        <v>768</v>
      </c>
      <c r="AH1318" s="4" t="s">
        <v>722</v>
      </c>
      <c r="AI1318" s="4" t="s">
        <v>78</v>
      </c>
      <c r="AJ1318" s="13">
        <v>0</v>
      </c>
      <c r="AK1318" s="13">
        <v>15</v>
      </c>
      <c r="AL1318" s="13" t="s">
        <v>565</v>
      </c>
      <c r="AM1318" s="13" t="s">
        <v>566</v>
      </c>
      <c r="AO1318" s="13" t="s">
        <v>567</v>
      </c>
      <c r="AP1318" s="13" t="s">
        <v>49</v>
      </c>
      <c r="AQ1318" s="13" t="s">
        <v>49</v>
      </c>
      <c r="AR1318" s="13" t="s">
        <v>49</v>
      </c>
      <c r="AS1318" s="13" t="s">
        <v>49</v>
      </c>
      <c r="AT1318" s="13" t="s">
        <v>990</v>
      </c>
      <c r="AU1318" s="13" t="s">
        <v>998</v>
      </c>
      <c r="AV1318" s="14">
        <v>6.9000000000000006E-2</v>
      </c>
      <c r="AW1318" s="14">
        <v>0.13100000000000001</v>
      </c>
      <c r="AX1318" s="14">
        <f>Table1347456[[#This Row],[treatment_mean]]/Table1347456[[#This Row],[control_mean]]</f>
        <v>0.52671755725190839</v>
      </c>
      <c r="AY1318" s="14">
        <f>LN(Table1347456[[#This Row],[rr]])</f>
        <v>-0.64109081860389217</v>
      </c>
      <c r="AZ1318" s="13">
        <v>3</v>
      </c>
      <c r="BA1318" s="13">
        <v>3</v>
      </c>
      <c r="BB1318" s="14">
        <v>0</v>
      </c>
      <c r="BC1318" s="14">
        <v>0</v>
      </c>
      <c r="BD1318" s="15">
        <f>Table1347456[[#This Row],[treatment_se]]*SQRT(Table1347456[[#This Row],[treatment_n]])</f>
        <v>0</v>
      </c>
      <c r="BE1318" s="14">
        <f>Table1347456[[#This Row],[control_se]]*SQRT(Table1347456[[#This Row],[control_n]])</f>
        <v>0</v>
      </c>
      <c r="BF131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18" s="17">
        <f>SQRT(Table1347456[[#This Row],[v_from_sd_and_n]])</f>
        <v>0</v>
      </c>
      <c r="BH1318" s="13" t="s">
        <v>50</v>
      </c>
      <c r="BI1318" s="13">
        <v>2.5000000000000001E-2</v>
      </c>
      <c r="BJ1318" s="18">
        <f>ABS(_xlfn.NORM.S.INV(Table1347456[[#This Row],[p_value]]/2))</f>
        <v>2.2414027276049446</v>
      </c>
      <c r="BK1318" s="19">
        <f>(Table1347456[[#This Row],[lnrr]]/Table1347456[[#This Row],[z_from_p]])^2</f>
        <v>8.1808668105571525E-2</v>
      </c>
      <c r="BL1318" s="16">
        <f>(Table1347456[[#This Row],[lnrr]]/Table1347456[[#This Row],[z_from_p]])^2</f>
        <v>8.1808668105571525E-2</v>
      </c>
      <c r="BM1318" s="20">
        <f>SQRT(Table1347456[[#This Row],[v]])</f>
        <v>0.2860221461802766</v>
      </c>
      <c r="BN1318" s="20">
        <f>Table1347456[[#This Row],[lnrr]]-(1.96*Table1347456[[#This Row],[se]])</f>
        <v>-1.2016942251172344</v>
      </c>
      <c r="BO1318" s="20">
        <f>Table1347456[[#This Row],[lnrr]]+(1.96 * Table1347456[[#This Row],[se]])</f>
        <v>-8.0487412090549992E-2</v>
      </c>
    </row>
    <row r="1319" spans="1:67">
      <c r="A1319" s="13" t="s">
        <v>412</v>
      </c>
      <c r="B1319" s="13" t="s">
        <v>413</v>
      </c>
      <c r="C1319" s="13" t="s">
        <v>341</v>
      </c>
      <c r="D1319" s="13" t="s">
        <v>414</v>
      </c>
      <c r="E1319" s="13" t="s">
        <v>415</v>
      </c>
      <c r="F1319" s="13" t="s">
        <v>590</v>
      </c>
      <c r="G1319" s="13" t="s">
        <v>46</v>
      </c>
      <c r="H1319" s="13" t="s">
        <v>46</v>
      </c>
      <c r="I1319" s="13" t="s">
        <v>46</v>
      </c>
      <c r="K1319" s="13" t="s">
        <v>946</v>
      </c>
      <c r="L1319" s="13" t="s">
        <v>947</v>
      </c>
      <c r="N1319" s="13" t="s">
        <v>630</v>
      </c>
      <c r="O1319" s="13" t="s">
        <v>812</v>
      </c>
      <c r="P1319" s="13" t="s">
        <v>419</v>
      </c>
      <c r="Q1319" s="13" t="s">
        <v>419</v>
      </c>
      <c r="R1319" s="4">
        <v>3</v>
      </c>
      <c r="S1319" s="13" t="s">
        <v>596</v>
      </c>
      <c r="T1319" s="13">
        <v>90</v>
      </c>
      <c r="U1319" s="4" t="s">
        <v>416</v>
      </c>
      <c r="V1319" s="4">
        <v>550</v>
      </c>
      <c r="W1319" s="4" t="s">
        <v>601</v>
      </c>
      <c r="X1319" s="4">
        <v>261</v>
      </c>
      <c r="Y1319" s="4">
        <v>5</v>
      </c>
      <c r="AA1319" s="4" t="s">
        <v>49</v>
      </c>
      <c r="AB1319" s="4">
        <v>0</v>
      </c>
      <c r="AC1319" s="4" t="s">
        <v>49</v>
      </c>
      <c r="AD1319" s="4">
        <v>0</v>
      </c>
      <c r="AE1319" s="4" t="s">
        <v>49</v>
      </c>
      <c r="AF1319" s="4">
        <v>0</v>
      </c>
      <c r="AG1319" s="4" t="s">
        <v>768</v>
      </c>
      <c r="AH1319" s="4" t="s">
        <v>722</v>
      </c>
      <c r="AI1319" s="4" t="s">
        <v>78</v>
      </c>
      <c r="AJ1319" s="13">
        <v>0</v>
      </c>
      <c r="AK1319" s="13">
        <v>15</v>
      </c>
      <c r="AL1319" s="13" t="s">
        <v>565</v>
      </c>
      <c r="AM1319" s="13" t="s">
        <v>566</v>
      </c>
      <c r="AO1319" s="13" t="s">
        <v>567</v>
      </c>
      <c r="AP1319" s="13" t="s">
        <v>49</v>
      </c>
      <c r="AQ1319" s="13" t="s">
        <v>49</v>
      </c>
      <c r="AR1319" s="13" t="s">
        <v>49</v>
      </c>
      <c r="AS1319" s="13" t="s">
        <v>49</v>
      </c>
      <c r="AT1319" s="13" t="s">
        <v>990</v>
      </c>
      <c r="AU1319" s="13" t="s">
        <v>998</v>
      </c>
      <c r="AV1319" s="14">
        <v>6.4000000000000001E-2</v>
      </c>
      <c r="AW1319" s="14">
        <v>0.13100000000000001</v>
      </c>
      <c r="AX1319" s="14">
        <f>Table1347456[[#This Row],[treatment_mean]]/Table1347456[[#This Row],[control_mean]]</f>
        <v>0.48854961832061067</v>
      </c>
      <c r="AY1319" s="14">
        <f>LN(Table1347456[[#This Row],[rr]])</f>
        <v>-0.71631423984147968</v>
      </c>
      <c r="AZ1319" s="13">
        <v>3</v>
      </c>
      <c r="BA1319" s="13">
        <v>3</v>
      </c>
      <c r="BB1319" s="14">
        <v>0</v>
      </c>
      <c r="BC1319" s="14">
        <v>0</v>
      </c>
      <c r="BD1319" s="15">
        <f>Table1347456[[#This Row],[treatment_se]]*SQRT(Table1347456[[#This Row],[treatment_n]])</f>
        <v>0</v>
      </c>
      <c r="BE1319" s="14">
        <f>Table1347456[[#This Row],[control_se]]*SQRT(Table1347456[[#This Row],[control_n]])</f>
        <v>0</v>
      </c>
      <c r="BF131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19" s="17">
        <f>SQRT(Table1347456[[#This Row],[v_from_sd_and_n]])</f>
        <v>0</v>
      </c>
      <c r="BH1319" s="13" t="s">
        <v>50</v>
      </c>
      <c r="BI1319" s="13">
        <v>2.5000000000000001E-2</v>
      </c>
      <c r="BJ1319" s="18">
        <f>ABS(_xlfn.NORM.S.INV(Table1347456[[#This Row],[p_value]]/2))</f>
        <v>2.2414027276049446</v>
      </c>
      <c r="BK1319" s="19">
        <f>(Table1347456[[#This Row],[lnrr]]/Table1347456[[#This Row],[z_from_p]])^2</f>
        <v>0.1021333029986327</v>
      </c>
      <c r="BL1319" s="16">
        <f>(Table1347456[[#This Row],[lnrr]]/Table1347456[[#This Row],[z_from_p]])^2</f>
        <v>0.1021333029986327</v>
      </c>
      <c r="BM1319" s="20">
        <f>SQRT(Table1347456[[#This Row],[v]])</f>
        <v>0.3195830142523734</v>
      </c>
      <c r="BN1319" s="20">
        <f>Table1347456[[#This Row],[lnrr]]-(1.96*Table1347456[[#This Row],[se]])</f>
        <v>-1.3426969477761315</v>
      </c>
      <c r="BO1319" s="20">
        <f>Table1347456[[#This Row],[lnrr]]+(1.96 * Table1347456[[#This Row],[se]])</f>
        <v>-8.9931531906827789E-2</v>
      </c>
    </row>
    <row r="1320" spans="1:67">
      <c r="A1320" s="13" t="s">
        <v>412</v>
      </c>
      <c r="B1320" s="13" t="s">
        <v>413</v>
      </c>
      <c r="C1320" s="13" t="s">
        <v>341</v>
      </c>
      <c r="D1320" s="13" t="s">
        <v>414</v>
      </c>
      <c r="E1320" s="13" t="s">
        <v>415</v>
      </c>
      <c r="F1320" s="13" t="s">
        <v>590</v>
      </c>
      <c r="G1320" s="13" t="s">
        <v>46</v>
      </c>
      <c r="H1320" s="13" t="s">
        <v>46</v>
      </c>
      <c r="I1320" s="13" t="s">
        <v>46</v>
      </c>
      <c r="K1320" s="13" t="s">
        <v>946</v>
      </c>
      <c r="L1320" s="13" t="s">
        <v>947</v>
      </c>
      <c r="N1320" s="13" t="s">
        <v>630</v>
      </c>
      <c r="O1320" s="13" t="s">
        <v>812</v>
      </c>
      <c r="P1320" s="13" t="s">
        <v>419</v>
      </c>
      <c r="Q1320" s="13" t="s">
        <v>419</v>
      </c>
      <c r="R1320" s="4">
        <v>3</v>
      </c>
      <c r="S1320" s="13" t="s">
        <v>596</v>
      </c>
      <c r="T1320" s="13">
        <v>90</v>
      </c>
      <c r="U1320" s="4" t="s">
        <v>416</v>
      </c>
      <c r="V1320" s="4">
        <v>550</v>
      </c>
      <c r="W1320" s="4" t="s">
        <v>601</v>
      </c>
      <c r="X1320" s="4">
        <v>261</v>
      </c>
      <c r="Y1320" s="4">
        <v>10</v>
      </c>
      <c r="AA1320" s="4" t="s">
        <v>49</v>
      </c>
      <c r="AB1320" s="4">
        <v>0</v>
      </c>
      <c r="AC1320" s="4" t="s">
        <v>49</v>
      </c>
      <c r="AD1320" s="4">
        <v>0</v>
      </c>
      <c r="AE1320" s="4" t="s">
        <v>49</v>
      </c>
      <c r="AF1320" s="4">
        <v>0</v>
      </c>
      <c r="AG1320" s="4" t="s">
        <v>768</v>
      </c>
      <c r="AH1320" s="4" t="s">
        <v>722</v>
      </c>
      <c r="AI1320" s="4" t="s">
        <v>78</v>
      </c>
      <c r="AJ1320" s="13">
        <v>0</v>
      </c>
      <c r="AK1320" s="13">
        <v>15</v>
      </c>
      <c r="AL1320" s="13" t="s">
        <v>565</v>
      </c>
      <c r="AM1320" s="13" t="s">
        <v>566</v>
      </c>
      <c r="AO1320" s="13" t="s">
        <v>567</v>
      </c>
      <c r="AP1320" s="13" t="s">
        <v>49</v>
      </c>
      <c r="AQ1320" s="13" t="s">
        <v>49</v>
      </c>
      <c r="AR1320" s="13" t="s">
        <v>49</v>
      </c>
      <c r="AS1320" s="13" t="s">
        <v>49</v>
      </c>
      <c r="AT1320" s="13" t="s">
        <v>990</v>
      </c>
      <c r="AU1320" s="13" t="s">
        <v>998</v>
      </c>
      <c r="AV1320" s="14">
        <v>7.5999999999999998E-2</v>
      </c>
      <c r="AW1320" s="14">
        <v>0.13100000000000001</v>
      </c>
      <c r="AX1320" s="14">
        <f>Table1347456[[#This Row],[treatment_mean]]/Table1347456[[#This Row],[control_mean]]</f>
        <v>0.58015267175572516</v>
      </c>
      <c r="AY1320" s="14">
        <f>LN(Table1347456[[#This Row],[rr]])</f>
        <v>-0.54446398291482057</v>
      </c>
      <c r="AZ1320" s="13">
        <v>3</v>
      </c>
      <c r="BA1320" s="13">
        <v>3</v>
      </c>
      <c r="BB1320" s="14">
        <v>0</v>
      </c>
      <c r="BC1320" s="14">
        <v>0</v>
      </c>
      <c r="BD1320" s="15">
        <f>Table1347456[[#This Row],[treatment_se]]*SQRT(Table1347456[[#This Row],[treatment_n]])</f>
        <v>0</v>
      </c>
      <c r="BE1320" s="14">
        <f>Table1347456[[#This Row],[control_se]]*SQRT(Table1347456[[#This Row],[control_n]])</f>
        <v>0</v>
      </c>
      <c r="BF132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20" s="17">
        <f>SQRT(Table1347456[[#This Row],[v_from_sd_and_n]])</f>
        <v>0</v>
      </c>
      <c r="BH1320" s="13" t="s">
        <v>50</v>
      </c>
      <c r="BI1320" s="13">
        <v>2.5000000000000001E-2</v>
      </c>
      <c r="BJ1320" s="18">
        <f>ABS(_xlfn.NORM.S.INV(Table1347456[[#This Row],[p_value]]/2))</f>
        <v>2.2414027276049446</v>
      </c>
      <c r="BK1320" s="19">
        <f>(Table1347456[[#This Row],[lnrr]]/Table1347456[[#This Row],[z_from_p]])^2</f>
        <v>5.9006318542798974E-2</v>
      </c>
      <c r="BL1320" s="16">
        <f>(Table1347456[[#This Row],[lnrr]]/Table1347456[[#This Row],[z_from_p]])^2</f>
        <v>5.9006318542798974E-2</v>
      </c>
      <c r="BM1320" s="20">
        <f>SQRT(Table1347456[[#This Row],[v]])</f>
        <v>0.24291216219613002</v>
      </c>
      <c r="BN1320" s="20">
        <f>Table1347456[[#This Row],[lnrr]]-(1.96*Table1347456[[#This Row],[se]])</f>
        <v>-1.0205718208192354</v>
      </c>
      <c r="BO1320" s="20">
        <f>Table1347456[[#This Row],[lnrr]]+(1.96 * Table1347456[[#This Row],[se]])</f>
        <v>-6.8356145010405767E-2</v>
      </c>
    </row>
    <row r="1321" spans="1:67">
      <c r="A1321" s="13" t="s">
        <v>412</v>
      </c>
      <c r="B1321" s="13" t="s">
        <v>413</v>
      </c>
      <c r="C1321" s="13" t="s">
        <v>341</v>
      </c>
      <c r="D1321" s="13" t="s">
        <v>414</v>
      </c>
      <c r="E1321" s="13" t="s">
        <v>415</v>
      </c>
      <c r="F1321" s="13" t="s">
        <v>590</v>
      </c>
      <c r="G1321" s="13" t="s">
        <v>46</v>
      </c>
      <c r="H1321" s="13" t="s">
        <v>46</v>
      </c>
      <c r="I1321" s="13" t="s">
        <v>46</v>
      </c>
      <c r="K1321" s="13" t="s">
        <v>946</v>
      </c>
      <c r="L1321" s="13" t="s">
        <v>947</v>
      </c>
      <c r="N1321" s="13" t="s">
        <v>630</v>
      </c>
      <c r="O1321" s="13" t="s">
        <v>812</v>
      </c>
      <c r="P1321" s="13" t="s">
        <v>419</v>
      </c>
      <c r="Q1321" s="13" t="s">
        <v>419</v>
      </c>
      <c r="R1321" s="4">
        <v>3</v>
      </c>
      <c r="S1321" s="13" t="s">
        <v>596</v>
      </c>
      <c r="T1321" s="13">
        <v>90</v>
      </c>
      <c r="U1321" s="4" t="s">
        <v>417</v>
      </c>
      <c r="V1321" s="4">
        <v>550</v>
      </c>
      <c r="W1321" s="4" t="s">
        <v>601</v>
      </c>
      <c r="X1321" s="4">
        <v>452</v>
      </c>
      <c r="Y1321" s="4">
        <v>1.5</v>
      </c>
      <c r="AA1321" s="4" t="s">
        <v>49</v>
      </c>
      <c r="AB1321" s="4">
        <v>0</v>
      </c>
      <c r="AC1321" s="4" t="s">
        <v>49</v>
      </c>
      <c r="AD1321" s="4">
        <v>0</v>
      </c>
      <c r="AE1321" s="4" t="s">
        <v>49</v>
      </c>
      <c r="AF1321" s="4">
        <v>0</v>
      </c>
      <c r="AG1321" s="4" t="s">
        <v>776</v>
      </c>
      <c r="AH1321" s="4" t="s">
        <v>722</v>
      </c>
      <c r="AI1321" s="4" t="s">
        <v>78</v>
      </c>
      <c r="AJ1321" s="13">
        <v>0</v>
      </c>
      <c r="AK1321" s="13">
        <v>15</v>
      </c>
      <c r="AL1321" s="13" t="s">
        <v>565</v>
      </c>
      <c r="AM1321" s="13" t="s">
        <v>566</v>
      </c>
      <c r="AO1321" s="13" t="s">
        <v>567</v>
      </c>
      <c r="AP1321" s="13" t="s">
        <v>49</v>
      </c>
      <c r="AQ1321" s="13" t="s">
        <v>49</v>
      </c>
      <c r="AR1321" s="13" t="s">
        <v>49</v>
      </c>
      <c r="AS1321" s="13" t="s">
        <v>49</v>
      </c>
      <c r="AT1321" s="13" t="s">
        <v>990</v>
      </c>
      <c r="AU1321" s="13" t="s">
        <v>998</v>
      </c>
      <c r="AV1321" s="14">
        <v>0.105</v>
      </c>
      <c r="AW1321" s="14">
        <v>0.13100000000000001</v>
      </c>
      <c r="AX1321" s="14">
        <f>Table1347456[[#This Row],[treatment_mean]]/Table1347456[[#This Row],[control_mean]]</f>
        <v>0.8015267175572518</v>
      </c>
      <c r="AY1321" s="14">
        <f>LN(Table1347456[[#This Row],[rr]])</f>
        <v>-0.2212369730436283</v>
      </c>
      <c r="AZ1321" s="13">
        <v>3</v>
      </c>
      <c r="BA1321" s="13">
        <v>3</v>
      </c>
      <c r="BB1321" s="14">
        <v>0</v>
      </c>
      <c r="BC1321" s="14">
        <v>0</v>
      </c>
      <c r="BD1321" s="15">
        <f>Table1347456[[#This Row],[treatment_se]]*SQRT(Table1347456[[#This Row],[treatment_n]])</f>
        <v>0</v>
      </c>
      <c r="BE1321" s="14">
        <f>Table1347456[[#This Row],[control_se]]*SQRT(Table1347456[[#This Row],[control_n]])</f>
        <v>0</v>
      </c>
      <c r="BF132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21" s="17">
        <f>SQRT(Table1347456[[#This Row],[v_from_sd_and_n]])</f>
        <v>0</v>
      </c>
      <c r="BH1321" s="13" t="s">
        <v>50</v>
      </c>
      <c r="BI1321" s="13">
        <v>2.5000000000000001E-2</v>
      </c>
      <c r="BJ1321" s="18">
        <f>ABS(_xlfn.NORM.S.INV(Table1347456[[#This Row],[p_value]]/2))</f>
        <v>2.2414027276049446</v>
      </c>
      <c r="BK1321" s="19">
        <f>(Table1347456[[#This Row],[lnrr]]/Table1347456[[#This Row],[z_from_p]])^2</f>
        <v>9.7426168540786871E-3</v>
      </c>
      <c r="BL1321" s="16">
        <f>(Table1347456[[#This Row],[lnrr]]/Table1347456[[#This Row],[z_from_p]])^2</f>
        <v>9.7426168540786871E-3</v>
      </c>
      <c r="BM1321" s="20">
        <f>SQRT(Table1347456[[#This Row],[v]])</f>
        <v>9.8704695197739639E-2</v>
      </c>
      <c r="BN1321" s="20">
        <f>Table1347456[[#This Row],[lnrr]]-(1.96*Table1347456[[#This Row],[se]])</f>
        <v>-0.41469817563119798</v>
      </c>
      <c r="BO1321" s="20">
        <f>Table1347456[[#This Row],[lnrr]]+(1.96 * Table1347456[[#This Row],[se]])</f>
        <v>-2.7775770456058613E-2</v>
      </c>
    </row>
    <row r="1322" spans="1:67">
      <c r="A1322" s="13" t="s">
        <v>412</v>
      </c>
      <c r="B1322" s="13" t="s">
        <v>413</v>
      </c>
      <c r="C1322" s="13" t="s">
        <v>341</v>
      </c>
      <c r="D1322" s="13" t="s">
        <v>414</v>
      </c>
      <c r="E1322" s="13" t="s">
        <v>415</v>
      </c>
      <c r="F1322" s="13" t="s">
        <v>590</v>
      </c>
      <c r="G1322" s="13" t="s">
        <v>46</v>
      </c>
      <c r="H1322" s="13" t="s">
        <v>46</v>
      </c>
      <c r="I1322" s="13" t="s">
        <v>46</v>
      </c>
      <c r="K1322" s="13" t="s">
        <v>946</v>
      </c>
      <c r="L1322" s="13" t="s">
        <v>947</v>
      </c>
      <c r="N1322" s="13" t="s">
        <v>630</v>
      </c>
      <c r="O1322" s="13" t="s">
        <v>812</v>
      </c>
      <c r="P1322" s="13" t="s">
        <v>419</v>
      </c>
      <c r="Q1322" s="13" t="s">
        <v>419</v>
      </c>
      <c r="R1322" s="4">
        <v>3</v>
      </c>
      <c r="S1322" s="13" t="s">
        <v>596</v>
      </c>
      <c r="T1322" s="13">
        <v>90</v>
      </c>
      <c r="U1322" s="4" t="s">
        <v>417</v>
      </c>
      <c r="V1322" s="4">
        <v>550</v>
      </c>
      <c r="W1322" s="4" t="s">
        <v>601</v>
      </c>
      <c r="X1322" s="4">
        <v>452</v>
      </c>
      <c r="Y1322" s="4">
        <v>5</v>
      </c>
      <c r="AA1322" s="4" t="s">
        <v>49</v>
      </c>
      <c r="AB1322" s="4">
        <v>0</v>
      </c>
      <c r="AC1322" s="4" t="s">
        <v>49</v>
      </c>
      <c r="AD1322" s="4">
        <v>0</v>
      </c>
      <c r="AE1322" s="4" t="s">
        <v>49</v>
      </c>
      <c r="AF1322" s="4">
        <v>0</v>
      </c>
      <c r="AG1322" s="4" t="s">
        <v>776</v>
      </c>
      <c r="AH1322" s="4" t="s">
        <v>722</v>
      </c>
      <c r="AI1322" s="4" t="s">
        <v>78</v>
      </c>
      <c r="AJ1322" s="13">
        <v>0</v>
      </c>
      <c r="AK1322" s="13">
        <v>15</v>
      </c>
      <c r="AL1322" s="13" t="s">
        <v>565</v>
      </c>
      <c r="AM1322" s="13" t="s">
        <v>566</v>
      </c>
      <c r="AO1322" s="13" t="s">
        <v>567</v>
      </c>
      <c r="AP1322" s="13" t="s">
        <v>49</v>
      </c>
      <c r="AQ1322" s="13" t="s">
        <v>49</v>
      </c>
      <c r="AR1322" s="13" t="s">
        <v>49</v>
      </c>
      <c r="AS1322" s="13" t="s">
        <v>49</v>
      </c>
      <c r="AT1322" s="13" t="s">
        <v>990</v>
      </c>
      <c r="AU1322" s="13" t="s">
        <v>998</v>
      </c>
      <c r="AV1322" s="14">
        <v>0.09</v>
      </c>
      <c r="AW1322" s="14">
        <v>0.13100000000000001</v>
      </c>
      <c r="AX1322" s="14">
        <f>Table1347456[[#This Row],[treatment_mean]]/Table1347456[[#This Row],[control_mean]]</f>
        <v>0.6870229007633587</v>
      </c>
      <c r="AY1322" s="14">
        <f>LN(Table1347456[[#This Row],[rr]])</f>
        <v>-0.3753876528708866</v>
      </c>
      <c r="AZ1322" s="13">
        <v>3</v>
      </c>
      <c r="BA1322" s="13">
        <v>3</v>
      </c>
      <c r="BB1322" s="14">
        <v>0</v>
      </c>
      <c r="BC1322" s="14">
        <v>0</v>
      </c>
      <c r="BD1322" s="15">
        <f>Table1347456[[#This Row],[treatment_se]]*SQRT(Table1347456[[#This Row],[treatment_n]])</f>
        <v>0</v>
      </c>
      <c r="BE1322" s="14">
        <f>Table1347456[[#This Row],[control_se]]*SQRT(Table1347456[[#This Row],[control_n]])</f>
        <v>0</v>
      </c>
      <c r="BF132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22" s="17">
        <f>SQRT(Table1347456[[#This Row],[v_from_sd_and_n]])</f>
        <v>0</v>
      </c>
      <c r="BH1322" s="13" t="s">
        <v>50</v>
      </c>
      <c r="BI1322" s="13">
        <v>2.5000000000000001E-2</v>
      </c>
      <c r="BJ1322" s="18">
        <f>ABS(_xlfn.NORM.S.INV(Table1347456[[#This Row],[p_value]]/2))</f>
        <v>2.2414027276049446</v>
      </c>
      <c r="BK1322" s="19">
        <f>(Table1347456[[#This Row],[lnrr]]/Table1347456[[#This Row],[z_from_p]])^2</f>
        <v>2.8049180390216703E-2</v>
      </c>
      <c r="BL1322" s="16">
        <f>(Table1347456[[#This Row],[lnrr]]/Table1347456[[#This Row],[z_from_p]])^2</f>
        <v>2.8049180390216703E-2</v>
      </c>
      <c r="BM1322" s="20">
        <f>SQRT(Table1347456[[#This Row],[v]])</f>
        <v>0.1674788953576441</v>
      </c>
      <c r="BN1322" s="20">
        <f>Table1347456[[#This Row],[lnrr]]-(1.96*Table1347456[[#This Row],[se]])</f>
        <v>-0.70364628777186899</v>
      </c>
      <c r="BO1322" s="20">
        <f>Table1347456[[#This Row],[lnrr]]+(1.96 * Table1347456[[#This Row],[se]])</f>
        <v>-4.7129017969904152E-2</v>
      </c>
    </row>
    <row r="1323" spans="1:67">
      <c r="A1323" s="13" t="s">
        <v>412</v>
      </c>
      <c r="B1323" s="13" t="s">
        <v>413</v>
      </c>
      <c r="C1323" s="13" t="s">
        <v>341</v>
      </c>
      <c r="D1323" s="13" t="s">
        <v>414</v>
      </c>
      <c r="E1323" s="13" t="s">
        <v>415</v>
      </c>
      <c r="F1323" s="13" t="s">
        <v>590</v>
      </c>
      <c r="G1323" s="13" t="s">
        <v>46</v>
      </c>
      <c r="H1323" s="13" t="s">
        <v>46</v>
      </c>
      <c r="I1323" s="13" t="s">
        <v>46</v>
      </c>
      <c r="K1323" s="13" t="s">
        <v>946</v>
      </c>
      <c r="L1323" s="13" t="s">
        <v>947</v>
      </c>
      <c r="N1323" s="13" t="s">
        <v>630</v>
      </c>
      <c r="O1323" s="13" t="s">
        <v>812</v>
      </c>
      <c r="P1323" s="13" t="s">
        <v>419</v>
      </c>
      <c r="Q1323" s="13" t="s">
        <v>419</v>
      </c>
      <c r="R1323" s="4">
        <v>3</v>
      </c>
      <c r="S1323" s="13" t="s">
        <v>596</v>
      </c>
      <c r="T1323" s="13">
        <v>90</v>
      </c>
      <c r="U1323" s="4" t="s">
        <v>417</v>
      </c>
      <c r="V1323" s="4">
        <v>550</v>
      </c>
      <c r="W1323" s="4" t="s">
        <v>601</v>
      </c>
      <c r="X1323" s="4">
        <v>452</v>
      </c>
      <c r="Y1323" s="4">
        <v>10</v>
      </c>
      <c r="AA1323" s="4" t="s">
        <v>49</v>
      </c>
      <c r="AB1323" s="4">
        <v>0</v>
      </c>
      <c r="AC1323" s="4" t="s">
        <v>49</v>
      </c>
      <c r="AD1323" s="4">
        <v>0</v>
      </c>
      <c r="AE1323" s="4" t="s">
        <v>49</v>
      </c>
      <c r="AF1323" s="4">
        <v>0</v>
      </c>
      <c r="AG1323" s="4" t="s">
        <v>776</v>
      </c>
      <c r="AH1323" s="4" t="s">
        <v>722</v>
      </c>
      <c r="AI1323" s="4" t="s">
        <v>78</v>
      </c>
      <c r="AJ1323" s="13">
        <v>0</v>
      </c>
      <c r="AK1323" s="13">
        <v>15</v>
      </c>
      <c r="AL1323" s="13" t="s">
        <v>565</v>
      </c>
      <c r="AM1323" s="13" t="s">
        <v>566</v>
      </c>
      <c r="AO1323" s="13" t="s">
        <v>567</v>
      </c>
      <c r="AP1323" s="13" t="s">
        <v>49</v>
      </c>
      <c r="AQ1323" s="13" t="s">
        <v>49</v>
      </c>
      <c r="AR1323" s="13" t="s">
        <v>49</v>
      </c>
      <c r="AS1323" s="13" t="s">
        <v>49</v>
      </c>
      <c r="AT1323" s="13" t="s">
        <v>990</v>
      </c>
      <c r="AU1323" s="13" t="s">
        <v>998</v>
      </c>
      <c r="AV1323" s="14">
        <v>8.6999999999999994E-2</v>
      </c>
      <c r="AW1323" s="14">
        <v>0.13100000000000001</v>
      </c>
      <c r="AX1323" s="14">
        <f>Table1347456[[#This Row],[treatment_mean]]/Table1347456[[#This Row],[control_mean]]</f>
        <v>0.66412213740458004</v>
      </c>
      <c r="AY1323" s="14">
        <f>LN(Table1347456[[#This Row],[rr]])</f>
        <v>-0.40928920454656798</v>
      </c>
      <c r="AZ1323" s="13">
        <v>3</v>
      </c>
      <c r="BA1323" s="13">
        <v>3</v>
      </c>
      <c r="BB1323" s="14">
        <v>0</v>
      </c>
      <c r="BC1323" s="14">
        <v>0</v>
      </c>
      <c r="BD1323" s="15">
        <f>Table1347456[[#This Row],[treatment_se]]*SQRT(Table1347456[[#This Row],[treatment_n]])</f>
        <v>0</v>
      </c>
      <c r="BE1323" s="14">
        <f>Table1347456[[#This Row],[control_se]]*SQRT(Table1347456[[#This Row],[control_n]])</f>
        <v>0</v>
      </c>
      <c r="BF132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23" s="17">
        <f>SQRT(Table1347456[[#This Row],[v_from_sd_and_n]])</f>
        <v>0</v>
      </c>
      <c r="BH1323" s="13" t="s">
        <v>50</v>
      </c>
      <c r="BI1323" s="13">
        <v>2.5000000000000001E-2</v>
      </c>
      <c r="BJ1323" s="18">
        <f>ABS(_xlfn.NORM.S.INV(Table1347456[[#This Row],[p_value]]/2))</f>
        <v>2.2414027276049446</v>
      </c>
      <c r="BK1323" s="19">
        <f>(Table1347456[[#This Row],[lnrr]]/Table1347456[[#This Row],[z_from_p]])^2</f>
        <v>3.3344237252296405E-2</v>
      </c>
      <c r="BL1323" s="16">
        <f>(Table1347456[[#This Row],[lnrr]]/Table1347456[[#This Row],[z_from_p]])^2</f>
        <v>3.3344237252296405E-2</v>
      </c>
      <c r="BM1323" s="20">
        <f>SQRT(Table1347456[[#This Row],[v]])</f>
        <v>0.18260404500529664</v>
      </c>
      <c r="BN1323" s="20">
        <f>Table1347456[[#This Row],[lnrr]]-(1.96*Table1347456[[#This Row],[se]])</f>
        <v>-0.76719313275694945</v>
      </c>
      <c r="BO1323" s="20">
        <f>Table1347456[[#This Row],[lnrr]]+(1.96 * Table1347456[[#This Row],[se]])</f>
        <v>-5.1385276336186558E-2</v>
      </c>
    </row>
    <row r="1324" spans="1:67">
      <c r="A1324" s="13" t="s">
        <v>412</v>
      </c>
      <c r="B1324" s="13" t="s">
        <v>413</v>
      </c>
      <c r="C1324" s="13" t="s">
        <v>341</v>
      </c>
      <c r="D1324" s="13" t="s">
        <v>414</v>
      </c>
      <c r="E1324" s="13" t="s">
        <v>415</v>
      </c>
      <c r="F1324" s="13" t="s">
        <v>590</v>
      </c>
      <c r="G1324" s="13" t="s">
        <v>46</v>
      </c>
      <c r="H1324" s="13" t="s">
        <v>46</v>
      </c>
      <c r="I1324" s="13" t="s">
        <v>46</v>
      </c>
      <c r="K1324" s="13" t="s">
        <v>946</v>
      </c>
      <c r="L1324" s="13" t="s">
        <v>947</v>
      </c>
      <c r="N1324" s="13" t="s">
        <v>630</v>
      </c>
      <c r="O1324" s="13" t="s">
        <v>812</v>
      </c>
      <c r="P1324" s="13" t="s">
        <v>419</v>
      </c>
      <c r="Q1324" s="13" t="s">
        <v>419</v>
      </c>
      <c r="R1324" s="4">
        <v>3</v>
      </c>
      <c r="S1324" s="13" t="s">
        <v>596</v>
      </c>
      <c r="T1324" s="13">
        <v>90</v>
      </c>
      <c r="U1324" s="4" t="s">
        <v>416</v>
      </c>
      <c r="V1324" s="4">
        <v>550</v>
      </c>
      <c r="W1324" s="4" t="s">
        <v>601</v>
      </c>
      <c r="X1324" s="4">
        <v>261</v>
      </c>
      <c r="Y1324" s="4">
        <v>1.5</v>
      </c>
      <c r="AA1324" s="4" t="s">
        <v>50</v>
      </c>
      <c r="AB1324" s="4">
        <v>200</v>
      </c>
      <c r="AC1324" s="4" t="s">
        <v>49</v>
      </c>
      <c r="AD1324" s="4">
        <v>0</v>
      </c>
      <c r="AE1324" s="4" t="s">
        <v>49</v>
      </c>
      <c r="AF1324" s="4">
        <v>0</v>
      </c>
      <c r="AG1324" s="4" t="s">
        <v>768</v>
      </c>
      <c r="AH1324" s="4" t="s">
        <v>722</v>
      </c>
      <c r="AI1324" s="4" t="s">
        <v>78</v>
      </c>
      <c r="AJ1324" s="13">
        <v>0</v>
      </c>
      <c r="AK1324" s="13">
        <v>15</v>
      </c>
      <c r="AL1324" s="13" t="s">
        <v>565</v>
      </c>
      <c r="AM1324" s="13" t="s">
        <v>566</v>
      </c>
      <c r="AO1324" s="13" t="s">
        <v>567</v>
      </c>
      <c r="AP1324" s="13" t="s">
        <v>49</v>
      </c>
      <c r="AQ1324" s="13" t="s">
        <v>49</v>
      </c>
      <c r="AR1324" s="13" t="s">
        <v>49</v>
      </c>
      <c r="AS1324" s="13" t="s">
        <v>49</v>
      </c>
      <c r="AT1324" s="13" t="s">
        <v>992</v>
      </c>
      <c r="AU1324" s="4" t="s">
        <v>1000</v>
      </c>
      <c r="AV1324" s="14">
        <v>4.5999999999999999E-2</v>
      </c>
      <c r="AW1324" s="14">
        <v>0.16400000000000001</v>
      </c>
      <c r="AX1324" s="14">
        <f>Table1347456[[#This Row],[treatment_mean]]/Table1347456[[#This Row],[control_mean]]</f>
        <v>0.28048780487804875</v>
      </c>
      <c r="AY1324" s="14">
        <f>LN(Table1347456[[#This Row],[rr]])</f>
        <v>-1.2712250313351035</v>
      </c>
      <c r="AZ1324" s="13">
        <v>3</v>
      </c>
      <c r="BA1324" s="13">
        <v>3</v>
      </c>
      <c r="BB1324" s="14">
        <v>0</v>
      </c>
      <c r="BC1324" s="14">
        <v>0</v>
      </c>
      <c r="BD1324" s="15">
        <f>Table1347456[[#This Row],[treatment_se]]*SQRT(Table1347456[[#This Row],[treatment_n]])</f>
        <v>0</v>
      </c>
      <c r="BE1324" s="14">
        <f>Table1347456[[#This Row],[control_se]]*SQRT(Table1347456[[#This Row],[control_n]])</f>
        <v>0</v>
      </c>
      <c r="BF132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24" s="17">
        <f>SQRT(Table1347456[[#This Row],[v_from_sd_and_n]])</f>
        <v>0</v>
      </c>
      <c r="BH1324" s="13" t="s">
        <v>50</v>
      </c>
      <c r="BI1324" s="13">
        <v>2.5000000000000001E-2</v>
      </c>
      <c r="BJ1324" s="18">
        <f>ABS(_xlfn.NORM.S.INV(Table1347456[[#This Row],[p_value]]/2))</f>
        <v>2.2414027276049446</v>
      </c>
      <c r="BK1324" s="19">
        <f>(Table1347456[[#This Row],[lnrr]]/Table1347456[[#This Row],[z_from_p]])^2</f>
        <v>0.32166594147242111</v>
      </c>
      <c r="BL1324" s="16">
        <f>(Table1347456[[#This Row],[lnrr]]/Table1347456[[#This Row],[z_from_p]])^2</f>
        <v>0.32166594147242111</v>
      </c>
      <c r="BM1324" s="20">
        <f>SQRT(Table1347456[[#This Row],[v]])</f>
        <v>0.56715601158095919</v>
      </c>
      <c r="BN1324" s="20">
        <f>Table1347456[[#This Row],[lnrr]]-(1.96*Table1347456[[#This Row],[se]])</f>
        <v>-2.3828508140337834</v>
      </c>
      <c r="BO1324" s="20">
        <f>Table1347456[[#This Row],[lnrr]]+(1.96 * Table1347456[[#This Row],[se]])</f>
        <v>-0.1595992486364235</v>
      </c>
    </row>
    <row r="1325" spans="1:67">
      <c r="A1325" s="13" t="s">
        <v>412</v>
      </c>
      <c r="B1325" s="13" t="s">
        <v>413</v>
      </c>
      <c r="C1325" s="13" t="s">
        <v>341</v>
      </c>
      <c r="D1325" s="13" t="s">
        <v>414</v>
      </c>
      <c r="E1325" s="13" t="s">
        <v>415</v>
      </c>
      <c r="F1325" s="13" t="s">
        <v>590</v>
      </c>
      <c r="G1325" s="13" t="s">
        <v>46</v>
      </c>
      <c r="H1325" s="13" t="s">
        <v>46</v>
      </c>
      <c r="I1325" s="13" t="s">
        <v>46</v>
      </c>
      <c r="K1325" s="13" t="s">
        <v>946</v>
      </c>
      <c r="L1325" s="13" t="s">
        <v>947</v>
      </c>
      <c r="N1325" s="13" t="s">
        <v>630</v>
      </c>
      <c r="O1325" s="13" t="s">
        <v>812</v>
      </c>
      <c r="P1325" s="13" t="s">
        <v>419</v>
      </c>
      <c r="Q1325" s="13" t="s">
        <v>419</v>
      </c>
      <c r="R1325" s="4">
        <v>3</v>
      </c>
      <c r="S1325" s="13" t="s">
        <v>596</v>
      </c>
      <c r="T1325" s="13">
        <v>90</v>
      </c>
      <c r="U1325" s="4" t="s">
        <v>416</v>
      </c>
      <c r="V1325" s="4">
        <v>550</v>
      </c>
      <c r="W1325" s="4" t="s">
        <v>601</v>
      </c>
      <c r="X1325" s="4">
        <v>261</v>
      </c>
      <c r="Y1325" s="4">
        <v>10</v>
      </c>
      <c r="AA1325" s="4" t="s">
        <v>50</v>
      </c>
      <c r="AB1325" s="4">
        <v>200</v>
      </c>
      <c r="AC1325" s="4" t="s">
        <v>49</v>
      </c>
      <c r="AD1325" s="4">
        <v>0</v>
      </c>
      <c r="AE1325" s="4" t="s">
        <v>49</v>
      </c>
      <c r="AF1325" s="4">
        <v>0</v>
      </c>
      <c r="AG1325" s="4" t="s">
        <v>768</v>
      </c>
      <c r="AH1325" s="4" t="s">
        <v>722</v>
      </c>
      <c r="AI1325" s="4" t="s">
        <v>78</v>
      </c>
      <c r="AJ1325" s="13">
        <v>0</v>
      </c>
      <c r="AK1325" s="13">
        <v>15</v>
      </c>
      <c r="AL1325" s="13" t="s">
        <v>565</v>
      </c>
      <c r="AM1325" s="13" t="s">
        <v>566</v>
      </c>
      <c r="AO1325" s="13" t="s">
        <v>567</v>
      </c>
      <c r="AP1325" s="13" t="s">
        <v>49</v>
      </c>
      <c r="AQ1325" s="13" t="s">
        <v>49</v>
      </c>
      <c r="AR1325" s="13" t="s">
        <v>49</v>
      </c>
      <c r="AS1325" s="13" t="s">
        <v>49</v>
      </c>
      <c r="AT1325" s="13" t="s">
        <v>992</v>
      </c>
      <c r="AU1325" s="4" t="s">
        <v>1000</v>
      </c>
      <c r="AV1325" s="14">
        <v>8.4000000000000005E-2</v>
      </c>
      <c r="AW1325" s="14">
        <v>0.16400000000000001</v>
      </c>
      <c r="AX1325" s="14">
        <f>Table1347456[[#This Row],[treatment_mean]]/Table1347456[[#This Row],[control_mean]]</f>
        <v>0.51219512195121952</v>
      </c>
      <c r="AY1325" s="14">
        <f>LN(Table1347456[[#This Row],[rr]])</f>
        <v>-0.66904962898088483</v>
      </c>
      <c r="AZ1325" s="13">
        <v>3</v>
      </c>
      <c r="BA1325" s="13">
        <v>3</v>
      </c>
      <c r="BB1325" s="14">
        <v>0</v>
      </c>
      <c r="BC1325" s="14">
        <v>0</v>
      </c>
      <c r="BD1325" s="15">
        <f>Table1347456[[#This Row],[treatment_se]]*SQRT(Table1347456[[#This Row],[treatment_n]])</f>
        <v>0</v>
      </c>
      <c r="BE1325" s="14">
        <f>Table1347456[[#This Row],[control_se]]*SQRT(Table1347456[[#This Row],[control_n]])</f>
        <v>0</v>
      </c>
      <c r="BF132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25" s="17">
        <f>SQRT(Table1347456[[#This Row],[v_from_sd_and_n]])</f>
        <v>0</v>
      </c>
      <c r="BH1325" s="13" t="s">
        <v>50</v>
      </c>
      <c r="BI1325" s="13">
        <v>2.5000000000000001E-2</v>
      </c>
      <c r="BJ1325" s="18">
        <f>ABS(_xlfn.NORM.S.INV(Table1347456[[#This Row],[p_value]]/2))</f>
        <v>2.2414027276049446</v>
      </c>
      <c r="BK1325" s="19">
        <f>(Table1347456[[#This Row],[lnrr]]/Table1347456[[#This Row],[z_from_p]])^2</f>
        <v>8.9099830161300478E-2</v>
      </c>
      <c r="BL1325" s="16">
        <f>(Table1347456[[#This Row],[lnrr]]/Table1347456[[#This Row],[z_from_p]])^2</f>
        <v>8.9099830161300478E-2</v>
      </c>
      <c r="BM1325" s="20">
        <f>SQRT(Table1347456[[#This Row],[v]])</f>
        <v>0.29849594664132456</v>
      </c>
      <c r="BN1325" s="20">
        <f>Table1347456[[#This Row],[lnrr]]-(1.96*Table1347456[[#This Row],[se]])</f>
        <v>-1.2541016843978809</v>
      </c>
      <c r="BO1325" s="20">
        <f>Table1347456[[#This Row],[lnrr]]+(1.96 * Table1347456[[#This Row],[se]])</f>
        <v>-8.3997573563888706E-2</v>
      </c>
    </row>
    <row r="1326" spans="1:67">
      <c r="A1326" s="13" t="s">
        <v>412</v>
      </c>
      <c r="B1326" s="13" t="s">
        <v>413</v>
      </c>
      <c r="C1326" s="13" t="s">
        <v>341</v>
      </c>
      <c r="D1326" s="13" t="s">
        <v>414</v>
      </c>
      <c r="E1326" s="13" t="s">
        <v>415</v>
      </c>
      <c r="F1326" s="13" t="s">
        <v>590</v>
      </c>
      <c r="G1326" s="13" t="s">
        <v>46</v>
      </c>
      <c r="H1326" s="13" t="s">
        <v>46</v>
      </c>
      <c r="I1326" s="13" t="s">
        <v>46</v>
      </c>
      <c r="K1326" s="13" t="s">
        <v>946</v>
      </c>
      <c r="L1326" s="13" t="s">
        <v>947</v>
      </c>
      <c r="N1326" s="13" t="s">
        <v>630</v>
      </c>
      <c r="O1326" s="13" t="s">
        <v>812</v>
      </c>
      <c r="P1326" s="13" t="s">
        <v>419</v>
      </c>
      <c r="Q1326" s="13" t="s">
        <v>419</v>
      </c>
      <c r="R1326" s="4">
        <v>3</v>
      </c>
      <c r="S1326" s="13" t="s">
        <v>596</v>
      </c>
      <c r="T1326" s="13">
        <v>90</v>
      </c>
      <c r="U1326" s="4" t="s">
        <v>416</v>
      </c>
      <c r="V1326" s="4">
        <v>550</v>
      </c>
      <c r="W1326" s="4" t="s">
        <v>601</v>
      </c>
      <c r="X1326" s="4">
        <v>261</v>
      </c>
      <c r="Y1326" s="4">
        <v>20</v>
      </c>
      <c r="AA1326" s="4" t="s">
        <v>50</v>
      </c>
      <c r="AB1326" s="4">
        <v>200</v>
      </c>
      <c r="AC1326" s="4" t="s">
        <v>49</v>
      </c>
      <c r="AD1326" s="4">
        <v>0</v>
      </c>
      <c r="AE1326" s="4" t="s">
        <v>49</v>
      </c>
      <c r="AF1326" s="4">
        <v>0</v>
      </c>
      <c r="AG1326" s="4" t="s">
        <v>768</v>
      </c>
      <c r="AH1326" s="4" t="s">
        <v>722</v>
      </c>
      <c r="AI1326" s="4" t="s">
        <v>78</v>
      </c>
      <c r="AJ1326" s="13">
        <v>0</v>
      </c>
      <c r="AK1326" s="13">
        <v>15</v>
      </c>
      <c r="AL1326" s="13" t="s">
        <v>565</v>
      </c>
      <c r="AM1326" s="13" t="s">
        <v>566</v>
      </c>
      <c r="AO1326" s="13" t="s">
        <v>567</v>
      </c>
      <c r="AP1326" s="13" t="s">
        <v>49</v>
      </c>
      <c r="AQ1326" s="13" t="s">
        <v>49</v>
      </c>
      <c r="AR1326" s="13" t="s">
        <v>49</v>
      </c>
      <c r="AS1326" s="13" t="s">
        <v>49</v>
      </c>
      <c r="AT1326" s="13" t="s">
        <v>992</v>
      </c>
      <c r="AU1326" s="4" t="s">
        <v>1000</v>
      </c>
      <c r="AV1326" s="14">
        <v>0.13600000000000001</v>
      </c>
      <c r="AW1326" s="14">
        <v>0.16400000000000001</v>
      </c>
      <c r="AX1326" s="14">
        <f>Table1347456[[#This Row],[treatment_mean]]/Table1347456[[#This Row],[control_mean]]</f>
        <v>0.8292682926829269</v>
      </c>
      <c r="AY1326" s="14">
        <f>LN(Table1347456[[#This Row],[rr]])</f>
        <v>-0.18721154208814633</v>
      </c>
      <c r="AZ1326" s="13">
        <v>3</v>
      </c>
      <c r="BA1326" s="13">
        <v>3</v>
      </c>
      <c r="BB1326" s="14">
        <v>0</v>
      </c>
      <c r="BC1326" s="14">
        <v>0</v>
      </c>
      <c r="BD1326" s="15">
        <f>Table1347456[[#This Row],[treatment_se]]*SQRT(Table1347456[[#This Row],[treatment_n]])</f>
        <v>0</v>
      </c>
      <c r="BE1326" s="14">
        <f>Table1347456[[#This Row],[control_se]]*SQRT(Table1347456[[#This Row],[control_n]])</f>
        <v>0</v>
      </c>
      <c r="BF132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26" s="17">
        <f>SQRT(Table1347456[[#This Row],[v_from_sd_and_n]])</f>
        <v>0</v>
      </c>
      <c r="BH1326" s="13" t="s">
        <v>50</v>
      </c>
      <c r="BI1326" s="13">
        <v>2.5000000000000001E-2</v>
      </c>
      <c r="BJ1326" s="18">
        <f>ABS(_xlfn.NORM.S.INV(Table1347456[[#This Row],[p_value]]/2))</f>
        <v>2.2414027276049446</v>
      </c>
      <c r="BK1326" s="19">
        <f>(Table1347456[[#This Row],[lnrr]]/Table1347456[[#This Row],[z_from_p]])^2</f>
        <v>6.9763048334010843E-3</v>
      </c>
      <c r="BL1326" s="16">
        <f>(Table1347456[[#This Row],[lnrr]]/Table1347456[[#This Row],[z_from_p]])^2</f>
        <v>6.9763048334010843E-3</v>
      </c>
      <c r="BM1326" s="20">
        <f>SQRT(Table1347456[[#This Row],[v]])</f>
        <v>8.3524276910375492E-2</v>
      </c>
      <c r="BN1326" s="20">
        <f>Table1347456[[#This Row],[lnrr]]-(1.96*Table1347456[[#This Row],[se]])</f>
        <v>-0.35091912483248233</v>
      </c>
      <c r="BO1326" s="20">
        <f>Table1347456[[#This Row],[lnrr]]+(1.96 * Table1347456[[#This Row],[se]])</f>
        <v>-2.350395934381036E-2</v>
      </c>
    </row>
    <row r="1327" spans="1:67">
      <c r="A1327" s="13" t="s">
        <v>412</v>
      </c>
      <c r="B1327" s="13" t="s">
        <v>413</v>
      </c>
      <c r="C1327" s="13" t="s">
        <v>341</v>
      </c>
      <c r="D1327" s="13" t="s">
        <v>414</v>
      </c>
      <c r="E1327" s="13" t="s">
        <v>415</v>
      </c>
      <c r="F1327" s="13" t="s">
        <v>590</v>
      </c>
      <c r="G1327" s="13" t="s">
        <v>46</v>
      </c>
      <c r="H1327" s="13" t="s">
        <v>46</v>
      </c>
      <c r="I1327" s="13" t="s">
        <v>46</v>
      </c>
      <c r="K1327" s="13" t="s">
        <v>946</v>
      </c>
      <c r="L1327" s="13" t="s">
        <v>947</v>
      </c>
      <c r="N1327" s="13" t="s">
        <v>630</v>
      </c>
      <c r="O1327" s="13" t="s">
        <v>812</v>
      </c>
      <c r="P1327" s="13" t="s">
        <v>419</v>
      </c>
      <c r="Q1327" s="13" t="s">
        <v>419</v>
      </c>
      <c r="R1327" s="4">
        <v>3</v>
      </c>
      <c r="S1327" s="13" t="s">
        <v>596</v>
      </c>
      <c r="T1327" s="13">
        <v>90</v>
      </c>
      <c r="U1327" s="4" t="s">
        <v>417</v>
      </c>
      <c r="V1327" s="4">
        <v>550</v>
      </c>
      <c r="W1327" s="4" t="s">
        <v>601</v>
      </c>
      <c r="X1327" s="4">
        <v>452</v>
      </c>
      <c r="Y1327" s="4">
        <v>1.5</v>
      </c>
      <c r="AA1327" s="4" t="s">
        <v>50</v>
      </c>
      <c r="AB1327" s="4">
        <v>200</v>
      </c>
      <c r="AC1327" s="4" t="s">
        <v>49</v>
      </c>
      <c r="AD1327" s="4">
        <v>0</v>
      </c>
      <c r="AE1327" s="4" t="s">
        <v>49</v>
      </c>
      <c r="AF1327" s="4">
        <v>0</v>
      </c>
      <c r="AG1327" s="4" t="s">
        <v>776</v>
      </c>
      <c r="AH1327" s="4" t="s">
        <v>722</v>
      </c>
      <c r="AI1327" s="4" t="s">
        <v>78</v>
      </c>
      <c r="AJ1327" s="13">
        <v>0</v>
      </c>
      <c r="AK1327" s="13">
        <v>15</v>
      </c>
      <c r="AL1327" s="13" t="s">
        <v>565</v>
      </c>
      <c r="AM1327" s="13" t="s">
        <v>566</v>
      </c>
      <c r="AO1327" s="13" t="s">
        <v>567</v>
      </c>
      <c r="AP1327" s="13" t="s">
        <v>49</v>
      </c>
      <c r="AQ1327" s="13" t="s">
        <v>49</v>
      </c>
      <c r="AR1327" s="13" t="s">
        <v>49</v>
      </c>
      <c r="AS1327" s="13" t="s">
        <v>49</v>
      </c>
      <c r="AT1327" s="13" t="s">
        <v>992</v>
      </c>
      <c r="AU1327" s="4" t="s">
        <v>1000</v>
      </c>
      <c r="AV1327" s="14">
        <v>0.19900000000000001</v>
      </c>
      <c r="AW1327" s="14">
        <v>0.16400000000000001</v>
      </c>
      <c r="AX1327" s="14">
        <f>Table1347456[[#This Row],[treatment_mean]]/Table1347456[[#This Row],[control_mean]]</f>
        <v>1.2134146341463414</v>
      </c>
      <c r="AY1327" s="14">
        <f>LN(Table1347456[[#This Row],[rr]])</f>
        <v>0.19343839690029394</v>
      </c>
      <c r="AZ1327" s="13">
        <v>3</v>
      </c>
      <c r="BA1327" s="13">
        <v>3</v>
      </c>
      <c r="BB1327" s="14">
        <v>0</v>
      </c>
      <c r="BC1327" s="14">
        <v>0</v>
      </c>
      <c r="BD1327" s="15">
        <f>Table1347456[[#This Row],[treatment_se]]*SQRT(Table1347456[[#This Row],[treatment_n]])</f>
        <v>0</v>
      </c>
      <c r="BE1327" s="14">
        <f>Table1347456[[#This Row],[control_se]]*SQRT(Table1347456[[#This Row],[control_n]])</f>
        <v>0</v>
      </c>
      <c r="BF132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27" s="17">
        <f>SQRT(Table1347456[[#This Row],[v_from_sd_and_n]])</f>
        <v>0</v>
      </c>
      <c r="BH1327" s="13" t="s">
        <v>50</v>
      </c>
      <c r="BI1327" s="13">
        <v>2.5000000000000001E-2</v>
      </c>
      <c r="BJ1327" s="18">
        <f>ABS(_xlfn.NORM.S.INV(Table1347456[[#This Row],[p_value]]/2))</f>
        <v>2.2414027276049446</v>
      </c>
      <c r="BK1327" s="19">
        <f>(Table1347456[[#This Row],[lnrr]]/Table1347456[[#This Row],[z_from_p]])^2</f>
        <v>7.4481013303676485E-3</v>
      </c>
      <c r="BL1327" s="16">
        <f>(Table1347456[[#This Row],[lnrr]]/Table1347456[[#This Row],[z_from_p]])^2</f>
        <v>7.4481013303676485E-3</v>
      </c>
      <c r="BM1327" s="20">
        <f>SQRT(Table1347456[[#This Row],[v]])</f>
        <v>8.6302383109434749E-2</v>
      </c>
      <c r="BN1327" s="20">
        <f>Table1347456[[#This Row],[lnrr]]-(1.96*Table1347456[[#This Row],[se]])</f>
        <v>2.4285726005801839E-2</v>
      </c>
      <c r="BO1327" s="20">
        <f>Table1347456[[#This Row],[lnrr]]+(1.96 * Table1347456[[#This Row],[se]])</f>
        <v>0.362591067794786</v>
      </c>
    </row>
    <row r="1328" spans="1:67">
      <c r="A1328" s="13" t="s">
        <v>412</v>
      </c>
      <c r="B1328" s="13" t="s">
        <v>413</v>
      </c>
      <c r="C1328" s="13" t="s">
        <v>341</v>
      </c>
      <c r="D1328" s="13" t="s">
        <v>414</v>
      </c>
      <c r="E1328" s="13" t="s">
        <v>415</v>
      </c>
      <c r="F1328" s="13" t="s">
        <v>590</v>
      </c>
      <c r="G1328" s="13" t="s">
        <v>46</v>
      </c>
      <c r="H1328" s="13" t="s">
        <v>46</v>
      </c>
      <c r="I1328" s="13" t="s">
        <v>46</v>
      </c>
      <c r="K1328" s="13" t="s">
        <v>946</v>
      </c>
      <c r="L1328" s="13" t="s">
        <v>947</v>
      </c>
      <c r="N1328" s="13" t="s">
        <v>630</v>
      </c>
      <c r="O1328" s="13" t="s">
        <v>812</v>
      </c>
      <c r="P1328" s="13" t="s">
        <v>419</v>
      </c>
      <c r="Q1328" s="13" t="s">
        <v>419</v>
      </c>
      <c r="R1328" s="4">
        <v>3</v>
      </c>
      <c r="S1328" s="13" t="s">
        <v>596</v>
      </c>
      <c r="T1328" s="13">
        <v>90</v>
      </c>
      <c r="U1328" s="4" t="s">
        <v>417</v>
      </c>
      <c r="V1328" s="4">
        <v>550</v>
      </c>
      <c r="W1328" s="4" t="s">
        <v>601</v>
      </c>
      <c r="X1328" s="4">
        <v>452</v>
      </c>
      <c r="Y1328" s="4">
        <v>10</v>
      </c>
      <c r="AA1328" s="4" t="s">
        <v>50</v>
      </c>
      <c r="AB1328" s="4">
        <v>200</v>
      </c>
      <c r="AC1328" s="4" t="s">
        <v>49</v>
      </c>
      <c r="AD1328" s="4">
        <v>0</v>
      </c>
      <c r="AE1328" s="4" t="s">
        <v>49</v>
      </c>
      <c r="AF1328" s="4">
        <v>0</v>
      </c>
      <c r="AG1328" s="4" t="s">
        <v>776</v>
      </c>
      <c r="AH1328" s="4" t="s">
        <v>722</v>
      </c>
      <c r="AI1328" s="4" t="s">
        <v>78</v>
      </c>
      <c r="AJ1328" s="13">
        <v>0</v>
      </c>
      <c r="AK1328" s="13">
        <v>15</v>
      </c>
      <c r="AL1328" s="13" t="s">
        <v>565</v>
      </c>
      <c r="AM1328" s="13" t="s">
        <v>566</v>
      </c>
      <c r="AO1328" s="13" t="s">
        <v>567</v>
      </c>
      <c r="AP1328" s="13" t="s">
        <v>49</v>
      </c>
      <c r="AQ1328" s="13" t="s">
        <v>49</v>
      </c>
      <c r="AR1328" s="13" t="s">
        <v>49</v>
      </c>
      <c r="AS1328" s="13" t="s">
        <v>49</v>
      </c>
      <c r="AT1328" s="13" t="s">
        <v>992</v>
      </c>
      <c r="AU1328" s="4" t="s">
        <v>1000</v>
      </c>
      <c r="AV1328" s="14">
        <v>8.2000000000000003E-2</v>
      </c>
      <c r="AW1328" s="14">
        <v>0.16400000000000001</v>
      </c>
      <c r="AX1328" s="14">
        <f>Table1347456[[#This Row],[treatment_mean]]/Table1347456[[#This Row],[control_mean]]</f>
        <v>0.5</v>
      </c>
      <c r="AY1328" s="14">
        <f>LN(Table1347456[[#This Row],[rr]])</f>
        <v>-0.69314718055994529</v>
      </c>
      <c r="AZ1328" s="13">
        <v>3</v>
      </c>
      <c r="BA1328" s="13">
        <v>3</v>
      </c>
      <c r="BB1328" s="14">
        <v>0</v>
      </c>
      <c r="BC1328" s="14">
        <v>0</v>
      </c>
      <c r="BD1328" s="15">
        <f>Table1347456[[#This Row],[treatment_se]]*SQRT(Table1347456[[#This Row],[treatment_n]])</f>
        <v>0</v>
      </c>
      <c r="BE1328" s="14">
        <f>Table1347456[[#This Row],[control_se]]*SQRT(Table1347456[[#This Row],[control_n]])</f>
        <v>0</v>
      </c>
      <c r="BF132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28" s="17">
        <f>SQRT(Table1347456[[#This Row],[v_from_sd_and_n]])</f>
        <v>0</v>
      </c>
      <c r="BH1328" s="13" t="s">
        <v>50</v>
      </c>
      <c r="BI1328" s="13">
        <v>2.5000000000000001E-2</v>
      </c>
      <c r="BJ1328" s="18">
        <f>ABS(_xlfn.NORM.S.INV(Table1347456[[#This Row],[p_value]]/2))</f>
        <v>2.2414027276049446</v>
      </c>
      <c r="BK1328" s="19">
        <f>(Table1347456[[#This Row],[lnrr]]/Table1347456[[#This Row],[z_from_p]])^2</f>
        <v>9.5633737709131666E-2</v>
      </c>
      <c r="BL1328" s="16">
        <f>(Table1347456[[#This Row],[lnrr]]/Table1347456[[#This Row],[z_from_p]])^2</f>
        <v>9.5633737709131666E-2</v>
      </c>
      <c r="BM1328" s="20">
        <f>SQRT(Table1347456[[#This Row],[v]])</f>
        <v>0.30924704963690708</v>
      </c>
      <c r="BN1328" s="20">
        <f>Table1347456[[#This Row],[lnrr]]-(1.96*Table1347456[[#This Row],[se]])</f>
        <v>-1.2992713978482833</v>
      </c>
      <c r="BO1328" s="20">
        <f>Table1347456[[#This Row],[lnrr]]+(1.96 * Table1347456[[#This Row],[se]])</f>
        <v>-8.7022963271607412E-2</v>
      </c>
    </row>
    <row r="1329" spans="1:67">
      <c r="A1329" s="13" t="s">
        <v>412</v>
      </c>
      <c r="B1329" s="13" t="s">
        <v>413</v>
      </c>
      <c r="C1329" s="13" t="s">
        <v>341</v>
      </c>
      <c r="D1329" s="13" t="s">
        <v>414</v>
      </c>
      <c r="E1329" s="13" t="s">
        <v>415</v>
      </c>
      <c r="F1329" s="13" t="s">
        <v>590</v>
      </c>
      <c r="G1329" s="13" t="s">
        <v>46</v>
      </c>
      <c r="H1329" s="13" t="s">
        <v>46</v>
      </c>
      <c r="I1329" s="13" t="s">
        <v>46</v>
      </c>
      <c r="K1329" s="13" t="s">
        <v>946</v>
      </c>
      <c r="L1329" s="13" t="s">
        <v>947</v>
      </c>
      <c r="N1329" s="13" t="s">
        <v>630</v>
      </c>
      <c r="O1329" s="13" t="s">
        <v>812</v>
      </c>
      <c r="P1329" s="13" t="s">
        <v>419</v>
      </c>
      <c r="Q1329" s="13" t="s">
        <v>419</v>
      </c>
      <c r="R1329" s="4">
        <v>3</v>
      </c>
      <c r="S1329" s="13" t="s">
        <v>596</v>
      </c>
      <c r="T1329" s="13">
        <v>90</v>
      </c>
      <c r="U1329" s="4" t="s">
        <v>417</v>
      </c>
      <c r="V1329" s="4">
        <v>550</v>
      </c>
      <c r="W1329" s="4" t="s">
        <v>601</v>
      </c>
      <c r="X1329" s="4">
        <v>452</v>
      </c>
      <c r="Y1329" s="4">
        <v>20</v>
      </c>
      <c r="AA1329" s="4" t="s">
        <v>50</v>
      </c>
      <c r="AB1329" s="4">
        <v>200</v>
      </c>
      <c r="AC1329" s="4" t="s">
        <v>49</v>
      </c>
      <c r="AD1329" s="4">
        <v>0</v>
      </c>
      <c r="AE1329" s="4" t="s">
        <v>49</v>
      </c>
      <c r="AF1329" s="4">
        <v>0</v>
      </c>
      <c r="AG1329" s="4" t="s">
        <v>776</v>
      </c>
      <c r="AH1329" s="4" t="s">
        <v>722</v>
      </c>
      <c r="AI1329" s="4" t="s">
        <v>78</v>
      </c>
      <c r="AJ1329" s="13">
        <v>0</v>
      </c>
      <c r="AK1329" s="13">
        <v>15</v>
      </c>
      <c r="AL1329" s="13" t="s">
        <v>565</v>
      </c>
      <c r="AM1329" s="13" t="s">
        <v>566</v>
      </c>
      <c r="AO1329" s="13" t="s">
        <v>567</v>
      </c>
      <c r="AP1329" s="13" t="s">
        <v>49</v>
      </c>
      <c r="AQ1329" s="13" t="s">
        <v>49</v>
      </c>
      <c r="AR1329" s="13" t="s">
        <v>49</v>
      </c>
      <c r="AS1329" s="13" t="s">
        <v>49</v>
      </c>
      <c r="AT1329" s="13" t="s">
        <v>992</v>
      </c>
      <c r="AU1329" s="4" t="s">
        <v>1000</v>
      </c>
      <c r="AV1329" s="14">
        <v>6.6000000000000003E-2</v>
      </c>
      <c r="AW1329" s="14">
        <v>0.16400000000000001</v>
      </c>
      <c r="AX1329" s="14">
        <f>Table1347456[[#This Row],[treatment_mean]]/Table1347456[[#This Row],[control_mean]]</f>
        <v>0.40243902439024393</v>
      </c>
      <c r="AY1329" s="14">
        <f>LN(Table1347456[[#This Row],[rr]])</f>
        <v>-0.91021168579777278</v>
      </c>
      <c r="AZ1329" s="13">
        <v>3</v>
      </c>
      <c r="BA1329" s="13">
        <v>3</v>
      </c>
      <c r="BB1329" s="14">
        <v>0</v>
      </c>
      <c r="BC1329" s="14">
        <v>0</v>
      </c>
      <c r="BD1329" s="15">
        <f>Table1347456[[#This Row],[treatment_se]]*SQRT(Table1347456[[#This Row],[treatment_n]])</f>
        <v>0</v>
      </c>
      <c r="BE1329" s="14">
        <f>Table1347456[[#This Row],[control_se]]*SQRT(Table1347456[[#This Row],[control_n]])</f>
        <v>0</v>
      </c>
      <c r="BF132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29" s="17">
        <f>SQRT(Table1347456[[#This Row],[v_from_sd_and_n]])</f>
        <v>0</v>
      </c>
      <c r="BH1329" s="13" t="s">
        <v>50</v>
      </c>
      <c r="BI1329" s="13">
        <v>2.5000000000000001E-2</v>
      </c>
      <c r="BJ1329" s="18">
        <f>ABS(_xlfn.NORM.S.INV(Table1347456[[#This Row],[p_value]]/2))</f>
        <v>2.2414027276049446</v>
      </c>
      <c r="BK1329" s="19">
        <f>(Table1347456[[#This Row],[lnrr]]/Table1347456[[#This Row],[z_from_p]])^2</f>
        <v>0.16490925193622341</v>
      </c>
      <c r="BL1329" s="16">
        <f>(Table1347456[[#This Row],[lnrr]]/Table1347456[[#This Row],[z_from_p]])^2</f>
        <v>0.16490925193622341</v>
      </c>
      <c r="BM1329" s="20">
        <f>SQRT(Table1347456[[#This Row],[v]])</f>
        <v>0.4060902017239808</v>
      </c>
      <c r="BN1329" s="20">
        <f>Table1347456[[#This Row],[lnrr]]-(1.96*Table1347456[[#This Row],[se]])</f>
        <v>-1.7061484811767751</v>
      </c>
      <c r="BO1329" s="20">
        <f>Table1347456[[#This Row],[lnrr]]+(1.96 * Table1347456[[#This Row],[se]])</f>
        <v>-0.11427489041877037</v>
      </c>
    </row>
    <row r="1330" spans="1:67">
      <c r="A1330" s="13" t="s">
        <v>412</v>
      </c>
      <c r="B1330" s="13" t="s">
        <v>413</v>
      </c>
      <c r="C1330" s="13" t="s">
        <v>341</v>
      </c>
      <c r="D1330" s="13" t="s">
        <v>414</v>
      </c>
      <c r="E1330" s="13" t="s">
        <v>415</v>
      </c>
      <c r="F1330" s="13" t="s">
        <v>590</v>
      </c>
      <c r="G1330" s="13" t="s">
        <v>46</v>
      </c>
      <c r="H1330" s="13" t="s">
        <v>46</v>
      </c>
      <c r="I1330" s="13" t="s">
        <v>46</v>
      </c>
      <c r="K1330" s="13" t="s">
        <v>946</v>
      </c>
      <c r="L1330" s="13" t="s">
        <v>947</v>
      </c>
      <c r="N1330" s="13" t="s">
        <v>631</v>
      </c>
      <c r="O1330" s="13" t="s">
        <v>812</v>
      </c>
      <c r="P1330" s="13" t="s">
        <v>419</v>
      </c>
      <c r="Q1330" s="13" t="s">
        <v>419</v>
      </c>
      <c r="R1330" s="4">
        <v>3</v>
      </c>
      <c r="S1330" s="13" t="s">
        <v>596</v>
      </c>
      <c r="T1330" s="13">
        <v>90</v>
      </c>
      <c r="U1330" s="4" t="s">
        <v>416</v>
      </c>
      <c r="V1330" s="4">
        <v>550</v>
      </c>
      <c r="W1330" s="4" t="s">
        <v>601</v>
      </c>
      <c r="X1330" s="4">
        <v>261</v>
      </c>
      <c r="Y1330" s="4">
        <v>1.5</v>
      </c>
      <c r="AA1330" s="4" t="s">
        <v>49</v>
      </c>
      <c r="AB1330" s="4">
        <v>0</v>
      </c>
      <c r="AC1330" s="4" t="s">
        <v>49</v>
      </c>
      <c r="AD1330" s="4">
        <v>0</v>
      </c>
      <c r="AE1330" s="4" t="s">
        <v>49</v>
      </c>
      <c r="AF1330" s="4">
        <v>0</v>
      </c>
      <c r="AG1330" s="4" t="s">
        <v>768</v>
      </c>
      <c r="AH1330" s="4" t="s">
        <v>722</v>
      </c>
      <c r="AI1330" s="4" t="s">
        <v>78</v>
      </c>
      <c r="AJ1330" s="13">
        <v>0</v>
      </c>
      <c r="AK1330" s="13">
        <v>15</v>
      </c>
      <c r="AL1330" s="13" t="s">
        <v>565</v>
      </c>
      <c r="AM1330" s="13" t="s">
        <v>566</v>
      </c>
      <c r="AO1330" s="13" t="s">
        <v>567</v>
      </c>
      <c r="AP1330" s="13" t="s">
        <v>49</v>
      </c>
      <c r="AQ1330" s="13" t="s">
        <v>49</v>
      </c>
      <c r="AR1330" s="13" t="s">
        <v>49</v>
      </c>
      <c r="AS1330" s="13" t="s">
        <v>49</v>
      </c>
      <c r="AT1330" s="13" t="s">
        <v>990</v>
      </c>
      <c r="AU1330" s="13" t="s">
        <v>998</v>
      </c>
      <c r="AV1330" s="14">
        <v>4.2999999999999997E-2</v>
      </c>
      <c r="AW1330" s="14">
        <v>0.17100000000000001</v>
      </c>
      <c r="AX1330" s="14">
        <f>Table1347456[[#This Row],[treatment_mean]]/Table1347456[[#This Row],[control_mean]]</f>
        <v>0.25146198830409355</v>
      </c>
      <c r="AY1330" s="14">
        <f>LN(Table1347456[[#This Row],[rr]])</f>
        <v>-1.3804634408090974</v>
      </c>
      <c r="AZ1330" s="13">
        <v>3</v>
      </c>
      <c r="BA1330" s="13">
        <v>3</v>
      </c>
      <c r="BB1330" s="14">
        <v>0</v>
      </c>
      <c r="BC1330" s="14">
        <v>0</v>
      </c>
      <c r="BD1330" s="15">
        <f>Table1347456[[#This Row],[treatment_se]]*SQRT(Table1347456[[#This Row],[treatment_n]])</f>
        <v>0</v>
      </c>
      <c r="BE1330" s="14">
        <f>Table1347456[[#This Row],[control_se]]*SQRT(Table1347456[[#This Row],[control_n]])</f>
        <v>0</v>
      </c>
      <c r="BF133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30" s="17">
        <f>SQRT(Table1347456[[#This Row],[v_from_sd_and_n]])</f>
        <v>0</v>
      </c>
      <c r="BH1330" s="13" t="s">
        <v>50</v>
      </c>
      <c r="BI1330" s="13">
        <v>2.5000000000000001E-2</v>
      </c>
      <c r="BJ1330" s="18">
        <f>ABS(_xlfn.NORM.S.INV(Table1347456[[#This Row],[p_value]]/2))</f>
        <v>2.2414027276049446</v>
      </c>
      <c r="BK1330" s="19">
        <f>(Table1347456[[#This Row],[lnrr]]/Table1347456[[#This Row],[z_from_p]])^2</f>
        <v>0.37932374268793306</v>
      </c>
      <c r="BL1330" s="16">
        <f>(Table1347456[[#This Row],[lnrr]]/Table1347456[[#This Row],[z_from_p]])^2</f>
        <v>0.37932374268793306</v>
      </c>
      <c r="BM1330" s="20">
        <f>SQRT(Table1347456[[#This Row],[v]])</f>
        <v>0.61589263892981627</v>
      </c>
      <c r="BN1330" s="20">
        <f>Table1347456[[#This Row],[lnrr]]-(1.96*Table1347456[[#This Row],[se]])</f>
        <v>-2.5876130131115374</v>
      </c>
      <c r="BO1330" s="20">
        <f>Table1347456[[#This Row],[lnrr]]+(1.96 * Table1347456[[#This Row],[se]])</f>
        <v>-0.17331386850665753</v>
      </c>
    </row>
    <row r="1331" spans="1:67">
      <c r="A1331" s="13" t="s">
        <v>412</v>
      </c>
      <c r="B1331" s="13" t="s">
        <v>413</v>
      </c>
      <c r="C1331" s="13" t="s">
        <v>341</v>
      </c>
      <c r="D1331" s="13" t="s">
        <v>414</v>
      </c>
      <c r="E1331" s="13" t="s">
        <v>415</v>
      </c>
      <c r="F1331" s="13" t="s">
        <v>590</v>
      </c>
      <c r="G1331" s="13" t="s">
        <v>46</v>
      </c>
      <c r="H1331" s="13" t="s">
        <v>46</v>
      </c>
      <c r="I1331" s="13" t="s">
        <v>46</v>
      </c>
      <c r="K1331" s="13" t="s">
        <v>946</v>
      </c>
      <c r="L1331" s="13" t="s">
        <v>947</v>
      </c>
      <c r="N1331" s="13" t="s">
        <v>631</v>
      </c>
      <c r="O1331" s="13" t="s">
        <v>812</v>
      </c>
      <c r="P1331" s="13" t="s">
        <v>419</v>
      </c>
      <c r="Q1331" s="13" t="s">
        <v>419</v>
      </c>
      <c r="R1331" s="4">
        <v>3</v>
      </c>
      <c r="S1331" s="13" t="s">
        <v>596</v>
      </c>
      <c r="T1331" s="13">
        <v>90</v>
      </c>
      <c r="U1331" s="4" t="s">
        <v>416</v>
      </c>
      <c r="V1331" s="4">
        <v>550</v>
      </c>
      <c r="W1331" s="4" t="s">
        <v>601</v>
      </c>
      <c r="X1331" s="4">
        <v>261</v>
      </c>
      <c r="Y1331" s="4">
        <v>5</v>
      </c>
      <c r="AA1331" s="4" t="s">
        <v>49</v>
      </c>
      <c r="AB1331" s="4">
        <v>0</v>
      </c>
      <c r="AC1331" s="4" t="s">
        <v>49</v>
      </c>
      <c r="AD1331" s="4">
        <v>0</v>
      </c>
      <c r="AE1331" s="4" t="s">
        <v>49</v>
      </c>
      <c r="AF1331" s="4">
        <v>0</v>
      </c>
      <c r="AG1331" s="4" t="s">
        <v>768</v>
      </c>
      <c r="AH1331" s="4" t="s">
        <v>722</v>
      </c>
      <c r="AI1331" s="4" t="s">
        <v>78</v>
      </c>
      <c r="AJ1331" s="13">
        <v>0</v>
      </c>
      <c r="AK1331" s="13">
        <v>15</v>
      </c>
      <c r="AL1331" s="13" t="s">
        <v>565</v>
      </c>
      <c r="AM1331" s="13" t="s">
        <v>566</v>
      </c>
      <c r="AO1331" s="13" t="s">
        <v>567</v>
      </c>
      <c r="AP1331" s="13" t="s">
        <v>49</v>
      </c>
      <c r="AQ1331" s="13" t="s">
        <v>49</v>
      </c>
      <c r="AR1331" s="13" t="s">
        <v>49</v>
      </c>
      <c r="AS1331" s="13" t="s">
        <v>49</v>
      </c>
      <c r="AT1331" s="13" t="s">
        <v>990</v>
      </c>
      <c r="AU1331" s="13" t="s">
        <v>998</v>
      </c>
      <c r="AV1331" s="14">
        <v>0</v>
      </c>
      <c r="AW1331" s="14">
        <v>0.17100000000000001</v>
      </c>
      <c r="AX1331" s="14">
        <f>Table1347456[[#This Row],[treatment_mean]]/Table1347456[[#This Row],[control_mean]]</f>
        <v>0</v>
      </c>
      <c r="AY1331" s="14" t="e">
        <f>LN(Table1347456[[#This Row],[rr]])</f>
        <v>#NUM!</v>
      </c>
      <c r="AZ1331" s="13">
        <v>3</v>
      </c>
      <c r="BA1331" s="13">
        <v>3</v>
      </c>
      <c r="BB1331" s="14">
        <v>0</v>
      </c>
      <c r="BC1331" s="14">
        <v>0</v>
      </c>
      <c r="BD1331" s="15">
        <f>Table1347456[[#This Row],[treatment_se]]*SQRT(Table1347456[[#This Row],[treatment_n]])</f>
        <v>0</v>
      </c>
      <c r="BE1331" s="14">
        <f>Table1347456[[#This Row],[control_se]]*SQRT(Table1347456[[#This Row],[control_n]])</f>
        <v>0</v>
      </c>
      <c r="BF1331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#DIV/0!</v>
      </c>
      <c r="BG1331" s="17" t="e">
        <f>SQRT(Table1347456[[#This Row],[v_from_sd_and_n]])</f>
        <v>#DIV/0!</v>
      </c>
      <c r="BH1331" s="13" t="s">
        <v>50</v>
      </c>
      <c r="BI1331" s="13">
        <v>2.5000000000000001E-2</v>
      </c>
      <c r="BJ1331" s="18">
        <f>ABS(_xlfn.NORM.S.INV(Table1347456[[#This Row],[p_value]]/2))</f>
        <v>2.2414027276049446</v>
      </c>
      <c r="BK1331" s="19" t="e">
        <f>(Table1347456[[#This Row],[lnrr]]/Table1347456[[#This Row],[z_from_p]])^2</f>
        <v>#NUM!</v>
      </c>
      <c r="BL1331" s="16" t="e">
        <f>(Table1347456[[#This Row],[lnrr]]/Table1347456[[#This Row],[z_from_p]])^2</f>
        <v>#NUM!</v>
      </c>
      <c r="BM1331" s="20" t="e">
        <f>SQRT(Table1347456[[#This Row],[v]])</f>
        <v>#NUM!</v>
      </c>
      <c r="BN1331" s="20" t="e">
        <f>Table1347456[[#This Row],[lnrr]]-(1.96*Table1347456[[#This Row],[se]])</f>
        <v>#NUM!</v>
      </c>
      <c r="BO1331" s="20" t="e">
        <f>Table1347456[[#This Row],[lnrr]]+(1.96 * Table1347456[[#This Row],[se]])</f>
        <v>#NUM!</v>
      </c>
    </row>
    <row r="1332" spans="1:67">
      <c r="A1332" s="13" t="s">
        <v>412</v>
      </c>
      <c r="B1332" s="13" t="s">
        <v>413</v>
      </c>
      <c r="C1332" s="13" t="s">
        <v>341</v>
      </c>
      <c r="D1332" s="13" t="s">
        <v>414</v>
      </c>
      <c r="E1332" s="13" t="s">
        <v>415</v>
      </c>
      <c r="F1332" s="13" t="s">
        <v>590</v>
      </c>
      <c r="G1332" s="13" t="s">
        <v>46</v>
      </c>
      <c r="H1332" s="13" t="s">
        <v>46</v>
      </c>
      <c r="I1332" s="13" t="s">
        <v>46</v>
      </c>
      <c r="K1332" s="13" t="s">
        <v>946</v>
      </c>
      <c r="L1332" s="13" t="s">
        <v>947</v>
      </c>
      <c r="N1332" s="13" t="s">
        <v>631</v>
      </c>
      <c r="O1332" s="13" t="s">
        <v>812</v>
      </c>
      <c r="P1332" s="13" t="s">
        <v>419</v>
      </c>
      <c r="Q1332" s="13" t="s">
        <v>419</v>
      </c>
      <c r="R1332" s="4">
        <v>3</v>
      </c>
      <c r="S1332" s="13" t="s">
        <v>596</v>
      </c>
      <c r="T1332" s="13">
        <v>90</v>
      </c>
      <c r="U1332" s="4" t="s">
        <v>416</v>
      </c>
      <c r="V1332" s="4">
        <v>550</v>
      </c>
      <c r="W1332" s="4" t="s">
        <v>601</v>
      </c>
      <c r="X1332" s="4">
        <v>261</v>
      </c>
      <c r="Y1332" s="4">
        <v>10</v>
      </c>
      <c r="AA1332" s="4" t="s">
        <v>49</v>
      </c>
      <c r="AB1332" s="4">
        <v>0</v>
      </c>
      <c r="AC1332" s="4" t="s">
        <v>49</v>
      </c>
      <c r="AD1332" s="4">
        <v>0</v>
      </c>
      <c r="AE1332" s="4" t="s">
        <v>49</v>
      </c>
      <c r="AF1332" s="4">
        <v>0</v>
      </c>
      <c r="AG1332" s="4" t="s">
        <v>768</v>
      </c>
      <c r="AH1332" s="4" t="s">
        <v>722</v>
      </c>
      <c r="AI1332" s="4" t="s">
        <v>78</v>
      </c>
      <c r="AJ1332" s="13">
        <v>0</v>
      </c>
      <c r="AK1332" s="13">
        <v>15</v>
      </c>
      <c r="AL1332" s="13" t="s">
        <v>565</v>
      </c>
      <c r="AM1332" s="13" t="s">
        <v>566</v>
      </c>
      <c r="AO1332" s="13" t="s">
        <v>567</v>
      </c>
      <c r="AP1332" s="13" t="s">
        <v>49</v>
      </c>
      <c r="AQ1332" s="13" t="s">
        <v>49</v>
      </c>
      <c r="AR1332" s="13" t="s">
        <v>49</v>
      </c>
      <c r="AS1332" s="13" t="s">
        <v>49</v>
      </c>
      <c r="AT1332" s="13" t="s">
        <v>990</v>
      </c>
      <c r="AU1332" s="13" t="s">
        <v>998</v>
      </c>
      <c r="AV1332" s="14">
        <v>0</v>
      </c>
      <c r="AW1332" s="14">
        <v>0.17100000000000001</v>
      </c>
      <c r="AX1332" s="14">
        <f>Table1347456[[#This Row],[treatment_mean]]/Table1347456[[#This Row],[control_mean]]</f>
        <v>0</v>
      </c>
      <c r="AY1332" s="14" t="e">
        <f>LN(Table1347456[[#This Row],[rr]])</f>
        <v>#NUM!</v>
      </c>
      <c r="AZ1332" s="13">
        <v>3</v>
      </c>
      <c r="BA1332" s="13">
        <v>3</v>
      </c>
      <c r="BB1332" s="14">
        <v>0</v>
      </c>
      <c r="BC1332" s="14">
        <v>0</v>
      </c>
      <c r="BD1332" s="15">
        <f>Table1347456[[#This Row],[treatment_se]]*SQRT(Table1347456[[#This Row],[treatment_n]])</f>
        <v>0</v>
      </c>
      <c r="BE1332" s="14">
        <f>Table1347456[[#This Row],[control_se]]*SQRT(Table1347456[[#This Row],[control_n]])</f>
        <v>0</v>
      </c>
      <c r="BF1332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#DIV/0!</v>
      </c>
      <c r="BG1332" s="17" t="e">
        <f>SQRT(Table1347456[[#This Row],[v_from_sd_and_n]])</f>
        <v>#DIV/0!</v>
      </c>
      <c r="BH1332" s="13" t="s">
        <v>50</v>
      </c>
      <c r="BI1332" s="13">
        <v>2.5000000000000001E-2</v>
      </c>
      <c r="BJ1332" s="18">
        <f>ABS(_xlfn.NORM.S.INV(Table1347456[[#This Row],[p_value]]/2))</f>
        <v>2.2414027276049446</v>
      </c>
      <c r="BK1332" s="19" t="e">
        <f>(Table1347456[[#This Row],[lnrr]]/Table1347456[[#This Row],[z_from_p]])^2</f>
        <v>#NUM!</v>
      </c>
      <c r="BL1332" s="16" t="e">
        <f>(Table1347456[[#This Row],[lnrr]]/Table1347456[[#This Row],[z_from_p]])^2</f>
        <v>#NUM!</v>
      </c>
      <c r="BM1332" s="20" t="e">
        <f>SQRT(Table1347456[[#This Row],[v]])</f>
        <v>#NUM!</v>
      </c>
      <c r="BN1332" s="20" t="e">
        <f>Table1347456[[#This Row],[lnrr]]-(1.96*Table1347456[[#This Row],[se]])</f>
        <v>#NUM!</v>
      </c>
      <c r="BO1332" s="20" t="e">
        <f>Table1347456[[#This Row],[lnrr]]+(1.96 * Table1347456[[#This Row],[se]])</f>
        <v>#NUM!</v>
      </c>
    </row>
    <row r="1333" spans="1:67">
      <c r="A1333" s="13" t="s">
        <v>412</v>
      </c>
      <c r="B1333" s="13" t="s">
        <v>413</v>
      </c>
      <c r="C1333" s="13" t="s">
        <v>341</v>
      </c>
      <c r="D1333" s="13" t="s">
        <v>414</v>
      </c>
      <c r="E1333" s="13" t="s">
        <v>415</v>
      </c>
      <c r="F1333" s="13" t="s">
        <v>590</v>
      </c>
      <c r="G1333" s="13" t="s">
        <v>46</v>
      </c>
      <c r="H1333" s="13" t="s">
        <v>46</v>
      </c>
      <c r="I1333" s="13" t="s">
        <v>46</v>
      </c>
      <c r="K1333" s="13" t="s">
        <v>946</v>
      </c>
      <c r="L1333" s="13" t="s">
        <v>947</v>
      </c>
      <c r="N1333" s="13" t="s">
        <v>631</v>
      </c>
      <c r="O1333" s="13" t="s">
        <v>812</v>
      </c>
      <c r="P1333" s="13" t="s">
        <v>419</v>
      </c>
      <c r="Q1333" s="13" t="s">
        <v>419</v>
      </c>
      <c r="R1333" s="4">
        <v>3</v>
      </c>
      <c r="S1333" s="13" t="s">
        <v>596</v>
      </c>
      <c r="T1333" s="13">
        <v>90</v>
      </c>
      <c r="U1333" s="4" t="s">
        <v>417</v>
      </c>
      <c r="V1333" s="4">
        <v>550</v>
      </c>
      <c r="W1333" s="4" t="s">
        <v>601</v>
      </c>
      <c r="X1333" s="4">
        <v>452</v>
      </c>
      <c r="Y1333" s="4">
        <v>1.5</v>
      </c>
      <c r="AA1333" s="4" t="s">
        <v>49</v>
      </c>
      <c r="AB1333" s="4">
        <v>0</v>
      </c>
      <c r="AC1333" s="4" t="s">
        <v>49</v>
      </c>
      <c r="AD1333" s="4">
        <v>0</v>
      </c>
      <c r="AE1333" s="4" t="s">
        <v>49</v>
      </c>
      <c r="AF1333" s="4">
        <v>0</v>
      </c>
      <c r="AG1333" s="4" t="s">
        <v>776</v>
      </c>
      <c r="AH1333" s="4" t="s">
        <v>722</v>
      </c>
      <c r="AI1333" s="4" t="s">
        <v>78</v>
      </c>
      <c r="AJ1333" s="13">
        <v>0</v>
      </c>
      <c r="AK1333" s="13">
        <v>15</v>
      </c>
      <c r="AL1333" s="13" t="s">
        <v>565</v>
      </c>
      <c r="AM1333" s="13" t="s">
        <v>566</v>
      </c>
      <c r="AO1333" s="13" t="s">
        <v>567</v>
      </c>
      <c r="AP1333" s="13" t="s">
        <v>49</v>
      </c>
      <c r="AQ1333" s="13" t="s">
        <v>49</v>
      </c>
      <c r="AR1333" s="13" t="s">
        <v>49</v>
      </c>
      <c r="AS1333" s="13" t="s">
        <v>49</v>
      </c>
      <c r="AT1333" s="13" t="s">
        <v>990</v>
      </c>
      <c r="AU1333" s="13" t="s">
        <v>998</v>
      </c>
      <c r="AV1333" s="14">
        <v>1.4E-2</v>
      </c>
      <c r="AW1333" s="14">
        <v>0.17100000000000001</v>
      </c>
      <c r="AX1333" s="14">
        <f>Table1347456[[#This Row],[treatment_mean]]/Table1347456[[#This Row],[control_mean]]</f>
        <v>8.1871345029239762E-2</v>
      </c>
      <c r="AY1333" s="14">
        <f>LN(Table1347456[[#This Row],[rr]])</f>
        <v>-2.5026062268874014</v>
      </c>
      <c r="AZ1333" s="13">
        <v>3</v>
      </c>
      <c r="BA1333" s="13">
        <v>3</v>
      </c>
      <c r="BB1333" s="14">
        <v>0</v>
      </c>
      <c r="BC1333" s="14">
        <v>0</v>
      </c>
      <c r="BD1333" s="15">
        <f>Table1347456[[#This Row],[treatment_se]]*SQRT(Table1347456[[#This Row],[treatment_n]])</f>
        <v>0</v>
      </c>
      <c r="BE1333" s="14">
        <f>Table1347456[[#This Row],[control_se]]*SQRT(Table1347456[[#This Row],[control_n]])</f>
        <v>0</v>
      </c>
      <c r="BF133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33" s="17">
        <f>SQRT(Table1347456[[#This Row],[v_from_sd_and_n]])</f>
        <v>0</v>
      </c>
      <c r="BH1333" s="13" t="s">
        <v>50</v>
      </c>
      <c r="BI1333" s="13">
        <v>2.5000000000000001E-2</v>
      </c>
      <c r="BJ1333" s="18">
        <f>ABS(_xlfn.NORM.S.INV(Table1347456[[#This Row],[p_value]]/2))</f>
        <v>2.2414027276049446</v>
      </c>
      <c r="BK1333" s="19">
        <f>(Table1347456[[#This Row],[lnrr]]/Table1347456[[#This Row],[z_from_p]])^2</f>
        <v>1.2466520325777919</v>
      </c>
      <c r="BL1333" s="16">
        <f>(Table1347456[[#This Row],[lnrr]]/Table1347456[[#This Row],[z_from_p]])^2</f>
        <v>1.2466520325777919</v>
      </c>
      <c r="BM1333" s="20">
        <f>SQRT(Table1347456[[#This Row],[v]])</f>
        <v>1.1165357283033051</v>
      </c>
      <c r="BN1333" s="20">
        <f>Table1347456[[#This Row],[lnrr]]-(1.96*Table1347456[[#This Row],[se]])</f>
        <v>-4.6910162543618794</v>
      </c>
      <c r="BO1333" s="20">
        <f>Table1347456[[#This Row],[lnrr]]+(1.96 * Table1347456[[#This Row],[se]])</f>
        <v>-0.31419619941292343</v>
      </c>
    </row>
    <row r="1334" spans="1:67">
      <c r="A1334" s="13" t="s">
        <v>412</v>
      </c>
      <c r="B1334" s="13" t="s">
        <v>413</v>
      </c>
      <c r="C1334" s="13" t="s">
        <v>341</v>
      </c>
      <c r="D1334" s="13" t="s">
        <v>414</v>
      </c>
      <c r="E1334" s="13" t="s">
        <v>415</v>
      </c>
      <c r="F1334" s="13" t="s">
        <v>590</v>
      </c>
      <c r="G1334" s="13" t="s">
        <v>46</v>
      </c>
      <c r="H1334" s="13" t="s">
        <v>46</v>
      </c>
      <c r="I1334" s="13" t="s">
        <v>46</v>
      </c>
      <c r="K1334" s="13" t="s">
        <v>946</v>
      </c>
      <c r="L1334" s="13" t="s">
        <v>947</v>
      </c>
      <c r="N1334" s="13" t="s">
        <v>631</v>
      </c>
      <c r="O1334" s="13" t="s">
        <v>812</v>
      </c>
      <c r="P1334" s="13" t="s">
        <v>419</v>
      </c>
      <c r="Q1334" s="13" t="s">
        <v>419</v>
      </c>
      <c r="R1334" s="4">
        <v>3</v>
      </c>
      <c r="S1334" s="13" t="s">
        <v>596</v>
      </c>
      <c r="T1334" s="13">
        <v>90</v>
      </c>
      <c r="U1334" s="4" t="s">
        <v>417</v>
      </c>
      <c r="V1334" s="4">
        <v>550</v>
      </c>
      <c r="W1334" s="4" t="s">
        <v>601</v>
      </c>
      <c r="X1334" s="4">
        <v>452</v>
      </c>
      <c r="Y1334" s="4">
        <v>5</v>
      </c>
      <c r="AA1334" s="4" t="s">
        <v>49</v>
      </c>
      <c r="AB1334" s="4">
        <v>0</v>
      </c>
      <c r="AC1334" s="4" t="s">
        <v>49</v>
      </c>
      <c r="AD1334" s="4">
        <v>0</v>
      </c>
      <c r="AE1334" s="4" t="s">
        <v>49</v>
      </c>
      <c r="AF1334" s="4">
        <v>0</v>
      </c>
      <c r="AG1334" s="4" t="s">
        <v>776</v>
      </c>
      <c r="AH1334" s="4" t="s">
        <v>722</v>
      </c>
      <c r="AI1334" s="4" t="s">
        <v>78</v>
      </c>
      <c r="AJ1334" s="13">
        <v>0</v>
      </c>
      <c r="AK1334" s="13">
        <v>15</v>
      </c>
      <c r="AL1334" s="13" t="s">
        <v>565</v>
      </c>
      <c r="AM1334" s="13" t="s">
        <v>566</v>
      </c>
      <c r="AO1334" s="13" t="s">
        <v>567</v>
      </c>
      <c r="AP1334" s="13" t="s">
        <v>49</v>
      </c>
      <c r="AQ1334" s="13" t="s">
        <v>49</v>
      </c>
      <c r="AR1334" s="13" t="s">
        <v>49</v>
      </c>
      <c r="AS1334" s="13" t="s">
        <v>49</v>
      </c>
      <c r="AT1334" s="13" t="s">
        <v>990</v>
      </c>
      <c r="AU1334" s="13" t="s">
        <v>998</v>
      </c>
      <c r="AV1334" s="14">
        <v>0</v>
      </c>
      <c r="AW1334" s="14">
        <v>0.17100000000000001</v>
      </c>
      <c r="AX1334" s="14">
        <f>Table1347456[[#This Row],[treatment_mean]]/Table1347456[[#This Row],[control_mean]]</f>
        <v>0</v>
      </c>
      <c r="AY1334" s="14" t="e">
        <f>LN(Table1347456[[#This Row],[rr]])</f>
        <v>#NUM!</v>
      </c>
      <c r="AZ1334" s="13">
        <v>3</v>
      </c>
      <c r="BA1334" s="13">
        <v>3</v>
      </c>
      <c r="BB1334" s="14">
        <v>0</v>
      </c>
      <c r="BC1334" s="14">
        <v>0</v>
      </c>
      <c r="BD1334" s="15">
        <f>Table1347456[[#This Row],[treatment_se]]*SQRT(Table1347456[[#This Row],[treatment_n]])</f>
        <v>0</v>
      </c>
      <c r="BE1334" s="14">
        <f>Table1347456[[#This Row],[control_se]]*SQRT(Table1347456[[#This Row],[control_n]])</f>
        <v>0</v>
      </c>
      <c r="BF133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#DIV/0!</v>
      </c>
      <c r="BG1334" s="17" t="e">
        <f>SQRT(Table1347456[[#This Row],[v_from_sd_and_n]])</f>
        <v>#DIV/0!</v>
      </c>
      <c r="BH1334" s="13" t="s">
        <v>50</v>
      </c>
      <c r="BI1334" s="13">
        <v>2.5000000000000001E-2</v>
      </c>
      <c r="BJ1334" s="18">
        <f>ABS(_xlfn.NORM.S.INV(Table1347456[[#This Row],[p_value]]/2))</f>
        <v>2.2414027276049446</v>
      </c>
      <c r="BK1334" s="19" t="e">
        <f>(Table1347456[[#This Row],[lnrr]]/Table1347456[[#This Row],[z_from_p]])^2</f>
        <v>#NUM!</v>
      </c>
      <c r="BL1334" s="16" t="e">
        <f>(Table1347456[[#This Row],[lnrr]]/Table1347456[[#This Row],[z_from_p]])^2</f>
        <v>#NUM!</v>
      </c>
      <c r="BM1334" s="20" t="e">
        <f>SQRT(Table1347456[[#This Row],[v]])</f>
        <v>#NUM!</v>
      </c>
      <c r="BN1334" s="20" t="e">
        <f>Table1347456[[#This Row],[lnrr]]-(1.96*Table1347456[[#This Row],[se]])</f>
        <v>#NUM!</v>
      </c>
      <c r="BO1334" s="20" t="e">
        <f>Table1347456[[#This Row],[lnrr]]+(1.96 * Table1347456[[#This Row],[se]])</f>
        <v>#NUM!</v>
      </c>
    </row>
    <row r="1335" spans="1:67">
      <c r="A1335" s="13" t="s">
        <v>412</v>
      </c>
      <c r="B1335" s="13" t="s">
        <v>413</v>
      </c>
      <c r="C1335" s="13" t="s">
        <v>341</v>
      </c>
      <c r="D1335" s="13" t="s">
        <v>414</v>
      </c>
      <c r="E1335" s="13" t="s">
        <v>415</v>
      </c>
      <c r="F1335" s="13" t="s">
        <v>590</v>
      </c>
      <c r="G1335" s="13" t="s">
        <v>46</v>
      </c>
      <c r="H1335" s="13" t="s">
        <v>46</v>
      </c>
      <c r="I1335" s="13" t="s">
        <v>46</v>
      </c>
      <c r="K1335" s="13" t="s">
        <v>946</v>
      </c>
      <c r="L1335" s="13" t="s">
        <v>947</v>
      </c>
      <c r="N1335" s="13" t="s">
        <v>631</v>
      </c>
      <c r="O1335" s="13" t="s">
        <v>812</v>
      </c>
      <c r="P1335" s="13" t="s">
        <v>419</v>
      </c>
      <c r="Q1335" s="13" t="s">
        <v>419</v>
      </c>
      <c r="R1335" s="4">
        <v>3</v>
      </c>
      <c r="S1335" s="13" t="s">
        <v>596</v>
      </c>
      <c r="T1335" s="13">
        <v>90</v>
      </c>
      <c r="U1335" s="4" t="s">
        <v>417</v>
      </c>
      <c r="V1335" s="4">
        <v>550</v>
      </c>
      <c r="W1335" s="4" t="s">
        <v>601</v>
      </c>
      <c r="X1335" s="4">
        <v>452</v>
      </c>
      <c r="Y1335" s="4">
        <v>10</v>
      </c>
      <c r="AA1335" s="4" t="s">
        <v>49</v>
      </c>
      <c r="AB1335" s="4">
        <v>0</v>
      </c>
      <c r="AC1335" s="4" t="s">
        <v>49</v>
      </c>
      <c r="AD1335" s="4">
        <v>0</v>
      </c>
      <c r="AE1335" s="4" t="s">
        <v>49</v>
      </c>
      <c r="AF1335" s="4">
        <v>0</v>
      </c>
      <c r="AG1335" s="4" t="s">
        <v>776</v>
      </c>
      <c r="AH1335" s="4" t="s">
        <v>722</v>
      </c>
      <c r="AI1335" s="4" t="s">
        <v>78</v>
      </c>
      <c r="AJ1335" s="13">
        <v>0</v>
      </c>
      <c r="AK1335" s="13">
        <v>15</v>
      </c>
      <c r="AL1335" s="13" t="s">
        <v>565</v>
      </c>
      <c r="AM1335" s="13" t="s">
        <v>566</v>
      </c>
      <c r="AO1335" s="13" t="s">
        <v>567</v>
      </c>
      <c r="AP1335" s="13" t="s">
        <v>49</v>
      </c>
      <c r="AQ1335" s="13" t="s">
        <v>49</v>
      </c>
      <c r="AR1335" s="13" t="s">
        <v>49</v>
      </c>
      <c r="AS1335" s="13" t="s">
        <v>49</v>
      </c>
      <c r="AT1335" s="13" t="s">
        <v>990</v>
      </c>
      <c r="AU1335" s="13" t="s">
        <v>998</v>
      </c>
      <c r="AV1335" s="14">
        <v>0</v>
      </c>
      <c r="AW1335" s="14">
        <v>0.17100000000000001</v>
      </c>
      <c r="AX1335" s="14">
        <f>Table1347456[[#This Row],[treatment_mean]]/Table1347456[[#This Row],[control_mean]]</f>
        <v>0</v>
      </c>
      <c r="AY1335" s="14" t="e">
        <f>LN(Table1347456[[#This Row],[rr]])</f>
        <v>#NUM!</v>
      </c>
      <c r="AZ1335" s="13">
        <v>3</v>
      </c>
      <c r="BA1335" s="13">
        <v>3</v>
      </c>
      <c r="BB1335" s="14">
        <v>0</v>
      </c>
      <c r="BC1335" s="14">
        <v>0</v>
      </c>
      <c r="BD1335" s="15">
        <f>Table1347456[[#This Row],[treatment_se]]*SQRT(Table1347456[[#This Row],[treatment_n]])</f>
        <v>0</v>
      </c>
      <c r="BE1335" s="14">
        <f>Table1347456[[#This Row],[control_se]]*SQRT(Table1347456[[#This Row],[control_n]])</f>
        <v>0</v>
      </c>
      <c r="BF1335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#DIV/0!</v>
      </c>
      <c r="BG1335" s="17" t="e">
        <f>SQRT(Table1347456[[#This Row],[v_from_sd_and_n]])</f>
        <v>#DIV/0!</v>
      </c>
      <c r="BH1335" s="13" t="s">
        <v>50</v>
      </c>
      <c r="BI1335" s="13">
        <v>2.5000000000000001E-2</v>
      </c>
      <c r="BJ1335" s="18">
        <f>ABS(_xlfn.NORM.S.INV(Table1347456[[#This Row],[p_value]]/2))</f>
        <v>2.2414027276049446</v>
      </c>
      <c r="BK1335" s="19" t="e">
        <f>(Table1347456[[#This Row],[lnrr]]/Table1347456[[#This Row],[z_from_p]])^2</f>
        <v>#NUM!</v>
      </c>
      <c r="BL1335" s="16" t="e">
        <f>(Table1347456[[#This Row],[lnrr]]/Table1347456[[#This Row],[z_from_p]])^2</f>
        <v>#NUM!</v>
      </c>
      <c r="BM1335" s="20" t="e">
        <f>SQRT(Table1347456[[#This Row],[v]])</f>
        <v>#NUM!</v>
      </c>
      <c r="BN1335" s="20" t="e">
        <f>Table1347456[[#This Row],[lnrr]]-(1.96*Table1347456[[#This Row],[se]])</f>
        <v>#NUM!</v>
      </c>
      <c r="BO1335" s="20" t="e">
        <f>Table1347456[[#This Row],[lnrr]]+(1.96 * Table1347456[[#This Row],[se]])</f>
        <v>#NUM!</v>
      </c>
    </row>
    <row r="1336" spans="1:67">
      <c r="A1336" s="13" t="s">
        <v>412</v>
      </c>
      <c r="B1336" s="13" t="s">
        <v>413</v>
      </c>
      <c r="C1336" s="13" t="s">
        <v>341</v>
      </c>
      <c r="D1336" s="13" t="s">
        <v>414</v>
      </c>
      <c r="E1336" s="13" t="s">
        <v>415</v>
      </c>
      <c r="F1336" s="13" t="s">
        <v>590</v>
      </c>
      <c r="G1336" s="13" t="s">
        <v>46</v>
      </c>
      <c r="H1336" s="13" t="s">
        <v>46</v>
      </c>
      <c r="I1336" s="13" t="s">
        <v>46</v>
      </c>
      <c r="K1336" s="13" t="s">
        <v>946</v>
      </c>
      <c r="L1336" s="13" t="s">
        <v>947</v>
      </c>
      <c r="N1336" s="13" t="s">
        <v>631</v>
      </c>
      <c r="O1336" s="13" t="s">
        <v>812</v>
      </c>
      <c r="P1336" s="13" t="s">
        <v>419</v>
      </c>
      <c r="Q1336" s="13" t="s">
        <v>419</v>
      </c>
      <c r="R1336" s="4">
        <v>3</v>
      </c>
      <c r="S1336" s="13" t="s">
        <v>596</v>
      </c>
      <c r="T1336" s="13">
        <v>90</v>
      </c>
      <c r="U1336" s="4" t="s">
        <v>416</v>
      </c>
      <c r="V1336" s="4">
        <v>550</v>
      </c>
      <c r="W1336" s="4" t="s">
        <v>601</v>
      </c>
      <c r="X1336" s="4">
        <v>261</v>
      </c>
      <c r="Y1336" s="4">
        <v>1.5</v>
      </c>
      <c r="AA1336" s="4" t="s">
        <v>50</v>
      </c>
      <c r="AB1336" s="4">
        <v>200</v>
      </c>
      <c r="AC1336" s="4" t="s">
        <v>49</v>
      </c>
      <c r="AD1336" s="4">
        <v>0</v>
      </c>
      <c r="AE1336" s="4" t="s">
        <v>49</v>
      </c>
      <c r="AF1336" s="4">
        <v>0</v>
      </c>
      <c r="AG1336" s="4" t="s">
        <v>768</v>
      </c>
      <c r="AH1336" s="4" t="s">
        <v>722</v>
      </c>
      <c r="AI1336" s="4" t="s">
        <v>78</v>
      </c>
      <c r="AJ1336" s="13">
        <v>0</v>
      </c>
      <c r="AK1336" s="13">
        <v>15</v>
      </c>
      <c r="AL1336" s="13" t="s">
        <v>565</v>
      </c>
      <c r="AM1336" s="13" t="s">
        <v>566</v>
      </c>
      <c r="AO1336" s="13" t="s">
        <v>567</v>
      </c>
      <c r="AP1336" s="13" t="s">
        <v>49</v>
      </c>
      <c r="AQ1336" s="13" t="s">
        <v>49</v>
      </c>
      <c r="AR1336" s="13" t="s">
        <v>49</v>
      </c>
      <c r="AS1336" s="13" t="s">
        <v>49</v>
      </c>
      <c r="AT1336" s="13" t="s">
        <v>992</v>
      </c>
      <c r="AU1336" s="4" t="s">
        <v>1000</v>
      </c>
      <c r="AV1336" s="14">
        <v>6.0000000000000001E-3</v>
      </c>
      <c r="AW1336" s="14">
        <v>5.8999999999999997E-2</v>
      </c>
      <c r="AX1336" s="14">
        <f>Table1347456[[#This Row],[treatment_mean]]/Table1347456[[#This Row],[control_mean]]</f>
        <v>0.10169491525423729</v>
      </c>
      <c r="AY1336" s="14">
        <f>LN(Table1347456[[#This Row],[rr]])</f>
        <v>-2.2857779746776643</v>
      </c>
      <c r="AZ1336" s="13">
        <v>3</v>
      </c>
      <c r="BA1336" s="13">
        <v>3</v>
      </c>
      <c r="BB1336" s="14">
        <v>0</v>
      </c>
      <c r="BC1336" s="14">
        <v>0</v>
      </c>
      <c r="BD1336" s="15">
        <f>Table1347456[[#This Row],[treatment_se]]*SQRT(Table1347456[[#This Row],[treatment_n]])</f>
        <v>0</v>
      </c>
      <c r="BE1336" s="14">
        <f>Table1347456[[#This Row],[control_se]]*SQRT(Table1347456[[#This Row],[control_n]])</f>
        <v>0</v>
      </c>
      <c r="BF133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36" s="17">
        <f>SQRT(Table1347456[[#This Row],[v_from_sd_and_n]])</f>
        <v>0</v>
      </c>
      <c r="BH1336" s="13" t="s">
        <v>50</v>
      </c>
      <c r="BI1336" s="13">
        <v>2.5000000000000001E-2</v>
      </c>
      <c r="BJ1336" s="18">
        <f>ABS(_xlfn.NORM.S.INV(Table1347456[[#This Row],[p_value]]/2))</f>
        <v>2.2414027276049446</v>
      </c>
      <c r="BK1336" s="19">
        <f>(Table1347456[[#This Row],[lnrr]]/Table1347456[[#This Row],[z_from_p]])^2</f>
        <v>1.0399879206487379</v>
      </c>
      <c r="BL1336" s="16">
        <f>(Table1347456[[#This Row],[lnrr]]/Table1347456[[#This Row],[z_from_p]])^2</f>
        <v>1.0399879206487379</v>
      </c>
      <c r="BM1336" s="20">
        <f>SQRT(Table1347456[[#This Row],[v]])</f>
        <v>1.0197979803121489</v>
      </c>
      <c r="BN1336" s="20">
        <f>Table1347456[[#This Row],[lnrr]]-(1.96*Table1347456[[#This Row],[se]])</f>
        <v>-4.2845820160894759</v>
      </c>
      <c r="BO1336" s="20">
        <f>Table1347456[[#This Row],[lnrr]]+(1.96 * Table1347456[[#This Row],[se]])</f>
        <v>-0.28697393326585252</v>
      </c>
    </row>
    <row r="1337" spans="1:67">
      <c r="A1337" s="13" t="s">
        <v>412</v>
      </c>
      <c r="B1337" s="13" t="s">
        <v>413</v>
      </c>
      <c r="C1337" s="13" t="s">
        <v>341</v>
      </c>
      <c r="D1337" s="13" t="s">
        <v>414</v>
      </c>
      <c r="E1337" s="13" t="s">
        <v>415</v>
      </c>
      <c r="F1337" s="13" t="s">
        <v>590</v>
      </c>
      <c r="G1337" s="13" t="s">
        <v>46</v>
      </c>
      <c r="H1337" s="13" t="s">
        <v>46</v>
      </c>
      <c r="I1337" s="13" t="s">
        <v>46</v>
      </c>
      <c r="K1337" s="13" t="s">
        <v>946</v>
      </c>
      <c r="L1337" s="13" t="s">
        <v>947</v>
      </c>
      <c r="N1337" s="13" t="s">
        <v>631</v>
      </c>
      <c r="O1337" s="13" t="s">
        <v>812</v>
      </c>
      <c r="P1337" s="13" t="s">
        <v>419</v>
      </c>
      <c r="Q1337" s="13" t="s">
        <v>419</v>
      </c>
      <c r="R1337" s="4">
        <v>3</v>
      </c>
      <c r="S1337" s="13" t="s">
        <v>596</v>
      </c>
      <c r="T1337" s="13">
        <v>90</v>
      </c>
      <c r="U1337" s="4" t="s">
        <v>416</v>
      </c>
      <c r="V1337" s="4">
        <v>550</v>
      </c>
      <c r="W1337" s="4" t="s">
        <v>601</v>
      </c>
      <c r="X1337" s="4">
        <v>261</v>
      </c>
      <c r="Y1337" s="4">
        <v>10</v>
      </c>
      <c r="AA1337" s="4" t="s">
        <v>50</v>
      </c>
      <c r="AB1337" s="4">
        <v>200</v>
      </c>
      <c r="AC1337" s="4" t="s">
        <v>49</v>
      </c>
      <c r="AD1337" s="4">
        <v>0</v>
      </c>
      <c r="AE1337" s="4" t="s">
        <v>49</v>
      </c>
      <c r="AF1337" s="4">
        <v>0</v>
      </c>
      <c r="AG1337" s="4" t="s">
        <v>768</v>
      </c>
      <c r="AH1337" s="4" t="s">
        <v>722</v>
      </c>
      <c r="AI1337" s="4" t="s">
        <v>78</v>
      </c>
      <c r="AJ1337" s="13">
        <v>0</v>
      </c>
      <c r="AK1337" s="13">
        <v>15</v>
      </c>
      <c r="AL1337" s="13" t="s">
        <v>565</v>
      </c>
      <c r="AM1337" s="13" t="s">
        <v>566</v>
      </c>
      <c r="AO1337" s="13" t="s">
        <v>567</v>
      </c>
      <c r="AP1337" s="13" t="s">
        <v>49</v>
      </c>
      <c r="AQ1337" s="13" t="s">
        <v>49</v>
      </c>
      <c r="AR1337" s="13" t="s">
        <v>49</v>
      </c>
      <c r="AS1337" s="13" t="s">
        <v>49</v>
      </c>
      <c r="AT1337" s="13" t="s">
        <v>992</v>
      </c>
      <c r="AU1337" s="4" t="s">
        <v>1000</v>
      </c>
      <c r="AV1337" s="14">
        <v>4.4999999999999998E-2</v>
      </c>
      <c r="AW1337" s="14">
        <v>5.8999999999999997E-2</v>
      </c>
      <c r="AX1337" s="14">
        <f>Table1347456[[#This Row],[treatment_mean]]/Table1347456[[#This Row],[control_mean]]</f>
        <v>0.76271186440677963</v>
      </c>
      <c r="AY1337" s="14">
        <f>LN(Table1347456[[#This Row],[rr]])</f>
        <v>-0.27087495413539975</v>
      </c>
      <c r="AZ1337" s="13">
        <v>3</v>
      </c>
      <c r="BA1337" s="13">
        <v>3</v>
      </c>
      <c r="BB1337" s="14">
        <v>0</v>
      </c>
      <c r="BC1337" s="14">
        <v>0</v>
      </c>
      <c r="BD1337" s="15">
        <f>Table1347456[[#This Row],[treatment_se]]*SQRT(Table1347456[[#This Row],[treatment_n]])</f>
        <v>0</v>
      </c>
      <c r="BE1337" s="14">
        <f>Table1347456[[#This Row],[control_se]]*SQRT(Table1347456[[#This Row],[control_n]])</f>
        <v>0</v>
      </c>
      <c r="BF133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37" s="17">
        <f>SQRT(Table1347456[[#This Row],[v_from_sd_and_n]])</f>
        <v>0</v>
      </c>
      <c r="BH1337" s="13" t="s">
        <v>50</v>
      </c>
      <c r="BI1337" s="13">
        <v>2.5000000000000001E-2</v>
      </c>
      <c r="BJ1337" s="18">
        <f>ABS(_xlfn.NORM.S.INV(Table1347456[[#This Row],[p_value]]/2))</f>
        <v>2.2414027276049446</v>
      </c>
      <c r="BK1337" s="19">
        <f>(Table1347456[[#This Row],[lnrr]]/Table1347456[[#This Row],[z_from_p]])^2</f>
        <v>1.4604877189120935E-2</v>
      </c>
      <c r="BL1337" s="16">
        <f>(Table1347456[[#This Row],[lnrr]]/Table1347456[[#This Row],[z_from_p]])^2</f>
        <v>1.4604877189120935E-2</v>
      </c>
      <c r="BM1337" s="20">
        <f>SQRT(Table1347456[[#This Row],[v]])</f>
        <v>0.12085064000294303</v>
      </c>
      <c r="BN1337" s="20">
        <f>Table1347456[[#This Row],[lnrr]]-(1.96*Table1347456[[#This Row],[se]])</f>
        <v>-0.50774220854116803</v>
      </c>
      <c r="BO1337" s="20">
        <f>Table1347456[[#This Row],[lnrr]]+(1.96 * Table1347456[[#This Row],[se]])</f>
        <v>-3.4007699729631413E-2</v>
      </c>
    </row>
    <row r="1338" spans="1:67">
      <c r="A1338" s="13" t="s">
        <v>412</v>
      </c>
      <c r="B1338" s="13" t="s">
        <v>413</v>
      </c>
      <c r="C1338" s="13" t="s">
        <v>341</v>
      </c>
      <c r="D1338" s="13" t="s">
        <v>414</v>
      </c>
      <c r="E1338" s="13" t="s">
        <v>415</v>
      </c>
      <c r="F1338" s="13" t="s">
        <v>590</v>
      </c>
      <c r="G1338" s="13" t="s">
        <v>46</v>
      </c>
      <c r="H1338" s="13" t="s">
        <v>46</v>
      </c>
      <c r="I1338" s="13" t="s">
        <v>46</v>
      </c>
      <c r="K1338" s="13" t="s">
        <v>946</v>
      </c>
      <c r="L1338" s="13" t="s">
        <v>947</v>
      </c>
      <c r="N1338" s="13" t="s">
        <v>631</v>
      </c>
      <c r="O1338" s="13" t="s">
        <v>812</v>
      </c>
      <c r="P1338" s="13" t="s">
        <v>419</v>
      </c>
      <c r="Q1338" s="13" t="s">
        <v>419</v>
      </c>
      <c r="R1338" s="4">
        <v>3</v>
      </c>
      <c r="S1338" s="13" t="s">
        <v>596</v>
      </c>
      <c r="T1338" s="13">
        <v>90</v>
      </c>
      <c r="U1338" s="4" t="s">
        <v>416</v>
      </c>
      <c r="V1338" s="4">
        <v>550</v>
      </c>
      <c r="W1338" s="4" t="s">
        <v>601</v>
      </c>
      <c r="X1338" s="4">
        <v>261</v>
      </c>
      <c r="Y1338" s="4">
        <v>20</v>
      </c>
      <c r="AA1338" s="4" t="s">
        <v>50</v>
      </c>
      <c r="AB1338" s="4">
        <v>200</v>
      </c>
      <c r="AC1338" s="4" t="s">
        <v>49</v>
      </c>
      <c r="AD1338" s="4">
        <v>0</v>
      </c>
      <c r="AE1338" s="4" t="s">
        <v>49</v>
      </c>
      <c r="AF1338" s="4">
        <v>0</v>
      </c>
      <c r="AG1338" s="4" t="s">
        <v>768</v>
      </c>
      <c r="AH1338" s="4" t="s">
        <v>722</v>
      </c>
      <c r="AI1338" s="4" t="s">
        <v>78</v>
      </c>
      <c r="AJ1338" s="13">
        <v>0</v>
      </c>
      <c r="AK1338" s="13">
        <v>15</v>
      </c>
      <c r="AL1338" s="13" t="s">
        <v>565</v>
      </c>
      <c r="AM1338" s="13" t="s">
        <v>566</v>
      </c>
      <c r="AO1338" s="13" t="s">
        <v>567</v>
      </c>
      <c r="AP1338" s="13" t="s">
        <v>49</v>
      </c>
      <c r="AQ1338" s="13" t="s">
        <v>49</v>
      </c>
      <c r="AR1338" s="13" t="s">
        <v>49</v>
      </c>
      <c r="AS1338" s="13" t="s">
        <v>49</v>
      </c>
      <c r="AT1338" s="13" t="s">
        <v>992</v>
      </c>
      <c r="AU1338" s="4" t="s">
        <v>1000</v>
      </c>
      <c r="AV1338" s="14">
        <v>3.5000000000000003E-2</v>
      </c>
      <c r="AW1338" s="14">
        <v>5.8999999999999997E-2</v>
      </c>
      <c r="AX1338" s="14">
        <f>Table1347456[[#This Row],[treatment_mean]]/Table1347456[[#This Row],[control_mean]]</f>
        <v>0.59322033898305093</v>
      </c>
      <c r="AY1338" s="14">
        <f>LN(Table1347456[[#This Row],[rr]])</f>
        <v>-0.52218938241630564</v>
      </c>
      <c r="AZ1338" s="13">
        <v>3</v>
      </c>
      <c r="BA1338" s="13">
        <v>3</v>
      </c>
      <c r="BB1338" s="14">
        <v>0</v>
      </c>
      <c r="BC1338" s="14">
        <v>0</v>
      </c>
      <c r="BD1338" s="15">
        <f>Table1347456[[#This Row],[treatment_se]]*SQRT(Table1347456[[#This Row],[treatment_n]])</f>
        <v>0</v>
      </c>
      <c r="BE1338" s="14">
        <f>Table1347456[[#This Row],[control_se]]*SQRT(Table1347456[[#This Row],[control_n]])</f>
        <v>0</v>
      </c>
      <c r="BF133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38" s="17">
        <f>SQRT(Table1347456[[#This Row],[v_from_sd_and_n]])</f>
        <v>0</v>
      </c>
      <c r="BH1338" s="13" t="s">
        <v>50</v>
      </c>
      <c r="BI1338" s="13">
        <v>2.5000000000000001E-2</v>
      </c>
      <c r="BJ1338" s="18">
        <f>ABS(_xlfn.NORM.S.INV(Table1347456[[#This Row],[p_value]]/2))</f>
        <v>2.2414027276049446</v>
      </c>
      <c r="BK1338" s="19">
        <f>(Table1347456[[#This Row],[lnrr]]/Table1347456[[#This Row],[z_from_p]])^2</f>
        <v>5.4277055837139251E-2</v>
      </c>
      <c r="BL1338" s="16">
        <f>(Table1347456[[#This Row],[lnrr]]/Table1347456[[#This Row],[z_from_p]])^2</f>
        <v>5.4277055837139251E-2</v>
      </c>
      <c r="BM1338" s="20">
        <f>SQRT(Table1347456[[#This Row],[v]])</f>
        <v>0.23297436733928317</v>
      </c>
      <c r="BN1338" s="20">
        <f>Table1347456[[#This Row],[lnrr]]-(1.96*Table1347456[[#This Row],[se]])</f>
        <v>-0.97881914240130063</v>
      </c>
      <c r="BO1338" s="20">
        <f>Table1347456[[#This Row],[lnrr]]+(1.96 * Table1347456[[#This Row],[se]])</f>
        <v>-6.5559622431310638E-2</v>
      </c>
    </row>
    <row r="1339" spans="1:67">
      <c r="A1339" s="13" t="s">
        <v>412</v>
      </c>
      <c r="B1339" s="13" t="s">
        <v>413</v>
      </c>
      <c r="C1339" s="13" t="s">
        <v>341</v>
      </c>
      <c r="D1339" s="13" t="s">
        <v>414</v>
      </c>
      <c r="E1339" s="13" t="s">
        <v>415</v>
      </c>
      <c r="F1339" s="13" t="s">
        <v>590</v>
      </c>
      <c r="G1339" s="13" t="s">
        <v>46</v>
      </c>
      <c r="H1339" s="13" t="s">
        <v>46</v>
      </c>
      <c r="I1339" s="13" t="s">
        <v>46</v>
      </c>
      <c r="K1339" s="13" t="s">
        <v>946</v>
      </c>
      <c r="L1339" s="13" t="s">
        <v>947</v>
      </c>
      <c r="N1339" s="13" t="s">
        <v>631</v>
      </c>
      <c r="O1339" s="13" t="s">
        <v>812</v>
      </c>
      <c r="P1339" s="13" t="s">
        <v>419</v>
      </c>
      <c r="Q1339" s="13" t="s">
        <v>419</v>
      </c>
      <c r="R1339" s="4">
        <v>3</v>
      </c>
      <c r="S1339" s="13" t="s">
        <v>596</v>
      </c>
      <c r="T1339" s="13">
        <v>90</v>
      </c>
      <c r="U1339" s="4" t="s">
        <v>417</v>
      </c>
      <c r="V1339" s="4">
        <v>550</v>
      </c>
      <c r="W1339" s="4" t="s">
        <v>601</v>
      </c>
      <c r="X1339" s="4">
        <v>452</v>
      </c>
      <c r="Y1339" s="4">
        <v>1.5</v>
      </c>
      <c r="AA1339" s="4" t="s">
        <v>50</v>
      </c>
      <c r="AB1339" s="4">
        <v>200</v>
      </c>
      <c r="AC1339" s="4" t="s">
        <v>49</v>
      </c>
      <c r="AD1339" s="4">
        <v>0</v>
      </c>
      <c r="AE1339" s="4" t="s">
        <v>49</v>
      </c>
      <c r="AF1339" s="4">
        <v>0</v>
      </c>
      <c r="AG1339" s="4" t="s">
        <v>776</v>
      </c>
      <c r="AH1339" s="4" t="s">
        <v>722</v>
      </c>
      <c r="AI1339" s="4" t="s">
        <v>78</v>
      </c>
      <c r="AJ1339" s="13">
        <v>0</v>
      </c>
      <c r="AK1339" s="13">
        <v>15</v>
      </c>
      <c r="AL1339" s="13" t="s">
        <v>565</v>
      </c>
      <c r="AM1339" s="13" t="s">
        <v>566</v>
      </c>
      <c r="AO1339" s="13" t="s">
        <v>567</v>
      </c>
      <c r="AP1339" s="13" t="s">
        <v>49</v>
      </c>
      <c r="AQ1339" s="13" t="s">
        <v>49</v>
      </c>
      <c r="AR1339" s="13" t="s">
        <v>49</v>
      </c>
      <c r="AS1339" s="13" t="s">
        <v>49</v>
      </c>
      <c r="AT1339" s="13" t="s">
        <v>992</v>
      </c>
      <c r="AU1339" s="4" t="s">
        <v>1000</v>
      </c>
      <c r="AV1339" s="14">
        <v>2.1000000000000001E-2</v>
      </c>
      <c r="AW1339" s="14">
        <v>5.8999999999999997E-2</v>
      </c>
      <c r="AX1339" s="14">
        <f>Table1347456[[#This Row],[treatment_mean]]/Table1347456[[#This Row],[control_mean]]</f>
        <v>0.35593220338983056</v>
      </c>
      <c r="AY1339" s="14">
        <f>LN(Table1347456[[#This Row],[rr]])</f>
        <v>-1.0330150061822962</v>
      </c>
      <c r="AZ1339" s="13">
        <v>3</v>
      </c>
      <c r="BA1339" s="13">
        <v>3</v>
      </c>
      <c r="BB1339" s="14">
        <v>0</v>
      </c>
      <c r="BC1339" s="14">
        <v>0</v>
      </c>
      <c r="BD1339" s="15">
        <f>Table1347456[[#This Row],[treatment_se]]*SQRT(Table1347456[[#This Row],[treatment_n]])</f>
        <v>0</v>
      </c>
      <c r="BE1339" s="14">
        <f>Table1347456[[#This Row],[control_se]]*SQRT(Table1347456[[#This Row],[control_n]])</f>
        <v>0</v>
      </c>
      <c r="BF133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39" s="17">
        <f>SQRT(Table1347456[[#This Row],[v_from_sd_and_n]])</f>
        <v>0</v>
      </c>
      <c r="BH1339" s="13" t="s">
        <v>50</v>
      </c>
      <c r="BI1339" s="13">
        <v>2.5000000000000001E-2</v>
      </c>
      <c r="BJ1339" s="18">
        <f>ABS(_xlfn.NORM.S.INV(Table1347456[[#This Row],[p_value]]/2))</f>
        <v>2.2414027276049446</v>
      </c>
      <c r="BK1339" s="19">
        <f>(Table1347456[[#This Row],[lnrr]]/Table1347456[[#This Row],[z_from_p]])^2</f>
        <v>0.21240927107231158</v>
      </c>
      <c r="BL1339" s="16">
        <f>(Table1347456[[#This Row],[lnrr]]/Table1347456[[#This Row],[z_from_p]])^2</f>
        <v>0.21240927107231158</v>
      </c>
      <c r="BM1339" s="20">
        <f>SQRT(Table1347456[[#This Row],[v]])</f>
        <v>0.46087880301909262</v>
      </c>
      <c r="BN1339" s="20">
        <f>Table1347456[[#This Row],[lnrr]]-(1.96*Table1347456[[#This Row],[se]])</f>
        <v>-1.9363374600997179</v>
      </c>
      <c r="BO1339" s="20">
        <f>Table1347456[[#This Row],[lnrr]]+(1.96 * Table1347456[[#This Row],[se]])</f>
        <v>-0.12969255226487475</v>
      </c>
    </row>
    <row r="1340" spans="1:67">
      <c r="A1340" s="13" t="s">
        <v>412</v>
      </c>
      <c r="B1340" s="13" t="s">
        <v>413</v>
      </c>
      <c r="C1340" s="13" t="s">
        <v>341</v>
      </c>
      <c r="D1340" s="13" t="s">
        <v>414</v>
      </c>
      <c r="E1340" s="13" t="s">
        <v>415</v>
      </c>
      <c r="F1340" s="13" t="s">
        <v>590</v>
      </c>
      <c r="G1340" s="13" t="s">
        <v>46</v>
      </c>
      <c r="H1340" s="13" t="s">
        <v>46</v>
      </c>
      <c r="I1340" s="13" t="s">
        <v>46</v>
      </c>
      <c r="K1340" s="13" t="s">
        <v>946</v>
      </c>
      <c r="L1340" s="13" t="s">
        <v>947</v>
      </c>
      <c r="N1340" s="13" t="s">
        <v>631</v>
      </c>
      <c r="O1340" s="13" t="s">
        <v>812</v>
      </c>
      <c r="P1340" s="13" t="s">
        <v>419</v>
      </c>
      <c r="Q1340" s="13" t="s">
        <v>419</v>
      </c>
      <c r="R1340" s="4">
        <v>3</v>
      </c>
      <c r="S1340" s="13" t="s">
        <v>596</v>
      </c>
      <c r="T1340" s="13">
        <v>90</v>
      </c>
      <c r="U1340" s="4" t="s">
        <v>417</v>
      </c>
      <c r="V1340" s="4">
        <v>550</v>
      </c>
      <c r="W1340" s="4" t="s">
        <v>601</v>
      </c>
      <c r="X1340" s="4">
        <v>452</v>
      </c>
      <c r="Y1340" s="4">
        <v>10</v>
      </c>
      <c r="AA1340" s="4" t="s">
        <v>50</v>
      </c>
      <c r="AB1340" s="4">
        <v>200</v>
      </c>
      <c r="AC1340" s="4" t="s">
        <v>49</v>
      </c>
      <c r="AD1340" s="4">
        <v>0</v>
      </c>
      <c r="AE1340" s="4" t="s">
        <v>49</v>
      </c>
      <c r="AF1340" s="4">
        <v>0</v>
      </c>
      <c r="AG1340" s="4" t="s">
        <v>776</v>
      </c>
      <c r="AH1340" s="4" t="s">
        <v>722</v>
      </c>
      <c r="AI1340" s="4" t="s">
        <v>78</v>
      </c>
      <c r="AJ1340" s="13">
        <v>0</v>
      </c>
      <c r="AK1340" s="13">
        <v>15</v>
      </c>
      <c r="AL1340" s="13" t="s">
        <v>565</v>
      </c>
      <c r="AM1340" s="13" t="s">
        <v>566</v>
      </c>
      <c r="AO1340" s="13" t="s">
        <v>567</v>
      </c>
      <c r="AP1340" s="13" t="s">
        <v>49</v>
      </c>
      <c r="AQ1340" s="13" t="s">
        <v>49</v>
      </c>
      <c r="AR1340" s="13" t="s">
        <v>49</v>
      </c>
      <c r="AS1340" s="13" t="s">
        <v>49</v>
      </c>
      <c r="AT1340" s="13" t="s">
        <v>992</v>
      </c>
      <c r="AU1340" s="4" t="s">
        <v>1000</v>
      </c>
      <c r="AV1340" s="14">
        <v>3.5999999999999997E-2</v>
      </c>
      <c r="AW1340" s="14">
        <v>5.8999999999999997E-2</v>
      </c>
      <c r="AX1340" s="14">
        <f>Table1347456[[#This Row],[treatment_mean]]/Table1347456[[#This Row],[control_mean]]</f>
        <v>0.61016949152542377</v>
      </c>
      <c r="AY1340" s="14">
        <f>LN(Table1347456[[#This Row],[rr]])</f>
        <v>-0.4940185054496094</v>
      </c>
      <c r="AZ1340" s="13">
        <v>3</v>
      </c>
      <c r="BA1340" s="13">
        <v>3</v>
      </c>
      <c r="BB1340" s="14">
        <v>0</v>
      </c>
      <c r="BC1340" s="14">
        <v>0</v>
      </c>
      <c r="BD1340" s="15">
        <f>Table1347456[[#This Row],[treatment_se]]*SQRT(Table1347456[[#This Row],[treatment_n]])</f>
        <v>0</v>
      </c>
      <c r="BE1340" s="14">
        <f>Table1347456[[#This Row],[control_se]]*SQRT(Table1347456[[#This Row],[control_n]])</f>
        <v>0</v>
      </c>
      <c r="BF134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40" s="17">
        <f>SQRT(Table1347456[[#This Row],[v_from_sd_and_n]])</f>
        <v>0</v>
      </c>
      <c r="BH1340" s="13" t="s">
        <v>50</v>
      </c>
      <c r="BI1340" s="13">
        <v>2.5000000000000001E-2</v>
      </c>
      <c r="BJ1340" s="18">
        <f>ABS(_xlfn.NORM.S.INV(Table1347456[[#This Row],[p_value]]/2))</f>
        <v>2.2414027276049446</v>
      </c>
      <c r="BK1340" s="19">
        <f>(Table1347456[[#This Row],[lnrr]]/Table1347456[[#This Row],[z_from_p]])^2</f>
        <v>4.8578784356797973E-2</v>
      </c>
      <c r="BL1340" s="16">
        <f>(Table1347456[[#This Row],[lnrr]]/Table1347456[[#This Row],[z_from_p]])^2</f>
        <v>4.8578784356797973E-2</v>
      </c>
      <c r="BM1340" s="20">
        <f>SQRT(Table1347456[[#This Row],[v]])</f>
        <v>0.22040595354209008</v>
      </c>
      <c r="BN1340" s="20">
        <f>Table1347456[[#This Row],[lnrr]]-(1.96*Table1347456[[#This Row],[se]])</f>
        <v>-0.92601417439210598</v>
      </c>
      <c r="BO1340" s="20">
        <f>Table1347456[[#This Row],[lnrr]]+(1.96 * Table1347456[[#This Row],[se]])</f>
        <v>-6.2022836507112822E-2</v>
      </c>
    </row>
    <row r="1341" spans="1:67">
      <c r="A1341" s="13" t="s">
        <v>412</v>
      </c>
      <c r="B1341" s="13" t="s">
        <v>413</v>
      </c>
      <c r="C1341" s="13" t="s">
        <v>341</v>
      </c>
      <c r="D1341" s="13" t="s">
        <v>414</v>
      </c>
      <c r="E1341" s="13" t="s">
        <v>415</v>
      </c>
      <c r="F1341" s="13" t="s">
        <v>590</v>
      </c>
      <c r="G1341" s="13" t="s">
        <v>46</v>
      </c>
      <c r="H1341" s="13" t="s">
        <v>46</v>
      </c>
      <c r="I1341" s="13" t="s">
        <v>46</v>
      </c>
      <c r="K1341" s="13" t="s">
        <v>946</v>
      </c>
      <c r="L1341" s="13" t="s">
        <v>947</v>
      </c>
      <c r="N1341" s="13" t="s">
        <v>631</v>
      </c>
      <c r="O1341" s="13" t="s">
        <v>812</v>
      </c>
      <c r="P1341" s="13" t="s">
        <v>419</v>
      </c>
      <c r="Q1341" s="13" t="s">
        <v>419</v>
      </c>
      <c r="R1341" s="4">
        <v>3</v>
      </c>
      <c r="S1341" s="13" t="s">
        <v>596</v>
      </c>
      <c r="T1341" s="13">
        <v>90</v>
      </c>
      <c r="U1341" s="4" t="s">
        <v>417</v>
      </c>
      <c r="V1341" s="4">
        <v>550</v>
      </c>
      <c r="W1341" s="4" t="s">
        <v>601</v>
      </c>
      <c r="X1341" s="4">
        <v>452</v>
      </c>
      <c r="Y1341" s="4">
        <v>20</v>
      </c>
      <c r="AA1341" s="4" t="s">
        <v>50</v>
      </c>
      <c r="AB1341" s="4">
        <v>200</v>
      </c>
      <c r="AC1341" s="4" t="s">
        <v>49</v>
      </c>
      <c r="AD1341" s="4">
        <v>0</v>
      </c>
      <c r="AE1341" s="4" t="s">
        <v>49</v>
      </c>
      <c r="AF1341" s="4">
        <v>0</v>
      </c>
      <c r="AG1341" s="4" t="s">
        <v>776</v>
      </c>
      <c r="AH1341" s="4" t="s">
        <v>722</v>
      </c>
      <c r="AI1341" s="4" t="s">
        <v>78</v>
      </c>
      <c r="AJ1341" s="13">
        <v>0</v>
      </c>
      <c r="AK1341" s="13">
        <v>15</v>
      </c>
      <c r="AL1341" s="13" t="s">
        <v>565</v>
      </c>
      <c r="AM1341" s="13" t="s">
        <v>566</v>
      </c>
      <c r="AO1341" s="13" t="s">
        <v>567</v>
      </c>
      <c r="AP1341" s="13" t="s">
        <v>49</v>
      </c>
      <c r="AQ1341" s="13" t="s">
        <v>49</v>
      </c>
      <c r="AR1341" s="13" t="s">
        <v>49</v>
      </c>
      <c r="AS1341" s="13" t="s">
        <v>49</v>
      </c>
      <c r="AT1341" s="13" t="s">
        <v>992</v>
      </c>
      <c r="AU1341" s="4" t="s">
        <v>1000</v>
      </c>
      <c r="AV1341" s="14">
        <v>0.03</v>
      </c>
      <c r="AW1341" s="14">
        <v>5.8999999999999997E-2</v>
      </c>
      <c r="AX1341" s="14">
        <f>Table1347456[[#This Row],[treatment_mean]]/Table1347456[[#This Row],[control_mean]]</f>
        <v>0.50847457627118642</v>
      </c>
      <c r="AY1341" s="14">
        <f>LN(Table1347456[[#This Row],[rr]])</f>
        <v>-0.67634006224356413</v>
      </c>
      <c r="AZ1341" s="13">
        <v>3</v>
      </c>
      <c r="BA1341" s="13">
        <v>3</v>
      </c>
      <c r="BB1341" s="14">
        <v>0</v>
      </c>
      <c r="BC1341" s="14">
        <v>0</v>
      </c>
      <c r="BD1341" s="15">
        <f>Table1347456[[#This Row],[treatment_se]]*SQRT(Table1347456[[#This Row],[treatment_n]])</f>
        <v>0</v>
      </c>
      <c r="BE1341" s="14">
        <f>Table1347456[[#This Row],[control_se]]*SQRT(Table1347456[[#This Row],[control_n]])</f>
        <v>0</v>
      </c>
      <c r="BF134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41" s="17">
        <f>SQRT(Table1347456[[#This Row],[v_from_sd_and_n]])</f>
        <v>0</v>
      </c>
      <c r="BH1341" s="13" t="s">
        <v>50</v>
      </c>
      <c r="BI1341" s="13">
        <v>2.5000000000000001E-2</v>
      </c>
      <c r="BJ1341" s="18">
        <f>ABS(_xlfn.NORM.S.INV(Table1347456[[#This Row],[p_value]]/2))</f>
        <v>2.2414027276049446</v>
      </c>
      <c r="BK1341" s="19">
        <f>(Table1347456[[#This Row],[lnrr]]/Table1347456[[#This Row],[z_from_p]])^2</f>
        <v>9.1052197987811848E-2</v>
      </c>
      <c r="BL1341" s="16">
        <f>(Table1347456[[#This Row],[lnrr]]/Table1347456[[#This Row],[z_from_p]])^2</f>
        <v>9.1052197987811848E-2</v>
      </c>
      <c r="BM1341" s="20">
        <f>SQRT(Table1347456[[#This Row],[v]])</f>
        <v>0.30174856749918771</v>
      </c>
      <c r="BN1341" s="20">
        <f>Table1347456[[#This Row],[lnrr]]-(1.96*Table1347456[[#This Row],[se]])</f>
        <v>-1.267767254541972</v>
      </c>
      <c r="BO1341" s="20">
        <f>Table1347456[[#This Row],[lnrr]]+(1.96 * Table1347456[[#This Row],[se]])</f>
        <v>-8.4912869945156233E-2</v>
      </c>
    </row>
    <row r="1342" spans="1:67">
      <c r="A1342" s="13" t="s">
        <v>360</v>
      </c>
      <c r="B1342" s="13" t="s">
        <v>628</v>
      </c>
      <c r="C1342" s="13" t="s">
        <v>43</v>
      </c>
      <c r="D1342" s="13" t="s">
        <v>421</v>
      </c>
      <c r="E1342" s="13" t="s">
        <v>249</v>
      </c>
      <c r="F1342" s="13" t="s">
        <v>588</v>
      </c>
      <c r="G1342" s="13" t="s">
        <v>46</v>
      </c>
      <c r="H1342" s="13">
        <v>32</v>
      </c>
      <c r="I1342" s="13">
        <v>1400</v>
      </c>
      <c r="K1342" s="13" t="s">
        <v>884</v>
      </c>
      <c r="L1342" s="13" t="s">
        <v>948</v>
      </c>
      <c r="N1342" s="13" t="s">
        <v>255</v>
      </c>
      <c r="O1342" s="13" t="s">
        <v>645</v>
      </c>
      <c r="P1342" s="13" t="s">
        <v>422</v>
      </c>
      <c r="Q1342" s="13" t="s">
        <v>48</v>
      </c>
      <c r="R1342" s="4">
        <v>3</v>
      </c>
      <c r="S1342" s="13" t="s">
        <v>594</v>
      </c>
      <c r="T1342" s="13">
        <v>336</v>
      </c>
      <c r="U1342" s="4" t="s">
        <v>147</v>
      </c>
      <c r="V1342" s="4">
        <v>580</v>
      </c>
      <c r="W1342" s="4" t="s">
        <v>601</v>
      </c>
      <c r="X1342" s="4">
        <v>520.29999999999995</v>
      </c>
      <c r="Y1342" s="4">
        <v>10</v>
      </c>
      <c r="AA1342" s="4" t="s">
        <v>49</v>
      </c>
      <c r="AB1342" s="4">
        <v>0</v>
      </c>
      <c r="AC1342" s="4" t="s">
        <v>49</v>
      </c>
      <c r="AD1342" s="4">
        <v>0</v>
      </c>
      <c r="AE1342" s="4" t="s">
        <v>49</v>
      </c>
      <c r="AF1342" s="4">
        <v>0</v>
      </c>
      <c r="AG1342" s="4" t="s">
        <v>683</v>
      </c>
      <c r="AH1342" s="4" t="s">
        <v>684</v>
      </c>
      <c r="AI1342" s="4" t="s">
        <v>78</v>
      </c>
      <c r="AJ1342" s="13">
        <v>0</v>
      </c>
      <c r="AK1342" s="13">
        <v>15</v>
      </c>
      <c r="AM1342" s="13" t="s">
        <v>523</v>
      </c>
      <c r="AP1342" s="13" t="s">
        <v>49</v>
      </c>
      <c r="AQ1342" s="13" t="s">
        <v>49</v>
      </c>
      <c r="AR1342" s="13" t="s">
        <v>49</v>
      </c>
      <c r="AS1342" s="13" t="s">
        <v>49</v>
      </c>
      <c r="AT1342" s="13" t="s">
        <v>990</v>
      </c>
      <c r="AU1342" s="13" t="s">
        <v>998</v>
      </c>
      <c r="AV1342" s="14">
        <f>0.18*10</f>
        <v>1.7999999999999998</v>
      </c>
      <c r="AW1342" s="14">
        <f>0.08*10</f>
        <v>0.8</v>
      </c>
      <c r="AX1342" s="14">
        <f>Table1347456[[#This Row],[treatment_mean]]/Table1347456[[#This Row],[control_mean]]</f>
        <v>2.2499999999999996</v>
      </c>
      <c r="AY1342" s="14">
        <f>LN(Table1347456[[#This Row],[rr]])</f>
        <v>0.81093021621632855</v>
      </c>
      <c r="AZ1342" s="13">
        <v>3</v>
      </c>
      <c r="BA1342" s="13">
        <v>3</v>
      </c>
      <c r="BB1342" s="14">
        <v>0</v>
      </c>
      <c r="BC1342" s="14">
        <v>0</v>
      </c>
      <c r="BD1342" s="15">
        <f>Table1347456[[#This Row],[treatment_se]]*SQRT(Table1347456[[#This Row],[treatment_n]])</f>
        <v>0</v>
      </c>
      <c r="BE1342" s="14">
        <f>Table1347456[[#This Row],[control_se]]*SQRT(Table1347456[[#This Row],[control_n]])</f>
        <v>0</v>
      </c>
      <c r="BF134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42" s="17">
        <f>SQRT(Table1347456[[#This Row],[v_from_sd_and_n]])</f>
        <v>0</v>
      </c>
      <c r="BH1342" s="13" t="s">
        <v>50</v>
      </c>
      <c r="BI1342" s="13">
        <v>0.05</v>
      </c>
      <c r="BJ1342" s="18">
        <f>ABS(_xlfn.NORM.S.INV(Table1347456[[#This Row],[p_value]]/2))</f>
        <v>1.9599639845400538</v>
      </c>
      <c r="BK1342" s="19">
        <f>(Table1347456[[#This Row],[lnrr]]/Table1347456[[#This Row],[z_from_p]])^2</f>
        <v>0.17118700115437818</v>
      </c>
      <c r="BL1342" s="16">
        <f>(Table1347456[[#This Row],[lnrr]]/Table1347456[[#This Row],[z_from_p]])^2</f>
        <v>0.17118700115437818</v>
      </c>
      <c r="BM1342" s="20">
        <f>SQRT(Table1347456[[#This Row],[v]])</f>
        <v>0.41374750894039009</v>
      </c>
      <c r="BN1342" s="20">
        <f>Table1347456[[#This Row],[lnrr]]-(1.96*Table1347456[[#This Row],[se]])</f>
        <v>-1.4901306836012651E-5</v>
      </c>
      <c r="BO1342" s="20">
        <f>Table1347456[[#This Row],[lnrr]]+(1.96 * Table1347456[[#This Row],[se]])</f>
        <v>1.6218753337394931</v>
      </c>
    </row>
    <row r="1343" spans="1:67">
      <c r="A1343" s="13" t="s">
        <v>360</v>
      </c>
      <c r="B1343" s="13" t="s">
        <v>420</v>
      </c>
      <c r="C1343" s="13" t="s">
        <v>43</v>
      </c>
      <c r="D1343" s="13" t="s">
        <v>421</v>
      </c>
      <c r="E1343" s="13" t="s">
        <v>249</v>
      </c>
      <c r="F1343" s="13" t="s">
        <v>588</v>
      </c>
      <c r="G1343" s="13" t="s">
        <v>46</v>
      </c>
      <c r="H1343" s="13">
        <v>32</v>
      </c>
      <c r="I1343" s="13">
        <v>1400</v>
      </c>
      <c r="K1343" s="13" t="s">
        <v>884</v>
      </c>
      <c r="L1343" s="13" t="s">
        <v>948</v>
      </c>
      <c r="N1343" s="13" t="s">
        <v>255</v>
      </c>
      <c r="O1343" s="13" t="s">
        <v>645</v>
      </c>
      <c r="P1343" s="13" t="s">
        <v>422</v>
      </c>
      <c r="Q1343" s="13" t="s">
        <v>48</v>
      </c>
      <c r="R1343" s="4">
        <v>3</v>
      </c>
      <c r="S1343" s="13" t="s">
        <v>594</v>
      </c>
      <c r="T1343" s="13">
        <v>336</v>
      </c>
      <c r="U1343" s="4" t="s">
        <v>147</v>
      </c>
      <c r="V1343" s="4">
        <v>580</v>
      </c>
      <c r="W1343" s="4" t="s">
        <v>601</v>
      </c>
      <c r="X1343" s="4">
        <v>520.29999999999995</v>
      </c>
      <c r="Y1343" s="4">
        <v>20</v>
      </c>
      <c r="AA1343" s="4" t="s">
        <v>49</v>
      </c>
      <c r="AB1343" s="4">
        <v>0</v>
      </c>
      <c r="AC1343" s="4" t="s">
        <v>49</v>
      </c>
      <c r="AD1343" s="4">
        <v>0</v>
      </c>
      <c r="AE1343" s="4" t="s">
        <v>49</v>
      </c>
      <c r="AF1343" s="4">
        <v>0</v>
      </c>
      <c r="AG1343" s="4" t="s">
        <v>683</v>
      </c>
      <c r="AH1343" s="4" t="s">
        <v>684</v>
      </c>
      <c r="AI1343" s="4" t="s">
        <v>78</v>
      </c>
      <c r="AJ1343" s="13">
        <v>0</v>
      </c>
      <c r="AK1343" s="13">
        <v>15</v>
      </c>
      <c r="AM1343" s="13" t="s">
        <v>523</v>
      </c>
      <c r="AP1343" s="13" t="s">
        <v>49</v>
      </c>
      <c r="AQ1343" s="13" t="s">
        <v>49</v>
      </c>
      <c r="AR1343" s="13" t="s">
        <v>49</v>
      </c>
      <c r="AS1343" s="13" t="s">
        <v>49</v>
      </c>
      <c r="AT1343" s="13" t="s">
        <v>990</v>
      </c>
      <c r="AU1343" s="13" t="s">
        <v>998</v>
      </c>
      <c r="AV1343" s="14">
        <f>0.12*10</f>
        <v>1.2</v>
      </c>
      <c r="AW1343" s="14">
        <f>0.08*10</f>
        <v>0.8</v>
      </c>
      <c r="AX1343" s="14">
        <f>Table1347456[[#This Row],[treatment_mean]]/Table1347456[[#This Row],[control_mean]]</f>
        <v>1.4999999999999998</v>
      </c>
      <c r="AY1343" s="14">
        <f>LN(Table1347456[[#This Row],[rr]])</f>
        <v>0.40546510810816422</v>
      </c>
      <c r="AZ1343" s="13">
        <v>3</v>
      </c>
      <c r="BA1343" s="13">
        <v>3</v>
      </c>
      <c r="BB1343" s="14">
        <v>0</v>
      </c>
      <c r="BC1343" s="14">
        <v>0</v>
      </c>
      <c r="BD1343" s="15">
        <f>Table1347456[[#This Row],[treatment_se]]*SQRT(Table1347456[[#This Row],[treatment_n]])</f>
        <v>0</v>
      </c>
      <c r="BE1343" s="14">
        <f>Table1347456[[#This Row],[control_se]]*SQRT(Table1347456[[#This Row],[control_n]])</f>
        <v>0</v>
      </c>
      <c r="BF134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43" s="17">
        <f>SQRT(Table1347456[[#This Row],[v_from_sd_and_n]])</f>
        <v>0</v>
      </c>
      <c r="BH1343" s="13" t="s">
        <v>50</v>
      </c>
      <c r="BI1343" s="13">
        <v>0.05</v>
      </c>
      <c r="BJ1343" s="18">
        <f>ABS(_xlfn.NORM.S.INV(Table1347456[[#This Row],[p_value]]/2))</f>
        <v>1.9599639845400538</v>
      </c>
      <c r="BK1343" s="19">
        <f>(Table1347456[[#This Row],[lnrr]]/Table1347456[[#This Row],[z_from_p]])^2</f>
        <v>4.2796750288594532E-2</v>
      </c>
      <c r="BL1343" s="16">
        <f>(Table1347456[[#This Row],[lnrr]]/Table1347456[[#This Row],[z_from_p]])^2</f>
        <v>4.2796750288594532E-2</v>
      </c>
      <c r="BM1343" s="20">
        <f>SQRT(Table1347456[[#This Row],[v]])</f>
        <v>0.20687375447019501</v>
      </c>
      <c r="BN1343" s="20">
        <f>Table1347456[[#This Row],[lnrr]]-(1.96*Table1347456[[#This Row],[se]])</f>
        <v>-7.4506534180063255E-6</v>
      </c>
      <c r="BO1343" s="20">
        <f>Table1347456[[#This Row],[lnrr]]+(1.96 * Table1347456[[#This Row],[se]])</f>
        <v>0.81093766686974644</v>
      </c>
    </row>
    <row r="1344" spans="1:67">
      <c r="A1344" s="13" t="s">
        <v>360</v>
      </c>
      <c r="B1344" s="13" t="s">
        <v>420</v>
      </c>
      <c r="C1344" s="13" t="s">
        <v>43</v>
      </c>
      <c r="D1344" s="13" t="s">
        <v>421</v>
      </c>
      <c r="E1344" s="13" t="s">
        <v>249</v>
      </c>
      <c r="F1344" s="13" t="s">
        <v>588</v>
      </c>
      <c r="G1344" s="13" t="s">
        <v>46</v>
      </c>
      <c r="H1344" s="13">
        <v>32</v>
      </c>
      <c r="I1344" s="13">
        <v>1400</v>
      </c>
      <c r="K1344" s="13" t="s">
        <v>884</v>
      </c>
      <c r="L1344" s="13" t="s">
        <v>948</v>
      </c>
      <c r="N1344" s="13" t="s">
        <v>255</v>
      </c>
      <c r="O1344" s="13" t="s">
        <v>645</v>
      </c>
      <c r="P1344" s="13" t="s">
        <v>422</v>
      </c>
      <c r="Q1344" s="13" t="s">
        <v>48</v>
      </c>
      <c r="R1344" s="4">
        <v>3</v>
      </c>
      <c r="S1344" s="13" t="s">
        <v>594</v>
      </c>
      <c r="T1344" s="13">
        <v>336</v>
      </c>
      <c r="U1344" s="4" t="s">
        <v>147</v>
      </c>
      <c r="V1344" s="4">
        <v>580</v>
      </c>
      <c r="W1344" s="4" t="s">
        <v>601</v>
      </c>
      <c r="X1344" s="4">
        <v>520.29999999999995</v>
      </c>
      <c r="Y1344" s="4">
        <v>30</v>
      </c>
      <c r="AA1344" s="4" t="s">
        <v>49</v>
      </c>
      <c r="AB1344" s="4">
        <v>0</v>
      </c>
      <c r="AC1344" s="4" t="s">
        <v>49</v>
      </c>
      <c r="AD1344" s="4">
        <v>0</v>
      </c>
      <c r="AE1344" s="4" t="s">
        <v>49</v>
      </c>
      <c r="AF1344" s="4">
        <v>0</v>
      </c>
      <c r="AG1344" s="4" t="s">
        <v>683</v>
      </c>
      <c r="AH1344" s="4" t="s">
        <v>684</v>
      </c>
      <c r="AI1344" s="4" t="s">
        <v>78</v>
      </c>
      <c r="AJ1344" s="13">
        <v>0</v>
      </c>
      <c r="AK1344" s="13">
        <v>15</v>
      </c>
      <c r="AM1344" s="13" t="s">
        <v>523</v>
      </c>
      <c r="AP1344" s="13" t="s">
        <v>49</v>
      </c>
      <c r="AQ1344" s="13" t="s">
        <v>49</v>
      </c>
      <c r="AR1344" s="13" t="s">
        <v>49</v>
      </c>
      <c r="AS1344" s="13" t="s">
        <v>49</v>
      </c>
      <c r="AT1344" s="13" t="s">
        <v>990</v>
      </c>
      <c r="AU1344" s="13" t="s">
        <v>998</v>
      </c>
      <c r="AV1344" s="14">
        <f>0.14*10</f>
        <v>1.4000000000000001</v>
      </c>
      <c r="AW1344" s="14">
        <f>0.08*10</f>
        <v>0.8</v>
      </c>
      <c r="AX1344" s="14">
        <f>Table1347456[[#This Row],[treatment_mean]]/Table1347456[[#This Row],[control_mean]]</f>
        <v>1.75</v>
      </c>
      <c r="AY1344" s="14">
        <f>LN(Table1347456[[#This Row],[rr]])</f>
        <v>0.55961578793542266</v>
      </c>
      <c r="AZ1344" s="13">
        <v>3</v>
      </c>
      <c r="BA1344" s="13">
        <v>3</v>
      </c>
      <c r="BB1344" s="14">
        <v>0</v>
      </c>
      <c r="BC1344" s="14">
        <v>0</v>
      </c>
      <c r="BD1344" s="15">
        <f>Table1347456[[#This Row],[treatment_se]]*SQRT(Table1347456[[#This Row],[treatment_n]])</f>
        <v>0</v>
      </c>
      <c r="BE1344" s="14">
        <f>Table1347456[[#This Row],[control_se]]*SQRT(Table1347456[[#This Row],[control_n]])</f>
        <v>0</v>
      </c>
      <c r="BF134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44" s="17">
        <f>SQRT(Table1347456[[#This Row],[v_from_sd_and_n]])</f>
        <v>0</v>
      </c>
      <c r="BH1344" s="13" t="s">
        <v>50</v>
      </c>
      <c r="BI1344" s="13">
        <v>0.05</v>
      </c>
      <c r="BJ1344" s="18">
        <f>ABS(_xlfn.NORM.S.INV(Table1347456[[#This Row],[p_value]]/2))</f>
        <v>1.9599639845400538</v>
      </c>
      <c r="BK1344" s="19">
        <f>(Table1347456[[#This Row],[lnrr]]/Table1347456[[#This Row],[z_from_p]])^2</f>
        <v>8.1523672314153917E-2</v>
      </c>
      <c r="BL1344" s="16">
        <f>(Table1347456[[#This Row],[lnrr]]/Table1347456[[#This Row],[z_from_p]])^2</f>
        <v>8.1523672314153917E-2</v>
      </c>
      <c r="BM1344" s="20">
        <f>SQRT(Table1347456[[#This Row],[v]])</f>
        <v>0.28552350571214608</v>
      </c>
      <c r="BN1344" s="20">
        <f>Table1347456[[#This Row],[lnrr]]-(1.96*Table1347456[[#This Row],[se]])</f>
        <v>-1.0283260383658899E-5</v>
      </c>
      <c r="BO1344" s="20">
        <f>Table1347456[[#This Row],[lnrr]]+(1.96 * Table1347456[[#This Row],[se]])</f>
        <v>1.119241859131229</v>
      </c>
    </row>
    <row r="1345" spans="1:67">
      <c r="A1345" s="13" t="s">
        <v>360</v>
      </c>
      <c r="B1345" s="13" t="s">
        <v>628</v>
      </c>
      <c r="C1345" s="13" t="s">
        <v>43</v>
      </c>
      <c r="D1345" s="13" t="s">
        <v>421</v>
      </c>
      <c r="E1345" s="13" t="s">
        <v>249</v>
      </c>
      <c r="F1345" s="13" t="s">
        <v>588</v>
      </c>
      <c r="G1345" s="13" t="s">
        <v>46</v>
      </c>
      <c r="H1345" s="13">
        <v>32</v>
      </c>
      <c r="I1345" s="13">
        <v>1400</v>
      </c>
      <c r="J1345" s="13" t="s">
        <v>656</v>
      </c>
      <c r="K1345" s="13" t="s">
        <v>884</v>
      </c>
      <c r="L1345" s="13" t="s">
        <v>948</v>
      </c>
      <c r="M1345" s="13" t="s">
        <v>803</v>
      </c>
      <c r="N1345" s="13" t="s">
        <v>119</v>
      </c>
      <c r="O1345" s="13" t="s">
        <v>645</v>
      </c>
      <c r="P1345" s="13" t="s">
        <v>85</v>
      </c>
      <c r="Q1345" s="13" t="s">
        <v>48</v>
      </c>
      <c r="R1345" s="4">
        <v>3</v>
      </c>
      <c r="S1345" s="13" t="s">
        <v>594</v>
      </c>
      <c r="T1345" s="13">
        <v>336</v>
      </c>
      <c r="U1345" s="4" t="s">
        <v>147</v>
      </c>
      <c r="V1345" s="4">
        <v>580</v>
      </c>
      <c r="W1345" s="4" t="s">
        <v>601</v>
      </c>
      <c r="X1345" s="4">
        <v>520.29999999999995</v>
      </c>
      <c r="Y1345" s="4">
        <v>10</v>
      </c>
      <c r="AA1345" s="4" t="s">
        <v>49</v>
      </c>
      <c r="AB1345" s="4">
        <v>0</v>
      </c>
      <c r="AC1345" s="4" t="s">
        <v>49</v>
      </c>
      <c r="AD1345" s="4">
        <v>0</v>
      </c>
      <c r="AE1345" s="4" t="s">
        <v>49</v>
      </c>
      <c r="AF1345" s="4">
        <v>0</v>
      </c>
      <c r="AG1345" s="4" t="s">
        <v>683</v>
      </c>
      <c r="AH1345" s="4" t="s">
        <v>684</v>
      </c>
      <c r="AI1345" s="4" t="s">
        <v>78</v>
      </c>
      <c r="AJ1345" s="13">
        <v>0</v>
      </c>
      <c r="AK1345" s="13">
        <v>15</v>
      </c>
      <c r="AM1345" s="13" t="s">
        <v>523</v>
      </c>
      <c r="AP1345" s="13" t="s">
        <v>49</v>
      </c>
      <c r="AQ1345" s="13" t="s">
        <v>49</v>
      </c>
      <c r="AR1345" s="13" t="s">
        <v>49</v>
      </c>
      <c r="AS1345" s="13" t="s">
        <v>49</v>
      </c>
      <c r="AT1345" s="13" t="s">
        <v>990</v>
      </c>
      <c r="AU1345" s="13" t="s">
        <v>998</v>
      </c>
      <c r="AV1345" s="23">
        <f>2.26/1000</f>
        <v>2.2599999999999999E-3</v>
      </c>
      <c r="AW1345" s="23">
        <f>1.91/1000</f>
        <v>1.91E-3</v>
      </c>
      <c r="AX1345" s="14">
        <f>Table1347456[[#This Row],[treatment_mean]]/Table1347456[[#This Row],[control_mean]]</f>
        <v>1.1832460732984291</v>
      </c>
      <c r="AY1345" s="14">
        <f>LN(Table1347456[[#This Row],[rr]])</f>
        <v>0.16826157122565585</v>
      </c>
      <c r="AZ1345" s="13">
        <v>3</v>
      </c>
      <c r="BA1345" s="13">
        <v>3</v>
      </c>
      <c r="BB1345" s="14">
        <v>0</v>
      </c>
      <c r="BC1345" s="14">
        <v>0</v>
      </c>
      <c r="BD1345" s="15">
        <f>Table1347456[[#This Row],[treatment_se]]*SQRT(Table1347456[[#This Row],[treatment_n]])</f>
        <v>0</v>
      </c>
      <c r="BE1345" s="14">
        <f>Table1347456[[#This Row],[control_se]]*SQRT(Table1347456[[#This Row],[control_n]])</f>
        <v>0</v>
      </c>
      <c r="BF134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45" s="17">
        <f>SQRT(Table1347456[[#This Row],[v_from_sd_and_n]])</f>
        <v>0</v>
      </c>
      <c r="BH1345" s="13" t="s">
        <v>50</v>
      </c>
      <c r="BI1345" s="13">
        <v>0.05</v>
      </c>
      <c r="BJ1345" s="18">
        <f>ABS(_xlfn.NORM.S.INV(Table1347456[[#This Row],[p_value]]/2))</f>
        <v>1.9599639845400538</v>
      </c>
      <c r="BK1345" s="19">
        <f>(Table1347456[[#This Row],[lnrr]]/Table1347456[[#This Row],[z_from_p]])^2</f>
        <v>7.3701053877783572E-3</v>
      </c>
      <c r="BL1345" s="16">
        <f>(Table1347456[[#This Row],[lnrr]]/Table1347456[[#This Row],[z_from_p]])^2</f>
        <v>7.3701053877783572E-3</v>
      </c>
      <c r="BM1345" s="20">
        <f>SQRT(Table1347456[[#This Row],[v]])</f>
        <v>8.584931792261577E-2</v>
      </c>
      <c r="BN1345" s="20">
        <f>Table1347456[[#This Row],[lnrr]]-(1.96*Table1347456[[#This Row],[se]])</f>
        <v>-3.091902671059632E-6</v>
      </c>
      <c r="BO1345" s="20">
        <f>Table1347456[[#This Row],[lnrr]]+(1.96 * Table1347456[[#This Row],[se]])</f>
        <v>0.33652623435398277</v>
      </c>
    </row>
    <row r="1346" spans="1:67">
      <c r="A1346" s="13" t="s">
        <v>360</v>
      </c>
      <c r="B1346" s="13" t="s">
        <v>420</v>
      </c>
      <c r="C1346" s="13" t="s">
        <v>43</v>
      </c>
      <c r="D1346" s="13" t="s">
        <v>421</v>
      </c>
      <c r="E1346" s="13" t="s">
        <v>249</v>
      </c>
      <c r="F1346" s="13" t="s">
        <v>588</v>
      </c>
      <c r="G1346" s="13" t="s">
        <v>46</v>
      </c>
      <c r="H1346" s="13">
        <v>32</v>
      </c>
      <c r="I1346" s="13">
        <v>1400</v>
      </c>
      <c r="J1346" s="13" t="s">
        <v>656</v>
      </c>
      <c r="K1346" s="13" t="s">
        <v>884</v>
      </c>
      <c r="L1346" s="13" t="s">
        <v>948</v>
      </c>
      <c r="M1346" s="13" t="s">
        <v>803</v>
      </c>
      <c r="N1346" s="13" t="s">
        <v>119</v>
      </c>
      <c r="O1346" s="13" t="s">
        <v>645</v>
      </c>
      <c r="P1346" s="13" t="s">
        <v>85</v>
      </c>
      <c r="Q1346" s="13" t="s">
        <v>48</v>
      </c>
      <c r="R1346" s="4">
        <v>3</v>
      </c>
      <c r="S1346" s="13" t="s">
        <v>594</v>
      </c>
      <c r="T1346" s="13">
        <v>336</v>
      </c>
      <c r="U1346" s="4" t="s">
        <v>147</v>
      </c>
      <c r="V1346" s="4">
        <v>580</v>
      </c>
      <c r="W1346" s="4" t="s">
        <v>601</v>
      </c>
      <c r="X1346" s="4">
        <v>520.29999999999995</v>
      </c>
      <c r="Y1346" s="4">
        <v>20</v>
      </c>
      <c r="AA1346" s="4" t="s">
        <v>49</v>
      </c>
      <c r="AB1346" s="4">
        <v>0</v>
      </c>
      <c r="AC1346" s="4" t="s">
        <v>49</v>
      </c>
      <c r="AD1346" s="4">
        <v>0</v>
      </c>
      <c r="AE1346" s="4" t="s">
        <v>49</v>
      </c>
      <c r="AF1346" s="4">
        <v>0</v>
      </c>
      <c r="AG1346" s="4" t="s">
        <v>683</v>
      </c>
      <c r="AH1346" s="4" t="s">
        <v>684</v>
      </c>
      <c r="AI1346" s="4" t="s">
        <v>78</v>
      </c>
      <c r="AJ1346" s="13">
        <v>0</v>
      </c>
      <c r="AK1346" s="13">
        <v>15</v>
      </c>
      <c r="AM1346" s="13" t="s">
        <v>523</v>
      </c>
      <c r="AP1346" s="13" t="s">
        <v>49</v>
      </c>
      <c r="AQ1346" s="13" t="s">
        <v>49</v>
      </c>
      <c r="AR1346" s="13" t="s">
        <v>49</v>
      </c>
      <c r="AS1346" s="13" t="s">
        <v>49</v>
      </c>
      <c r="AT1346" s="13" t="s">
        <v>990</v>
      </c>
      <c r="AU1346" s="13" t="s">
        <v>998</v>
      </c>
      <c r="AV1346" s="23">
        <f>2.67/1000</f>
        <v>2.6700000000000001E-3</v>
      </c>
      <c r="AW1346" s="23">
        <f>1.91/1000</f>
        <v>1.91E-3</v>
      </c>
      <c r="AX1346" s="14">
        <f>Table1347456[[#This Row],[treatment_mean]]/Table1347456[[#This Row],[control_mean]]</f>
        <v>1.3979057591623036</v>
      </c>
      <c r="AY1346" s="14">
        <f>LN(Table1347456[[#This Row],[rr]])</f>
        <v>0.33497523035361965</v>
      </c>
      <c r="AZ1346" s="13">
        <v>3</v>
      </c>
      <c r="BA1346" s="13">
        <v>3</v>
      </c>
      <c r="BB1346" s="14">
        <v>0</v>
      </c>
      <c r="BC1346" s="14">
        <v>0</v>
      </c>
      <c r="BD1346" s="15">
        <f>Table1347456[[#This Row],[treatment_se]]*SQRT(Table1347456[[#This Row],[treatment_n]])</f>
        <v>0</v>
      </c>
      <c r="BE1346" s="14">
        <f>Table1347456[[#This Row],[control_se]]*SQRT(Table1347456[[#This Row],[control_n]])</f>
        <v>0</v>
      </c>
      <c r="BF134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46" s="17">
        <f>SQRT(Table1347456[[#This Row],[v_from_sd_and_n]])</f>
        <v>0</v>
      </c>
      <c r="BH1346" s="13" t="s">
        <v>50</v>
      </c>
      <c r="BI1346" s="13">
        <v>0.05</v>
      </c>
      <c r="BJ1346" s="18">
        <f>ABS(_xlfn.NORM.S.INV(Table1347456[[#This Row],[p_value]]/2))</f>
        <v>1.9599639845400538</v>
      </c>
      <c r="BK1346" s="19">
        <f>(Table1347456[[#This Row],[lnrr]]/Table1347456[[#This Row],[z_from_p]])^2</f>
        <v>2.9209841934524569E-2</v>
      </c>
      <c r="BL1346" s="16">
        <f>(Table1347456[[#This Row],[lnrr]]/Table1347456[[#This Row],[z_from_p]])^2</f>
        <v>2.9209841934524569E-2</v>
      </c>
      <c r="BM1346" s="20">
        <f>SQRT(Table1347456[[#This Row],[v]])</f>
        <v>0.17090887026285256</v>
      </c>
      <c r="BN1346" s="20">
        <f>Table1347456[[#This Row],[lnrr]]-(1.96*Table1347456[[#This Row],[se]])</f>
        <v>-6.1553615713916265E-6</v>
      </c>
      <c r="BO1346" s="20">
        <f>Table1347456[[#This Row],[lnrr]]+(1.96 * Table1347456[[#This Row],[se]])</f>
        <v>0.66995661606881063</v>
      </c>
    </row>
    <row r="1347" spans="1:67">
      <c r="A1347" s="13" t="s">
        <v>360</v>
      </c>
      <c r="B1347" s="13" t="s">
        <v>420</v>
      </c>
      <c r="C1347" s="13" t="s">
        <v>43</v>
      </c>
      <c r="D1347" s="13" t="s">
        <v>421</v>
      </c>
      <c r="E1347" s="13" t="s">
        <v>249</v>
      </c>
      <c r="F1347" s="13" t="s">
        <v>588</v>
      </c>
      <c r="G1347" s="13" t="s">
        <v>46</v>
      </c>
      <c r="H1347" s="13">
        <v>32</v>
      </c>
      <c r="I1347" s="13">
        <v>1400</v>
      </c>
      <c r="J1347" s="13" t="s">
        <v>656</v>
      </c>
      <c r="K1347" s="13" t="s">
        <v>884</v>
      </c>
      <c r="L1347" s="13" t="s">
        <v>948</v>
      </c>
      <c r="M1347" s="13" t="s">
        <v>803</v>
      </c>
      <c r="N1347" s="13" t="s">
        <v>119</v>
      </c>
      <c r="O1347" s="13" t="s">
        <v>645</v>
      </c>
      <c r="P1347" s="13" t="s">
        <v>85</v>
      </c>
      <c r="Q1347" s="13" t="s">
        <v>48</v>
      </c>
      <c r="R1347" s="4">
        <v>3</v>
      </c>
      <c r="S1347" s="13" t="s">
        <v>594</v>
      </c>
      <c r="T1347" s="13">
        <v>336</v>
      </c>
      <c r="U1347" s="4" t="s">
        <v>147</v>
      </c>
      <c r="V1347" s="4">
        <v>580</v>
      </c>
      <c r="W1347" s="4" t="s">
        <v>601</v>
      </c>
      <c r="X1347" s="4">
        <v>520.29999999999995</v>
      </c>
      <c r="Y1347" s="4">
        <v>30</v>
      </c>
      <c r="AA1347" s="4" t="s">
        <v>49</v>
      </c>
      <c r="AB1347" s="4">
        <v>0</v>
      </c>
      <c r="AC1347" s="4" t="s">
        <v>49</v>
      </c>
      <c r="AD1347" s="4">
        <v>0</v>
      </c>
      <c r="AE1347" s="4" t="s">
        <v>49</v>
      </c>
      <c r="AF1347" s="4">
        <v>0</v>
      </c>
      <c r="AG1347" s="4" t="s">
        <v>683</v>
      </c>
      <c r="AH1347" s="4" t="s">
        <v>684</v>
      </c>
      <c r="AI1347" s="4" t="s">
        <v>78</v>
      </c>
      <c r="AJ1347" s="13">
        <v>0</v>
      </c>
      <c r="AK1347" s="13">
        <v>15</v>
      </c>
      <c r="AM1347" s="13" t="s">
        <v>523</v>
      </c>
      <c r="AP1347" s="13" t="s">
        <v>49</v>
      </c>
      <c r="AQ1347" s="13" t="s">
        <v>49</v>
      </c>
      <c r="AR1347" s="13" t="s">
        <v>49</v>
      </c>
      <c r="AS1347" s="13" t="s">
        <v>49</v>
      </c>
      <c r="AT1347" s="13" t="s">
        <v>990</v>
      </c>
      <c r="AU1347" s="13" t="s">
        <v>998</v>
      </c>
      <c r="AV1347" s="23">
        <f>2.9/1000</f>
        <v>2.8999999999999998E-3</v>
      </c>
      <c r="AW1347" s="23">
        <f>1.91/1000</f>
        <v>1.91E-3</v>
      </c>
      <c r="AX1347" s="14">
        <f>Table1347456[[#This Row],[treatment_mean]]/Table1347456[[#This Row],[control_mean]]</f>
        <v>1.5183246073298429</v>
      </c>
      <c r="AY1347" s="14">
        <f>LN(Table1347456[[#This Row],[rr]])</f>
        <v>0.41760749493388982</v>
      </c>
      <c r="AZ1347" s="13">
        <v>3</v>
      </c>
      <c r="BA1347" s="13">
        <v>3</v>
      </c>
      <c r="BB1347" s="14">
        <v>0</v>
      </c>
      <c r="BC1347" s="14">
        <v>0</v>
      </c>
      <c r="BD1347" s="15">
        <f>Table1347456[[#This Row],[treatment_se]]*SQRT(Table1347456[[#This Row],[treatment_n]])</f>
        <v>0</v>
      </c>
      <c r="BE1347" s="14">
        <f>Table1347456[[#This Row],[control_se]]*SQRT(Table1347456[[#This Row],[control_n]])</f>
        <v>0</v>
      </c>
      <c r="BF134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47" s="17">
        <f>SQRT(Table1347456[[#This Row],[v_from_sd_and_n]])</f>
        <v>0</v>
      </c>
      <c r="BH1347" s="13" t="s">
        <v>50</v>
      </c>
      <c r="BI1347" s="13">
        <v>0.05</v>
      </c>
      <c r="BJ1347" s="18">
        <f>ABS(_xlfn.NORM.S.INV(Table1347456[[#This Row],[p_value]]/2))</f>
        <v>1.9599639845400538</v>
      </c>
      <c r="BK1347" s="19">
        <f>(Table1347456[[#This Row],[lnrr]]/Table1347456[[#This Row],[z_from_p]])^2</f>
        <v>4.5398383261452402E-2</v>
      </c>
      <c r="BL1347" s="16">
        <f>(Table1347456[[#This Row],[lnrr]]/Table1347456[[#This Row],[z_from_p]])^2</f>
        <v>4.5398383261452402E-2</v>
      </c>
      <c r="BM1347" s="20">
        <f>SQRT(Table1347456[[#This Row],[v]])</f>
        <v>0.21306896362786487</v>
      </c>
      <c r="BN1347" s="20">
        <f>Table1347456[[#This Row],[lnrr]]-(1.96*Table1347456[[#This Row],[se]])</f>
        <v>-7.6737767253365341E-6</v>
      </c>
      <c r="BO1347" s="20">
        <f>Table1347456[[#This Row],[lnrr]]+(1.96 * Table1347456[[#This Row],[se]])</f>
        <v>0.83522266364450504</v>
      </c>
    </row>
    <row r="1348" spans="1:67">
      <c r="A1348" s="13" t="s">
        <v>360</v>
      </c>
      <c r="B1348" s="13" t="s">
        <v>420</v>
      </c>
      <c r="C1348" s="13" t="s">
        <v>43</v>
      </c>
      <c r="D1348" s="13" t="s">
        <v>421</v>
      </c>
      <c r="E1348" s="13" t="s">
        <v>249</v>
      </c>
      <c r="F1348" s="13" t="s">
        <v>588</v>
      </c>
      <c r="G1348" s="13" t="s">
        <v>46</v>
      </c>
      <c r="H1348" s="13">
        <v>32</v>
      </c>
      <c r="I1348" s="13">
        <v>1400</v>
      </c>
      <c r="K1348" s="13" t="s">
        <v>884</v>
      </c>
      <c r="L1348" s="13" t="s">
        <v>948</v>
      </c>
      <c r="N1348" s="13" t="s">
        <v>400</v>
      </c>
      <c r="O1348" s="13" t="s">
        <v>644</v>
      </c>
      <c r="P1348" s="13" t="s">
        <v>87</v>
      </c>
      <c r="Q1348" s="13" t="s">
        <v>48</v>
      </c>
      <c r="R1348" s="4">
        <v>3</v>
      </c>
      <c r="S1348" s="13" t="s">
        <v>594</v>
      </c>
      <c r="T1348" s="13">
        <v>336</v>
      </c>
      <c r="U1348" s="4" t="s">
        <v>147</v>
      </c>
      <c r="V1348" s="4">
        <v>580</v>
      </c>
      <c r="W1348" s="4" t="s">
        <v>601</v>
      </c>
      <c r="X1348" s="4">
        <v>520.29999999999995</v>
      </c>
      <c r="Y1348" s="4">
        <v>10</v>
      </c>
      <c r="AA1348" s="4" t="s">
        <v>49</v>
      </c>
      <c r="AB1348" s="4">
        <v>0</v>
      </c>
      <c r="AC1348" s="4" t="s">
        <v>49</v>
      </c>
      <c r="AD1348" s="4">
        <v>0</v>
      </c>
      <c r="AE1348" s="4" t="s">
        <v>49</v>
      </c>
      <c r="AF1348" s="4">
        <v>0</v>
      </c>
      <c r="AG1348" s="4" t="s">
        <v>683</v>
      </c>
      <c r="AH1348" s="4" t="s">
        <v>684</v>
      </c>
      <c r="AI1348" s="4" t="s">
        <v>78</v>
      </c>
      <c r="AJ1348" s="13">
        <v>0</v>
      </c>
      <c r="AK1348" s="13">
        <v>15</v>
      </c>
      <c r="AM1348" s="13" t="s">
        <v>523</v>
      </c>
      <c r="AP1348" s="13" t="s">
        <v>49</v>
      </c>
      <c r="AQ1348" s="13" t="s">
        <v>49</v>
      </c>
      <c r="AR1348" s="13" t="s">
        <v>49</v>
      </c>
      <c r="AS1348" s="13" t="s">
        <v>49</v>
      </c>
      <c r="AT1348" s="13" t="s">
        <v>990</v>
      </c>
      <c r="AU1348" s="13" t="s">
        <v>998</v>
      </c>
      <c r="AV1348" s="14">
        <f>(0.21*39.1*10)/1000</f>
        <v>8.2110000000000002E-2</v>
      </c>
      <c r="AW1348" s="14">
        <f>(0.1*39.1*10)/1000</f>
        <v>3.9100000000000003E-2</v>
      </c>
      <c r="AX1348" s="14">
        <f>Table1347456[[#This Row],[treatment_mean]]/Table1347456[[#This Row],[control_mean]]</f>
        <v>2.1</v>
      </c>
      <c r="AY1348" s="14">
        <f>LN(Table1347456[[#This Row],[rr]])</f>
        <v>0.74193734472937733</v>
      </c>
      <c r="AZ1348" s="13">
        <v>3</v>
      </c>
      <c r="BA1348" s="13">
        <v>3</v>
      </c>
      <c r="BB1348" s="14">
        <v>0</v>
      </c>
      <c r="BC1348" s="14">
        <v>0</v>
      </c>
      <c r="BD1348" s="15">
        <f>Table1347456[[#This Row],[treatment_se]]*SQRT(Table1347456[[#This Row],[treatment_n]])</f>
        <v>0</v>
      </c>
      <c r="BE1348" s="14">
        <f>Table1347456[[#This Row],[control_se]]*SQRT(Table1347456[[#This Row],[control_n]])</f>
        <v>0</v>
      </c>
      <c r="BF134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48" s="17">
        <f>SQRT(Table1347456[[#This Row],[v_from_sd_and_n]])</f>
        <v>0</v>
      </c>
      <c r="BH1348" s="13" t="s">
        <v>50</v>
      </c>
      <c r="BI1348" s="13">
        <v>0.05</v>
      </c>
      <c r="BJ1348" s="18">
        <f>ABS(_xlfn.NORM.S.INV(Table1347456[[#This Row],[p_value]]/2))</f>
        <v>1.9599639845400538</v>
      </c>
      <c r="BK1348" s="19">
        <f>(Table1347456[[#This Row],[lnrr]]/Table1347456[[#This Row],[z_from_p]])^2</f>
        <v>0.14329739018381896</v>
      </c>
      <c r="BL1348" s="16">
        <f>(Table1347456[[#This Row],[lnrr]]/Table1347456[[#This Row],[z_from_p]])^2</f>
        <v>0.14329739018381896</v>
      </c>
      <c r="BM1348" s="20">
        <f>SQRT(Table1347456[[#This Row],[v]])</f>
        <v>0.37854641747587436</v>
      </c>
      <c r="BN1348" s="20">
        <f>Table1347456[[#This Row],[lnrr]]-(1.96*Table1347456[[#This Row],[se]])</f>
        <v>-1.3633523336387121E-5</v>
      </c>
      <c r="BO1348" s="20">
        <f>Table1347456[[#This Row],[lnrr]]+(1.96 * Table1347456[[#This Row],[se]])</f>
        <v>1.4838883229820912</v>
      </c>
    </row>
    <row r="1349" spans="1:67">
      <c r="A1349" s="13" t="s">
        <v>360</v>
      </c>
      <c r="B1349" s="13" t="s">
        <v>420</v>
      </c>
      <c r="C1349" s="13" t="s">
        <v>43</v>
      </c>
      <c r="D1349" s="13" t="s">
        <v>421</v>
      </c>
      <c r="E1349" s="13" t="s">
        <v>249</v>
      </c>
      <c r="F1349" s="13" t="s">
        <v>588</v>
      </c>
      <c r="G1349" s="13" t="s">
        <v>46</v>
      </c>
      <c r="H1349" s="13">
        <v>32</v>
      </c>
      <c r="I1349" s="13">
        <v>1400</v>
      </c>
      <c r="K1349" s="13" t="s">
        <v>884</v>
      </c>
      <c r="L1349" s="13" t="s">
        <v>948</v>
      </c>
      <c r="N1349" s="13" t="s">
        <v>400</v>
      </c>
      <c r="O1349" s="13" t="s">
        <v>644</v>
      </c>
      <c r="P1349" s="13" t="s">
        <v>87</v>
      </c>
      <c r="Q1349" s="13" t="s">
        <v>48</v>
      </c>
      <c r="R1349" s="4">
        <v>3</v>
      </c>
      <c r="S1349" s="13" t="s">
        <v>594</v>
      </c>
      <c r="T1349" s="13">
        <v>336</v>
      </c>
      <c r="U1349" s="4" t="s">
        <v>147</v>
      </c>
      <c r="V1349" s="4">
        <v>580</v>
      </c>
      <c r="W1349" s="4" t="s">
        <v>601</v>
      </c>
      <c r="X1349" s="4">
        <v>520.29999999999995</v>
      </c>
      <c r="Y1349" s="4">
        <v>20</v>
      </c>
      <c r="AA1349" s="4" t="s">
        <v>49</v>
      </c>
      <c r="AB1349" s="4">
        <v>0</v>
      </c>
      <c r="AC1349" s="4" t="s">
        <v>49</v>
      </c>
      <c r="AD1349" s="4">
        <v>0</v>
      </c>
      <c r="AE1349" s="4" t="s">
        <v>49</v>
      </c>
      <c r="AF1349" s="4">
        <v>0</v>
      </c>
      <c r="AG1349" s="4" t="s">
        <v>683</v>
      </c>
      <c r="AH1349" s="4" t="s">
        <v>684</v>
      </c>
      <c r="AI1349" s="4" t="s">
        <v>78</v>
      </c>
      <c r="AJ1349" s="13">
        <v>0</v>
      </c>
      <c r="AK1349" s="13">
        <v>15</v>
      </c>
      <c r="AM1349" s="13" t="s">
        <v>523</v>
      </c>
      <c r="AP1349" s="13" t="s">
        <v>49</v>
      </c>
      <c r="AQ1349" s="13" t="s">
        <v>49</v>
      </c>
      <c r="AR1349" s="13" t="s">
        <v>49</v>
      </c>
      <c r="AS1349" s="13" t="s">
        <v>49</v>
      </c>
      <c r="AT1349" s="13" t="s">
        <v>990</v>
      </c>
      <c r="AU1349" s="13" t="s">
        <v>998</v>
      </c>
      <c r="AV1349" s="14">
        <f>(0.27*39.1*10)/1000</f>
        <v>0.10557000000000001</v>
      </c>
      <c r="AW1349" s="14">
        <f>(0.1*39.1*10)/1000</f>
        <v>3.9100000000000003E-2</v>
      </c>
      <c r="AX1349" s="14">
        <f>Table1347456[[#This Row],[treatment_mean]]/Table1347456[[#This Row],[control_mean]]</f>
        <v>2.7</v>
      </c>
      <c r="AY1349" s="14">
        <f>LN(Table1347456[[#This Row],[rr]])</f>
        <v>0.99325177301028345</v>
      </c>
      <c r="AZ1349" s="13">
        <v>3</v>
      </c>
      <c r="BA1349" s="13">
        <v>3</v>
      </c>
      <c r="BB1349" s="14">
        <v>0</v>
      </c>
      <c r="BC1349" s="14">
        <v>0</v>
      </c>
      <c r="BD1349" s="15">
        <f>Table1347456[[#This Row],[treatment_se]]*SQRT(Table1347456[[#This Row],[treatment_n]])</f>
        <v>0</v>
      </c>
      <c r="BE1349" s="14">
        <f>Table1347456[[#This Row],[control_se]]*SQRT(Table1347456[[#This Row],[control_n]])</f>
        <v>0</v>
      </c>
      <c r="BF134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49" s="17">
        <f>SQRT(Table1347456[[#This Row],[v_from_sd_and_n]])</f>
        <v>0</v>
      </c>
      <c r="BH1349" s="13" t="s">
        <v>50</v>
      </c>
      <c r="BI1349" s="13">
        <v>0.05</v>
      </c>
      <c r="BJ1349" s="18">
        <f>ABS(_xlfn.NORM.S.INV(Table1347456[[#This Row],[p_value]]/2))</f>
        <v>1.9599639845400538</v>
      </c>
      <c r="BK1349" s="19">
        <f>(Table1347456[[#This Row],[lnrr]]/Table1347456[[#This Row],[z_from_p]])^2</f>
        <v>0.25681625930062923</v>
      </c>
      <c r="BL1349" s="16">
        <f>(Table1347456[[#This Row],[lnrr]]/Table1347456[[#This Row],[z_from_p]])^2</f>
        <v>0.25681625930062923</v>
      </c>
      <c r="BM1349" s="20">
        <f>SQRT(Table1347456[[#This Row],[v]])</f>
        <v>0.50677042070411848</v>
      </c>
      <c r="BN1349" s="20">
        <f>Table1347456[[#This Row],[lnrr]]-(1.96*Table1347456[[#This Row],[se]])</f>
        <v>-1.8251569788740873E-5</v>
      </c>
      <c r="BO1349" s="20">
        <f>Table1347456[[#This Row],[lnrr]]+(1.96 * Table1347456[[#This Row],[se]])</f>
        <v>1.9865217975903557</v>
      </c>
    </row>
    <row r="1350" spans="1:67">
      <c r="A1350" s="13" t="s">
        <v>360</v>
      </c>
      <c r="B1350" s="13" t="s">
        <v>420</v>
      </c>
      <c r="C1350" s="13" t="s">
        <v>43</v>
      </c>
      <c r="D1350" s="13" t="s">
        <v>421</v>
      </c>
      <c r="E1350" s="13" t="s">
        <v>249</v>
      </c>
      <c r="F1350" s="13" t="s">
        <v>588</v>
      </c>
      <c r="G1350" s="13" t="s">
        <v>46</v>
      </c>
      <c r="H1350" s="13">
        <v>32</v>
      </c>
      <c r="I1350" s="13">
        <v>1400</v>
      </c>
      <c r="K1350" s="13" t="s">
        <v>884</v>
      </c>
      <c r="L1350" s="13" t="s">
        <v>948</v>
      </c>
      <c r="N1350" s="13" t="s">
        <v>400</v>
      </c>
      <c r="O1350" s="13" t="s">
        <v>644</v>
      </c>
      <c r="P1350" s="13" t="s">
        <v>87</v>
      </c>
      <c r="Q1350" s="13" t="s">
        <v>48</v>
      </c>
      <c r="R1350" s="4">
        <v>3</v>
      </c>
      <c r="S1350" s="13" t="s">
        <v>594</v>
      </c>
      <c r="T1350" s="13">
        <v>336</v>
      </c>
      <c r="U1350" s="4" t="s">
        <v>147</v>
      </c>
      <c r="V1350" s="4">
        <v>580</v>
      </c>
      <c r="W1350" s="4" t="s">
        <v>601</v>
      </c>
      <c r="X1350" s="4">
        <v>520.29999999999995</v>
      </c>
      <c r="Y1350" s="4">
        <v>30</v>
      </c>
      <c r="AA1350" s="4" t="s">
        <v>49</v>
      </c>
      <c r="AB1350" s="4">
        <v>0</v>
      </c>
      <c r="AC1350" s="4" t="s">
        <v>49</v>
      </c>
      <c r="AD1350" s="4">
        <v>0</v>
      </c>
      <c r="AE1350" s="4" t="s">
        <v>49</v>
      </c>
      <c r="AF1350" s="4">
        <v>0</v>
      </c>
      <c r="AG1350" s="4" t="s">
        <v>683</v>
      </c>
      <c r="AH1350" s="4" t="s">
        <v>684</v>
      </c>
      <c r="AI1350" s="4" t="s">
        <v>78</v>
      </c>
      <c r="AJ1350" s="13">
        <v>0</v>
      </c>
      <c r="AK1350" s="13">
        <v>15</v>
      </c>
      <c r="AM1350" s="13" t="s">
        <v>523</v>
      </c>
      <c r="AP1350" s="13" t="s">
        <v>49</v>
      </c>
      <c r="AQ1350" s="13" t="s">
        <v>49</v>
      </c>
      <c r="AR1350" s="13" t="s">
        <v>49</v>
      </c>
      <c r="AS1350" s="13" t="s">
        <v>49</v>
      </c>
      <c r="AT1350" s="13" t="s">
        <v>990</v>
      </c>
      <c r="AU1350" s="13" t="s">
        <v>998</v>
      </c>
      <c r="AV1350" s="14">
        <f>(0.33*39.1*10)/1000</f>
        <v>0.12903000000000001</v>
      </c>
      <c r="AW1350" s="14">
        <f>(0.1*39.1*10)/1000</f>
        <v>3.9100000000000003E-2</v>
      </c>
      <c r="AX1350" s="14">
        <f>Table1347456[[#This Row],[treatment_mean]]/Table1347456[[#This Row],[control_mean]]</f>
        <v>3.3</v>
      </c>
      <c r="AY1350" s="14">
        <f>LN(Table1347456[[#This Row],[rr]])</f>
        <v>1.1939224684724346</v>
      </c>
      <c r="AZ1350" s="13">
        <v>3</v>
      </c>
      <c r="BA1350" s="13">
        <v>3</v>
      </c>
      <c r="BB1350" s="14">
        <v>0</v>
      </c>
      <c r="BC1350" s="14">
        <v>0</v>
      </c>
      <c r="BD1350" s="15">
        <f>Table1347456[[#This Row],[treatment_se]]*SQRT(Table1347456[[#This Row],[treatment_n]])</f>
        <v>0</v>
      </c>
      <c r="BE1350" s="14">
        <f>Table1347456[[#This Row],[control_se]]*SQRT(Table1347456[[#This Row],[control_n]])</f>
        <v>0</v>
      </c>
      <c r="BF135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50" s="17">
        <f>SQRT(Table1347456[[#This Row],[v_from_sd_and_n]])</f>
        <v>0</v>
      </c>
      <c r="BH1350" s="13" t="s">
        <v>50</v>
      </c>
      <c r="BI1350" s="13">
        <v>0.05</v>
      </c>
      <c r="BJ1350" s="18">
        <f>ABS(_xlfn.NORM.S.INV(Table1347456[[#This Row],[p_value]]/2))</f>
        <v>1.9599639845400538</v>
      </c>
      <c r="BK1350" s="19">
        <f>(Table1347456[[#This Row],[lnrr]]/Table1347456[[#This Row],[z_from_p]])^2</f>
        <v>0.37107019162728982</v>
      </c>
      <c r="BL1350" s="16">
        <f>(Table1347456[[#This Row],[lnrr]]/Table1347456[[#This Row],[z_from_p]])^2</f>
        <v>0.37107019162728982</v>
      </c>
      <c r="BM1350" s="20">
        <f>SQRT(Table1347456[[#This Row],[v]])</f>
        <v>0.60915530993933709</v>
      </c>
      <c r="BN1350" s="20">
        <f>Table1347456[[#This Row],[lnrr]]-(1.96*Table1347456[[#This Row],[se]])</f>
        <v>-2.193900866620524E-5</v>
      </c>
      <c r="BO1350" s="20">
        <f>Table1347456[[#This Row],[lnrr]]+(1.96 * Table1347456[[#This Row],[se]])</f>
        <v>2.3878668759535353</v>
      </c>
    </row>
    <row r="1351" spans="1:67">
      <c r="A1351" s="13" t="s">
        <v>360</v>
      </c>
      <c r="B1351" s="13" t="s">
        <v>420</v>
      </c>
      <c r="C1351" s="13" t="s">
        <v>43</v>
      </c>
      <c r="D1351" s="13" t="s">
        <v>421</v>
      </c>
      <c r="E1351" s="13" t="s">
        <v>249</v>
      </c>
      <c r="F1351" s="13" t="s">
        <v>588</v>
      </c>
      <c r="G1351" s="13" t="s">
        <v>46</v>
      </c>
      <c r="H1351" s="13">
        <v>32</v>
      </c>
      <c r="I1351" s="13">
        <v>1400</v>
      </c>
      <c r="K1351" s="13" t="s">
        <v>884</v>
      </c>
      <c r="L1351" s="13" t="s">
        <v>948</v>
      </c>
      <c r="N1351" s="13" t="s">
        <v>255</v>
      </c>
      <c r="O1351" s="13" t="s">
        <v>645</v>
      </c>
      <c r="P1351" s="13" t="s">
        <v>422</v>
      </c>
      <c r="Q1351" s="13" t="s">
        <v>48</v>
      </c>
      <c r="R1351" s="4">
        <v>3</v>
      </c>
      <c r="S1351" s="13" t="s">
        <v>594</v>
      </c>
      <c r="T1351" s="13">
        <v>336</v>
      </c>
      <c r="U1351" s="4" t="s">
        <v>147</v>
      </c>
      <c r="V1351" s="4">
        <v>580</v>
      </c>
      <c r="W1351" s="4" t="s">
        <v>601</v>
      </c>
      <c r="X1351" s="4">
        <v>520.29999999999995</v>
      </c>
      <c r="Y1351" s="4">
        <v>10</v>
      </c>
      <c r="AA1351" s="4" t="s">
        <v>49</v>
      </c>
      <c r="AB1351" s="4">
        <v>0</v>
      </c>
      <c r="AC1351" s="4" t="s">
        <v>50</v>
      </c>
      <c r="AD1351" s="4">
        <v>7.5</v>
      </c>
      <c r="AE1351" s="4" t="s">
        <v>49</v>
      </c>
      <c r="AF1351" s="4">
        <v>0</v>
      </c>
      <c r="AG1351" s="4" t="s">
        <v>683</v>
      </c>
      <c r="AH1351" s="4" t="s">
        <v>684</v>
      </c>
      <c r="AI1351" s="4" t="s">
        <v>78</v>
      </c>
      <c r="AJ1351" s="13">
        <v>0</v>
      </c>
      <c r="AK1351" s="13">
        <v>15</v>
      </c>
      <c r="AM1351" s="13" t="s">
        <v>523</v>
      </c>
      <c r="AP1351" s="13" t="s">
        <v>49</v>
      </c>
      <c r="AQ1351" s="13" t="s">
        <v>49</v>
      </c>
      <c r="AR1351" s="13" t="s">
        <v>49</v>
      </c>
      <c r="AS1351" s="13" t="s">
        <v>49</v>
      </c>
      <c r="AT1351" s="13" t="s">
        <v>993</v>
      </c>
      <c r="AU1351" s="13" t="s">
        <v>1001</v>
      </c>
      <c r="AV1351" s="14">
        <f>0.18*10</f>
        <v>1.7999999999999998</v>
      </c>
      <c r="AW1351" s="14">
        <f>0.16*10</f>
        <v>1.6</v>
      </c>
      <c r="AX1351" s="14">
        <f>Table1347456[[#This Row],[treatment_mean]]/Table1347456[[#This Row],[control_mean]]</f>
        <v>1.1249999999999998</v>
      </c>
      <c r="AY1351" s="14">
        <f>LN(Table1347456[[#This Row],[rr]])</f>
        <v>0.11778303565638326</v>
      </c>
      <c r="AZ1351" s="13">
        <v>3</v>
      </c>
      <c r="BA1351" s="13">
        <v>3</v>
      </c>
      <c r="BB1351" s="14">
        <v>0</v>
      </c>
      <c r="BC1351" s="14">
        <v>0</v>
      </c>
      <c r="BD1351" s="15">
        <f>Table1347456[[#This Row],[treatment_se]]*SQRT(Table1347456[[#This Row],[treatment_n]])</f>
        <v>0</v>
      </c>
      <c r="BE1351" s="14">
        <f>Table1347456[[#This Row],[control_se]]*SQRT(Table1347456[[#This Row],[control_n]])</f>
        <v>0</v>
      </c>
      <c r="BF135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51" s="17">
        <f>SQRT(Table1347456[[#This Row],[v_from_sd_and_n]])</f>
        <v>0</v>
      </c>
      <c r="BH1351" s="13" t="s">
        <v>50</v>
      </c>
      <c r="BI1351" s="13">
        <v>0.05</v>
      </c>
      <c r="BJ1351" s="18">
        <f>ABS(_xlfn.NORM.S.INV(Table1347456[[#This Row],[p_value]]/2))</f>
        <v>1.9599639845400538</v>
      </c>
      <c r="BK1351" s="19">
        <f>(Table1347456[[#This Row],[lnrr]]/Table1347456[[#This Row],[z_from_p]])^2</f>
        <v>3.6113477030390567E-3</v>
      </c>
      <c r="BL1351" s="16">
        <f>(Table1347456[[#This Row],[lnrr]]/Table1347456[[#This Row],[z_from_p]])^2</f>
        <v>3.6113477030390567E-3</v>
      </c>
      <c r="BM1351" s="20">
        <f>SQRT(Table1347456[[#This Row],[v]])</f>
        <v>6.0094489789323087E-2</v>
      </c>
      <c r="BN1351" s="20">
        <f>Table1347456[[#This Row],[lnrr]]-(1.96*Table1347456[[#This Row],[se]])</f>
        <v>-2.1643306899882253E-6</v>
      </c>
      <c r="BO1351" s="20">
        <f>Table1347456[[#This Row],[lnrr]]+(1.96 * Table1347456[[#This Row],[se]])</f>
        <v>0.23556823564345652</v>
      </c>
    </row>
    <row r="1352" spans="1:67">
      <c r="A1352" s="13" t="s">
        <v>360</v>
      </c>
      <c r="B1352" s="13" t="s">
        <v>420</v>
      </c>
      <c r="C1352" s="13" t="s">
        <v>43</v>
      </c>
      <c r="D1352" s="13" t="s">
        <v>421</v>
      </c>
      <c r="E1352" s="13" t="s">
        <v>249</v>
      </c>
      <c r="F1352" s="13" t="s">
        <v>588</v>
      </c>
      <c r="G1352" s="13" t="s">
        <v>46</v>
      </c>
      <c r="H1352" s="13">
        <v>32</v>
      </c>
      <c r="I1352" s="13">
        <v>1400</v>
      </c>
      <c r="K1352" s="13" t="s">
        <v>884</v>
      </c>
      <c r="L1352" s="13" t="s">
        <v>948</v>
      </c>
      <c r="N1352" s="13" t="s">
        <v>255</v>
      </c>
      <c r="O1352" s="13" t="s">
        <v>645</v>
      </c>
      <c r="P1352" s="13" t="s">
        <v>422</v>
      </c>
      <c r="Q1352" s="13" t="s">
        <v>48</v>
      </c>
      <c r="R1352" s="4">
        <v>3</v>
      </c>
      <c r="S1352" s="13" t="s">
        <v>594</v>
      </c>
      <c r="T1352" s="13">
        <v>336</v>
      </c>
      <c r="U1352" s="4" t="s">
        <v>147</v>
      </c>
      <c r="V1352" s="4">
        <v>580</v>
      </c>
      <c r="W1352" s="4" t="s">
        <v>601</v>
      </c>
      <c r="X1352" s="4">
        <v>520.29999999999995</v>
      </c>
      <c r="Y1352" s="4">
        <v>20</v>
      </c>
      <c r="AA1352" s="4" t="s">
        <v>49</v>
      </c>
      <c r="AB1352" s="4">
        <v>0</v>
      </c>
      <c r="AC1352" s="4" t="s">
        <v>50</v>
      </c>
      <c r="AD1352" s="4">
        <v>7.5</v>
      </c>
      <c r="AE1352" s="4" t="s">
        <v>49</v>
      </c>
      <c r="AF1352" s="4">
        <v>0</v>
      </c>
      <c r="AG1352" s="4" t="s">
        <v>683</v>
      </c>
      <c r="AH1352" s="4" t="s">
        <v>684</v>
      </c>
      <c r="AI1352" s="4" t="s">
        <v>78</v>
      </c>
      <c r="AJ1352" s="13">
        <v>0</v>
      </c>
      <c r="AK1352" s="13">
        <v>15</v>
      </c>
      <c r="AM1352" s="13" t="s">
        <v>523</v>
      </c>
      <c r="AP1352" s="13" t="s">
        <v>49</v>
      </c>
      <c r="AQ1352" s="13" t="s">
        <v>49</v>
      </c>
      <c r="AR1352" s="13" t="s">
        <v>49</v>
      </c>
      <c r="AS1352" s="13" t="s">
        <v>49</v>
      </c>
      <c r="AT1352" s="13" t="s">
        <v>993</v>
      </c>
      <c r="AU1352" s="13" t="s">
        <v>1001</v>
      </c>
      <c r="AV1352" s="14">
        <f>0.2*10</f>
        <v>2</v>
      </c>
      <c r="AW1352" s="14">
        <f>0.16*10</f>
        <v>1.6</v>
      </c>
      <c r="AX1352" s="14">
        <f>Table1347456[[#This Row],[treatment_mean]]/Table1347456[[#This Row],[control_mean]]</f>
        <v>1.25</v>
      </c>
      <c r="AY1352" s="14">
        <f>LN(Table1347456[[#This Row],[rr]])</f>
        <v>0.22314355131420976</v>
      </c>
      <c r="AZ1352" s="13">
        <v>3</v>
      </c>
      <c r="BA1352" s="13">
        <v>3</v>
      </c>
      <c r="BB1352" s="14">
        <v>0</v>
      </c>
      <c r="BC1352" s="14">
        <v>0</v>
      </c>
      <c r="BD1352" s="15">
        <f>Table1347456[[#This Row],[treatment_se]]*SQRT(Table1347456[[#This Row],[treatment_n]])</f>
        <v>0</v>
      </c>
      <c r="BE1352" s="14">
        <f>Table1347456[[#This Row],[control_se]]*SQRT(Table1347456[[#This Row],[control_n]])</f>
        <v>0</v>
      </c>
      <c r="BF135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52" s="17">
        <f>SQRT(Table1347456[[#This Row],[v_from_sd_and_n]])</f>
        <v>0</v>
      </c>
      <c r="BH1352" s="13" t="s">
        <v>50</v>
      </c>
      <c r="BI1352" s="13">
        <v>0.05</v>
      </c>
      <c r="BJ1352" s="18">
        <f>ABS(_xlfn.NORM.S.INV(Table1347456[[#This Row],[p_value]]/2))</f>
        <v>1.9599639845400538</v>
      </c>
      <c r="BK1352" s="19">
        <f>(Table1347456[[#This Row],[lnrr]]/Table1347456[[#This Row],[z_from_p]])^2</f>
        <v>1.2962014384972666E-2</v>
      </c>
      <c r="BL1352" s="16">
        <f>(Table1347456[[#This Row],[lnrr]]/Table1347456[[#This Row],[z_from_p]])^2</f>
        <v>1.2962014384972666E-2</v>
      </c>
      <c r="BM1352" s="20">
        <f>SQRT(Table1347456[[#This Row],[v]])</f>
        <v>0.11385084270646689</v>
      </c>
      <c r="BN1352" s="20">
        <f>Table1347456[[#This Row],[lnrr]]-(1.96*Table1347456[[#This Row],[se]])</f>
        <v>-4.1003904653336143E-6</v>
      </c>
      <c r="BO1352" s="20">
        <f>Table1347456[[#This Row],[lnrr]]+(1.96 * Table1347456[[#This Row],[se]])</f>
        <v>0.44629120301888486</v>
      </c>
    </row>
    <row r="1353" spans="1:67">
      <c r="A1353" s="13" t="s">
        <v>360</v>
      </c>
      <c r="B1353" s="13" t="s">
        <v>420</v>
      </c>
      <c r="C1353" s="13" t="s">
        <v>43</v>
      </c>
      <c r="D1353" s="13" t="s">
        <v>421</v>
      </c>
      <c r="E1353" s="13" t="s">
        <v>249</v>
      </c>
      <c r="F1353" s="13" t="s">
        <v>588</v>
      </c>
      <c r="G1353" s="13" t="s">
        <v>46</v>
      </c>
      <c r="H1353" s="13">
        <v>32</v>
      </c>
      <c r="I1353" s="13">
        <v>1400</v>
      </c>
      <c r="K1353" s="13" t="s">
        <v>884</v>
      </c>
      <c r="L1353" s="13" t="s">
        <v>948</v>
      </c>
      <c r="N1353" s="13" t="s">
        <v>255</v>
      </c>
      <c r="O1353" s="13" t="s">
        <v>645</v>
      </c>
      <c r="P1353" s="13" t="s">
        <v>422</v>
      </c>
      <c r="Q1353" s="13" t="s">
        <v>48</v>
      </c>
      <c r="R1353" s="4">
        <v>3</v>
      </c>
      <c r="S1353" s="13" t="s">
        <v>594</v>
      </c>
      <c r="T1353" s="13">
        <v>336</v>
      </c>
      <c r="U1353" s="4" t="s">
        <v>147</v>
      </c>
      <c r="V1353" s="4">
        <v>580</v>
      </c>
      <c r="W1353" s="4" t="s">
        <v>601</v>
      </c>
      <c r="X1353" s="4">
        <v>520.29999999999995</v>
      </c>
      <c r="Y1353" s="4">
        <v>30</v>
      </c>
      <c r="AA1353" s="4" t="s">
        <v>49</v>
      </c>
      <c r="AB1353" s="4">
        <v>0</v>
      </c>
      <c r="AC1353" s="4" t="s">
        <v>50</v>
      </c>
      <c r="AD1353" s="4">
        <v>7.5</v>
      </c>
      <c r="AE1353" s="4" t="s">
        <v>49</v>
      </c>
      <c r="AF1353" s="4">
        <v>0</v>
      </c>
      <c r="AG1353" s="4" t="s">
        <v>683</v>
      </c>
      <c r="AH1353" s="4" t="s">
        <v>684</v>
      </c>
      <c r="AI1353" s="4" t="s">
        <v>78</v>
      </c>
      <c r="AJ1353" s="13">
        <v>0</v>
      </c>
      <c r="AK1353" s="13">
        <v>15</v>
      </c>
      <c r="AM1353" s="13" t="s">
        <v>523</v>
      </c>
      <c r="AP1353" s="13" t="s">
        <v>49</v>
      </c>
      <c r="AQ1353" s="13" t="s">
        <v>49</v>
      </c>
      <c r="AR1353" s="13" t="s">
        <v>49</v>
      </c>
      <c r="AS1353" s="13" t="s">
        <v>49</v>
      </c>
      <c r="AT1353" s="13" t="s">
        <v>993</v>
      </c>
      <c r="AU1353" s="13" t="s">
        <v>1001</v>
      </c>
      <c r="AV1353" s="14">
        <f>0.22*10</f>
        <v>2.2000000000000002</v>
      </c>
      <c r="AW1353" s="14">
        <f>0.16*10</f>
        <v>1.6</v>
      </c>
      <c r="AX1353" s="14">
        <f>Table1347456[[#This Row],[treatment_mean]]/Table1347456[[#This Row],[control_mean]]</f>
        <v>1.375</v>
      </c>
      <c r="AY1353" s="14">
        <f>LN(Table1347456[[#This Row],[rr]])</f>
        <v>0.31845373111853459</v>
      </c>
      <c r="AZ1353" s="13">
        <v>3</v>
      </c>
      <c r="BA1353" s="13">
        <v>3</v>
      </c>
      <c r="BB1353" s="14">
        <v>0</v>
      </c>
      <c r="BC1353" s="14">
        <v>0</v>
      </c>
      <c r="BD1353" s="15">
        <f>Table1347456[[#This Row],[treatment_se]]*SQRT(Table1347456[[#This Row],[treatment_n]])</f>
        <v>0</v>
      </c>
      <c r="BE1353" s="14">
        <f>Table1347456[[#This Row],[control_se]]*SQRT(Table1347456[[#This Row],[control_n]])</f>
        <v>0</v>
      </c>
      <c r="BF135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53" s="17">
        <f>SQRT(Table1347456[[#This Row],[v_from_sd_and_n]])</f>
        <v>0</v>
      </c>
      <c r="BH1353" s="13" t="s">
        <v>50</v>
      </c>
      <c r="BI1353" s="13">
        <v>0.05</v>
      </c>
      <c r="BJ1353" s="18">
        <f>ABS(_xlfn.NORM.S.INV(Table1347456[[#This Row],[p_value]]/2))</f>
        <v>1.9599639845400538</v>
      </c>
      <c r="BK1353" s="19">
        <f>(Table1347456[[#This Row],[lnrr]]/Table1347456[[#This Row],[z_from_p]])^2</f>
        <v>2.639954860820071E-2</v>
      </c>
      <c r="BL1353" s="16">
        <f>(Table1347456[[#This Row],[lnrr]]/Table1347456[[#This Row],[z_from_p]])^2</f>
        <v>2.639954860820071E-2</v>
      </c>
      <c r="BM1353" s="20">
        <f>SQRT(Table1347456[[#This Row],[v]])</f>
        <v>0.16247937902454179</v>
      </c>
      <c r="BN1353" s="20">
        <f>Table1347456[[#This Row],[lnrr]]-(1.96*Table1347456[[#This Row],[se]])</f>
        <v>-5.8517695672999359E-6</v>
      </c>
      <c r="BO1353" s="20">
        <f>Table1347456[[#This Row],[lnrr]]+(1.96 * Table1347456[[#This Row],[se]])</f>
        <v>0.63691331400663653</v>
      </c>
    </row>
    <row r="1354" spans="1:67">
      <c r="A1354" s="13" t="s">
        <v>360</v>
      </c>
      <c r="B1354" s="13" t="s">
        <v>420</v>
      </c>
      <c r="C1354" s="13" t="s">
        <v>43</v>
      </c>
      <c r="D1354" s="13" t="s">
        <v>421</v>
      </c>
      <c r="E1354" s="13" t="s">
        <v>249</v>
      </c>
      <c r="F1354" s="13" t="s">
        <v>588</v>
      </c>
      <c r="G1354" s="13" t="s">
        <v>46</v>
      </c>
      <c r="H1354" s="13">
        <v>32</v>
      </c>
      <c r="I1354" s="13">
        <v>1400</v>
      </c>
      <c r="J1354" s="13" t="s">
        <v>656</v>
      </c>
      <c r="K1354" s="13" t="s">
        <v>884</v>
      </c>
      <c r="L1354" s="13" t="s">
        <v>948</v>
      </c>
      <c r="M1354" s="13" t="s">
        <v>803</v>
      </c>
      <c r="N1354" s="13" t="s">
        <v>119</v>
      </c>
      <c r="O1354" s="13" t="s">
        <v>645</v>
      </c>
      <c r="P1354" s="13" t="s">
        <v>85</v>
      </c>
      <c r="Q1354" s="13" t="s">
        <v>48</v>
      </c>
      <c r="R1354" s="4">
        <v>3</v>
      </c>
      <c r="S1354" s="13" t="s">
        <v>594</v>
      </c>
      <c r="T1354" s="13">
        <v>336</v>
      </c>
      <c r="U1354" s="4" t="s">
        <v>147</v>
      </c>
      <c r="V1354" s="4">
        <v>580</v>
      </c>
      <c r="W1354" s="4" t="s">
        <v>601</v>
      </c>
      <c r="X1354" s="4">
        <v>520.29999999999995</v>
      </c>
      <c r="Y1354" s="4">
        <v>10</v>
      </c>
      <c r="AA1354" s="4" t="s">
        <v>49</v>
      </c>
      <c r="AB1354" s="4">
        <v>0</v>
      </c>
      <c r="AC1354" s="4" t="s">
        <v>50</v>
      </c>
      <c r="AD1354" s="4">
        <v>7.5</v>
      </c>
      <c r="AE1354" s="4" t="s">
        <v>49</v>
      </c>
      <c r="AF1354" s="4">
        <v>0</v>
      </c>
      <c r="AG1354" s="4" t="s">
        <v>683</v>
      </c>
      <c r="AH1354" s="4" t="s">
        <v>684</v>
      </c>
      <c r="AI1354" s="4" t="s">
        <v>78</v>
      </c>
      <c r="AJ1354" s="13">
        <v>0</v>
      </c>
      <c r="AK1354" s="13">
        <v>15</v>
      </c>
      <c r="AM1354" s="13" t="s">
        <v>523</v>
      </c>
      <c r="AP1354" s="13" t="s">
        <v>49</v>
      </c>
      <c r="AQ1354" s="13" t="s">
        <v>49</v>
      </c>
      <c r="AR1354" s="13" t="s">
        <v>49</v>
      </c>
      <c r="AS1354" s="13" t="s">
        <v>49</v>
      </c>
      <c r="AT1354" s="13" t="s">
        <v>993</v>
      </c>
      <c r="AU1354" s="13" t="s">
        <v>1001</v>
      </c>
      <c r="AV1354" s="23">
        <f>3.8/1000</f>
        <v>3.8E-3</v>
      </c>
      <c r="AW1354" s="23">
        <f>3.53/1000</f>
        <v>3.5299999999999997E-3</v>
      </c>
      <c r="AX1354" s="14">
        <f>Table1347456[[#This Row],[treatment_mean]]/Table1347456[[#This Row],[control_mean]]</f>
        <v>1.076487252124646</v>
      </c>
      <c r="AY1354" s="14">
        <f>LN(Table1347456[[#This Row],[rr]])</f>
        <v>7.3703195787134801E-2</v>
      </c>
      <c r="AZ1354" s="13">
        <v>3</v>
      </c>
      <c r="BA1354" s="13">
        <v>3</v>
      </c>
      <c r="BB1354" s="14">
        <v>0</v>
      </c>
      <c r="BC1354" s="14">
        <v>0</v>
      </c>
      <c r="BD1354" s="15">
        <f>Table1347456[[#This Row],[treatment_se]]*SQRT(Table1347456[[#This Row],[treatment_n]])</f>
        <v>0</v>
      </c>
      <c r="BE1354" s="14">
        <f>Table1347456[[#This Row],[control_se]]*SQRT(Table1347456[[#This Row],[control_n]])</f>
        <v>0</v>
      </c>
      <c r="BF135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54" s="17">
        <f>SQRT(Table1347456[[#This Row],[v_from_sd_and_n]])</f>
        <v>0</v>
      </c>
      <c r="BH1354" s="13" t="s">
        <v>50</v>
      </c>
      <c r="BI1354" s="13">
        <v>0.05</v>
      </c>
      <c r="BJ1354" s="18">
        <f>ABS(_xlfn.NORM.S.INV(Table1347456[[#This Row],[p_value]]/2))</f>
        <v>1.9599639845400538</v>
      </c>
      <c r="BK1354" s="19">
        <f>(Table1347456[[#This Row],[lnrr]]/Table1347456[[#This Row],[z_from_p]])^2</f>
        <v>1.4140880646626771E-3</v>
      </c>
      <c r="BL1354" s="16">
        <f>(Table1347456[[#This Row],[lnrr]]/Table1347456[[#This Row],[z_from_p]])^2</f>
        <v>1.4140880646626771E-3</v>
      </c>
      <c r="BM1354" s="20">
        <f>SQRT(Table1347456[[#This Row],[v]])</f>
        <v>3.760436230894864E-2</v>
      </c>
      <c r="BN1354" s="20">
        <f>Table1347456[[#This Row],[lnrr]]-(1.96*Table1347456[[#This Row],[se]])</f>
        <v>-1.3543384045355822E-6</v>
      </c>
      <c r="BO1354" s="20">
        <f>Table1347456[[#This Row],[lnrr]]+(1.96 * Table1347456[[#This Row],[se]])</f>
        <v>0.14740774591267414</v>
      </c>
    </row>
    <row r="1355" spans="1:67">
      <c r="A1355" s="13" t="s">
        <v>360</v>
      </c>
      <c r="B1355" s="13" t="s">
        <v>420</v>
      </c>
      <c r="C1355" s="13" t="s">
        <v>43</v>
      </c>
      <c r="D1355" s="13" t="s">
        <v>421</v>
      </c>
      <c r="E1355" s="13" t="s">
        <v>249</v>
      </c>
      <c r="F1355" s="13" t="s">
        <v>588</v>
      </c>
      <c r="G1355" s="13" t="s">
        <v>46</v>
      </c>
      <c r="H1355" s="13">
        <v>32</v>
      </c>
      <c r="I1355" s="13">
        <v>1400</v>
      </c>
      <c r="J1355" s="13" t="s">
        <v>656</v>
      </c>
      <c r="K1355" s="13" t="s">
        <v>884</v>
      </c>
      <c r="L1355" s="13" t="s">
        <v>948</v>
      </c>
      <c r="M1355" s="13" t="s">
        <v>803</v>
      </c>
      <c r="N1355" s="13" t="s">
        <v>119</v>
      </c>
      <c r="O1355" s="13" t="s">
        <v>645</v>
      </c>
      <c r="P1355" s="13" t="s">
        <v>85</v>
      </c>
      <c r="Q1355" s="13" t="s">
        <v>48</v>
      </c>
      <c r="R1355" s="4">
        <v>3</v>
      </c>
      <c r="S1355" s="13" t="s">
        <v>594</v>
      </c>
      <c r="T1355" s="13">
        <v>336</v>
      </c>
      <c r="U1355" s="4" t="s">
        <v>147</v>
      </c>
      <c r="V1355" s="4">
        <v>580</v>
      </c>
      <c r="W1355" s="4" t="s">
        <v>601</v>
      </c>
      <c r="X1355" s="4">
        <v>520.29999999999995</v>
      </c>
      <c r="Y1355" s="4">
        <v>20</v>
      </c>
      <c r="AA1355" s="4" t="s">
        <v>49</v>
      </c>
      <c r="AB1355" s="4">
        <v>0</v>
      </c>
      <c r="AC1355" s="4" t="s">
        <v>50</v>
      </c>
      <c r="AD1355" s="4">
        <v>7.5</v>
      </c>
      <c r="AE1355" s="4" t="s">
        <v>49</v>
      </c>
      <c r="AF1355" s="4">
        <v>0</v>
      </c>
      <c r="AG1355" s="4" t="s">
        <v>683</v>
      </c>
      <c r="AH1355" s="4" t="s">
        <v>684</v>
      </c>
      <c r="AI1355" s="4" t="s">
        <v>78</v>
      </c>
      <c r="AJ1355" s="13">
        <v>0</v>
      </c>
      <c r="AK1355" s="13">
        <v>15</v>
      </c>
      <c r="AM1355" s="13" t="s">
        <v>523</v>
      </c>
      <c r="AP1355" s="13" t="s">
        <v>49</v>
      </c>
      <c r="AQ1355" s="13" t="s">
        <v>49</v>
      </c>
      <c r="AR1355" s="13" t="s">
        <v>49</v>
      </c>
      <c r="AS1355" s="13" t="s">
        <v>49</v>
      </c>
      <c r="AT1355" s="13" t="s">
        <v>993</v>
      </c>
      <c r="AU1355" s="13" t="s">
        <v>1001</v>
      </c>
      <c r="AV1355" s="23">
        <f>4.44/1000</f>
        <v>4.4400000000000004E-3</v>
      </c>
      <c r="AW1355" s="23">
        <f>3.53/1000</f>
        <v>3.5299999999999997E-3</v>
      </c>
      <c r="AX1355" s="14">
        <f>Table1347456[[#This Row],[treatment_mean]]/Table1347456[[#This Row],[control_mean]]</f>
        <v>1.2577903682719549</v>
      </c>
      <c r="AY1355" s="14">
        <f>LN(Table1347456[[#This Row],[rr]])</f>
        <v>0.22935650549892816</v>
      </c>
      <c r="AZ1355" s="13">
        <v>3</v>
      </c>
      <c r="BA1355" s="13">
        <v>3</v>
      </c>
      <c r="BB1355" s="14">
        <v>0</v>
      </c>
      <c r="BC1355" s="14">
        <v>0</v>
      </c>
      <c r="BD1355" s="15">
        <f>Table1347456[[#This Row],[treatment_se]]*SQRT(Table1347456[[#This Row],[treatment_n]])</f>
        <v>0</v>
      </c>
      <c r="BE1355" s="14">
        <f>Table1347456[[#This Row],[control_se]]*SQRT(Table1347456[[#This Row],[control_n]])</f>
        <v>0</v>
      </c>
      <c r="BF135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55" s="17">
        <f>SQRT(Table1347456[[#This Row],[v_from_sd_and_n]])</f>
        <v>0</v>
      </c>
      <c r="BH1355" s="13" t="s">
        <v>50</v>
      </c>
      <c r="BI1355" s="13">
        <v>0.05</v>
      </c>
      <c r="BJ1355" s="18">
        <f>ABS(_xlfn.NORM.S.INV(Table1347456[[#This Row],[p_value]]/2))</f>
        <v>1.9599639845400538</v>
      </c>
      <c r="BK1355" s="19">
        <f>(Table1347456[[#This Row],[lnrr]]/Table1347456[[#This Row],[z_from_p]])^2</f>
        <v>1.3693861907694385E-2</v>
      </c>
      <c r="BL1355" s="16">
        <f>(Table1347456[[#This Row],[lnrr]]/Table1347456[[#This Row],[z_from_p]])^2</f>
        <v>1.3693861907694385E-2</v>
      </c>
      <c r="BM1355" s="20">
        <f>SQRT(Table1347456[[#This Row],[v]])</f>
        <v>0.11702077553876655</v>
      </c>
      <c r="BN1355" s="20">
        <f>Table1347456[[#This Row],[lnrr]]-(1.96*Table1347456[[#This Row],[se]])</f>
        <v>-4.2145570542662103E-6</v>
      </c>
      <c r="BO1355" s="20">
        <f>Table1347456[[#This Row],[lnrr]]+(1.96 * Table1347456[[#This Row],[se]])</f>
        <v>0.45871722555491057</v>
      </c>
    </row>
    <row r="1356" spans="1:67">
      <c r="A1356" s="13" t="s">
        <v>360</v>
      </c>
      <c r="B1356" s="13" t="s">
        <v>420</v>
      </c>
      <c r="C1356" s="13" t="s">
        <v>43</v>
      </c>
      <c r="D1356" s="13" t="s">
        <v>421</v>
      </c>
      <c r="E1356" s="13" t="s">
        <v>249</v>
      </c>
      <c r="F1356" s="13" t="s">
        <v>588</v>
      </c>
      <c r="G1356" s="13" t="s">
        <v>46</v>
      </c>
      <c r="H1356" s="13">
        <v>32</v>
      </c>
      <c r="I1356" s="13">
        <v>1400</v>
      </c>
      <c r="J1356" s="13" t="s">
        <v>656</v>
      </c>
      <c r="K1356" s="13" t="s">
        <v>884</v>
      </c>
      <c r="L1356" s="13" t="s">
        <v>948</v>
      </c>
      <c r="M1356" s="13" t="s">
        <v>803</v>
      </c>
      <c r="N1356" s="13" t="s">
        <v>119</v>
      </c>
      <c r="O1356" s="13" t="s">
        <v>645</v>
      </c>
      <c r="P1356" s="13" t="s">
        <v>85</v>
      </c>
      <c r="Q1356" s="13" t="s">
        <v>48</v>
      </c>
      <c r="R1356" s="4">
        <v>3</v>
      </c>
      <c r="S1356" s="13" t="s">
        <v>594</v>
      </c>
      <c r="T1356" s="13">
        <v>336</v>
      </c>
      <c r="U1356" s="4" t="s">
        <v>147</v>
      </c>
      <c r="V1356" s="4">
        <v>580</v>
      </c>
      <c r="W1356" s="4" t="s">
        <v>601</v>
      </c>
      <c r="X1356" s="4">
        <v>520.29999999999995</v>
      </c>
      <c r="Y1356" s="4">
        <v>30</v>
      </c>
      <c r="AA1356" s="4" t="s">
        <v>49</v>
      </c>
      <c r="AB1356" s="4">
        <v>0</v>
      </c>
      <c r="AC1356" s="4" t="s">
        <v>50</v>
      </c>
      <c r="AD1356" s="4">
        <v>7.5</v>
      </c>
      <c r="AE1356" s="4" t="s">
        <v>49</v>
      </c>
      <c r="AF1356" s="4">
        <v>0</v>
      </c>
      <c r="AG1356" s="4" t="s">
        <v>683</v>
      </c>
      <c r="AH1356" s="4" t="s">
        <v>684</v>
      </c>
      <c r="AI1356" s="4" t="s">
        <v>78</v>
      </c>
      <c r="AJ1356" s="13">
        <v>0</v>
      </c>
      <c r="AK1356" s="13">
        <v>15</v>
      </c>
      <c r="AM1356" s="13" t="s">
        <v>523</v>
      </c>
      <c r="AP1356" s="13" t="s">
        <v>49</v>
      </c>
      <c r="AQ1356" s="13" t="s">
        <v>49</v>
      </c>
      <c r="AR1356" s="13" t="s">
        <v>49</v>
      </c>
      <c r="AS1356" s="13" t="s">
        <v>49</v>
      </c>
      <c r="AT1356" s="13" t="s">
        <v>993</v>
      </c>
      <c r="AU1356" s="13" t="s">
        <v>1001</v>
      </c>
      <c r="AV1356" s="23">
        <f>6.54/1000</f>
        <v>6.5399999999999998E-3</v>
      </c>
      <c r="AW1356" s="23">
        <f>3.53/1000</f>
        <v>3.5299999999999997E-3</v>
      </c>
      <c r="AX1356" s="14">
        <f>Table1347456[[#This Row],[treatment_mean]]/Table1347456[[#This Row],[control_mean]]</f>
        <v>1.8526912181303117</v>
      </c>
      <c r="AY1356" s="14">
        <f>LN(Table1347456[[#This Row],[rr]])</f>
        <v>0.61663929452390198</v>
      </c>
      <c r="AZ1356" s="13">
        <v>3</v>
      </c>
      <c r="BA1356" s="13">
        <v>3</v>
      </c>
      <c r="BB1356" s="14">
        <v>0</v>
      </c>
      <c r="BC1356" s="14">
        <v>0</v>
      </c>
      <c r="BD1356" s="15">
        <f>Table1347456[[#This Row],[treatment_se]]*SQRT(Table1347456[[#This Row],[treatment_n]])</f>
        <v>0</v>
      </c>
      <c r="BE1356" s="14">
        <f>Table1347456[[#This Row],[control_se]]*SQRT(Table1347456[[#This Row],[control_n]])</f>
        <v>0</v>
      </c>
      <c r="BF135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56" s="17">
        <f>SQRT(Table1347456[[#This Row],[v_from_sd_and_n]])</f>
        <v>0</v>
      </c>
      <c r="BH1356" s="13" t="s">
        <v>50</v>
      </c>
      <c r="BI1356" s="13">
        <v>0.05</v>
      </c>
      <c r="BJ1356" s="18">
        <f>ABS(_xlfn.NORM.S.INV(Table1347456[[#This Row],[p_value]]/2))</f>
        <v>1.9599639845400538</v>
      </c>
      <c r="BK1356" s="19">
        <f>(Table1347456[[#This Row],[lnrr]]/Table1347456[[#This Row],[z_from_p]])^2</f>
        <v>9.8984275843995148E-2</v>
      </c>
      <c r="BL1356" s="16">
        <f>(Table1347456[[#This Row],[lnrr]]/Table1347456[[#This Row],[z_from_p]])^2</f>
        <v>9.8984275843995148E-2</v>
      </c>
      <c r="BM1356" s="20">
        <f>SQRT(Table1347456[[#This Row],[v]])</f>
        <v>0.31461766613461989</v>
      </c>
      <c r="BN1356" s="20">
        <f>Table1347456[[#This Row],[lnrr]]-(1.96*Table1347456[[#This Row],[se]])</f>
        <v>-1.133109995299364E-5</v>
      </c>
      <c r="BO1356" s="20">
        <f>Table1347456[[#This Row],[lnrr]]+(1.96 * Table1347456[[#This Row],[se]])</f>
        <v>1.233289920147757</v>
      </c>
    </row>
    <row r="1357" spans="1:67">
      <c r="A1357" s="13" t="s">
        <v>360</v>
      </c>
      <c r="B1357" s="13" t="s">
        <v>420</v>
      </c>
      <c r="C1357" s="13" t="s">
        <v>43</v>
      </c>
      <c r="D1357" s="13" t="s">
        <v>421</v>
      </c>
      <c r="E1357" s="13" t="s">
        <v>249</v>
      </c>
      <c r="F1357" s="13" t="s">
        <v>588</v>
      </c>
      <c r="G1357" s="13" t="s">
        <v>46</v>
      </c>
      <c r="H1357" s="13">
        <v>32</v>
      </c>
      <c r="I1357" s="13">
        <v>1400</v>
      </c>
      <c r="K1357" s="13" t="s">
        <v>884</v>
      </c>
      <c r="L1357" s="13" t="s">
        <v>948</v>
      </c>
      <c r="N1357" s="13" t="s">
        <v>400</v>
      </c>
      <c r="O1357" s="13" t="s">
        <v>644</v>
      </c>
      <c r="P1357" s="13" t="s">
        <v>87</v>
      </c>
      <c r="Q1357" s="13" t="s">
        <v>48</v>
      </c>
      <c r="R1357" s="4">
        <v>3</v>
      </c>
      <c r="S1357" s="13" t="s">
        <v>594</v>
      </c>
      <c r="T1357" s="13">
        <v>336</v>
      </c>
      <c r="U1357" s="4" t="s">
        <v>147</v>
      </c>
      <c r="V1357" s="4">
        <v>580</v>
      </c>
      <c r="W1357" s="4" t="s">
        <v>601</v>
      </c>
      <c r="X1357" s="4">
        <v>520.29999999999995</v>
      </c>
      <c r="Y1357" s="4">
        <v>10</v>
      </c>
      <c r="AA1357" s="4" t="s">
        <v>49</v>
      </c>
      <c r="AB1357" s="4">
        <v>0</v>
      </c>
      <c r="AC1357" s="4" t="s">
        <v>50</v>
      </c>
      <c r="AD1357" s="4">
        <v>7.5</v>
      </c>
      <c r="AE1357" s="4" t="s">
        <v>49</v>
      </c>
      <c r="AF1357" s="4">
        <v>0</v>
      </c>
      <c r="AG1357" s="4" t="s">
        <v>683</v>
      </c>
      <c r="AH1357" s="4" t="s">
        <v>684</v>
      </c>
      <c r="AI1357" s="4" t="s">
        <v>78</v>
      </c>
      <c r="AJ1357" s="13">
        <v>0</v>
      </c>
      <c r="AK1357" s="13">
        <v>15</v>
      </c>
      <c r="AM1357" s="13" t="s">
        <v>523</v>
      </c>
      <c r="AP1357" s="13" t="s">
        <v>49</v>
      </c>
      <c r="AQ1357" s="13" t="s">
        <v>49</v>
      </c>
      <c r="AR1357" s="13" t="s">
        <v>49</v>
      </c>
      <c r="AS1357" s="13" t="s">
        <v>49</v>
      </c>
      <c r="AT1357" s="13" t="s">
        <v>993</v>
      </c>
      <c r="AU1357" s="13" t="s">
        <v>1001</v>
      </c>
      <c r="AV1357" s="14">
        <f>(0.33*39.1*10)/1000</f>
        <v>0.12903000000000001</v>
      </c>
      <c r="AW1357" s="14">
        <f>(0.19*39.1*10)/1000</f>
        <v>7.4290000000000009E-2</v>
      </c>
      <c r="AX1357" s="14">
        <f>Table1347456[[#This Row],[treatment_mean]]/Table1347456[[#This Row],[control_mean]]</f>
        <v>1.7368421052631577</v>
      </c>
      <c r="AY1357" s="14">
        <f>LN(Table1347456[[#This Row],[rr]])</f>
        <v>0.55206858230003963</v>
      </c>
      <c r="AZ1357" s="13">
        <v>3</v>
      </c>
      <c r="BA1357" s="13">
        <v>3</v>
      </c>
      <c r="BB1357" s="14">
        <v>0</v>
      </c>
      <c r="BC1357" s="14">
        <v>0</v>
      </c>
      <c r="BD1357" s="15">
        <f>Table1347456[[#This Row],[treatment_se]]*SQRT(Table1347456[[#This Row],[treatment_n]])</f>
        <v>0</v>
      </c>
      <c r="BE1357" s="14">
        <f>Table1347456[[#This Row],[control_se]]*SQRT(Table1347456[[#This Row],[control_n]])</f>
        <v>0</v>
      </c>
      <c r="BF135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57" s="17">
        <f>SQRT(Table1347456[[#This Row],[v_from_sd_and_n]])</f>
        <v>0</v>
      </c>
      <c r="BH1357" s="13" t="s">
        <v>50</v>
      </c>
      <c r="BI1357" s="13">
        <v>0.05</v>
      </c>
      <c r="BJ1357" s="18">
        <f>ABS(_xlfn.NORM.S.INV(Table1347456[[#This Row],[p_value]]/2))</f>
        <v>1.9599639845400538</v>
      </c>
      <c r="BK1357" s="19">
        <f>(Table1347456[[#This Row],[lnrr]]/Table1347456[[#This Row],[z_from_p]])^2</f>
        <v>7.9339577433685499E-2</v>
      </c>
      <c r="BL1357" s="16">
        <f>(Table1347456[[#This Row],[lnrr]]/Table1347456[[#This Row],[z_from_p]])^2</f>
        <v>7.9339577433685499E-2</v>
      </c>
      <c r="BM1357" s="20">
        <f>SQRT(Table1347456[[#This Row],[v]])</f>
        <v>0.28167281983479608</v>
      </c>
      <c r="BN1357" s="20">
        <f>Table1347456[[#This Row],[lnrr]]-(1.96*Table1347456[[#This Row],[se]])</f>
        <v>-1.0144576160664442E-5</v>
      </c>
      <c r="BO1357" s="20">
        <f>Table1347456[[#This Row],[lnrr]]+(1.96 * Table1347456[[#This Row],[se]])</f>
        <v>1.1041473091762399</v>
      </c>
    </row>
    <row r="1358" spans="1:67">
      <c r="A1358" s="13" t="s">
        <v>360</v>
      </c>
      <c r="B1358" s="13" t="s">
        <v>420</v>
      </c>
      <c r="C1358" s="13" t="s">
        <v>43</v>
      </c>
      <c r="D1358" s="13" t="s">
        <v>421</v>
      </c>
      <c r="E1358" s="13" t="s">
        <v>249</v>
      </c>
      <c r="F1358" s="13" t="s">
        <v>588</v>
      </c>
      <c r="G1358" s="13" t="s">
        <v>46</v>
      </c>
      <c r="H1358" s="13">
        <v>32</v>
      </c>
      <c r="I1358" s="13">
        <v>1400</v>
      </c>
      <c r="K1358" s="13" t="s">
        <v>884</v>
      </c>
      <c r="L1358" s="13" t="s">
        <v>948</v>
      </c>
      <c r="N1358" s="13" t="s">
        <v>400</v>
      </c>
      <c r="O1358" s="13" t="s">
        <v>644</v>
      </c>
      <c r="P1358" s="13" t="s">
        <v>87</v>
      </c>
      <c r="Q1358" s="13" t="s">
        <v>48</v>
      </c>
      <c r="R1358" s="4">
        <v>3</v>
      </c>
      <c r="S1358" s="13" t="s">
        <v>594</v>
      </c>
      <c r="T1358" s="13">
        <v>336</v>
      </c>
      <c r="U1358" s="4" t="s">
        <v>147</v>
      </c>
      <c r="V1358" s="4">
        <v>580</v>
      </c>
      <c r="W1358" s="4" t="s">
        <v>601</v>
      </c>
      <c r="X1358" s="4">
        <v>520.29999999999995</v>
      </c>
      <c r="Y1358" s="4">
        <v>20</v>
      </c>
      <c r="AA1358" s="4" t="s">
        <v>49</v>
      </c>
      <c r="AB1358" s="4">
        <v>0</v>
      </c>
      <c r="AC1358" s="4" t="s">
        <v>50</v>
      </c>
      <c r="AD1358" s="4">
        <v>7.5</v>
      </c>
      <c r="AE1358" s="4" t="s">
        <v>49</v>
      </c>
      <c r="AF1358" s="4">
        <v>0</v>
      </c>
      <c r="AG1358" s="4" t="s">
        <v>683</v>
      </c>
      <c r="AH1358" s="4" t="s">
        <v>684</v>
      </c>
      <c r="AI1358" s="4" t="s">
        <v>78</v>
      </c>
      <c r="AJ1358" s="13">
        <v>0</v>
      </c>
      <c r="AK1358" s="13">
        <v>15</v>
      </c>
      <c r="AM1358" s="13" t="s">
        <v>523</v>
      </c>
      <c r="AP1358" s="13" t="s">
        <v>49</v>
      </c>
      <c r="AQ1358" s="13" t="s">
        <v>49</v>
      </c>
      <c r="AR1358" s="13" t="s">
        <v>49</v>
      </c>
      <c r="AS1358" s="13" t="s">
        <v>49</v>
      </c>
      <c r="AT1358" s="13" t="s">
        <v>993</v>
      </c>
      <c r="AU1358" s="13" t="s">
        <v>1001</v>
      </c>
      <c r="AV1358" s="14">
        <f>(0.35*39.1*10)/1000</f>
        <v>0.13685</v>
      </c>
      <c r="AW1358" s="14">
        <f>(0.19*39.1*10)/1000</f>
        <v>7.4290000000000009E-2</v>
      </c>
      <c r="AX1358" s="14">
        <f>Table1347456[[#This Row],[treatment_mean]]/Table1347456[[#This Row],[control_mean]]</f>
        <v>1.8421052631578945</v>
      </c>
      <c r="AY1358" s="14">
        <f>LN(Table1347456[[#This Row],[rr]])</f>
        <v>0.61090908232297303</v>
      </c>
      <c r="AZ1358" s="13">
        <v>3</v>
      </c>
      <c r="BA1358" s="13">
        <v>3</v>
      </c>
      <c r="BB1358" s="14">
        <v>0</v>
      </c>
      <c r="BC1358" s="14">
        <v>0</v>
      </c>
      <c r="BD1358" s="15">
        <f>Table1347456[[#This Row],[treatment_se]]*SQRT(Table1347456[[#This Row],[treatment_n]])</f>
        <v>0</v>
      </c>
      <c r="BE1358" s="14">
        <f>Table1347456[[#This Row],[control_se]]*SQRT(Table1347456[[#This Row],[control_n]])</f>
        <v>0</v>
      </c>
      <c r="BF135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58" s="17">
        <f>SQRT(Table1347456[[#This Row],[v_from_sd_and_n]])</f>
        <v>0</v>
      </c>
      <c r="BH1358" s="13" t="s">
        <v>50</v>
      </c>
      <c r="BI1358" s="13">
        <v>0.05</v>
      </c>
      <c r="BJ1358" s="18">
        <f>ABS(_xlfn.NORM.S.INV(Table1347456[[#This Row],[p_value]]/2))</f>
        <v>1.9599639845400538</v>
      </c>
      <c r="BK1358" s="19">
        <f>(Table1347456[[#This Row],[lnrr]]/Table1347456[[#This Row],[z_from_p]])^2</f>
        <v>9.7153171304140307E-2</v>
      </c>
      <c r="BL1358" s="16">
        <f>(Table1347456[[#This Row],[lnrr]]/Table1347456[[#This Row],[z_from_p]])^2</f>
        <v>9.7153171304140307E-2</v>
      </c>
      <c r="BM1358" s="20">
        <f>SQRT(Table1347456[[#This Row],[v]])</f>
        <v>0.31169403475867213</v>
      </c>
      <c r="BN1358" s="20">
        <f>Table1347456[[#This Row],[lnrr]]-(1.96*Table1347456[[#This Row],[se]])</f>
        <v>-1.1225804024350694E-5</v>
      </c>
      <c r="BO1358" s="20">
        <f>Table1347456[[#This Row],[lnrr]]+(1.96 * Table1347456[[#This Row],[se]])</f>
        <v>1.2218293904499704</v>
      </c>
    </row>
    <row r="1359" spans="1:67">
      <c r="A1359" s="13" t="s">
        <v>360</v>
      </c>
      <c r="B1359" s="13" t="s">
        <v>420</v>
      </c>
      <c r="C1359" s="13" t="s">
        <v>43</v>
      </c>
      <c r="D1359" s="13" t="s">
        <v>421</v>
      </c>
      <c r="E1359" s="13" t="s">
        <v>249</v>
      </c>
      <c r="F1359" s="13" t="s">
        <v>588</v>
      </c>
      <c r="G1359" s="13" t="s">
        <v>46</v>
      </c>
      <c r="H1359" s="13">
        <v>32</v>
      </c>
      <c r="I1359" s="13">
        <v>1400</v>
      </c>
      <c r="K1359" s="13" t="s">
        <v>884</v>
      </c>
      <c r="L1359" s="13" t="s">
        <v>948</v>
      </c>
      <c r="N1359" s="13" t="s">
        <v>400</v>
      </c>
      <c r="O1359" s="13" t="s">
        <v>644</v>
      </c>
      <c r="P1359" s="13" t="s">
        <v>87</v>
      </c>
      <c r="Q1359" s="13" t="s">
        <v>48</v>
      </c>
      <c r="R1359" s="4">
        <v>3</v>
      </c>
      <c r="S1359" s="13" t="s">
        <v>594</v>
      </c>
      <c r="T1359" s="13">
        <v>336</v>
      </c>
      <c r="U1359" s="4" t="s">
        <v>147</v>
      </c>
      <c r="V1359" s="4">
        <v>580</v>
      </c>
      <c r="W1359" s="4" t="s">
        <v>601</v>
      </c>
      <c r="X1359" s="4">
        <v>520.29999999999995</v>
      </c>
      <c r="Y1359" s="4">
        <v>30</v>
      </c>
      <c r="AA1359" s="4" t="s">
        <v>49</v>
      </c>
      <c r="AB1359" s="4">
        <v>0</v>
      </c>
      <c r="AC1359" s="4" t="s">
        <v>50</v>
      </c>
      <c r="AD1359" s="4">
        <v>7.5</v>
      </c>
      <c r="AE1359" s="4" t="s">
        <v>49</v>
      </c>
      <c r="AF1359" s="4">
        <v>0</v>
      </c>
      <c r="AG1359" s="4" t="s">
        <v>683</v>
      </c>
      <c r="AH1359" s="4" t="s">
        <v>684</v>
      </c>
      <c r="AI1359" s="4" t="s">
        <v>78</v>
      </c>
      <c r="AJ1359" s="13">
        <v>0</v>
      </c>
      <c r="AK1359" s="13">
        <v>15</v>
      </c>
      <c r="AM1359" s="13" t="s">
        <v>523</v>
      </c>
      <c r="AP1359" s="13" t="s">
        <v>49</v>
      </c>
      <c r="AQ1359" s="13" t="s">
        <v>49</v>
      </c>
      <c r="AR1359" s="13" t="s">
        <v>49</v>
      </c>
      <c r="AS1359" s="13" t="s">
        <v>49</v>
      </c>
      <c r="AT1359" s="13" t="s">
        <v>993</v>
      </c>
      <c r="AU1359" s="13" t="s">
        <v>1001</v>
      </c>
      <c r="AV1359" s="14">
        <f>(0.38*39.1*10)/1000</f>
        <v>0.14858000000000002</v>
      </c>
      <c r="AW1359" s="14">
        <f>(0.19*39.1*10)/1000</f>
        <v>7.4290000000000009E-2</v>
      </c>
      <c r="AX1359" s="14">
        <f>Table1347456[[#This Row],[treatment_mean]]/Table1347456[[#This Row],[control_mean]]</f>
        <v>2</v>
      </c>
      <c r="AY1359" s="14">
        <f>LN(Table1347456[[#This Row],[rr]])</f>
        <v>0.69314718055994529</v>
      </c>
      <c r="AZ1359" s="13">
        <v>3</v>
      </c>
      <c r="BA1359" s="13">
        <v>3</v>
      </c>
      <c r="BB1359" s="14">
        <v>0</v>
      </c>
      <c r="BC1359" s="14">
        <v>0</v>
      </c>
      <c r="BD1359" s="15">
        <f>Table1347456[[#This Row],[treatment_se]]*SQRT(Table1347456[[#This Row],[treatment_n]])</f>
        <v>0</v>
      </c>
      <c r="BE1359" s="14">
        <f>Table1347456[[#This Row],[control_se]]*SQRT(Table1347456[[#This Row],[control_n]])</f>
        <v>0</v>
      </c>
      <c r="BF135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59" s="17">
        <f>SQRT(Table1347456[[#This Row],[v_from_sd_and_n]])</f>
        <v>0</v>
      </c>
      <c r="BH1359" s="13" t="s">
        <v>50</v>
      </c>
      <c r="BI1359" s="13">
        <v>0.05</v>
      </c>
      <c r="BJ1359" s="18">
        <f>ABS(_xlfn.NORM.S.INV(Table1347456[[#This Row],[p_value]]/2))</f>
        <v>1.9599639845400538</v>
      </c>
      <c r="BK1359" s="19">
        <f>(Table1347456[[#This Row],[lnrr]]/Table1347456[[#This Row],[z_from_p]])^2</f>
        <v>0.12507045795466495</v>
      </c>
      <c r="BL1359" s="16">
        <f>(Table1347456[[#This Row],[lnrr]]/Table1347456[[#This Row],[z_from_p]])^2</f>
        <v>0.12507045795466495</v>
      </c>
      <c r="BM1359" s="20">
        <f>SQRT(Table1347456[[#This Row],[v]])</f>
        <v>0.35365301915106701</v>
      </c>
      <c r="BN1359" s="20">
        <f>Table1347456[[#This Row],[lnrr]]-(1.96*Table1347456[[#This Row],[se]])</f>
        <v>-1.2736976146010548E-5</v>
      </c>
      <c r="BO1359" s="20">
        <f>Table1347456[[#This Row],[lnrr]]+(1.96 * Table1347456[[#This Row],[se]])</f>
        <v>1.3863070980960366</v>
      </c>
    </row>
    <row r="1360" spans="1:67">
      <c r="A1360" s="13" t="s">
        <v>360</v>
      </c>
      <c r="B1360" s="13" t="s">
        <v>420</v>
      </c>
      <c r="C1360" s="13" t="s">
        <v>43</v>
      </c>
      <c r="D1360" s="13" t="s">
        <v>421</v>
      </c>
      <c r="E1360" s="13" t="s">
        <v>249</v>
      </c>
      <c r="F1360" s="13" t="s">
        <v>588</v>
      </c>
      <c r="G1360" s="13" t="s">
        <v>46</v>
      </c>
      <c r="H1360" s="13">
        <v>32</v>
      </c>
      <c r="I1360" s="13">
        <v>1400</v>
      </c>
      <c r="K1360" s="13" t="s">
        <v>884</v>
      </c>
      <c r="L1360" s="13" t="s">
        <v>948</v>
      </c>
      <c r="N1360" s="13" t="s">
        <v>122</v>
      </c>
      <c r="O1360" s="13" t="s">
        <v>645</v>
      </c>
      <c r="P1360" s="13" t="s">
        <v>422</v>
      </c>
      <c r="Q1360" s="13" t="s">
        <v>48</v>
      </c>
      <c r="R1360" s="4">
        <v>3</v>
      </c>
      <c r="S1360" s="13" t="s">
        <v>594</v>
      </c>
      <c r="T1360" s="13">
        <v>336</v>
      </c>
      <c r="U1360" s="4" t="s">
        <v>147</v>
      </c>
      <c r="V1360" s="4">
        <v>580</v>
      </c>
      <c r="W1360" s="4" t="s">
        <v>601</v>
      </c>
      <c r="X1360" s="4">
        <v>520.29999999999995</v>
      </c>
      <c r="Y1360" s="4">
        <v>10</v>
      </c>
      <c r="AA1360" s="4" t="s">
        <v>49</v>
      </c>
      <c r="AB1360" s="4">
        <v>0</v>
      </c>
      <c r="AC1360" s="4" t="s">
        <v>49</v>
      </c>
      <c r="AD1360" s="4">
        <v>0</v>
      </c>
      <c r="AE1360" s="4" t="s">
        <v>49</v>
      </c>
      <c r="AF1360" s="4">
        <v>0</v>
      </c>
      <c r="AG1360" s="4" t="s">
        <v>683</v>
      </c>
      <c r="AH1360" s="4" t="s">
        <v>684</v>
      </c>
      <c r="AI1360" s="4" t="s">
        <v>78</v>
      </c>
      <c r="AJ1360" s="13">
        <v>0</v>
      </c>
      <c r="AK1360" s="13">
        <v>15</v>
      </c>
      <c r="AM1360" s="13" t="s">
        <v>523</v>
      </c>
      <c r="AP1360" s="13" t="s">
        <v>49</v>
      </c>
      <c r="AQ1360" s="13" t="s">
        <v>49</v>
      </c>
      <c r="AR1360" s="13" t="s">
        <v>49</v>
      </c>
      <c r="AS1360" s="13" t="s">
        <v>49</v>
      </c>
      <c r="AT1360" s="13" t="s">
        <v>990</v>
      </c>
      <c r="AU1360" s="13" t="s">
        <v>998</v>
      </c>
      <c r="AV1360" s="14">
        <f>1.82*10</f>
        <v>18.2</v>
      </c>
      <c r="AW1360" s="14">
        <f>1.38*10</f>
        <v>13.799999999999999</v>
      </c>
      <c r="AX1360" s="14">
        <f>Table1347456[[#This Row],[treatment_mean]]/Table1347456[[#This Row],[control_mean]]</f>
        <v>1.318840579710145</v>
      </c>
      <c r="AY1360" s="14">
        <f>LN(Table1347456[[#This Row],[rr]])</f>
        <v>0.27675300191959074</v>
      </c>
      <c r="AZ1360" s="13">
        <v>3</v>
      </c>
      <c r="BA1360" s="13">
        <v>3</v>
      </c>
      <c r="BB1360" s="14">
        <v>0</v>
      </c>
      <c r="BC1360" s="14">
        <v>0</v>
      </c>
      <c r="BD1360" s="15">
        <f>Table1347456[[#This Row],[treatment_se]]*SQRT(Table1347456[[#This Row],[treatment_n]])</f>
        <v>0</v>
      </c>
      <c r="BE1360" s="14">
        <f>Table1347456[[#This Row],[control_se]]*SQRT(Table1347456[[#This Row],[control_n]])</f>
        <v>0</v>
      </c>
      <c r="BF136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60" s="17">
        <f>SQRT(Table1347456[[#This Row],[v_from_sd_and_n]])</f>
        <v>0</v>
      </c>
      <c r="BH1360" s="13" t="s">
        <v>50</v>
      </c>
      <c r="BI1360" s="13">
        <v>0.05</v>
      </c>
      <c r="BJ1360" s="18">
        <f>ABS(_xlfn.NORM.S.INV(Table1347456[[#This Row],[p_value]]/2))</f>
        <v>1.9599639845400538</v>
      </c>
      <c r="BK1360" s="19">
        <f>(Table1347456[[#This Row],[lnrr]]/Table1347456[[#This Row],[z_from_p]])^2</f>
        <v>1.993831709425049E-2</v>
      </c>
      <c r="BL1360" s="16">
        <f>(Table1347456[[#This Row],[lnrr]]/Table1347456[[#This Row],[z_from_p]])^2</f>
        <v>1.993831709425049E-2</v>
      </c>
      <c r="BM1360" s="20">
        <f>SQRT(Table1347456[[#This Row],[v]])</f>
        <v>0.14120310582366979</v>
      </c>
      <c r="BN1360" s="20">
        <f>Table1347456[[#This Row],[lnrr]]-(1.96*Table1347456[[#This Row],[se]])</f>
        <v>-5.0854948020484514E-6</v>
      </c>
      <c r="BO1360" s="20">
        <f>Table1347456[[#This Row],[lnrr]]+(1.96 * Table1347456[[#This Row],[se]])</f>
        <v>0.55351108933398352</v>
      </c>
    </row>
    <row r="1361" spans="1:67">
      <c r="A1361" s="13" t="s">
        <v>360</v>
      </c>
      <c r="B1361" s="13" t="s">
        <v>420</v>
      </c>
      <c r="C1361" s="13" t="s">
        <v>43</v>
      </c>
      <c r="D1361" s="13" t="s">
        <v>421</v>
      </c>
      <c r="E1361" s="13" t="s">
        <v>249</v>
      </c>
      <c r="F1361" s="13" t="s">
        <v>588</v>
      </c>
      <c r="G1361" s="13" t="s">
        <v>46</v>
      </c>
      <c r="H1361" s="13">
        <v>32</v>
      </c>
      <c r="I1361" s="13">
        <v>1400</v>
      </c>
      <c r="K1361" s="13" t="s">
        <v>884</v>
      </c>
      <c r="L1361" s="13" t="s">
        <v>948</v>
      </c>
      <c r="N1361" s="13" t="s">
        <v>122</v>
      </c>
      <c r="O1361" s="13" t="s">
        <v>645</v>
      </c>
      <c r="P1361" s="13" t="s">
        <v>422</v>
      </c>
      <c r="Q1361" s="13" t="s">
        <v>48</v>
      </c>
      <c r="R1361" s="4">
        <v>3</v>
      </c>
      <c r="S1361" s="13" t="s">
        <v>594</v>
      </c>
      <c r="T1361" s="13">
        <v>336</v>
      </c>
      <c r="U1361" s="4" t="s">
        <v>147</v>
      </c>
      <c r="V1361" s="4">
        <v>580</v>
      </c>
      <c r="W1361" s="4" t="s">
        <v>601</v>
      </c>
      <c r="X1361" s="4">
        <v>520.29999999999995</v>
      </c>
      <c r="Y1361" s="4">
        <v>20</v>
      </c>
      <c r="AA1361" s="4" t="s">
        <v>49</v>
      </c>
      <c r="AB1361" s="4">
        <v>0</v>
      </c>
      <c r="AC1361" s="4" t="s">
        <v>49</v>
      </c>
      <c r="AD1361" s="4">
        <v>0</v>
      </c>
      <c r="AE1361" s="4" t="s">
        <v>49</v>
      </c>
      <c r="AF1361" s="4">
        <v>0</v>
      </c>
      <c r="AG1361" s="4" t="s">
        <v>683</v>
      </c>
      <c r="AH1361" s="4" t="s">
        <v>684</v>
      </c>
      <c r="AI1361" s="4" t="s">
        <v>78</v>
      </c>
      <c r="AJ1361" s="13">
        <v>0</v>
      </c>
      <c r="AK1361" s="13">
        <v>15</v>
      </c>
      <c r="AM1361" s="13" t="s">
        <v>523</v>
      </c>
      <c r="AP1361" s="13" t="s">
        <v>49</v>
      </c>
      <c r="AQ1361" s="13" t="s">
        <v>49</v>
      </c>
      <c r="AR1361" s="13" t="s">
        <v>49</v>
      </c>
      <c r="AS1361" s="13" t="s">
        <v>49</v>
      </c>
      <c r="AT1361" s="13" t="s">
        <v>990</v>
      </c>
      <c r="AU1361" s="13" t="s">
        <v>998</v>
      </c>
      <c r="AV1361" s="14">
        <f>2.1*10</f>
        <v>21</v>
      </c>
      <c r="AW1361" s="14">
        <f>1.38*10</f>
        <v>13.799999999999999</v>
      </c>
      <c r="AX1361" s="14">
        <f>Table1347456[[#This Row],[treatment_mean]]/Table1347456[[#This Row],[control_mean]]</f>
        <v>1.5217391304347827</v>
      </c>
      <c r="AY1361" s="14">
        <f>LN(Table1347456[[#This Row],[rr]])</f>
        <v>0.41985384556026406</v>
      </c>
      <c r="AZ1361" s="13">
        <v>3</v>
      </c>
      <c r="BA1361" s="13">
        <v>3</v>
      </c>
      <c r="BB1361" s="14">
        <v>0</v>
      </c>
      <c r="BC1361" s="14">
        <v>0</v>
      </c>
      <c r="BD1361" s="15">
        <f>Table1347456[[#This Row],[treatment_se]]*SQRT(Table1347456[[#This Row],[treatment_n]])</f>
        <v>0</v>
      </c>
      <c r="BE1361" s="14">
        <f>Table1347456[[#This Row],[control_se]]*SQRT(Table1347456[[#This Row],[control_n]])</f>
        <v>0</v>
      </c>
      <c r="BF136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61" s="17">
        <f>SQRT(Table1347456[[#This Row],[v_from_sd_and_n]])</f>
        <v>0</v>
      </c>
      <c r="BH1361" s="13" t="s">
        <v>50</v>
      </c>
      <c r="BI1361" s="13">
        <v>0.05</v>
      </c>
      <c r="BJ1361" s="18">
        <f>ABS(_xlfn.NORM.S.INV(Table1347456[[#This Row],[p_value]]/2))</f>
        <v>1.9599639845400538</v>
      </c>
      <c r="BK1361" s="19">
        <f>(Table1347456[[#This Row],[lnrr]]/Table1347456[[#This Row],[z_from_p]])^2</f>
        <v>4.5888101333308055E-2</v>
      </c>
      <c r="BL1361" s="16">
        <f>(Table1347456[[#This Row],[lnrr]]/Table1347456[[#This Row],[z_from_p]])^2</f>
        <v>4.5888101333308055E-2</v>
      </c>
      <c r="BM1361" s="20">
        <f>SQRT(Table1347456[[#This Row],[v]])</f>
        <v>0.21421508194641212</v>
      </c>
      <c r="BN1361" s="20">
        <f>Table1347456[[#This Row],[lnrr]]-(1.96*Table1347456[[#This Row],[se]])</f>
        <v>-7.7150547037052597E-6</v>
      </c>
      <c r="BO1361" s="20">
        <f>Table1347456[[#This Row],[lnrr]]+(1.96 * Table1347456[[#This Row],[se]])</f>
        <v>0.83971540617523188</v>
      </c>
    </row>
    <row r="1362" spans="1:67">
      <c r="A1362" s="13" t="s">
        <v>360</v>
      </c>
      <c r="B1362" s="13" t="s">
        <v>420</v>
      </c>
      <c r="C1362" s="13" t="s">
        <v>43</v>
      </c>
      <c r="D1362" s="13" t="s">
        <v>421</v>
      </c>
      <c r="E1362" s="13" t="s">
        <v>249</v>
      </c>
      <c r="F1362" s="13" t="s">
        <v>588</v>
      </c>
      <c r="G1362" s="13" t="s">
        <v>46</v>
      </c>
      <c r="H1362" s="13">
        <v>32</v>
      </c>
      <c r="I1362" s="13">
        <v>1400</v>
      </c>
      <c r="K1362" s="13" t="s">
        <v>884</v>
      </c>
      <c r="L1362" s="13" t="s">
        <v>948</v>
      </c>
      <c r="N1362" s="13" t="s">
        <v>122</v>
      </c>
      <c r="O1362" s="13" t="s">
        <v>645</v>
      </c>
      <c r="P1362" s="13" t="s">
        <v>422</v>
      </c>
      <c r="Q1362" s="13" t="s">
        <v>48</v>
      </c>
      <c r="R1362" s="4">
        <v>3</v>
      </c>
      <c r="S1362" s="13" t="s">
        <v>594</v>
      </c>
      <c r="T1362" s="13">
        <v>336</v>
      </c>
      <c r="U1362" s="4" t="s">
        <v>147</v>
      </c>
      <c r="V1362" s="4">
        <v>580</v>
      </c>
      <c r="W1362" s="4" t="s">
        <v>601</v>
      </c>
      <c r="X1362" s="4">
        <v>520.29999999999995</v>
      </c>
      <c r="Y1362" s="4">
        <v>30</v>
      </c>
      <c r="AA1362" s="4" t="s">
        <v>49</v>
      </c>
      <c r="AB1362" s="4">
        <v>0</v>
      </c>
      <c r="AC1362" s="4" t="s">
        <v>49</v>
      </c>
      <c r="AD1362" s="4">
        <v>0</v>
      </c>
      <c r="AE1362" s="4" t="s">
        <v>49</v>
      </c>
      <c r="AF1362" s="4">
        <v>0</v>
      </c>
      <c r="AG1362" s="4" t="s">
        <v>683</v>
      </c>
      <c r="AH1362" s="4" t="s">
        <v>684</v>
      </c>
      <c r="AI1362" s="4" t="s">
        <v>78</v>
      </c>
      <c r="AJ1362" s="13">
        <v>0</v>
      </c>
      <c r="AK1362" s="13">
        <v>15</v>
      </c>
      <c r="AM1362" s="13" t="s">
        <v>523</v>
      </c>
      <c r="AP1362" s="13" t="s">
        <v>49</v>
      </c>
      <c r="AQ1362" s="13" t="s">
        <v>49</v>
      </c>
      <c r="AR1362" s="13" t="s">
        <v>49</v>
      </c>
      <c r="AS1362" s="13" t="s">
        <v>49</v>
      </c>
      <c r="AT1362" s="13" t="s">
        <v>990</v>
      </c>
      <c r="AU1362" s="13" t="s">
        <v>998</v>
      </c>
      <c r="AV1362" s="14">
        <f>(2.31*10)</f>
        <v>23.1</v>
      </c>
      <c r="AW1362" s="14">
        <f>1.38*10</f>
        <v>13.799999999999999</v>
      </c>
      <c r="AX1362" s="14">
        <f>Table1347456[[#This Row],[treatment_mean]]/Table1347456[[#This Row],[control_mean]]</f>
        <v>1.6739130434782612</v>
      </c>
      <c r="AY1362" s="14">
        <f>LN(Table1347456[[#This Row],[rr]])</f>
        <v>0.51516402536458905</v>
      </c>
      <c r="AZ1362" s="13">
        <v>3</v>
      </c>
      <c r="BA1362" s="13">
        <v>3</v>
      </c>
      <c r="BB1362" s="14">
        <v>0</v>
      </c>
      <c r="BC1362" s="14">
        <v>0</v>
      </c>
      <c r="BD1362" s="15">
        <f>Table1347456[[#This Row],[treatment_se]]*SQRT(Table1347456[[#This Row],[treatment_n]])</f>
        <v>0</v>
      </c>
      <c r="BE1362" s="14">
        <f>Table1347456[[#This Row],[control_se]]*SQRT(Table1347456[[#This Row],[control_n]])</f>
        <v>0</v>
      </c>
      <c r="BF136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62" s="17">
        <f>SQRT(Table1347456[[#This Row],[v_from_sd_and_n]])</f>
        <v>0</v>
      </c>
      <c r="BH1362" s="13" t="s">
        <v>50</v>
      </c>
      <c r="BI1362" s="13">
        <v>0.05</v>
      </c>
      <c r="BJ1362" s="18">
        <f>ABS(_xlfn.NORM.S.INV(Table1347456[[#This Row],[p_value]]/2))</f>
        <v>1.9599639845400538</v>
      </c>
      <c r="BK1362" s="19">
        <f>(Table1347456[[#This Row],[lnrr]]/Table1347456[[#This Row],[z_from_p]])^2</f>
        <v>6.9086767662367418E-2</v>
      </c>
      <c r="BL1362" s="16">
        <f>(Table1347456[[#This Row],[lnrr]]/Table1347456[[#This Row],[z_from_p]])^2</f>
        <v>6.9086767662367418E-2</v>
      </c>
      <c r="BM1362" s="20">
        <f>SQRT(Table1347456[[#This Row],[v]])</f>
        <v>0.2628436182644871</v>
      </c>
      <c r="BN1362" s="20">
        <f>Table1347456[[#This Row],[lnrr]]-(1.96*Table1347456[[#This Row],[se]])</f>
        <v>-9.4664338056160702E-6</v>
      </c>
      <c r="BO1362" s="20">
        <f>Table1347456[[#This Row],[lnrr]]+(1.96 * Table1347456[[#This Row],[se]])</f>
        <v>1.0303375171629838</v>
      </c>
    </row>
    <row r="1363" spans="1:67">
      <c r="A1363" s="13" t="s">
        <v>360</v>
      </c>
      <c r="B1363" s="13" t="s">
        <v>420</v>
      </c>
      <c r="C1363" s="13" t="s">
        <v>43</v>
      </c>
      <c r="D1363" s="13" t="s">
        <v>421</v>
      </c>
      <c r="E1363" s="13" t="s">
        <v>249</v>
      </c>
      <c r="F1363" s="13" t="s">
        <v>588</v>
      </c>
      <c r="G1363" s="13" t="s">
        <v>46</v>
      </c>
      <c r="H1363" s="13">
        <v>32</v>
      </c>
      <c r="I1363" s="13">
        <v>1400</v>
      </c>
      <c r="J1363" s="13" t="s">
        <v>656</v>
      </c>
      <c r="K1363" s="13" t="s">
        <v>884</v>
      </c>
      <c r="L1363" s="13" t="s">
        <v>948</v>
      </c>
      <c r="M1363" s="13" t="s">
        <v>803</v>
      </c>
      <c r="N1363" s="13" t="s">
        <v>119</v>
      </c>
      <c r="O1363" s="13" t="s">
        <v>645</v>
      </c>
      <c r="P1363" s="13" t="s">
        <v>422</v>
      </c>
      <c r="Q1363" s="13" t="s">
        <v>48</v>
      </c>
      <c r="R1363" s="4">
        <v>3</v>
      </c>
      <c r="S1363" s="13" t="s">
        <v>594</v>
      </c>
      <c r="T1363" s="13">
        <v>336</v>
      </c>
      <c r="U1363" s="4" t="s">
        <v>147</v>
      </c>
      <c r="V1363" s="4">
        <v>580</v>
      </c>
      <c r="W1363" s="4" t="s">
        <v>601</v>
      </c>
      <c r="X1363" s="4">
        <v>520.29999999999995</v>
      </c>
      <c r="Y1363" s="4">
        <v>10</v>
      </c>
      <c r="AA1363" s="4" t="s">
        <v>49</v>
      </c>
      <c r="AB1363" s="4">
        <v>0</v>
      </c>
      <c r="AC1363" s="4" t="s">
        <v>49</v>
      </c>
      <c r="AD1363" s="4">
        <v>0</v>
      </c>
      <c r="AE1363" s="4" t="s">
        <v>49</v>
      </c>
      <c r="AF1363" s="4">
        <v>0</v>
      </c>
      <c r="AG1363" s="4" t="s">
        <v>683</v>
      </c>
      <c r="AH1363" s="4" t="s">
        <v>684</v>
      </c>
      <c r="AI1363" s="4" t="s">
        <v>78</v>
      </c>
      <c r="AJ1363" s="13">
        <v>0</v>
      </c>
      <c r="AK1363" s="13">
        <v>15</v>
      </c>
      <c r="AM1363" s="13" t="s">
        <v>523</v>
      </c>
      <c r="AP1363" s="13" t="s">
        <v>49</v>
      </c>
      <c r="AQ1363" s="13" t="s">
        <v>49</v>
      </c>
      <c r="AR1363" s="13" t="s">
        <v>49</v>
      </c>
      <c r="AS1363" s="13" t="s">
        <v>49</v>
      </c>
      <c r="AT1363" s="13" t="s">
        <v>990</v>
      </c>
      <c r="AU1363" s="13" t="s">
        <v>998</v>
      </c>
      <c r="AV1363" s="23">
        <f>0.08*10</f>
        <v>0.8</v>
      </c>
      <c r="AW1363" s="23">
        <f>0.06*10</f>
        <v>0.6</v>
      </c>
      <c r="AX1363" s="14">
        <f>Table1347456[[#This Row],[treatment_mean]]/Table1347456[[#This Row],[control_mean]]</f>
        <v>1.3333333333333335</v>
      </c>
      <c r="AY1363" s="14">
        <f>LN(Table1347456[[#This Row],[rr]])</f>
        <v>0.28768207245178101</v>
      </c>
      <c r="AZ1363" s="13">
        <v>3</v>
      </c>
      <c r="BA1363" s="13">
        <v>3</v>
      </c>
      <c r="BB1363" s="14">
        <v>0</v>
      </c>
      <c r="BC1363" s="14">
        <v>0</v>
      </c>
      <c r="BD1363" s="15">
        <f>Table1347456[[#This Row],[treatment_se]]*SQRT(Table1347456[[#This Row],[treatment_n]])</f>
        <v>0</v>
      </c>
      <c r="BE1363" s="14">
        <f>Table1347456[[#This Row],[control_se]]*SQRT(Table1347456[[#This Row],[control_n]])</f>
        <v>0</v>
      </c>
      <c r="BF136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63" s="17">
        <f>SQRT(Table1347456[[#This Row],[v_from_sd_and_n]])</f>
        <v>0</v>
      </c>
      <c r="BH1363" s="13" t="s">
        <v>50</v>
      </c>
      <c r="BI1363" s="13">
        <v>0.05</v>
      </c>
      <c r="BJ1363" s="18">
        <f>ABS(_xlfn.NORM.S.INV(Table1347456[[#This Row],[p_value]]/2))</f>
        <v>1.9599639845400538</v>
      </c>
      <c r="BK1363" s="19">
        <f>(Table1347456[[#This Row],[lnrr]]/Table1347456[[#This Row],[z_from_p]])^2</f>
        <v>2.1544152540257468E-2</v>
      </c>
      <c r="BL1363" s="16">
        <f>(Table1347456[[#This Row],[lnrr]]/Table1347456[[#This Row],[z_from_p]])^2</f>
        <v>2.1544152540257468E-2</v>
      </c>
      <c r="BM1363" s="20">
        <f>SQRT(Table1347456[[#This Row],[v]])</f>
        <v>0.14677926468087196</v>
      </c>
      <c r="BN1363" s="20">
        <f>Table1347456[[#This Row],[lnrr]]-(1.96*Table1347456[[#This Row],[se]])</f>
        <v>-5.2863227280042224E-6</v>
      </c>
      <c r="BO1363" s="20">
        <f>Table1347456[[#This Row],[lnrr]]+(1.96 * Table1347456[[#This Row],[se]])</f>
        <v>0.57536943122629003</v>
      </c>
    </row>
    <row r="1364" spans="1:67">
      <c r="A1364" s="13" t="s">
        <v>360</v>
      </c>
      <c r="B1364" s="13" t="s">
        <v>420</v>
      </c>
      <c r="C1364" s="13" t="s">
        <v>43</v>
      </c>
      <c r="D1364" s="13" t="s">
        <v>421</v>
      </c>
      <c r="E1364" s="13" t="s">
        <v>249</v>
      </c>
      <c r="F1364" s="13" t="s">
        <v>588</v>
      </c>
      <c r="G1364" s="13" t="s">
        <v>46</v>
      </c>
      <c r="H1364" s="13">
        <v>32</v>
      </c>
      <c r="I1364" s="13">
        <v>1400</v>
      </c>
      <c r="J1364" s="13" t="s">
        <v>656</v>
      </c>
      <c r="K1364" s="13" t="s">
        <v>884</v>
      </c>
      <c r="L1364" s="13" t="s">
        <v>948</v>
      </c>
      <c r="M1364" s="13" t="s">
        <v>803</v>
      </c>
      <c r="N1364" s="13" t="s">
        <v>119</v>
      </c>
      <c r="O1364" s="13" t="s">
        <v>645</v>
      </c>
      <c r="P1364" s="13" t="s">
        <v>422</v>
      </c>
      <c r="Q1364" s="13" t="s">
        <v>48</v>
      </c>
      <c r="R1364" s="4">
        <v>3</v>
      </c>
      <c r="S1364" s="13" t="s">
        <v>594</v>
      </c>
      <c r="T1364" s="13">
        <v>336</v>
      </c>
      <c r="U1364" s="4" t="s">
        <v>147</v>
      </c>
      <c r="V1364" s="4">
        <v>580</v>
      </c>
      <c r="W1364" s="4" t="s">
        <v>601</v>
      </c>
      <c r="X1364" s="4">
        <v>520.29999999999995</v>
      </c>
      <c r="Y1364" s="4">
        <v>20</v>
      </c>
      <c r="AA1364" s="4" t="s">
        <v>49</v>
      </c>
      <c r="AB1364" s="4">
        <v>0</v>
      </c>
      <c r="AC1364" s="4" t="s">
        <v>49</v>
      </c>
      <c r="AD1364" s="4">
        <v>0</v>
      </c>
      <c r="AE1364" s="4" t="s">
        <v>49</v>
      </c>
      <c r="AF1364" s="4">
        <v>0</v>
      </c>
      <c r="AG1364" s="4" t="s">
        <v>683</v>
      </c>
      <c r="AH1364" s="4" t="s">
        <v>684</v>
      </c>
      <c r="AI1364" s="4" t="s">
        <v>78</v>
      </c>
      <c r="AJ1364" s="13">
        <v>0</v>
      </c>
      <c r="AK1364" s="13">
        <v>15</v>
      </c>
      <c r="AM1364" s="13" t="s">
        <v>523</v>
      </c>
      <c r="AP1364" s="13" t="s">
        <v>49</v>
      </c>
      <c r="AQ1364" s="13" t="s">
        <v>49</v>
      </c>
      <c r="AR1364" s="13" t="s">
        <v>49</v>
      </c>
      <c r="AS1364" s="13" t="s">
        <v>49</v>
      </c>
      <c r="AT1364" s="13" t="s">
        <v>990</v>
      </c>
      <c r="AU1364" s="13" t="s">
        <v>998</v>
      </c>
      <c r="AV1364" s="23">
        <f>0.1*10</f>
        <v>1</v>
      </c>
      <c r="AW1364" s="23">
        <f>0.06*10</f>
        <v>0.6</v>
      </c>
      <c r="AX1364" s="14">
        <f>Table1347456[[#This Row],[treatment_mean]]/Table1347456[[#This Row],[control_mean]]</f>
        <v>1.6666666666666667</v>
      </c>
      <c r="AY1364" s="14">
        <f>LN(Table1347456[[#This Row],[rr]])</f>
        <v>0.51082562376599072</v>
      </c>
      <c r="AZ1364" s="13">
        <v>3</v>
      </c>
      <c r="BA1364" s="13">
        <v>3</v>
      </c>
      <c r="BB1364" s="14">
        <v>0</v>
      </c>
      <c r="BC1364" s="14">
        <v>0</v>
      </c>
      <c r="BD1364" s="15">
        <f>Table1347456[[#This Row],[treatment_se]]*SQRT(Table1347456[[#This Row],[treatment_n]])</f>
        <v>0</v>
      </c>
      <c r="BE1364" s="14">
        <f>Table1347456[[#This Row],[control_se]]*SQRT(Table1347456[[#This Row],[control_n]])</f>
        <v>0</v>
      </c>
      <c r="BF136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64" s="17">
        <f>SQRT(Table1347456[[#This Row],[v_from_sd_and_n]])</f>
        <v>0</v>
      </c>
      <c r="BH1364" s="13" t="s">
        <v>50</v>
      </c>
      <c r="BI1364" s="13">
        <v>0.05</v>
      </c>
      <c r="BJ1364" s="18">
        <f>ABS(_xlfn.NORM.S.INV(Table1347456[[#This Row],[p_value]]/2))</f>
        <v>1.9599639845400538</v>
      </c>
      <c r="BK1364" s="19">
        <f>(Table1347456[[#This Row],[lnrr]]/Table1347456[[#This Row],[z_from_p]])^2</f>
        <v>6.792805287673577E-2</v>
      </c>
      <c r="BL1364" s="16">
        <f>(Table1347456[[#This Row],[lnrr]]/Table1347456[[#This Row],[z_from_p]])^2</f>
        <v>6.792805287673577E-2</v>
      </c>
      <c r="BM1364" s="20">
        <f>SQRT(Table1347456[[#This Row],[v]])</f>
        <v>0.26063010738733883</v>
      </c>
      <c r="BN1364" s="20">
        <f>Table1347456[[#This Row],[lnrr]]-(1.96*Table1347456[[#This Row],[se]])</f>
        <v>-9.3867131933933479E-6</v>
      </c>
      <c r="BO1364" s="20">
        <f>Table1347456[[#This Row],[lnrr]]+(1.96 * Table1347456[[#This Row],[se]])</f>
        <v>1.0216606342451748</v>
      </c>
    </row>
    <row r="1365" spans="1:67">
      <c r="A1365" s="13" t="s">
        <v>360</v>
      </c>
      <c r="B1365" s="13" t="s">
        <v>420</v>
      </c>
      <c r="C1365" s="13" t="s">
        <v>43</v>
      </c>
      <c r="D1365" s="13" t="s">
        <v>421</v>
      </c>
      <c r="E1365" s="13" t="s">
        <v>249</v>
      </c>
      <c r="F1365" s="13" t="s">
        <v>588</v>
      </c>
      <c r="G1365" s="13" t="s">
        <v>46</v>
      </c>
      <c r="H1365" s="13">
        <v>32</v>
      </c>
      <c r="I1365" s="13">
        <v>1400</v>
      </c>
      <c r="J1365" s="13" t="s">
        <v>656</v>
      </c>
      <c r="K1365" s="13" t="s">
        <v>884</v>
      </c>
      <c r="L1365" s="13" t="s">
        <v>948</v>
      </c>
      <c r="M1365" s="13" t="s">
        <v>803</v>
      </c>
      <c r="N1365" s="13" t="s">
        <v>119</v>
      </c>
      <c r="O1365" s="13" t="s">
        <v>645</v>
      </c>
      <c r="P1365" s="13" t="s">
        <v>422</v>
      </c>
      <c r="Q1365" s="13" t="s">
        <v>48</v>
      </c>
      <c r="R1365" s="4">
        <v>3</v>
      </c>
      <c r="S1365" s="13" t="s">
        <v>594</v>
      </c>
      <c r="T1365" s="13">
        <v>336</v>
      </c>
      <c r="U1365" s="4" t="s">
        <v>147</v>
      </c>
      <c r="V1365" s="4">
        <v>580</v>
      </c>
      <c r="W1365" s="4" t="s">
        <v>601</v>
      </c>
      <c r="X1365" s="4">
        <v>520.29999999999995</v>
      </c>
      <c r="Y1365" s="4">
        <v>30</v>
      </c>
      <c r="AA1365" s="4" t="s">
        <v>49</v>
      </c>
      <c r="AB1365" s="4">
        <v>0</v>
      </c>
      <c r="AC1365" s="4" t="s">
        <v>49</v>
      </c>
      <c r="AD1365" s="4">
        <v>0</v>
      </c>
      <c r="AE1365" s="4" t="s">
        <v>49</v>
      </c>
      <c r="AF1365" s="4">
        <v>0</v>
      </c>
      <c r="AG1365" s="4" t="s">
        <v>683</v>
      </c>
      <c r="AH1365" s="4" t="s">
        <v>684</v>
      </c>
      <c r="AI1365" s="4" t="s">
        <v>78</v>
      </c>
      <c r="AJ1365" s="13">
        <v>0</v>
      </c>
      <c r="AK1365" s="13">
        <v>15</v>
      </c>
      <c r="AM1365" s="13" t="s">
        <v>523</v>
      </c>
      <c r="AP1365" s="13" t="s">
        <v>49</v>
      </c>
      <c r="AQ1365" s="13" t="s">
        <v>49</v>
      </c>
      <c r="AR1365" s="13" t="s">
        <v>49</v>
      </c>
      <c r="AS1365" s="13" t="s">
        <v>49</v>
      </c>
      <c r="AT1365" s="13" t="s">
        <v>990</v>
      </c>
      <c r="AU1365" s="13" t="s">
        <v>998</v>
      </c>
      <c r="AV1365" s="23">
        <f>0.13*10</f>
        <v>1.3</v>
      </c>
      <c r="AW1365" s="23">
        <f>0.06*10</f>
        <v>0.6</v>
      </c>
      <c r="AX1365" s="14">
        <f>Table1347456[[#This Row],[treatment_mean]]/Table1347456[[#This Row],[control_mean]]</f>
        <v>2.166666666666667</v>
      </c>
      <c r="AY1365" s="14">
        <f>LN(Table1347456[[#This Row],[rr]])</f>
        <v>0.77318988823348189</v>
      </c>
      <c r="AZ1365" s="13">
        <v>3</v>
      </c>
      <c r="BA1365" s="13">
        <v>3</v>
      </c>
      <c r="BB1365" s="14">
        <v>0</v>
      </c>
      <c r="BC1365" s="14">
        <v>0</v>
      </c>
      <c r="BD1365" s="15">
        <f>Table1347456[[#This Row],[treatment_se]]*SQRT(Table1347456[[#This Row],[treatment_n]])</f>
        <v>0</v>
      </c>
      <c r="BE1365" s="14">
        <f>Table1347456[[#This Row],[control_se]]*SQRT(Table1347456[[#This Row],[control_n]])</f>
        <v>0</v>
      </c>
      <c r="BF136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65" s="17">
        <f>SQRT(Table1347456[[#This Row],[v_from_sd_and_n]])</f>
        <v>0</v>
      </c>
      <c r="BH1365" s="13" t="s">
        <v>50</v>
      </c>
      <c r="BI1365" s="13">
        <v>0.05</v>
      </c>
      <c r="BJ1365" s="18">
        <f>ABS(_xlfn.NORM.S.INV(Table1347456[[#This Row],[p_value]]/2))</f>
        <v>1.9599639845400538</v>
      </c>
      <c r="BK1365" s="19">
        <f>(Table1347456[[#This Row],[lnrr]]/Table1347456[[#This Row],[z_from_p]])^2</f>
        <v>0.15562384791059192</v>
      </c>
      <c r="BL1365" s="16">
        <f>(Table1347456[[#This Row],[lnrr]]/Table1347456[[#This Row],[z_from_p]])^2</f>
        <v>0.15562384791059192</v>
      </c>
      <c r="BM1365" s="20">
        <f>SQRT(Table1347456[[#This Row],[v]])</f>
        <v>0.39449188573479166</v>
      </c>
      <c r="BN1365" s="20">
        <f>Table1347456[[#This Row],[lnrr]]-(1.96*Table1347456[[#This Row],[se]])</f>
        <v>-1.4207806709798376E-5</v>
      </c>
      <c r="BO1365" s="20">
        <f>Table1347456[[#This Row],[lnrr]]+(1.96 * Table1347456[[#This Row],[se]])</f>
        <v>1.5463939842736736</v>
      </c>
    </row>
    <row r="1366" spans="1:67">
      <c r="A1366" s="13" t="s">
        <v>360</v>
      </c>
      <c r="B1366" s="13" t="s">
        <v>420</v>
      </c>
      <c r="C1366" s="13" t="s">
        <v>43</v>
      </c>
      <c r="D1366" s="13" t="s">
        <v>421</v>
      </c>
      <c r="E1366" s="13" t="s">
        <v>249</v>
      </c>
      <c r="F1366" s="13" t="s">
        <v>588</v>
      </c>
      <c r="G1366" s="13" t="s">
        <v>46</v>
      </c>
      <c r="H1366" s="13">
        <v>32</v>
      </c>
      <c r="I1366" s="13">
        <v>1400</v>
      </c>
      <c r="K1366" s="13" t="s">
        <v>884</v>
      </c>
      <c r="L1366" s="13" t="s">
        <v>948</v>
      </c>
      <c r="N1366" s="13" t="s">
        <v>121</v>
      </c>
      <c r="O1366" s="13" t="s">
        <v>645</v>
      </c>
      <c r="P1366" s="13" t="s">
        <v>422</v>
      </c>
      <c r="Q1366" s="13" t="s">
        <v>48</v>
      </c>
      <c r="R1366" s="4">
        <v>3</v>
      </c>
      <c r="S1366" s="13" t="s">
        <v>594</v>
      </c>
      <c r="T1366" s="13">
        <v>336</v>
      </c>
      <c r="U1366" s="4" t="s">
        <v>147</v>
      </c>
      <c r="V1366" s="4">
        <v>580</v>
      </c>
      <c r="W1366" s="4" t="s">
        <v>601</v>
      </c>
      <c r="X1366" s="4">
        <v>520.29999999999995</v>
      </c>
      <c r="Y1366" s="4">
        <v>10</v>
      </c>
      <c r="AA1366" s="4" t="s">
        <v>49</v>
      </c>
      <c r="AB1366" s="4">
        <v>0</v>
      </c>
      <c r="AC1366" s="4" t="s">
        <v>49</v>
      </c>
      <c r="AD1366" s="4">
        <v>0</v>
      </c>
      <c r="AE1366" s="4" t="s">
        <v>49</v>
      </c>
      <c r="AF1366" s="4">
        <v>0</v>
      </c>
      <c r="AG1366" s="4" t="s">
        <v>683</v>
      </c>
      <c r="AH1366" s="4" t="s">
        <v>684</v>
      </c>
      <c r="AI1366" s="4" t="s">
        <v>78</v>
      </c>
      <c r="AJ1366" s="13">
        <v>0</v>
      </c>
      <c r="AK1366" s="13">
        <v>15</v>
      </c>
      <c r="AM1366" s="13" t="s">
        <v>523</v>
      </c>
      <c r="AP1366" s="13" t="s">
        <v>49</v>
      </c>
      <c r="AQ1366" s="13" t="s">
        <v>49</v>
      </c>
      <c r="AR1366" s="13" t="s">
        <v>49</v>
      </c>
      <c r="AS1366" s="13" t="s">
        <v>49</v>
      </c>
      <c r="AT1366" s="13" t="s">
        <v>990</v>
      </c>
      <c r="AU1366" s="13" t="s">
        <v>998</v>
      </c>
      <c r="AV1366" s="14">
        <f>2.21*10</f>
        <v>22.1</v>
      </c>
      <c r="AW1366" s="14">
        <f>1.47*10</f>
        <v>14.7</v>
      </c>
      <c r="AX1366" s="14">
        <f>Table1347456[[#This Row],[treatment_mean]]/Table1347456[[#This Row],[control_mean]]</f>
        <v>1.5034013605442178</v>
      </c>
      <c r="AY1366" s="14">
        <f>LN(Table1347456[[#This Row],[rr]])</f>
        <v>0.4077301147390166</v>
      </c>
      <c r="AZ1366" s="13">
        <v>3</v>
      </c>
      <c r="BA1366" s="13">
        <v>3</v>
      </c>
      <c r="BB1366" s="14">
        <v>0</v>
      </c>
      <c r="BC1366" s="14">
        <v>0</v>
      </c>
      <c r="BD1366" s="15">
        <f>Table1347456[[#This Row],[treatment_se]]*SQRT(Table1347456[[#This Row],[treatment_n]])</f>
        <v>0</v>
      </c>
      <c r="BE1366" s="14">
        <f>Table1347456[[#This Row],[control_se]]*SQRT(Table1347456[[#This Row],[control_n]])</f>
        <v>0</v>
      </c>
      <c r="BF136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66" s="17">
        <f>SQRT(Table1347456[[#This Row],[v_from_sd_and_n]])</f>
        <v>0</v>
      </c>
      <c r="BH1366" s="13" t="s">
        <v>50</v>
      </c>
      <c r="BI1366" s="13">
        <v>0.05</v>
      </c>
      <c r="BJ1366" s="18">
        <f>ABS(_xlfn.NORM.S.INV(Table1347456[[#This Row],[p_value]]/2))</f>
        <v>1.9599639845400538</v>
      </c>
      <c r="BK1366" s="19">
        <f>(Table1347456[[#This Row],[lnrr]]/Table1347456[[#This Row],[z_from_p]])^2</f>
        <v>4.3276227658494745E-2</v>
      </c>
      <c r="BL1366" s="16">
        <f>(Table1347456[[#This Row],[lnrr]]/Table1347456[[#This Row],[z_from_p]])^2</f>
        <v>4.3276227658494745E-2</v>
      </c>
      <c r="BM1366" s="20">
        <f>SQRT(Table1347456[[#This Row],[v]])</f>
        <v>0.2080293913332795</v>
      </c>
      <c r="BN1366" s="20">
        <f>Table1347456[[#This Row],[lnrr]]-(1.96*Table1347456[[#This Row],[se]])</f>
        <v>-7.4922742112071283E-6</v>
      </c>
      <c r="BO1366" s="20">
        <f>Table1347456[[#This Row],[lnrr]]+(1.96 * Table1347456[[#This Row],[se]])</f>
        <v>0.81546772175224436</v>
      </c>
    </row>
    <row r="1367" spans="1:67">
      <c r="A1367" s="13" t="s">
        <v>360</v>
      </c>
      <c r="B1367" s="13" t="s">
        <v>420</v>
      </c>
      <c r="C1367" s="13" t="s">
        <v>43</v>
      </c>
      <c r="D1367" s="13" t="s">
        <v>421</v>
      </c>
      <c r="E1367" s="13" t="s">
        <v>249</v>
      </c>
      <c r="F1367" s="13" t="s">
        <v>588</v>
      </c>
      <c r="G1367" s="13" t="s">
        <v>46</v>
      </c>
      <c r="H1367" s="13">
        <v>32</v>
      </c>
      <c r="I1367" s="13">
        <v>1400</v>
      </c>
      <c r="K1367" s="13" t="s">
        <v>884</v>
      </c>
      <c r="L1367" s="13" t="s">
        <v>948</v>
      </c>
      <c r="N1367" s="13" t="s">
        <v>121</v>
      </c>
      <c r="O1367" s="13" t="s">
        <v>645</v>
      </c>
      <c r="P1367" s="13" t="s">
        <v>422</v>
      </c>
      <c r="Q1367" s="13" t="s">
        <v>48</v>
      </c>
      <c r="R1367" s="4">
        <v>3</v>
      </c>
      <c r="S1367" s="13" t="s">
        <v>594</v>
      </c>
      <c r="T1367" s="13">
        <v>336</v>
      </c>
      <c r="U1367" s="4" t="s">
        <v>147</v>
      </c>
      <c r="V1367" s="4">
        <v>580</v>
      </c>
      <c r="W1367" s="4" t="s">
        <v>601</v>
      </c>
      <c r="X1367" s="4">
        <v>520.29999999999995</v>
      </c>
      <c r="Y1367" s="4">
        <v>20</v>
      </c>
      <c r="AA1367" s="4" t="s">
        <v>49</v>
      </c>
      <c r="AB1367" s="4">
        <v>0</v>
      </c>
      <c r="AC1367" s="4" t="s">
        <v>49</v>
      </c>
      <c r="AD1367" s="4">
        <v>0</v>
      </c>
      <c r="AE1367" s="4" t="s">
        <v>49</v>
      </c>
      <c r="AF1367" s="4">
        <v>0</v>
      </c>
      <c r="AG1367" s="4" t="s">
        <v>683</v>
      </c>
      <c r="AH1367" s="4" t="s">
        <v>684</v>
      </c>
      <c r="AI1367" s="4" t="s">
        <v>78</v>
      </c>
      <c r="AJ1367" s="13">
        <v>0</v>
      </c>
      <c r="AK1367" s="13">
        <v>15</v>
      </c>
      <c r="AM1367" s="13" t="s">
        <v>523</v>
      </c>
      <c r="AP1367" s="13" t="s">
        <v>49</v>
      </c>
      <c r="AQ1367" s="13" t="s">
        <v>49</v>
      </c>
      <c r="AR1367" s="13" t="s">
        <v>49</v>
      </c>
      <c r="AS1367" s="13" t="s">
        <v>49</v>
      </c>
      <c r="AT1367" s="13" t="s">
        <v>990</v>
      </c>
      <c r="AU1367" s="13" t="s">
        <v>998</v>
      </c>
      <c r="AV1367" s="14">
        <f>(2.48*10)</f>
        <v>24.8</v>
      </c>
      <c r="AW1367" s="14">
        <f>1.47*10</f>
        <v>14.7</v>
      </c>
      <c r="AX1367" s="14">
        <f>Table1347456[[#This Row],[treatment_mean]]/Table1347456[[#This Row],[control_mean]]</f>
        <v>1.6870748299319729</v>
      </c>
      <c r="AY1367" s="14">
        <f>LN(Table1347456[[#This Row],[rr]])</f>
        <v>0.52299615938624588</v>
      </c>
      <c r="AZ1367" s="13">
        <v>3</v>
      </c>
      <c r="BA1367" s="13">
        <v>3</v>
      </c>
      <c r="BB1367" s="14">
        <v>0</v>
      </c>
      <c r="BC1367" s="14">
        <v>0</v>
      </c>
      <c r="BD1367" s="15">
        <f>Table1347456[[#This Row],[treatment_se]]*SQRT(Table1347456[[#This Row],[treatment_n]])</f>
        <v>0</v>
      </c>
      <c r="BE1367" s="14">
        <f>Table1347456[[#This Row],[control_se]]*SQRT(Table1347456[[#This Row],[control_n]])</f>
        <v>0</v>
      </c>
      <c r="BF136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67" s="17">
        <f>SQRT(Table1347456[[#This Row],[v_from_sd_and_n]])</f>
        <v>0</v>
      </c>
      <c r="BH1367" s="13" t="s">
        <v>50</v>
      </c>
      <c r="BI1367" s="13">
        <v>0.05</v>
      </c>
      <c r="BJ1367" s="18">
        <f>ABS(_xlfn.NORM.S.INV(Table1347456[[#This Row],[p_value]]/2))</f>
        <v>1.9599639845400538</v>
      </c>
      <c r="BK1367" s="19">
        <f>(Table1347456[[#This Row],[lnrr]]/Table1347456[[#This Row],[z_from_p]])^2</f>
        <v>7.120341398930824E-2</v>
      </c>
      <c r="BL1367" s="16">
        <f>(Table1347456[[#This Row],[lnrr]]/Table1347456[[#This Row],[z_from_p]])^2</f>
        <v>7.120341398930824E-2</v>
      </c>
      <c r="BM1367" s="20">
        <f>SQRT(Table1347456[[#This Row],[v]])</f>
        <v>0.26683967843877388</v>
      </c>
      <c r="BN1367" s="20">
        <f>Table1347456[[#This Row],[lnrr]]-(1.96*Table1347456[[#This Row],[se]])</f>
        <v>-9.6103537509106829E-6</v>
      </c>
      <c r="BO1367" s="20">
        <f>Table1347456[[#This Row],[lnrr]]+(1.96 * Table1347456[[#This Row],[se]])</f>
        <v>1.0460019291262426</v>
      </c>
    </row>
    <row r="1368" spans="1:67">
      <c r="A1368" s="13" t="s">
        <v>360</v>
      </c>
      <c r="B1368" s="13" t="s">
        <v>420</v>
      </c>
      <c r="C1368" s="13" t="s">
        <v>43</v>
      </c>
      <c r="D1368" s="13" t="s">
        <v>421</v>
      </c>
      <c r="E1368" s="13" t="s">
        <v>249</v>
      </c>
      <c r="F1368" s="13" t="s">
        <v>588</v>
      </c>
      <c r="G1368" s="13" t="s">
        <v>46</v>
      </c>
      <c r="H1368" s="13">
        <v>32</v>
      </c>
      <c r="I1368" s="13">
        <v>1400</v>
      </c>
      <c r="K1368" s="13" t="s">
        <v>884</v>
      </c>
      <c r="L1368" s="13" t="s">
        <v>948</v>
      </c>
      <c r="N1368" s="13" t="s">
        <v>121</v>
      </c>
      <c r="O1368" s="13" t="s">
        <v>645</v>
      </c>
      <c r="P1368" s="13" t="s">
        <v>422</v>
      </c>
      <c r="Q1368" s="13" t="s">
        <v>48</v>
      </c>
      <c r="R1368" s="4">
        <v>3</v>
      </c>
      <c r="S1368" s="13" t="s">
        <v>594</v>
      </c>
      <c r="T1368" s="13">
        <v>336</v>
      </c>
      <c r="U1368" s="4" t="s">
        <v>147</v>
      </c>
      <c r="V1368" s="4">
        <v>580</v>
      </c>
      <c r="W1368" s="4" t="s">
        <v>601</v>
      </c>
      <c r="X1368" s="4">
        <v>520.29999999999995</v>
      </c>
      <c r="Y1368" s="4">
        <v>30</v>
      </c>
      <c r="AA1368" s="4" t="s">
        <v>49</v>
      </c>
      <c r="AB1368" s="4">
        <v>0</v>
      </c>
      <c r="AC1368" s="4" t="s">
        <v>49</v>
      </c>
      <c r="AD1368" s="4">
        <v>0</v>
      </c>
      <c r="AE1368" s="4" t="s">
        <v>49</v>
      </c>
      <c r="AF1368" s="4">
        <v>0</v>
      </c>
      <c r="AG1368" s="4" t="s">
        <v>683</v>
      </c>
      <c r="AH1368" s="4" t="s">
        <v>684</v>
      </c>
      <c r="AI1368" s="4" t="s">
        <v>78</v>
      </c>
      <c r="AJ1368" s="13">
        <v>0</v>
      </c>
      <c r="AK1368" s="13">
        <v>15</v>
      </c>
      <c r="AM1368" s="13" t="s">
        <v>523</v>
      </c>
      <c r="AP1368" s="13" t="s">
        <v>49</v>
      </c>
      <c r="AQ1368" s="13" t="s">
        <v>49</v>
      </c>
      <c r="AR1368" s="13" t="s">
        <v>49</v>
      </c>
      <c r="AS1368" s="13" t="s">
        <v>49</v>
      </c>
      <c r="AT1368" s="13" t="s">
        <v>990</v>
      </c>
      <c r="AU1368" s="13" t="s">
        <v>998</v>
      </c>
      <c r="AV1368" s="14">
        <f>2.67*10</f>
        <v>26.7</v>
      </c>
      <c r="AW1368" s="14">
        <f>1.47*10</f>
        <v>14.7</v>
      </c>
      <c r="AX1368" s="14">
        <f>Table1347456[[#This Row],[treatment_mean]]/Table1347456[[#This Row],[control_mean]]</f>
        <v>1.8163265306122449</v>
      </c>
      <c r="AY1368" s="14">
        <f>LN(Table1347456[[#This Row],[rr]])</f>
        <v>0.59681607162151329</v>
      </c>
      <c r="AZ1368" s="13">
        <v>3</v>
      </c>
      <c r="BA1368" s="13">
        <v>3</v>
      </c>
      <c r="BB1368" s="14">
        <v>0</v>
      </c>
      <c r="BC1368" s="14">
        <v>0</v>
      </c>
      <c r="BD1368" s="15">
        <f>Table1347456[[#This Row],[treatment_se]]*SQRT(Table1347456[[#This Row],[treatment_n]])</f>
        <v>0</v>
      </c>
      <c r="BE1368" s="14">
        <f>Table1347456[[#This Row],[control_se]]*SQRT(Table1347456[[#This Row],[control_n]])</f>
        <v>0</v>
      </c>
      <c r="BF136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68" s="17">
        <f>SQRT(Table1347456[[#This Row],[v_from_sd_and_n]])</f>
        <v>0</v>
      </c>
      <c r="BH1368" s="13" t="s">
        <v>50</v>
      </c>
      <c r="BI1368" s="13">
        <v>0.05</v>
      </c>
      <c r="BJ1368" s="18">
        <f>ABS(_xlfn.NORM.S.INV(Table1347456[[#This Row],[p_value]]/2))</f>
        <v>1.9599639845400538</v>
      </c>
      <c r="BK1368" s="19">
        <f>(Table1347456[[#This Row],[lnrr]]/Table1347456[[#This Row],[z_from_p]])^2</f>
        <v>9.2722436962469998E-2</v>
      </c>
      <c r="BL1368" s="16">
        <f>(Table1347456[[#This Row],[lnrr]]/Table1347456[[#This Row],[z_from_p]])^2</f>
        <v>9.2722436962469998E-2</v>
      </c>
      <c r="BM1368" s="20">
        <f>SQRT(Table1347456[[#This Row],[v]])</f>
        <v>0.30450359105020419</v>
      </c>
      <c r="BN1368" s="20">
        <f>Table1347456[[#This Row],[lnrr]]-(1.96*Table1347456[[#This Row],[se]])</f>
        <v>-1.0966836886949771E-5</v>
      </c>
      <c r="BO1368" s="20">
        <f>Table1347456[[#This Row],[lnrr]]+(1.96 * Table1347456[[#This Row],[se]])</f>
        <v>1.1936431100799134</v>
      </c>
    </row>
    <row r="1369" spans="1:67">
      <c r="A1369" s="13" t="s">
        <v>360</v>
      </c>
      <c r="B1369" s="13" t="s">
        <v>420</v>
      </c>
      <c r="C1369" s="13" t="s">
        <v>43</v>
      </c>
      <c r="D1369" s="13" t="s">
        <v>421</v>
      </c>
      <c r="E1369" s="13" t="s">
        <v>249</v>
      </c>
      <c r="F1369" s="13" t="s">
        <v>588</v>
      </c>
      <c r="G1369" s="13" t="s">
        <v>46</v>
      </c>
      <c r="H1369" s="13">
        <v>32</v>
      </c>
      <c r="I1369" s="13">
        <v>1400</v>
      </c>
      <c r="K1369" s="13" t="s">
        <v>884</v>
      </c>
      <c r="L1369" s="13" t="s">
        <v>948</v>
      </c>
      <c r="N1369" s="13" t="s">
        <v>122</v>
      </c>
      <c r="O1369" s="13" t="s">
        <v>645</v>
      </c>
      <c r="P1369" s="13" t="s">
        <v>422</v>
      </c>
      <c r="Q1369" s="13" t="s">
        <v>48</v>
      </c>
      <c r="R1369" s="4">
        <v>3</v>
      </c>
      <c r="S1369" s="13" t="s">
        <v>594</v>
      </c>
      <c r="T1369" s="13">
        <v>336</v>
      </c>
      <c r="U1369" s="4" t="s">
        <v>147</v>
      </c>
      <c r="V1369" s="4">
        <v>580</v>
      </c>
      <c r="W1369" s="4" t="s">
        <v>601</v>
      </c>
      <c r="X1369" s="4">
        <v>520.29999999999995</v>
      </c>
      <c r="Y1369" s="4">
        <v>10</v>
      </c>
      <c r="AA1369" s="4" t="s">
        <v>49</v>
      </c>
      <c r="AB1369" s="4">
        <v>0</v>
      </c>
      <c r="AC1369" s="4" t="s">
        <v>50</v>
      </c>
      <c r="AD1369" s="4">
        <v>7.5</v>
      </c>
      <c r="AE1369" s="4" t="s">
        <v>49</v>
      </c>
      <c r="AF1369" s="4">
        <v>0</v>
      </c>
      <c r="AG1369" s="4" t="s">
        <v>683</v>
      </c>
      <c r="AH1369" s="4" t="s">
        <v>684</v>
      </c>
      <c r="AI1369" s="4" t="s">
        <v>78</v>
      </c>
      <c r="AJ1369" s="13">
        <v>0</v>
      </c>
      <c r="AK1369" s="13">
        <v>15</v>
      </c>
      <c r="AM1369" s="13" t="s">
        <v>523</v>
      </c>
      <c r="AP1369" s="13" t="s">
        <v>49</v>
      </c>
      <c r="AQ1369" s="13" t="s">
        <v>49</v>
      </c>
      <c r="AR1369" s="13" t="s">
        <v>49</v>
      </c>
      <c r="AS1369" s="13" t="s">
        <v>49</v>
      </c>
      <c r="AT1369" s="13" t="s">
        <v>993</v>
      </c>
      <c r="AU1369" s="13" t="s">
        <v>1001</v>
      </c>
      <c r="AV1369" s="14">
        <f>2.56*10</f>
        <v>25.6</v>
      </c>
      <c r="AW1369" s="14">
        <f>2.33*10</f>
        <v>23.3</v>
      </c>
      <c r="AX1369" s="14">
        <f>Table1347456[[#This Row],[treatment_mean]]/Table1347456[[#This Row],[control_mean]]</f>
        <v>1.0987124463519313</v>
      </c>
      <c r="AY1369" s="14">
        <f>LN(Table1347456[[#This Row],[rr]])</f>
        <v>9.4138990913861909E-2</v>
      </c>
      <c r="AZ1369" s="13">
        <v>3</v>
      </c>
      <c r="BA1369" s="13">
        <v>3</v>
      </c>
      <c r="BB1369" s="14">
        <v>0</v>
      </c>
      <c r="BC1369" s="14">
        <v>0</v>
      </c>
      <c r="BD1369" s="15">
        <f>Table1347456[[#This Row],[treatment_se]]*SQRT(Table1347456[[#This Row],[treatment_n]])</f>
        <v>0</v>
      </c>
      <c r="BE1369" s="14">
        <f>Table1347456[[#This Row],[control_se]]*SQRT(Table1347456[[#This Row],[control_n]])</f>
        <v>0</v>
      </c>
      <c r="BF136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69" s="17">
        <f>SQRT(Table1347456[[#This Row],[v_from_sd_and_n]])</f>
        <v>0</v>
      </c>
      <c r="BH1369" s="13" t="s">
        <v>50</v>
      </c>
      <c r="BI1369" s="13">
        <v>0.05</v>
      </c>
      <c r="BJ1369" s="18">
        <f>ABS(_xlfn.NORM.S.INV(Table1347456[[#This Row],[p_value]]/2))</f>
        <v>1.9599639845400538</v>
      </c>
      <c r="BK1369" s="19">
        <f>(Table1347456[[#This Row],[lnrr]]/Table1347456[[#This Row],[z_from_p]])^2</f>
        <v>2.306975038373273E-3</v>
      </c>
      <c r="BL1369" s="16">
        <f>(Table1347456[[#This Row],[lnrr]]/Table1347456[[#This Row],[z_from_p]])^2</f>
        <v>2.306975038373273E-3</v>
      </c>
      <c r="BM1369" s="20">
        <f>SQRT(Table1347456[[#This Row],[v]])</f>
        <v>4.8030979985560079E-2</v>
      </c>
      <c r="BN1369" s="20">
        <f>Table1347456[[#This Row],[lnrr]]-(1.96*Table1347456[[#This Row],[se]])</f>
        <v>-1.7298578358498906E-6</v>
      </c>
      <c r="BO1369" s="20">
        <f>Table1347456[[#This Row],[lnrr]]+(1.96 * Table1347456[[#This Row],[se]])</f>
        <v>0.18827971168555968</v>
      </c>
    </row>
    <row r="1370" spans="1:67">
      <c r="A1370" s="13" t="s">
        <v>360</v>
      </c>
      <c r="B1370" s="13" t="s">
        <v>420</v>
      </c>
      <c r="C1370" s="13" t="s">
        <v>43</v>
      </c>
      <c r="D1370" s="13" t="s">
        <v>421</v>
      </c>
      <c r="E1370" s="13" t="s">
        <v>249</v>
      </c>
      <c r="F1370" s="13" t="s">
        <v>588</v>
      </c>
      <c r="G1370" s="13" t="s">
        <v>46</v>
      </c>
      <c r="H1370" s="13">
        <v>32</v>
      </c>
      <c r="I1370" s="13">
        <v>1400</v>
      </c>
      <c r="K1370" s="13" t="s">
        <v>884</v>
      </c>
      <c r="L1370" s="13" t="s">
        <v>948</v>
      </c>
      <c r="N1370" s="13" t="s">
        <v>122</v>
      </c>
      <c r="O1370" s="13" t="s">
        <v>645</v>
      </c>
      <c r="P1370" s="13" t="s">
        <v>422</v>
      </c>
      <c r="Q1370" s="13" t="s">
        <v>48</v>
      </c>
      <c r="R1370" s="4">
        <v>3</v>
      </c>
      <c r="S1370" s="13" t="s">
        <v>594</v>
      </c>
      <c r="T1370" s="13">
        <v>336</v>
      </c>
      <c r="U1370" s="4" t="s">
        <v>147</v>
      </c>
      <c r="V1370" s="4">
        <v>580</v>
      </c>
      <c r="W1370" s="4" t="s">
        <v>601</v>
      </c>
      <c r="X1370" s="4">
        <v>520.29999999999995</v>
      </c>
      <c r="Y1370" s="4">
        <v>20</v>
      </c>
      <c r="AA1370" s="4" t="s">
        <v>49</v>
      </c>
      <c r="AB1370" s="4">
        <v>0</v>
      </c>
      <c r="AC1370" s="4" t="s">
        <v>50</v>
      </c>
      <c r="AD1370" s="4">
        <v>7.5</v>
      </c>
      <c r="AE1370" s="4" t="s">
        <v>49</v>
      </c>
      <c r="AF1370" s="4">
        <v>0</v>
      </c>
      <c r="AG1370" s="4" t="s">
        <v>683</v>
      </c>
      <c r="AH1370" s="4" t="s">
        <v>684</v>
      </c>
      <c r="AI1370" s="4" t="s">
        <v>78</v>
      </c>
      <c r="AJ1370" s="13">
        <v>0</v>
      </c>
      <c r="AK1370" s="13">
        <v>15</v>
      </c>
      <c r="AM1370" s="13" t="s">
        <v>523</v>
      </c>
      <c r="AP1370" s="13" t="s">
        <v>49</v>
      </c>
      <c r="AQ1370" s="13" t="s">
        <v>49</v>
      </c>
      <c r="AR1370" s="13" t="s">
        <v>49</v>
      </c>
      <c r="AS1370" s="13" t="s">
        <v>49</v>
      </c>
      <c r="AT1370" s="13" t="s">
        <v>993</v>
      </c>
      <c r="AU1370" s="13" t="s">
        <v>1001</v>
      </c>
      <c r="AV1370" s="14">
        <f>(2.83*10)</f>
        <v>28.3</v>
      </c>
      <c r="AW1370" s="14">
        <f>2.33*10</f>
        <v>23.3</v>
      </c>
      <c r="AX1370" s="14">
        <f>Table1347456[[#This Row],[treatment_mean]]/Table1347456[[#This Row],[control_mean]]</f>
        <v>1.2145922746781115</v>
      </c>
      <c r="AY1370" s="14">
        <f>LN(Table1347456[[#This Row],[rr]])</f>
        <v>0.19440844407753696</v>
      </c>
      <c r="AZ1370" s="13">
        <v>3</v>
      </c>
      <c r="BA1370" s="13">
        <v>3</v>
      </c>
      <c r="BB1370" s="14">
        <v>0</v>
      </c>
      <c r="BC1370" s="14">
        <v>0</v>
      </c>
      <c r="BD1370" s="15">
        <f>Table1347456[[#This Row],[treatment_se]]*SQRT(Table1347456[[#This Row],[treatment_n]])</f>
        <v>0</v>
      </c>
      <c r="BE1370" s="14">
        <f>Table1347456[[#This Row],[control_se]]*SQRT(Table1347456[[#This Row],[control_n]])</f>
        <v>0</v>
      </c>
      <c r="BF137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70" s="17">
        <f>SQRT(Table1347456[[#This Row],[v_from_sd_and_n]])</f>
        <v>0</v>
      </c>
      <c r="BH1370" s="13" t="s">
        <v>50</v>
      </c>
      <c r="BI1370" s="13">
        <v>0.05</v>
      </c>
      <c r="BJ1370" s="18">
        <f>ABS(_xlfn.NORM.S.INV(Table1347456[[#This Row],[p_value]]/2))</f>
        <v>1.9599639845400538</v>
      </c>
      <c r="BK1370" s="19">
        <f>(Table1347456[[#This Row],[lnrr]]/Table1347456[[#This Row],[z_from_p]])^2</f>
        <v>9.8386172786877873E-3</v>
      </c>
      <c r="BL1370" s="16">
        <f>(Table1347456[[#This Row],[lnrr]]/Table1347456[[#This Row],[z_from_p]])^2</f>
        <v>9.8386172786877873E-3</v>
      </c>
      <c r="BM1370" s="20">
        <f>SQRT(Table1347456[[#This Row],[v]])</f>
        <v>9.918980430814342E-2</v>
      </c>
      <c r="BN1370" s="20">
        <f>Table1347456[[#This Row],[lnrr]]-(1.96*Table1347456[[#This Row],[se]])</f>
        <v>-3.5723664241482656E-6</v>
      </c>
      <c r="BO1370" s="20">
        <f>Table1347456[[#This Row],[lnrr]]+(1.96 * Table1347456[[#This Row],[se]])</f>
        <v>0.3888204605214981</v>
      </c>
    </row>
    <row r="1371" spans="1:67">
      <c r="A1371" s="13" t="s">
        <v>360</v>
      </c>
      <c r="B1371" s="13" t="s">
        <v>420</v>
      </c>
      <c r="C1371" s="13" t="s">
        <v>43</v>
      </c>
      <c r="D1371" s="13" t="s">
        <v>421</v>
      </c>
      <c r="E1371" s="13" t="s">
        <v>249</v>
      </c>
      <c r="F1371" s="13" t="s">
        <v>588</v>
      </c>
      <c r="G1371" s="13" t="s">
        <v>46</v>
      </c>
      <c r="H1371" s="13">
        <v>32</v>
      </c>
      <c r="I1371" s="13">
        <v>1400</v>
      </c>
      <c r="K1371" s="13" t="s">
        <v>884</v>
      </c>
      <c r="L1371" s="13" t="s">
        <v>948</v>
      </c>
      <c r="N1371" s="13" t="s">
        <v>122</v>
      </c>
      <c r="O1371" s="13" t="s">
        <v>645</v>
      </c>
      <c r="P1371" s="13" t="s">
        <v>422</v>
      </c>
      <c r="Q1371" s="13" t="s">
        <v>48</v>
      </c>
      <c r="R1371" s="4">
        <v>3</v>
      </c>
      <c r="S1371" s="13" t="s">
        <v>594</v>
      </c>
      <c r="T1371" s="13">
        <v>336</v>
      </c>
      <c r="U1371" s="4" t="s">
        <v>147</v>
      </c>
      <c r="V1371" s="4">
        <v>580</v>
      </c>
      <c r="W1371" s="4" t="s">
        <v>601</v>
      </c>
      <c r="X1371" s="4">
        <v>520.29999999999995</v>
      </c>
      <c r="Y1371" s="4">
        <v>30</v>
      </c>
      <c r="AA1371" s="4" t="s">
        <v>49</v>
      </c>
      <c r="AB1371" s="4">
        <v>0</v>
      </c>
      <c r="AC1371" s="4" t="s">
        <v>50</v>
      </c>
      <c r="AD1371" s="4">
        <v>7.5</v>
      </c>
      <c r="AE1371" s="4" t="s">
        <v>49</v>
      </c>
      <c r="AF1371" s="4">
        <v>0</v>
      </c>
      <c r="AG1371" s="4" t="s">
        <v>683</v>
      </c>
      <c r="AH1371" s="4" t="s">
        <v>684</v>
      </c>
      <c r="AI1371" s="4" t="s">
        <v>78</v>
      </c>
      <c r="AJ1371" s="13">
        <v>0</v>
      </c>
      <c r="AK1371" s="13">
        <v>15</v>
      </c>
      <c r="AM1371" s="13" t="s">
        <v>523</v>
      </c>
      <c r="AP1371" s="13" t="s">
        <v>49</v>
      </c>
      <c r="AQ1371" s="13" t="s">
        <v>49</v>
      </c>
      <c r="AR1371" s="13" t="s">
        <v>49</v>
      </c>
      <c r="AS1371" s="13" t="s">
        <v>49</v>
      </c>
      <c r="AT1371" s="13" t="s">
        <v>993</v>
      </c>
      <c r="AU1371" s="13" t="s">
        <v>1001</v>
      </c>
      <c r="AV1371" s="14">
        <f>3.86*10</f>
        <v>38.6</v>
      </c>
      <c r="AW1371" s="14">
        <f>2.33*10</f>
        <v>23.3</v>
      </c>
      <c r="AX1371" s="14">
        <f>Table1347456[[#This Row],[treatment_mean]]/Table1347456[[#This Row],[control_mean]]</f>
        <v>1.6566523605150214</v>
      </c>
      <c r="AY1371" s="14">
        <f>LN(Table1347456[[#This Row],[rr]])</f>
        <v>0.50479891589913028</v>
      </c>
      <c r="AZ1371" s="13">
        <v>3</v>
      </c>
      <c r="BA1371" s="13">
        <v>3</v>
      </c>
      <c r="BB1371" s="14">
        <v>0</v>
      </c>
      <c r="BC1371" s="14">
        <v>0</v>
      </c>
      <c r="BD1371" s="15">
        <f>Table1347456[[#This Row],[treatment_se]]*SQRT(Table1347456[[#This Row],[treatment_n]])</f>
        <v>0</v>
      </c>
      <c r="BE1371" s="14">
        <f>Table1347456[[#This Row],[control_se]]*SQRT(Table1347456[[#This Row],[control_n]])</f>
        <v>0</v>
      </c>
      <c r="BF137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71" s="17">
        <f>SQRT(Table1347456[[#This Row],[v_from_sd_and_n]])</f>
        <v>0</v>
      </c>
      <c r="BH1371" s="13" t="s">
        <v>50</v>
      </c>
      <c r="BI1371" s="13">
        <v>0.05</v>
      </c>
      <c r="BJ1371" s="18">
        <f>ABS(_xlfn.NORM.S.INV(Table1347456[[#This Row],[p_value]]/2))</f>
        <v>1.9599639845400538</v>
      </c>
      <c r="BK1371" s="19">
        <f>(Table1347456[[#This Row],[lnrr]]/Table1347456[[#This Row],[z_from_p]])^2</f>
        <v>6.6334681012379756E-2</v>
      </c>
      <c r="BL1371" s="16">
        <f>(Table1347456[[#This Row],[lnrr]]/Table1347456[[#This Row],[z_from_p]])^2</f>
        <v>6.6334681012379756E-2</v>
      </c>
      <c r="BM1371" s="20">
        <f>SQRT(Table1347456[[#This Row],[v]])</f>
        <v>0.25755519993271297</v>
      </c>
      <c r="BN1371" s="20">
        <f>Table1347456[[#This Row],[lnrr]]-(1.96*Table1347456[[#This Row],[se]])</f>
        <v>-9.2759689871435569E-6</v>
      </c>
      <c r="BO1371" s="20">
        <f>Table1347456[[#This Row],[lnrr]]+(1.96 * Table1347456[[#This Row],[se]])</f>
        <v>1.0096071077672477</v>
      </c>
    </row>
    <row r="1372" spans="1:67">
      <c r="A1372" s="13" t="s">
        <v>360</v>
      </c>
      <c r="B1372" s="13" t="s">
        <v>420</v>
      </c>
      <c r="C1372" s="13" t="s">
        <v>43</v>
      </c>
      <c r="D1372" s="13" t="s">
        <v>421</v>
      </c>
      <c r="E1372" s="13" t="s">
        <v>249</v>
      </c>
      <c r="F1372" s="13" t="s">
        <v>588</v>
      </c>
      <c r="G1372" s="13" t="s">
        <v>46</v>
      </c>
      <c r="H1372" s="13">
        <v>32</v>
      </c>
      <c r="I1372" s="13">
        <v>1400</v>
      </c>
      <c r="J1372" s="13" t="s">
        <v>656</v>
      </c>
      <c r="K1372" s="13" t="s">
        <v>884</v>
      </c>
      <c r="L1372" s="13" t="s">
        <v>948</v>
      </c>
      <c r="M1372" s="13" t="s">
        <v>803</v>
      </c>
      <c r="N1372" s="13" t="s">
        <v>119</v>
      </c>
      <c r="O1372" s="13" t="s">
        <v>645</v>
      </c>
      <c r="P1372" s="13" t="s">
        <v>422</v>
      </c>
      <c r="Q1372" s="13" t="s">
        <v>48</v>
      </c>
      <c r="R1372" s="4">
        <v>3</v>
      </c>
      <c r="S1372" s="13" t="s">
        <v>594</v>
      </c>
      <c r="T1372" s="13">
        <v>336</v>
      </c>
      <c r="U1372" s="4" t="s">
        <v>147</v>
      </c>
      <c r="V1372" s="4">
        <v>580</v>
      </c>
      <c r="W1372" s="4" t="s">
        <v>601</v>
      </c>
      <c r="X1372" s="4">
        <v>520.29999999999995</v>
      </c>
      <c r="Y1372" s="4">
        <v>10</v>
      </c>
      <c r="AA1372" s="4" t="s">
        <v>49</v>
      </c>
      <c r="AB1372" s="4">
        <v>0</v>
      </c>
      <c r="AC1372" s="4" t="s">
        <v>50</v>
      </c>
      <c r="AD1372" s="4">
        <v>7.5</v>
      </c>
      <c r="AE1372" s="4" t="s">
        <v>49</v>
      </c>
      <c r="AF1372" s="4">
        <v>0</v>
      </c>
      <c r="AG1372" s="4" t="s">
        <v>683</v>
      </c>
      <c r="AH1372" s="4" t="s">
        <v>684</v>
      </c>
      <c r="AI1372" s="4" t="s">
        <v>78</v>
      </c>
      <c r="AJ1372" s="13">
        <v>0</v>
      </c>
      <c r="AK1372" s="13">
        <v>15</v>
      </c>
      <c r="AM1372" s="13" t="s">
        <v>523</v>
      </c>
      <c r="AP1372" s="13" t="s">
        <v>49</v>
      </c>
      <c r="AQ1372" s="13" t="s">
        <v>49</v>
      </c>
      <c r="AR1372" s="13" t="s">
        <v>49</v>
      </c>
      <c r="AS1372" s="13" t="s">
        <v>49</v>
      </c>
      <c r="AT1372" s="13" t="s">
        <v>993</v>
      </c>
      <c r="AU1372" s="13" t="s">
        <v>1001</v>
      </c>
      <c r="AV1372" s="23">
        <f>0.21*10</f>
        <v>2.1</v>
      </c>
      <c r="AW1372" s="23">
        <f>0.16*10</f>
        <v>1.6</v>
      </c>
      <c r="AX1372" s="14">
        <f>Table1347456[[#This Row],[treatment_mean]]/Table1347456[[#This Row],[control_mean]]</f>
        <v>1.3125</v>
      </c>
      <c r="AY1372" s="14">
        <f>LN(Table1347456[[#This Row],[rr]])</f>
        <v>0.27193371548364176</v>
      </c>
      <c r="AZ1372" s="13">
        <v>3</v>
      </c>
      <c r="BA1372" s="13">
        <v>3</v>
      </c>
      <c r="BB1372" s="14">
        <v>0</v>
      </c>
      <c r="BC1372" s="14">
        <v>0</v>
      </c>
      <c r="BD1372" s="15">
        <f>Table1347456[[#This Row],[treatment_se]]*SQRT(Table1347456[[#This Row],[treatment_n]])</f>
        <v>0</v>
      </c>
      <c r="BE1372" s="14">
        <f>Table1347456[[#This Row],[control_se]]*SQRT(Table1347456[[#This Row],[control_n]])</f>
        <v>0</v>
      </c>
      <c r="BF137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72" s="17">
        <f>SQRT(Table1347456[[#This Row],[v_from_sd_and_n]])</f>
        <v>0</v>
      </c>
      <c r="BH1372" s="13" t="s">
        <v>50</v>
      </c>
      <c r="BI1372" s="13">
        <v>0.05</v>
      </c>
      <c r="BJ1372" s="18">
        <f>ABS(_xlfn.NORM.S.INV(Table1347456[[#This Row],[p_value]]/2))</f>
        <v>1.9599639845400538</v>
      </c>
      <c r="BK1372" s="19">
        <f>(Table1347456[[#This Row],[lnrr]]/Table1347456[[#This Row],[z_from_p]])^2</f>
        <v>1.9249964419344304E-2</v>
      </c>
      <c r="BL1372" s="16">
        <f>(Table1347456[[#This Row],[lnrr]]/Table1347456[[#This Row],[z_from_p]])^2</f>
        <v>1.9249964419344304E-2</v>
      </c>
      <c r="BM1372" s="20">
        <f>SQRT(Table1347456[[#This Row],[v]])</f>
        <v>0.13874424103127417</v>
      </c>
      <c r="BN1372" s="20">
        <f>Table1347456[[#This Row],[lnrr]]-(1.96*Table1347456[[#This Row],[se]])</f>
        <v>-4.9969376555991651E-6</v>
      </c>
      <c r="BO1372" s="20">
        <f>Table1347456[[#This Row],[lnrr]]+(1.96 * Table1347456[[#This Row],[se]])</f>
        <v>0.54387242790493917</v>
      </c>
    </row>
    <row r="1373" spans="1:67">
      <c r="A1373" s="13" t="s">
        <v>360</v>
      </c>
      <c r="B1373" s="13" t="s">
        <v>420</v>
      </c>
      <c r="C1373" s="13" t="s">
        <v>43</v>
      </c>
      <c r="D1373" s="13" t="s">
        <v>421</v>
      </c>
      <c r="E1373" s="13" t="s">
        <v>249</v>
      </c>
      <c r="F1373" s="13" t="s">
        <v>588</v>
      </c>
      <c r="G1373" s="13" t="s">
        <v>46</v>
      </c>
      <c r="H1373" s="13">
        <v>32</v>
      </c>
      <c r="I1373" s="13">
        <v>1400</v>
      </c>
      <c r="J1373" s="13" t="s">
        <v>656</v>
      </c>
      <c r="K1373" s="13" t="s">
        <v>884</v>
      </c>
      <c r="L1373" s="13" t="s">
        <v>948</v>
      </c>
      <c r="M1373" s="13" t="s">
        <v>803</v>
      </c>
      <c r="N1373" s="13" t="s">
        <v>119</v>
      </c>
      <c r="O1373" s="13" t="s">
        <v>645</v>
      </c>
      <c r="P1373" s="13" t="s">
        <v>422</v>
      </c>
      <c r="Q1373" s="13" t="s">
        <v>48</v>
      </c>
      <c r="R1373" s="4">
        <v>3</v>
      </c>
      <c r="S1373" s="13" t="s">
        <v>594</v>
      </c>
      <c r="T1373" s="13">
        <v>336</v>
      </c>
      <c r="U1373" s="4" t="s">
        <v>147</v>
      </c>
      <c r="V1373" s="4">
        <v>580</v>
      </c>
      <c r="W1373" s="4" t="s">
        <v>601</v>
      </c>
      <c r="X1373" s="4">
        <v>520.29999999999995</v>
      </c>
      <c r="Y1373" s="4">
        <v>20</v>
      </c>
      <c r="AA1373" s="4" t="s">
        <v>49</v>
      </c>
      <c r="AB1373" s="4">
        <v>0</v>
      </c>
      <c r="AC1373" s="4" t="s">
        <v>50</v>
      </c>
      <c r="AD1373" s="4">
        <v>7.5</v>
      </c>
      <c r="AE1373" s="4" t="s">
        <v>49</v>
      </c>
      <c r="AF1373" s="4">
        <v>0</v>
      </c>
      <c r="AG1373" s="4" t="s">
        <v>683</v>
      </c>
      <c r="AH1373" s="4" t="s">
        <v>684</v>
      </c>
      <c r="AI1373" s="4" t="s">
        <v>78</v>
      </c>
      <c r="AJ1373" s="13">
        <v>0</v>
      </c>
      <c r="AK1373" s="13">
        <v>15</v>
      </c>
      <c r="AM1373" s="13" t="s">
        <v>523</v>
      </c>
      <c r="AP1373" s="13" t="s">
        <v>49</v>
      </c>
      <c r="AQ1373" s="13" t="s">
        <v>49</v>
      </c>
      <c r="AR1373" s="13" t="s">
        <v>49</v>
      </c>
      <c r="AS1373" s="13" t="s">
        <v>49</v>
      </c>
      <c r="AT1373" s="13" t="s">
        <v>993</v>
      </c>
      <c r="AU1373" s="13" t="s">
        <v>1001</v>
      </c>
      <c r="AV1373" s="23">
        <f>0.25*10</f>
        <v>2.5</v>
      </c>
      <c r="AW1373" s="23">
        <f>0.16*10</f>
        <v>1.6</v>
      </c>
      <c r="AX1373" s="14">
        <f>Table1347456[[#This Row],[treatment_mean]]/Table1347456[[#This Row],[control_mean]]</f>
        <v>1.5625</v>
      </c>
      <c r="AY1373" s="14">
        <f>LN(Table1347456[[#This Row],[rr]])</f>
        <v>0.44628710262841953</v>
      </c>
      <c r="AZ1373" s="13">
        <v>3</v>
      </c>
      <c r="BA1373" s="13">
        <v>3</v>
      </c>
      <c r="BB1373" s="14">
        <v>0</v>
      </c>
      <c r="BC1373" s="14">
        <v>0</v>
      </c>
      <c r="BD1373" s="15">
        <f>Table1347456[[#This Row],[treatment_se]]*SQRT(Table1347456[[#This Row],[treatment_n]])</f>
        <v>0</v>
      </c>
      <c r="BE1373" s="14">
        <f>Table1347456[[#This Row],[control_se]]*SQRT(Table1347456[[#This Row],[control_n]])</f>
        <v>0</v>
      </c>
      <c r="BF137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73" s="17">
        <f>SQRT(Table1347456[[#This Row],[v_from_sd_and_n]])</f>
        <v>0</v>
      </c>
      <c r="BH1373" s="13" t="s">
        <v>50</v>
      </c>
      <c r="BI1373" s="13">
        <v>0.05</v>
      </c>
      <c r="BJ1373" s="18">
        <f>ABS(_xlfn.NORM.S.INV(Table1347456[[#This Row],[p_value]]/2))</f>
        <v>1.9599639845400538</v>
      </c>
      <c r="BK1373" s="19">
        <f>(Table1347456[[#This Row],[lnrr]]/Table1347456[[#This Row],[z_from_p]])^2</f>
        <v>5.1848057539890663E-2</v>
      </c>
      <c r="BL1373" s="16">
        <f>(Table1347456[[#This Row],[lnrr]]/Table1347456[[#This Row],[z_from_p]])^2</f>
        <v>5.1848057539890663E-2</v>
      </c>
      <c r="BM1373" s="20">
        <f>SQRT(Table1347456[[#This Row],[v]])</f>
        <v>0.22770168541293379</v>
      </c>
      <c r="BN1373" s="20">
        <f>Table1347456[[#This Row],[lnrr]]-(1.96*Table1347456[[#This Row],[se]])</f>
        <v>-8.2007809306672286E-6</v>
      </c>
      <c r="BO1373" s="20">
        <f>Table1347456[[#This Row],[lnrr]]+(1.96 * Table1347456[[#This Row],[se]])</f>
        <v>0.89258240603776973</v>
      </c>
    </row>
    <row r="1374" spans="1:67">
      <c r="A1374" s="13" t="s">
        <v>360</v>
      </c>
      <c r="B1374" s="13" t="s">
        <v>420</v>
      </c>
      <c r="C1374" s="13" t="s">
        <v>43</v>
      </c>
      <c r="D1374" s="13" t="s">
        <v>421</v>
      </c>
      <c r="E1374" s="13" t="s">
        <v>249</v>
      </c>
      <c r="F1374" s="13" t="s">
        <v>588</v>
      </c>
      <c r="G1374" s="13" t="s">
        <v>46</v>
      </c>
      <c r="H1374" s="13">
        <v>32</v>
      </c>
      <c r="I1374" s="13">
        <v>1400</v>
      </c>
      <c r="J1374" s="13" t="s">
        <v>656</v>
      </c>
      <c r="K1374" s="13" t="s">
        <v>884</v>
      </c>
      <c r="L1374" s="13" t="s">
        <v>948</v>
      </c>
      <c r="M1374" s="13" t="s">
        <v>803</v>
      </c>
      <c r="N1374" s="13" t="s">
        <v>119</v>
      </c>
      <c r="O1374" s="13" t="s">
        <v>645</v>
      </c>
      <c r="P1374" s="13" t="s">
        <v>422</v>
      </c>
      <c r="Q1374" s="13" t="s">
        <v>48</v>
      </c>
      <c r="R1374" s="4">
        <v>3</v>
      </c>
      <c r="S1374" s="13" t="s">
        <v>594</v>
      </c>
      <c r="T1374" s="13">
        <v>336</v>
      </c>
      <c r="U1374" s="4" t="s">
        <v>147</v>
      </c>
      <c r="V1374" s="4">
        <v>580</v>
      </c>
      <c r="W1374" s="4" t="s">
        <v>601</v>
      </c>
      <c r="X1374" s="4">
        <v>520.29999999999995</v>
      </c>
      <c r="Y1374" s="4">
        <v>30</v>
      </c>
      <c r="AA1374" s="4" t="s">
        <v>49</v>
      </c>
      <c r="AB1374" s="4">
        <v>0</v>
      </c>
      <c r="AC1374" s="4" t="s">
        <v>50</v>
      </c>
      <c r="AD1374" s="4">
        <v>7.5</v>
      </c>
      <c r="AE1374" s="4" t="s">
        <v>49</v>
      </c>
      <c r="AF1374" s="4">
        <v>0</v>
      </c>
      <c r="AG1374" s="4" t="s">
        <v>683</v>
      </c>
      <c r="AH1374" s="4" t="s">
        <v>684</v>
      </c>
      <c r="AI1374" s="4" t="s">
        <v>78</v>
      </c>
      <c r="AJ1374" s="13">
        <v>0</v>
      </c>
      <c r="AK1374" s="13">
        <v>15</v>
      </c>
      <c r="AM1374" s="13" t="s">
        <v>523</v>
      </c>
      <c r="AP1374" s="13" t="s">
        <v>49</v>
      </c>
      <c r="AQ1374" s="13" t="s">
        <v>49</v>
      </c>
      <c r="AR1374" s="13" t="s">
        <v>49</v>
      </c>
      <c r="AS1374" s="13" t="s">
        <v>49</v>
      </c>
      <c r="AT1374" s="13" t="s">
        <v>993</v>
      </c>
      <c r="AU1374" s="13" t="s">
        <v>1001</v>
      </c>
      <c r="AV1374" s="23">
        <f>0.29*10</f>
        <v>2.9</v>
      </c>
      <c r="AW1374" s="23">
        <f>0.16*10</f>
        <v>1.6</v>
      </c>
      <c r="AX1374" s="14">
        <f>Table1347456[[#This Row],[treatment_mean]]/Table1347456[[#This Row],[control_mean]]</f>
        <v>1.8124999999999998</v>
      </c>
      <c r="AY1374" s="14">
        <f>LN(Table1347456[[#This Row],[rr]])</f>
        <v>0.59470710774669266</v>
      </c>
      <c r="AZ1374" s="13">
        <v>3</v>
      </c>
      <c r="BA1374" s="13">
        <v>3</v>
      </c>
      <c r="BB1374" s="14">
        <v>0</v>
      </c>
      <c r="BC1374" s="14">
        <v>0</v>
      </c>
      <c r="BD1374" s="15">
        <f>Table1347456[[#This Row],[treatment_se]]*SQRT(Table1347456[[#This Row],[treatment_n]])</f>
        <v>0</v>
      </c>
      <c r="BE1374" s="14">
        <f>Table1347456[[#This Row],[control_se]]*SQRT(Table1347456[[#This Row],[control_n]])</f>
        <v>0</v>
      </c>
      <c r="BF137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74" s="17">
        <f>SQRT(Table1347456[[#This Row],[v_from_sd_and_n]])</f>
        <v>0</v>
      </c>
      <c r="BH1374" s="13" t="s">
        <v>50</v>
      </c>
      <c r="BI1374" s="13">
        <v>0.05</v>
      </c>
      <c r="BJ1374" s="18">
        <f>ABS(_xlfn.NORM.S.INV(Table1347456[[#This Row],[p_value]]/2))</f>
        <v>1.9599639845400538</v>
      </c>
      <c r="BK1374" s="19">
        <f>(Table1347456[[#This Row],[lnrr]]/Table1347456[[#This Row],[z_from_p]])^2</f>
        <v>9.2068289811975526E-2</v>
      </c>
      <c r="BL1374" s="16">
        <f>(Table1347456[[#This Row],[lnrr]]/Table1347456[[#This Row],[z_from_p]])^2</f>
        <v>9.2068289811975526E-2</v>
      </c>
      <c r="BM1374" s="20">
        <f>SQRT(Table1347456[[#This Row],[v]])</f>
        <v>0.30342756930110276</v>
      </c>
      <c r="BN1374" s="20">
        <f>Table1347456[[#This Row],[lnrr]]-(1.96*Table1347456[[#This Row],[se]])</f>
        <v>-1.0928083468697558E-5</v>
      </c>
      <c r="BO1374" s="20">
        <f>Table1347456[[#This Row],[lnrr]]+(1.96 * Table1347456[[#This Row],[se]])</f>
        <v>1.1894251435768539</v>
      </c>
    </row>
    <row r="1375" spans="1:67">
      <c r="A1375" s="13" t="s">
        <v>360</v>
      </c>
      <c r="B1375" s="13" t="s">
        <v>420</v>
      </c>
      <c r="C1375" s="13" t="s">
        <v>43</v>
      </c>
      <c r="D1375" s="13" t="s">
        <v>421</v>
      </c>
      <c r="E1375" s="13" t="s">
        <v>249</v>
      </c>
      <c r="F1375" s="13" t="s">
        <v>588</v>
      </c>
      <c r="G1375" s="13" t="s">
        <v>46</v>
      </c>
      <c r="H1375" s="13">
        <v>32</v>
      </c>
      <c r="I1375" s="13">
        <v>1400</v>
      </c>
      <c r="K1375" s="13" t="s">
        <v>884</v>
      </c>
      <c r="L1375" s="13" t="s">
        <v>948</v>
      </c>
      <c r="N1375" s="13" t="s">
        <v>121</v>
      </c>
      <c r="O1375" s="13" t="s">
        <v>645</v>
      </c>
      <c r="P1375" s="13" t="s">
        <v>422</v>
      </c>
      <c r="Q1375" s="13" t="s">
        <v>48</v>
      </c>
      <c r="R1375" s="4">
        <v>3</v>
      </c>
      <c r="S1375" s="13" t="s">
        <v>594</v>
      </c>
      <c r="T1375" s="13">
        <v>336</v>
      </c>
      <c r="U1375" s="4" t="s">
        <v>147</v>
      </c>
      <c r="V1375" s="4">
        <v>580</v>
      </c>
      <c r="W1375" s="4" t="s">
        <v>601</v>
      </c>
      <c r="X1375" s="4">
        <v>520.29999999999995</v>
      </c>
      <c r="Y1375" s="4">
        <v>10</v>
      </c>
      <c r="AA1375" s="4" t="s">
        <v>49</v>
      </c>
      <c r="AB1375" s="4">
        <v>0</v>
      </c>
      <c r="AC1375" s="4" t="s">
        <v>50</v>
      </c>
      <c r="AD1375" s="4">
        <v>7.5</v>
      </c>
      <c r="AE1375" s="4" t="s">
        <v>49</v>
      </c>
      <c r="AF1375" s="4">
        <v>0</v>
      </c>
      <c r="AG1375" s="4" t="s">
        <v>683</v>
      </c>
      <c r="AH1375" s="4" t="s">
        <v>684</v>
      </c>
      <c r="AI1375" s="4" t="s">
        <v>78</v>
      </c>
      <c r="AJ1375" s="13">
        <v>0</v>
      </c>
      <c r="AK1375" s="13">
        <v>15</v>
      </c>
      <c r="AM1375" s="13" t="s">
        <v>523</v>
      </c>
      <c r="AP1375" s="13" t="s">
        <v>49</v>
      </c>
      <c r="AQ1375" s="13" t="s">
        <v>49</v>
      </c>
      <c r="AR1375" s="13" t="s">
        <v>49</v>
      </c>
      <c r="AS1375" s="13" t="s">
        <v>49</v>
      </c>
      <c r="AT1375" s="13" t="s">
        <v>993</v>
      </c>
      <c r="AU1375" s="13" t="s">
        <v>1001</v>
      </c>
      <c r="AV1375" s="14">
        <f>2.3*10</f>
        <v>23</v>
      </c>
      <c r="AW1375" s="14">
        <f>1.93*10</f>
        <v>19.3</v>
      </c>
      <c r="AX1375" s="14">
        <f>Table1347456[[#This Row],[treatment_mean]]/Table1347456[[#This Row],[control_mean]]</f>
        <v>1.1917098445595855</v>
      </c>
      <c r="AY1375" s="14">
        <f>LN(Table1347456[[#This Row],[rr]])</f>
        <v>0.17538912001830984</v>
      </c>
      <c r="AZ1375" s="13">
        <v>3</v>
      </c>
      <c r="BA1375" s="13">
        <v>3</v>
      </c>
      <c r="BB1375" s="14">
        <v>0</v>
      </c>
      <c r="BC1375" s="14">
        <v>0</v>
      </c>
      <c r="BD1375" s="15">
        <f>Table1347456[[#This Row],[treatment_se]]*SQRT(Table1347456[[#This Row],[treatment_n]])</f>
        <v>0</v>
      </c>
      <c r="BE1375" s="14">
        <f>Table1347456[[#This Row],[control_se]]*SQRT(Table1347456[[#This Row],[control_n]])</f>
        <v>0</v>
      </c>
      <c r="BF137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75" s="17">
        <f>SQRT(Table1347456[[#This Row],[v_from_sd_and_n]])</f>
        <v>0</v>
      </c>
      <c r="BH1375" s="13" t="s">
        <v>50</v>
      </c>
      <c r="BI1375" s="13">
        <v>0.05</v>
      </c>
      <c r="BJ1375" s="18">
        <f>ABS(_xlfn.NORM.S.INV(Table1347456[[#This Row],[p_value]]/2))</f>
        <v>1.9599639845400538</v>
      </c>
      <c r="BK1375" s="19">
        <f>(Table1347456[[#This Row],[lnrr]]/Table1347456[[#This Row],[z_from_p]])^2</f>
        <v>8.0077243715549543E-3</v>
      </c>
      <c r="BL1375" s="16">
        <f>(Table1347456[[#This Row],[lnrr]]/Table1347456[[#This Row],[z_from_p]])^2</f>
        <v>8.0077243715549543E-3</v>
      </c>
      <c r="BM1375" s="20">
        <f>SQRT(Table1347456[[#This Row],[v]])</f>
        <v>8.9485889231514903E-2</v>
      </c>
      <c r="BN1375" s="20">
        <f>Table1347456[[#This Row],[lnrr]]-(1.96*Table1347456[[#This Row],[se]])</f>
        <v>-3.2228754593688347E-6</v>
      </c>
      <c r="BO1375" s="20">
        <f>Table1347456[[#This Row],[lnrr]]+(1.96 * Table1347456[[#This Row],[se]])</f>
        <v>0.35078146291207901</v>
      </c>
    </row>
    <row r="1376" spans="1:67">
      <c r="A1376" s="13" t="s">
        <v>360</v>
      </c>
      <c r="B1376" s="13" t="s">
        <v>420</v>
      </c>
      <c r="C1376" s="13" t="s">
        <v>43</v>
      </c>
      <c r="D1376" s="13" t="s">
        <v>421</v>
      </c>
      <c r="E1376" s="13" t="s">
        <v>249</v>
      </c>
      <c r="F1376" s="13" t="s">
        <v>588</v>
      </c>
      <c r="G1376" s="13" t="s">
        <v>46</v>
      </c>
      <c r="H1376" s="13">
        <v>32</v>
      </c>
      <c r="I1376" s="13">
        <v>1400</v>
      </c>
      <c r="K1376" s="13" t="s">
        <v>884</v>
      </c>
      <c r="L1376" s="13" t="s">
        <v>948</v>
      </c>
      <c r="N1376" s="13" t="s">
        <v>121</v>
      </c>
      <c r="O1376" s="13" t="s">
        <v>645</v>
      </c>
      <c r="P1376" s="13" t="s">
        <v>422</v>
      </c>
      <c r="Q1376" s="13" t="s">
        <v>48</v>
      </c>
      <c r="R1376" s="4">
        <v>3</v>
      </c>
      <c r="S1376" s="13" t="s">
        <v>594</v>
      </c>
      <c r="T1376" s="13">
        <v>336</v>
      </c>
      <c r="U1376" s="4" t="s">
        <v>147</v>
      </c>
      <c r="V1376" s="4">
        <v>580</v>
      </c>
      <c r="W1376" s="4" t="s">
        <v>601</v>
      </c>
      <c r="X1376" s="4">
        <v>520.29999999999995</v>
      </c>
      <c r="Y1376" s="4">
        <v>20</v>
      </c>
      <c r="AA1376" s="4" t="s">
        <v>49</v>
      </c>
      <c r="AB1376" s="4">
        <v>0</v>
      </c>
      <c r="AC1376" s="4" t="s">
        <v>50</v>
      </c>
      <c r="AD1376" s="4">
        <v>7.5</v>
      </c>
      <c r="AE1376" s="4" t="s">
        <v>49</v>
      </c>
      <c r="AF1376" s="4">
        <v>0</v>
      </c>
      <c r="AG1376" s="4" t="s">
        <v>683</v>
      </c>
      <c r="AH1376" s="4" t="s">
        <v>684</v>
      </c>
      <c r="AI1376" s="4" t="s">
        <v>78</v>
      </c>
      <c r="AJ1376" s="13">
        <v>0</v>
      </c>
      <c r="AK1376" s="13">
        <v>15</v>
      </c>
      <c r="AM1376" s="13" t="s">
        <v>523</v>
      </c>
      <c r="AP1376" s="13" t="s">
        <v>49</v>
      </c>
      <c r="AQ1376" s="13" t="s">
        <v>49</v>
      </c>
      <c r="AR1376" s="13" t="s">
        <v>49</v>
      </c>
      <c r="AS1376" s="13" t="s">
        <v>49</v>
      </c>
      <c r="AT1376" s="13" t="s">
        <v>993</v>
      </c>
      <c r="AU1376" s="13" t="s">
        <v>1001</v>
      </c>
      <c r="AV1376" s="14">
        <f>3.4*10</f>
        <v>34</v>
      </c>
      <c r="AW1376" s="14">
        <f>1.93*10</f>
        <v>19.3</v>
      </c>
      <c r="AX1376" s="14">
        <f>Table1347456[[#This Row],[treatment_mean]]/Table1347456[[#This Row],[control_mean]]</f>
        <v>1.7616580310880829</v>
      </c>
      <c r="AY1376" s="14">
        <f>LN(Table1347456[[#This Row],[rr]])</f>
        <v>0.56625542870532153</v>
      </c>
      <c r="AZ1376" s="13">
        <v>3</v>
      </c>
      <c r="BA1376" s="13">
        <v>3</v>
      </c>
      <c r="BB1376" s="14">
        <v>0</v>
      </c>
      <c r="BC1376" s="14">
        <v>0</v>
      </c>
      <c r="BD1376" s="15">
        <f>Table1347456[[#This Row],[treatment_se]]*SQRT(Table1347456[[#This Row],[treatment_n]])</f>
        <v>0</v>
      </c>
      <c r="BE1376" s="14">
        <f>Table1347456[[#This Row],[control_se]]*SQRT(Table1347456[[#This Row],[control_n]])</f>
        <v>0</v>
      </c>
      <c r="BF137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76" s="17">
        <f>SQRT(Table1347456[[#This Row],[v_from_sd_and_n]])</f>
        <v>0</v>
      </c>
      <c r="BH1376" s="13" t="s">
        <v>50</v>
      </c>
      <c r="BI1376" s="13">
        <v>0.05</v>
      </c>
      <c r="BJ1376" s="18">
        <f>ABS(_xlfn.NORM.S.INV(Table1347456[[#This Row],[p_value]]/2))</f>
        <v>1.9599639845400538</v>
      </c>
      <c r="BK1376" s="19">
        <f>(Table1347456[[#This Row],[lnrr]]/Table1347456[[#This Row],[z_from_p]])^2</f>
        <v>8.3469646690188679E-2</v>
      </c>
      <c r="BL1376" s="16">
        <f>(Table1347456[[#This Row],[lnrr]]/Table1347456[[#This Row],[z_from_p]])^2</f>
        <v>8.3469646690188679E-2</v>
      </c>
      <c r="BM1376" s="20">
        <f>SQRT(Table1347456[[#This Row],[v]])</f>
        <v>0.28891113978209404</v>
      </c>
      <c r="BN1376" s="20">
        <f>Table1347456[[#This Row],[lnrr]]-(1.96*Table1347456[[#This Row],[se]])</f>
        <v>-1.0405267582780375E-5</v>
      </c>
      <c r="BO1376" s="20">
        <f>Table1347456[[#This Row],[lnrr]]+(1.96 * Table1347456[[#This Row],[se]])</f>
        <v>1.1325212626782259</v>
      </c>
    </row>
    <row r="1377" spans="1:67">
      <c r="A1377" s="13" t="s">
        <v>360</v>
      </c>
      <c r="B1377" s="13" t="s">
        <v>420</v>
      </c>
      <c r="C1377" s="13" t="s">
        <v>43</v>
      </c>
      <c r="D1377" s="13" t="s">
        <v>421</v>
      </c>
      <c r="E1377" s="13" t="s">
        <v>249</v>
      </c>
      <c r="F1377" s="13" t="s">
        <v>588</v>
      </c>
      <c r="G1377" s="13" t="s">
        <v>46</v>
      </c>
      <c r="H1377" s="13">
        <v>32</v>
      </c>
      <c r="I1377" s="13">
        <v>1400</v>
      </c>
      <c r="K1377" s="13" t="s">
        <v>884</v>
      </c>
      <c r="L1377" s="13" t="s">
        <v>948</v>
      </c>
      <c r="N1377" s="13" t="s">
        <v>121</v>
      </c>
      <c r="O1377" s="13" t="s">
        <v>645</v>
      </c>
      <c r="P1377" s="13" t="s">
        <v>422</v>
      </c>
      <c r="Q1377" s="13" t="s">
        <v>48</v>
      </c>
      <c r="R1377" s="4">
        <v>3</v>
      </c>
      <c r="S1377" s="13" t="s">
        <v>594</v>
      </c>
      <c r="T1377" s="13">
        <v>336</v>
      </c>
      <c r="U1377" s="4" t="s">
        <v>147</v>
      </c>
      <c r="V1377" s="4">
        <v>580</v>
      </c>
      <c r="W1377" s="4" t="s">
        <v>601</v>
      </c>
      <c r="X1377" s="4">
        <v>520.29999999999995</v>
      </c>
      <c r="Y1377" s="4">
        <v>30</v>
      </c>
      <c r="AA1377" s="4" t="s">
        <v>49</v>
      </c>
      <c r="AB1377" s="4">
        <v>0</v>
      </c>
      <c r="AC1377" s="4" t="s">
        <v>50</v>
      </c>
      <c r="AD1377" s="4">
        <v>7.5</v>
      </c>
      <c r="AE1377" s="4" t="s">
        <v>49</v>
      </c>
      <c r="AF1377" s="4">
        <v>0</v>
      </c>
      <c r="AG1377" s="4" t="s">
        <v>683</v>
      </c>
      <c r="AH1377" s="4" t="s">
        <v>684</v>
      </c>
      <c r="AI1377" s="4" t="s">
        <v>78</v>
      </c>
      <c r="AJ1377" s="13">
        <v>0</v>
      </c>
      <c r="AK1377" s="13">
        <v>15</v>
      </c>
      <c r="AM1377" s="13" t="s">
        <v>523</v>
      </c>
      <c r="AP1377" s="13" t="s">
        <v>49</v>
      </c>
      <c r="AQ1377" s="13" t="s">
        <v>49</v>
      </c>
      <c r="AR1377" s="13" t="s">
        <v>49</v>
      </c>
      <c r="AS1377" s="13" t="s">
        <v>49</v>
      </c>
      <c r="AT1377" s="13" t="s">
        <v>993</v>
      </c>
      <c r="AU1377" s="13" t="s">
        <v>1001</v>
      </c>
      <c r="AV1377" s="14">
        <f>4.05*10</f>
        <v>40.5</v>
      </c>
      <c r="AW1377" s="14">
        <f>1.93*10</f>
        <v>19.3</v>
      </c>
      <c r="AX1377" s="14">
        <f>Table1347456[[#This Row],[treatment_mean]]/Table1347456[[#This Row],[control_mean]]</f>
        <v>2.0984455958549222</v>
      </c>
      <c r="AY1377" s="14">
        <f>LN(Table1347456[[#This Row],[rr]])</f>
        <v>0.74119687820165359</v>
      </c>
      <c r="AZ1377" s="13">
        <v>3</v>
      </c>
      <c r="BA1377" s="13">
        <v>3</v>
      </c>
      <c r="BB1377" s="14">
        <v>0</v>
      </c>
      <c r="BC1377" s="14">
        <v>0</v>
      </c>
      <c r="BD1377" s="15">
        <f>Table1347456[[#This Row],[treatment_se]]*SQRT(Table1347456[[#This Row],[treatment_n]])</f>
        <v>0</v>
      </c>
      <c r="BE1377" s="14">
        <f>Table1347456[[#This Row],[control_se]]*SQRT(Table1347456[[#This Row],[control_n]])</f>
        <v>0</v>
      </c>
      <c r="BF137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77" s="17">
        <f>SQRT(Table1347456[[#This Row],[v_from_sd_and_n]])</f>
        <v>0</v>
      </c>
      <c r="BH1377" s="13" t="s">
        <v>50</v>
      </c>
      <c r="BI1377" s="13">
        <v>0.05</v>
      </c>
      <c r="BJ1377" s="18">
        <f>ABS(_xlfn.NORM.S.INV(Table1347456[[#This Row],[p_value]]/2))</f>
        <v>1.9599639845400538</v>
      </c>
      <c r="BK1377" s="19">
        <f>(Table1347456[[#This Row],[lnrr]]/Table1347456[[#This Row],[z_from_p]])^2</f>
        <v>0.14301150627891129</v>
      </c>
      <c r="BL1377" s="16">
        <f>(Table1347456[[#This Row],[lnrr]]/Table1347456[[#This Row],[z_from_p]])^2</f>
        <v>0.14301150627891129</v>
      </c>
      <c r="BM1377" s="20">
        <f>SQRT(Table1347456[[#This Row],[v]])</f>
        <v>0.37816862148902741</v>
      </c>
      <c r="BN1377" s="20">
        <f>Table1347456[[#This Row],[lnrr]]-(1.96*Table1347456[[#This Row],[se]])</f>
        <v>-1.3619916840124091E-5</v>
      </c>
      <c r="BO1377" s="20">
        <f>Table1347456[[#This Row],[lnrr]]+(1.96 * Table1347456[[#This Row],[se]])</f>
        <v>1.4824073763201473</v>
      </c>
    </row>
    <row r="1378" spans="1:67">
      <c r="A1378" s="13" t="s">
        <v>360</v>
      </c>
      <c r="B1378" s="13" t="s">
        <v>420</v>
      </c>
      <c r="C1378" s="13" t="s">
        <v>43</v>
      </c>
      <c r="D1378" s="13" t="s">
        <v>421</v>
      </c>
      <c r="E1378" s="13" t="s">
        <v>249</v>
      </c>
      <c r="F1378" s="13" t="s">
        <v>588</v>
      </c>
      <c r="G1378" s="13" t="s">
        <v>46</v>
      </c>
      <c r="H1378" s="13">
        <v>32</v>
      </c>
      <c r="I1378" s="13">
        <v>1400</v>
      </c>
      <c r="K1378" s="13" t="s">
        <v>884</v>
      </c>
      <c r="L1378" s="13" t="s">
        <v>948</v>
      </c>
      <c r="N1378" s="13" t="s">
        <v>81</v>
      </c>
      <c r="O1378" s="13" t="s">
        <v>82</v>
      </c>
      <c r="P1378" s="13" t="s">
        <v>83</v>
      </c>
      <c r="Q1378" s="13" t="s">
        <v>83</v>
      </c>
      <c r="R1378" s="4">
        <v>3</v>
      </c>
      <c r="S1378" s="13" t="s">
        <v>594</v>
      </c>
      <c r="T1378" s="13">
        <v>336</v>
      </c>
      <c r="U1378" s="4" t="s">
        <v>147</v>
      </c>
      <c r="V1378" s="4">
        <v>580</v>
      </c>
      <c r="W1378" s="4" t="s">
        <v>601</v>
      </c>
      <c r="X1378" s="4">
        <v>520.29999999999995</v>
      </c>
      <c r="Y1378" s="4">
        <v>10</v>
      </c>
      <c r="AA1378" s="4" t="s">
        <v>49</v>
      </c>
      <c r="AB1378" s="4">
        <v>0</v>
      </c>
      <c r="AC1378" s="4" t="s">
        <v>49</v>
      </c>
      <c r="AD1378" s="4">
        <v>0</v>
      </c>
      <c r="AE1378" s="4" t="s">
        <v>49</v>
      </c>
      <c r="AF1378" s="4">
        <v>0</v>
      </c>
      <c r="AG1378" s="4" t="s">
        <v>683</v>
      </c>
      <c r="AH1378" s="4" t="s">
        <v>684</v>
      </c>
      <c r="AI1378" s="4" t="s">
        <v>78</v>
      </c>
      <c r="AJ1378" s="13">
        <v>0</v>
      </c>
      <c r="AK1378" s="13">
        <v>15</v>
      </c>
      <c r="AM1378" s="13" t="s">
        <v>523</v>
      </c>
      <c r="AP1378" s="13" t="s">
        <v>49</v>
      </c>
      <c r="AQ1378" s="13" t="s">
        <v>49</v>
      </c>
      <c r="AR1378" s="13" t="s">
        <v>49</v>
      </c>
      <c r="AS1378" s="13" t="s">
        <v>49</v>
      </c>
      <c r="AT1378" s="13" t="s">
        <v>990</v>
      </c>
      <c r="AU1378" s="13" t="s">
        <v>998</v>
      </c>
      <c r="AV1378" s="14">
        <v>5.0999999999999996</v>
      </c>
      <c r="AW1378" s="14">
        <v>4.5</v>
      </c>
      <c r="AX1378" s="14">
        <f>Table1347456[[#This Row],[treatment_mean]]/Table1347456[[#This Row],[control_mean]]</f>
        <v>1.1333333333333333</v>
      </c>
      <c r="AY1378" s="14">
        <f>LN(Table1347456[[#This Row],[rr]])</f>
        <v>0.12516314295400599</v>
      </c>
      <c r="AZ1378" s="13">
        <v>3</v>
      </c>
      <c r="BA1378" s="13">
        <v>3</v>
      </c>
      <c r="BB1378" s="14">
        <v>0</v>
      </c>
      <c r="BC1378" s="14">
        <v>0</v>
      </c>
      <c r="BD1378" s="15">
        <f>Table1347456[[#This Row],[treatment_se]]*SQRT(Table1347456[[#This Row],[treatment_n]])</f>
        <v>0</v>
      </c>
      <c r="BE1378" s="14">
        <f>Table1347456[[#This Row],[control_se]]*SQRT(Table1347456[[#This Row],[control_n]])</f>
        <v>0</v>
      </c>
      <c r="BF137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78" s="17">
        <f>SQRT(Table1347456[[#This Row],[v_from_sd_and_n]])</f>
        <v>0</v>
      </c>
      <c r="BH1378" s="13" t="s">
        <v>50</v>
      </c>
      <c r="BI1378" s="13">
        <v>0.05</v>
      </c>
      <c r="BJ1378" s="18">
        <f>ABS(_xlfn.NORM.S.INV(Table1347456[[#This Row],[p_value]]/2))</f>
        <v>1.9599639845400538</v>
      </c>
      <c r="BK1378" s="19">
        <f>(Table1347456[[#This Row],[lnrr]]/Table1347456[[#This Row],[z_from_p]])^2</f>
        <v>4.0780893627526222E-3</v>
      </c>
      <c r="BL1378" s="16">
        <f>(Table1347456[[#This Row],[lnrr]]/Table1347456[[#This Row],[z_from_p]])^2</f>
        <v>4.0780893627526222E-3</v>
      </c>
      <c r="BM1378" s="20">
        <f>SQRT(Table1347456[[#This Row],[v]])</f>
        <v>6.3859919846118052E-2</v>
      </c>
      <c r="BN1378" s="20">
        <f>Table1347456[[#This Row],[lnrr]]-(1.96*Table1347456[[#This Row],[se]])</f>
        <v>-2.2999443853866097E-6</v>
      </c>
      <c r="BO1378" s="20">
        <f>Table1347456[[#This Row],[lnrr]]+(1.96 * Table1347456[[#This Row],[se]])</f>
        <v>0.25032858585239737</v>
      </c>
    </row>
    <row r="1379" spans="1:67">
      <c r="A1379" s="13" t="s">
        <v>360</v>
      </c>
      <c r="B1379" s="13" t="s">
        <v>420</v>
      </c>
      <c r="C1379" s="13" t="s">
        <v>43</v>
      </c>
      <c r="D1379" s="13" t="s">
        <v>421</v>
      </c>
      <c r="E1379" s="13" t="s">
        <v>249</v>
      </c>
      <c r="F1379" s="13" t="s">
        <v>588</v>
      </c>
      <c r="G1379" s="13" t="s">
        <v>46</v>
      </c>
      <c r="H1379" s="13">
        <v>32</v>
      </c>
      <c r="I1379" s="13">
        <v>1400</v>
      </c>
      <c r="K1379" s="13" t="s">
        <v>884</v>
      </c>
      <c r="L1379" s="13" t="s">
        <v>948</v>
      </c>
      <c r="N1379" s="13" t="s">
        <v>81</v>
      </c>
      <c r="O1379" s="13" t="s">
        <v>82</v>
      </c>
      <c r="P1379" s="13" t="s">
        <v>83</v>
      </c>
      <c r="Q1379" s="13" t="s">
        <v>83</v>
      </c>
      <c r="R1379" s="4">
        <v>3</v>
      </c>
      <c r="S1379" s="13" t="s">
        <v>594</v>
      </c>
      <c r="T1379" s="13">
        <v>336</v>
      </c>
      <c r="U1379" s="4" t="s">
        <v>147</v>
      </c>
      <c r="V1379" s="4">
        <v>580</v>
      </c>
      <c r="W1379" s="4" t="s">
        <v>601</v>
      </c>
      <c r="X1379" s="4">
        <v>520.29999999999995</v>
      </c>
      <c r="Y1379" s="4">
        <v>20</v>
      </c>
      <c r="AA1379" s="4" t="s">
        <v>49</v>
      </c>
      <c r="AB1379" s="4">
        <v>0</v>
      </c>
      <c r="AC1379" s="4" t="s">
        <v>49</v>
      </c>
      <c r="AD1379" s="4">
        <v>0</v>
      </c>
      <c r="AE1379" s="4" t="s">
        <v>49</v>
      </c>
      <c r="AF1379" s="4">
        <v>0</v>
      </c>
      <c r="AG1379" s="4" t="s">
        <v>683</v>
      </c>
      <c r="AH1379" s="4" t="s">
        <v>684</v>
      </c>
      <c r="AI1379" s="4" t="s">
        <v>78</v>
      </c>
      <c r="AJ1379" s="13">
        <v>0</v>
      </c>
      <c r="AK1379" s="13">
        <v>15</v>
      </c>
      <c r="AM1379" s="13" t="s">
        <v>523</v>
      </c>
      <c r="AP1379" s="13" t="s">
        <v>49</v>
      </c>
      <c r="AQ1379" s="13" t="s">
        <v>49</v>
      </c>
      <c r="AR1379" s="13" t="s">
        <v>49</v>
      </c>
      <c r="AS1379" s="13" t="s">
        <v>49</v>
      </c>
      <c r="AT1379" s="13" t="s">
        <v>990</v>
      </c>
      <c r="AU1379" s="13" t="s">
        <v>998</v>
      </c>
      <c r="AV1379" s="14">
        <v>5.6</v>
      </c>
      <c r="AW1379" s="14">
        <v>4.5</v>
      </c>
      <c r="AX1379" s="14">
        <f>Table1347456[[#This Row],[treatment_mean]]/Table1347456[[#This Row],[control_mean]]</f>
        <v>1.2444444444444445</v>
      </c>
      <c r="AY1379" s="14">
        <f>LN(Table1347456[[#This Row],[rr]])</f>
        <v>0.21868920096482949</v>
      </c>
      <c r="AZ1379" s="13">
        <v>3</v>
      </c>
      <c r="BA1379" s="13">
        <v>3</v>
      </c>
      <c r="BB1379" s="14">
        <v>0</v>
      </c>
      <c r="BC1379" s="14">
        <v>0</v>
      </c>
      <c r="BD1379" s="15">
        <f>Table1347456[[#This Row],[treatment_se]]*SQRT(Table1347456[[#This Row],[treatment_n]])</f>
        <v>0</v>
      </c>
      <c r="BE1379" s="14">
        <f>Table1347456[[#This Row],[control_se]]*SQRT(Table1347456[[#This Row],[control_n]])</f>
        <v>0</v>
      </c>
      <c r="BF137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79" s="17">
        <f>SQRT(Table1347456[[#This Row],[v_from_sd_and_n]])</f>
        <v>0</v>
      </c>
      <c r="BH1379" s="13" t="s">
        <v>50</v>
      </c>
      <c r="BI1379" s="13">
        <v>0.05</v>
      </c>
      <c r="BJ1379" s="18">
        <f>ABS(_xlfn.NORM.S.INV(Table1347456[[#This Row],[p_value]]/2))</f>
        <v>1.9599639845400538</v>
      </c>
      <c r="BK1379" s="19">
        <f>(Table1347456[[#This Row],[lnrr]]/Table1347456[[#This Row],[z_from_p]])^2</f>
        <v>1.2449688738299151E-2</v>
      </c>
      <c r="BL1379" s="16">
        <f>(Table1347456[[#This Row],[lnrr]]/Table1347456[[#This Row],[z_from_p]])^2</f>
        <v>1.2449688738299151E-2</v>
      </c>
      <c r="BM1379" s="20">
        <f>SQRT(Table1347456[[#This Row],[v]])</f>
        <v>0.11157817321635603</v>
      </c>
      <c r="BN1379" s="20">
        <f>Table1347456[[#This Row],[lnrr]]-(1.96*Table1347456[[#This Row],[se]])</f>
        <v>-4.0185392283231813E-6</v>
      </c>
      <c r="BO1379" s="20">
        <f>Table1347456[[#This Row],[lnrr]]+(1.96 * Table1347456[[#This Row],[se]])</f>
        <v>0.43738242046888731</v>
      </c>
    </row>
    <row r="1380" spans="1:67">
      <c r="A1380" s="13" t="s">
        <v>360</v>
      </c>
      <c r="B1380" s="13" t="s">
        <v>420</v>
      </c>
      <c r="C1380" s="13" t="s">
        <v>43</v>
      </c>
      <c r="D1380" s="13" t="s">
        <v>421</v>
      </c>
      <c r="E1380" s="13" t="s">
        <v>249</v>
      </c>
      <c r="F1380" s="13" t="s">
        <v>588</v>
      </c>
      <c r="G1380" s="13" t="s">
        <v>46</v>
      </c>
      <c r="H1380" s="13">
        <v>32</v>
      </c>
      <c r="I1380" s="13">
        <v>1400</v>
      </c>
      <c r="K1380" s="13" t="s">
        <v>884</v>
      </c>
      <c r="L1380" s="13" t="s">
        <v>948</v>
      </c>
      <c r="N1380" s="13" t="s">
        <v>81</v>
      </c>
      <c r="O1380" s="13" t="s">
        <v>82</v>
      </c>
      <c r="P1380" s="13" t="s">
        <v>83</v>
      </c>
      <c r="Q1380" s="13" t="s">
        <v>83</v>
      </c>
      <c r="R1380" s="4">
        <v>3</v>
      </c>
      <c r="S1380" s="13" t="s">
        <v>594</v>
      </c>
      <c r="T1380" s="13">
        <v>336</v>
      </c>
      <c r="U1380" s="4" t="s">
        <v>147</v>
      </c>
      <c r="V1380" s="4">
        <v>580</v>
      </c>
      <c r="W1380" s="4" t="s">
        <v>601</v>
      </c>
      <c r="X1380" s="4">
        <v>520.29999999999995</v>
      </c>
      <c r="Y1380" s="4">
        <v>30</v>
      </c>
      <c r="AA1380" s="4" t="s">
        <v>49</v>
      </c>
      <c r="AB1380" s="4">
        <v>0</v>
      </c>
      <c r="AC1380" s="4" t="s">
        <v>49</v>
      </c>
      <c r="AD1380" s="4">
        <v>0</v>
      </c>
      <c r="AE1380" s="4" t="s">
        <v>49</v>
      </c>
      <c r="AF1380" s="4">
        <v>0</v>
      </c>
      <c r="AG1380" s="4" t="s">
        <v>683</v>
      </c>
      <c r="AH1380" s="4" t="s">
        <v>684</v>
      </c>
      <c r="AI1380" s="4" t="s">
        <v>78</v>
      </c>
      <c r="AJ1380" s="13">
        <v>0</v>
      </c>
      <c r="AK1380" s="13">
        <v>15</v>
      </c>
      <c r="AM1380" s="13" t="s">
        <v>523</v>
      </c>
      <c r="AP1380" s="13" t="s">
        <v>49</v>
      </c>
      <c r="AQ1380" s="13" t="s">
        <v>49</v>
      </c>
      <c r="AR1380" s="13" t="s">
        <v>49</v>
      </c>
      <c r="AS1380" s="13" t="s">
        <v>49</v>
      </c>
      <c r="AT1380" s="13" t="s">
        <v>990</v>
      </c>
      <c r="AU1380" s="13" t="s">
        <v>998</v>
      </c>
      <c r="AV1380" s="14">
        <v>6.1</v>
      </c>
      <c r="AW1380" s="14">
        <v>4.5</v>
      </c>
      <c r="AX1380" s="14">
        <f>Table1347456[[#This Row],[treatment_mean]]/Table1347456[[#This Row],[control_mean]]</f>
        <v>1.3555555555555554</v>
      </c>
      <c r="AY1380" s="14">
        <f>LN(Table1347456[[#This Row],[rr]])</f>
        <v>0.3042113744029914</v>
      </c>
      <c r="AZ1380" s="13">
        <v>3</v>
      </c>
      <c r="BA1380" s="13">
        <v>3</v>
      </c>
      <c r="BB1380" s="14">
        <v>0</v>
      </c>
      <c r="BC1380" s="14">
        <v>0</v>
      </c>
      <c r="BD1380" s="15">
        <f>Table1347456[[#This Row],[treatment_se]]*SQRT(Table1347456[[#This Row],[treatment_n]])</f>
        <v>0</v>
      </c>
      <c r="BE1380" s="14">
        <f>Table1347456[[#This Row],[control_se]]*SQRT(Table1347456[[#This Row],[control_n]])</f>
        <v>0</v>
      </c>
      <c r="BF138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80" s="17">
        <f>SQRT(Table1347456[[#This Row],[v_from_sd_and_n]])</f>
        <v>0</v>
      </c>
      <c r="BH1380" s="13" t="s">
        <v>50</v>
      </c>
      <c r="BI1380" s="13">
        <v>0.05</v>
      </c>
      <c r="BJ1380" s="18">
        <f>ABS(_xlfn.NORM.S.INV(Table1347456[[#This Row],[p_value]]/2))</f>
        <v>1.9599639845400538</v>
      </c>
      <c r="BK1380" s="19">
        <f>(Table1347456[[#This Row],[lnrr]]/Table1347456[[#This Row],[z_from_p]])^2</f>
        <v>2.409099371770302E-2</v>
      </c>
      <c r="BL1380" s="16">
        <f>(Table1347456[[#This Row],[lnrr]]/Table1347456[[#This Row],[z_from_p]])^2</f>
        <v>2.409099371770302E-2</v>
      </c>
      <c r="BM1380" s="20">
        <f>SQRT(Table1347456[[#This Row],[v]])</f>
        <v>0.15521273696995044</v>
      </c>
      <c r="BN1380" s="20">
        <f>Table1347456[[#This Row],[lnrr]]-(1.96*Table1347456[[#This Row],[se]])</f>
        <v>-5.5900581114598502E-6</v>
      </c>
      <c r="BO1380" s="20">
        <f>Table1347456[[#This Row],[lnrr]]+(1.96 * Table1347456[[#This Row],[se]])</f>
        <v>0.60842833886409431</v>
      </c>
    </row>
    <row r="1381" spans="1:67">
      <c r="A1381" s="13" t="s">
        <v>360</v>
      </c>
      <c r="B1381" s="13" t="s">
        <v>420</v>
      </c>
      <c r="C1381" s="13" t="s">
        <v>43</v>
      </c>
      <c r="D1381" s="13" t="s">
        <v>421</v>
      </c>
      <c r="E1381" s="13" t="s">
        <v>249</v>
      </c>
      <c r="F1381" s="13" t="s">
        <v>588</v>
      </c>
      <c r="G1381" s="13" t="s">
        <v>46</v>
      </c>
      <c r="H1381" s="13">
        <v>32</v>
      </c>
      <c r="I1381" s="13">
        <v>1400</v>
      </c>
      <c r="K1381" s="13" t="s">
        <v>884</v>
      </c>
      <c r="L1381" s="13" t="s">
        <v>948</v>
      </c>
      <c r="N1381" s="13" t="s">
        <v>81</v>
      </c>
      <c r="O1381" s="13" t="s">
        <v>82</v>
      </c>
      <c r="P1381" s="13" t="s">
        <v>83</v>
      </c>
      <c r="Q1381" s="13" t="s">
        <v>83</v>
      </c>
      <c r="R1381" s="4">
        <v>3</v>
      </c>
      <c r="S1381" s="13" t="s">
        <v>594</v>
      </c>
      <c r="T1381" s="13">
        <v>336</v>
      </c>
      <c r="U1381" s="4" t="s">
        <v>147</v>
      </c>
      <c r="V1381" s="4">
        <v>580</v>
      </c>
      <c r="W1381" s="4" t="s">
        <v>601</v>
      </c>
      <c r="X1381" s="4">
        <v>520.29999999999995</v>
      </c>
      <c r="Y1381" s="4">
        <v>10</v>
      </c>
      <c r="AA1381" s="4" t="s">
        <v>49</v>
      </c>
      <c r="AB1381" s="4">
        <v>0</v>
      </c>
      <c r="AC1381" s="4" t="s">
        <v>50</v>
      </c>
      <c r="AD1381" s="4">
        <v>7.5</v>
      </c>
      <c r="AE1381" s="4" t="s">
        <v>49</v>
      </c>
      <c r="AF1381" s="4">
        <v>0</v>
      </c>
      <c r="AG1381" s="4" t="s">
        <v>683</v>
      </c>
      <c r="AH1381" s="4" t="s">
        <v>684</v>
      </c>
      <c r="AI1381" s="4" t="s">
        <v>78</v>
      </c>
      <c r="AJ1381" s="13">
        <v>0</v>
      </c>
      <c r="AK1381" s="13">
        <v>15</v>
      </c>
      <c r="AM1381" s="13" t="s">
        <v>523</v>
      </c>
      <c r="AP1381" s="13" t="s">
        <v>49</v>
      </c>
      <c r="AQ1381" s="13" t="s">
        <v>49</v>
      </c>
      <c r="AR1381" s="13" t="s">
        <v>49</v>
      </c>
      <c r="AS1381" s="13" t="s">
        <v>49</v>
      </c>
      <c r="AT1381" s="13" t="s">
        <v>993</v>
      </c>
      <c r="AU1381" s="13" t="s">
        <v>1001</v>
      </c>
      <c r="AV1381" s="14">
        <v>7.3</v>
      </c>
      <c r="AW1381" s="14">
        <v>6.7</v>
      </c>
      <c r="AX1381" s="14">
        <f>Table1347456[[#This Row],[treatment_mean]]/Table1347456[[#This Row],[control_mean]]</f>
        <v>1.0895522388059702</v>
      </c>
      <c r="AY1381" s="14">
        <f>LN(Table1347456[[#This Row],[rr]])</f>
        <v>8.5766821757425102E-2</v>
      </c>
      <c r="AZ1381" s="13">
        <v>3</v>
      </c>
      <c r="BA1381" s="13">
        <v>3</v>
      </c>
      <c r="BB1381" s="14">
        <v>0</v>
      </c>
      <c r="BC1381" s="14">
        <v>0</v>
      </c>
      <c r="BD1381" s="15">
        <f>Table1347456[[#This Row],[treatment_se]]*SQRT(Table1347456[[#This Row],[treatment_n]])</f>
        <v>0</v>
      </c>
      <c r="BE1381" s="14">
        <f>Table1347456[[#This Row],[control_se]]*SQRT(Table1347456[[#This Row],[control_n]])</f>
        <v>0</v>
      </c>
      <c r="BF138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81" s="17">
        <f>SQRT(Table1347456[[#This Row],[v_from_sd_and_n]])</f>
        <v>0</v>
      </c>
      <c r="BH1381" s="13" t="s">
        <v>50</v>
      </c>
      <c r="BI1381" s="13">
        <v>0.05</v>
      </c>
      <c r="BJ1381" s="18">
        <f>ABS(_xlfn.NORM.S.INV(Table1347456[[#This Row],[p_value]]/2))</f>
        <v>1.9599639845400538</v>
      </c>
      <c r="BK1381" s="19">
        <f>(Table1347456[[#This Row],[lnrr]]/Table1347456[[#This Row],[z_from_p]])^2</f>
        <v>1.9148839172095458E-3</v>
      </c>
      <c r="BL1381" s="16">
        <f>(Table1347456[[#This Row],[lnrr]]/Table1347456[[#This Row],[z_from_p]])^2</f>
        <v>1.9148839172095458E-3</v>
      </c>
      <c r="BM1381" s="20">
        <f>SQRT(Table1347456[[#This Row],[v]])</f>
        <v>4.3759386618296488E-2</v>
      </c>
      <c r="BN1381" s="20">
        <f>Table1347456[[#This Row],[lnrr]]-(1.96*Table1347456[[#This Row],[se]])</f>
        <v>-1.576014436011075E-6</v>
      </c>
      <c r="BO1381" s="20">
        <f>Table1347456[[#This Row],[lnrr]]+(1.96 * Table1347456[[#This Row],[se]])</f>
        <v>0.17153521952928621</v>
      </c>
    </row>
    <row r="1382" spans="1:67">
      <c r="A1382" s="13" t="s">
        <v>360</v>
      </c>
      <c r="B1382" s="13" t="s">
        <v>420</v>
      </c>
      <c r="C1382" s="13" t="s">
        <v>43</v>
      </c>
      <c r="D1382" s="13" t="s">
        <v>421</v>
      </c>
      <c r="E1382" s="13" t="s">
        <v>249</v>
      </c>
      <c r="F1382" s="13" t="s">
        <v>588</v>
      </c>
      <c r="G1382" s="13" t="s">
        <v>46</v>
      </c>
      <c r="H1382" s="13">
        <v>32</v>
      </c>
      <c r="I1382" s="13">
        <v>1400</v>
      </c>
      <c r="K1382" s="13" t="s">
        <v>884</v>
      </c>
      <c r="L1382" s="13" t="s">
        <v>948</v>
      </c>
      <c r="N1382" s="13" t="s">
        <v>81</v>
      </c>
      <c r="O1382" s="13" t="s">
        <v>82</v>
      </c>
      <c r="P1382" s="13" t="s">
        <v>83</v>
      </c>
      <c r="Q1382" s="13" t="s">
        <v>83</v>
      </c>
      <c r="R1382" s="4">
        <v>3</v>
      </c>
      <c r="S1382" s="13" t="s">
        <v>594</v>
      </c>
      <c r="T1382" s="13">
        <v>336</v>
      </c>
      <c r="U1382" s="4" t="s">
        <v>147</v>
      </c>
      <c r="V1382" s="4">
        <v>580</v>
      </c>
      <c r="W1382" s="4" t="s">
        <v>601</v>
      </c>
      <c r="X1382" s="4">
        <v>520.29999999999995</v>
      </c>
      <c r="Y1382" s="4">
        <v>20</v>
      </c>
      <c r="AA1382" s="4" t="s">
        <v>49</v>
      </c>
      <c r="AB1382" s="4">
        <v>0</v>
      </c>
      <c r="AC1382" s="4" t="s">
        <v>50</v>
      </c>
      <c r="AD1382" s="4">
        <v>7.5</v>
      </c>
      <c r="AE1382" s="4" t="s">
        <v>49</v>
      </c>
      <c r="AF1382" s="4">
        <v>0</v>
      </c>
      <c r="AG1382" s="4" t="s">
        <v>683</v>
      </c>
      <c r="AH1382" s="4" t="s">
        <v>684</v>
      </c>
      <c r="AI1382" s="4" t="s">
        <v>78</v>
      </c>
      <c r="AJ1382" s="13">
        <v>0</v>
      </c>
      <c r="AK1382" s="13">
        <v>15</v>
      </c>
      <c r="AM1382" s="13" t="s">
        <v>523</v>
      </c>
      <c r="AP1382" s="13" t="s">
        <v>49</v>
      </c>
      <c r="AQ1382" s="13" t="s">
        <v>49</v>
      </c>
      <c r="AR1382" s="13" t="s">
        <v>49</v>
      </c>
      <c r="AS1382" s="13" t="s">
        <v>49</v>
      </c>
      <c r="AT1382" s="13" t="s">
        <v>993</v>
      </c>
      <c r="AU1382" s="13" t="s">
        <v>1001</v>
      </c>
      <c r="AV1382" s="14">
        <v>8</v>
      </c>
      <c r="AW1382" s="14">
        <v>6.7</v>
      </c>
      <c r="AX1382" s="14">
        <f>Table1347456[[#This Row],[treatment_mean]]/Table1347456[[#This Row],[control_mean]]</f>
        <v>1.1940298507462686</v>
      </c>
      <c r="AY1382" s="14">
        <f>LN(Table1347456[[#This Row],[rr]])</f>
        <v>0.17733401528291545</v>
      </c>
      <c r="AZ1382" s="13">
        <v>3</v>
      </c>
      <c r="BA1382" s="13">
        <v>3</v>
      </c>
      <c r="BB1382" s="14">
        <v>0</v>
      </c>
      <c r="BC1382" s="14">
        <v>0</v>
      </c>
      <c r="BD1382" s="15">
        <f>Table1347456[[#This Row],[treatment_se]]*SQRT(Table1347456[[#This Row],[treatment_n]])</f>
        <v>0</v>
      </c>
      <c r="BE1382" s="14">
        <f>Table1347456[[#This Row],[control_se]]*SQRT(Table1347456[[#This Row],[control_n]])</f>
        <v>0</v>
      </c>
      <c r="BF138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82" s="17">
        <f>SQRT(Table1347456[[#This Row],[v_from_sd_and_n]])</f>
        <v>0</v>
      </c>
      <c r="BH1382" s="13" t="s">
        <v>50</v>
      </c>
      <c r="BI1382" s="13">
        <v>0.05</v>
      </c>
      <c r="BJ1382" s="18">
        <f>ABS(_xlfn.NORM.S.INV(Table1347456[[#This Row],[p_value]]/2))</f>
        <v>1.9599639845400538</v>
      </c>
      <c r="BK1382" s="19">
        <f>(Table1347456[[#This Row],[lnrr]]/Table1347456[[#This Row],[z_from_p]])^2</f>
        <v>8.186304850374259E-3</v>
      </c>
      <c r="BL1382" s="16">
        <f>(Table1347456[[#This Row],[lnrr]]/Table1347456[[#This Row],[z_from_p]])^2</f>
        <v>8.186304850374259E-3</v>
      </c>
      <c r="BM1382" s="20">
        <f>SQRT(Table1347456[[#This Row],[v]])</f>
        <v>9.0478200967825717E-2</v>
      </c>
      <c r="BN1382" s="20">
        <f>Table1347456[[#This Row],[lnrr]]-(1.96*Table1347456[[#This Row],[se]])</f>
        <v>-3.2586140229495797E-6</v>
      </c>
      <c r="BO1382" s="20">
        <f>Table1347456[[#This Row],[lnrr]]+(1.96 * Table1347456[[#This Row],[se]])</f>
        <v>0.35467128917985385</v>
      </c>
    </row>
    <row r="1383" spans="1:67">
      <c r="A1383" s="13" t="s">
        <v>360</v>
      </c>
      <c r="B1383" s="13" t="s">
        <v>420</v>
      </c>
      <c r="C1383" s="13" t="s">
        <v>43</v>
      </c>
      <c r="D1383" s="13" t="s">
        <v>421</v>
      </c>
      <c r="E1383" s="13" t="s">
        <v>249</v>
      </c>
      <c r="F1383" s="13" t="s">
        <v>588</v>
      </c>
      <c r="G1383" s="13" t="s">
        <v>46</v>
      </c>
      <c r="H1383" s="13">
        <v>32</v>
      </c>
      <c r="I1383" s="13">
        <v>1400</v>
      </c>
      <c r="K1383" s="13" t="s">
        <v>884</v>
      </c>
      <c r="L1383" s="13" t="s">
        <v>948</v>
      </c>
      <c r="N1383" s="13" t="s">
        <v>81</v>
      </c>
      <c r="O1383" s="13" t="s">
        <v>82</v>
      </c>
      <c r="P1383" s="13" t="s">
        <v>83</v>
      </c>
      <c r="Q1383" s="13" t="s">
        <v>83</v>
      </c>
      <c r="R1383" s="4">
        <v>3</v>
      </c>
      <c r="S1383" s="13" t="s">
        <v>594</v>
      </c>
      <c r="T1383" s="13">
        <v>336</v>
      </c>
      <c r="U1383" s="4" t="s">
        <v>147</v>
      </c>
      <c r="V1383" s="4">
        <v>580</v>
      </c>
      <c r="W1383" s="4" t="s">
        <v>601</v>
      </c>
      <c r="X1383" s="4">
        <v>520.29999999999995</v>
      </c>
      <c r="Y1383" s="4">
        <v>30</v>
      </c>
      <c r="AA1383" s="4" t="s">
        <v>49</v>
      </c>
      <c r="AB1383" s="4">
        <v>0</v>
      </c>
      <c r="AC1383" s="4" t="s">
        <v>50</v>
      </c>
      <c r="AD1383" s="4">
        <v>7.5</v>
      </c>
      <c r="AE1383" s="4" t="s">
        <v>49</v>
      </c>
      <c r="AF1383" s="4">
        <v>0</v>
      </c>
      <c r="AG1383" s="4" t="s">
        <v>683</v>
      </c>
      <c r="AH1383" s="4" t="s">
        <v>684</v>
      </c>
      <c r="AI1383" s="4" t="s">
        <v>78</v>
      </c>
      <c r="AJ1383" s="13">
        <v>0</v>
      </c>
      <c r="AK1383" s="13">
        <v>15</v>
      </c>
      <c r="AM1383" s="13" t="s">
        <v>523</v>
      </c>
      <c r="AP1383" s="13" t="s">
        <v>49</v>
      </c>
      <c r="AQ1383" s="13" t="s">
        <v>49</v>
      </c>
      <c r="AR1383" s="13" t="s">
        <v>49</v>
      </c>
      <c r="AS1383" s="13" t="s">
        <v>49</v>
      </c>
      <c r="AT1383" s="13" t="s">
        <v>993</v>
      </c>
      <c r="AU1383" s="13" t="s">
        <v>1001</v>
      </c>
      <c r="AV1383" s="14">
        <v>9.1999999999999993</v>
      </c>
      <c r="AW1383" s="14">
        <v>6.7</v>
      </c>
      <c r="AX1383" s="14">
        <f>Table1347456[[#This Row],[treatment_mean]]/Table1347456[[#This Row],[control_mean]]</f>
        <v>1.3731343283582089</v>
      </c>
      <c r="AY1383" s="14">
        <f>LN(Table1347456[[#This Row],[rr]])</f>
        <v>0.31709595765807425</v>
      </c>
      <c r="AZ1383" s="13">
        <v>3</v>
      </c>
      <c r="BA1383" s="13">
        <v>3</v>
      </c>
      <c r="BB1383" s="14">
        <v>0</v>
      </c>
      <c r="BC1383" s="14">
        <v>0</v>
      </c>
      <c r="BD1383" s="15">
        <f>Table1347456[[#This Row],[treatment_se]]*SQRT(Table1347456[[#This Row],[treatment_n]])</f>
        <v>0</v>
      </c>
      <c r="BE1383" s="14">
        <f>Table1347456[[#This Row],[control_se]]*SQRT(Table1347456[[#This Row],[control_n]])</f>
        <v>0</v>
      </c>
      <c r="BF138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83" s="17">
        <f>SQRT(Table1347456[[#This Row],[v_from_sd_and_n]])</f>
        <v>0</v>
      </c>
      <c r="BH1383" s="13" t="s">
        <v>50</v>
      </c>
      <c r="BI1383" s="13">
        <v>0.05</v>
      </c>
      <c r="BJ1383" s="18">
        <f>ABS(_xlfn.NORM.S.INV(Table1347456[[#This Row],[p_value]]/2))</f>
        <v>1.9599639845400538</v>
      </c>
      <c r="BK1383" s="19">
        <f>(Table1347456[[#This Row],[lnrr]]/Table1347456[[#This Row],[z_from_p]])^2</f>
        <v>2.6174911942677698E-2</v>
      </c>
      <c r="BL1383" s="16">
        <f>(Table1347456[[#This Row],[lnrr]]/Table1347456[[#This Row],[z_from_p]])^2</f>
        <v>2.6174911942677698E-2</v>
      </c>
      <c r="BM1383" s="20">
        <f>SQRT(Table1347456[[#This Row],[v]])</f>
        <v>0.16178662473355979</v>
      </c>
      <c r="BN1383" s="20">
        <f>Table1347456[[#This Row],[lnrr]]-(1.96*Table1347456[[#This Row],[se]])</f>
        <v>-5.8268197029032187E-6</v>
      </c>
      <c r="BO1383" s="20">
        <f>Table1347456[[#This Row],[lnrr]]+(1.96 * Table1347456[[#This Row],[se]])</f>
        <v>0.63419774213585134</v>
      </c>
    </row>
    <row r="1384" spans="1:67">
      <c r="A1384" s="13" t="s">
        <v>423</v>
      </c>
      <c r="B1384" s="13" t="s">
        <v>429</v>
      </c>
      <c r="C1384" s="13" t="s">
        <v>43</v>
      </c>
      <c r="D1384" s="13" t="s">
        <v>425</v>
      </c>
      <c r="E1384" s="13" t="s">
        <v>426</v>
      </c>
      <c r="F1384" s="13" t="s">
        <v>586</v>
      </c>
      <c r="G1384" s="13" t="s">
        <v>46</v>
      </c>
      <c r="H1384" s="13">
        <v>27.5</v>
      </c>
      <c r="I1384" s="13" t="s">
        <v>46</v>
      </c>
      <c r="K1384" s="13" t="s">
        <v>949</v>
      </c>
      <c r="L1384" s="13" t="s">
        <v>950</v>
      </c>
      <c r="N1384" s="13" t="s">
        <v>47</v>
      </c>
      <c r="O1384" s="13" t="s">
        <v>645</v>
      </c>
      <c r="P1384" s="13" t="s">
        <v>48</v>
      </c>
      <c r="Q1384" s="13" t="s">
        <v>48</v>
      </c>
      <c r="R1384" s="4">
        <v>4</v>
      </c>
      <c r="S1384" s="13" t="s">
        <v>596</v>
      </c>
      <c r="T1384" s="13">
        <v>55</v>
      </c>
      <c r="U1384" s="4" t="s">
        <v>427</v>
      </c>
      <c r="V1384" s="4">
        <v>500</v>
      </c>
      <c r="W1384" s="4" t="s">
        <v>601</v>
      </c>
      <c r="X1384" s="4">
        <v>746</v>
      </c>
      <c r="Y1384" s="4">
        <v>59.8</v>
      </c>
      <c r="Z1384" s="4" t="s">
        <v>491</v>
      </c>
      <c r="AA1384" s="4" t="s">
        <v>49</v>
      </c>
      <c r="AB1384" s="4" t="s">
        <v>677</v>
      </c>
      <c r="AC1384" s="4" t="s">
        <v>49</v>
      </c>
      <c r="AD1384" s="4">
        <v>0</v>
      </c>
      <c r="AE1384" s="4" t="s">
        <v>49</v>
      </c>
      <c r="AF1384" s="4">
        <v>0</v>
      </c>
      <c r="AG1384" s="4" t="s">
        <v>46</v>
      </c>
      <c r="AH1384" s="4" t="s">
        <v>676</v>
      </c>
      <c r="AI1384" s="4" t="s">
        <v>64</v>
      </c>
      <c r="AJ1384" s="13">
        <v>0</v>
      </c>
      <c r="AK1384" s="13">
        <v>23</v>
      </c>
      <c r="AL1384" s="13" t="s">
        <v>486</v>
      </c>
      <c r="AM1384" s="13" t="s">
        <v>528</v>
      </c>
      <c r="AO1384" s="13" t="s">
        <v>568</v>
      </c>
      <c r="AP1384" s="13" t="s">
        <v>50</v>
      </c>
      <c r="AQ1384" s="13" t="s">
        <v>49</v>
      </c>
      <c r="AR1384" s="13" t="s">
        <v>50</v>
      </c>
      <c r="AS1384" s="13" t="s">
        <v>49</v>
      </c>
      <c r="AT1384" s="13" t="s">
        <v>990</v>
      </c>
      <c r="AU1384" s="13" t="s">
        <v>998</v>
      </c>
      <c r="AV1384" s="14">
        <v>9.4E-2</v>
      </c>
      <c r="AW1384" s="14">
        <v>0</v>
      </c>
      <c r="AX1384" s="14" t="e">
        <f>Table1347456[[#This Row],[treatment_mean]]/Table1347456[[#This Row],[control_mean]]</f>
        <v>#DIV/0!</v>
      </c>
      <c r="AY1384" s="14" t="e">
        <f>LN(Table1347456[[#This Row],[rr]])</f>
        <v>#DIV/0!</v>
      </c>
      <c r="AZ1384" s="13">
        <v>4</v>
      </c>
      <c r="BA1384" s="13">
        <v>4</v>
      </c>
      <c r="BB1384" s="14">
        <v>0</v>
      </c>
      <c r="BC1384" s="14">
        <v>0</v>
      </c>
      <c r="BD1384" s="15">
        <f>Table1347456[[#This Row],[treatment_se]]*SQRT(Table1347456[[#This Row],[treatment_n]])</f>
        <v>0</v>
      </c>
      <c r="BE1384" s="14">
        <f>Table1347456[[#This Row],[control_se]]*SQRT(Table1347456[[#This Row],[control_n]])</f>
        <v>0</v>
      </c>
      <c r="BF1384" s="16" t="e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#DIV/0!</v>
      </c>
      <c r="BG1384" s="17" t="e">
        <f>SQRT(Table1347456[[#This Row],[v_from_sd_and_n]])</f>
        <v>#DIV/0!</v>
      </c>
      <c r="BH1384" s="13" t="s">
        <v>50</v>
      </c>
      <c r="BI1384" s="13">
        <v>0.05</v>
      </c>
      <c r="BJ1384" s="18">
        <f>ABS(_xlfn.NORM.S.INV(Table1347456[[#This Row],[p_value]]/2))</f>
        <v>1.9599639845400538</v>
      </c>
      <c r="BK1384" s="19" t="e">
        <f>(Table1347456[[#This Row],[lnrr]]/Table1347456[[#This Row],[z_from_p]])^2</f>
        <v>#DIV/0!</v>
      </c>
      <c r="BL1384" s="16" t="e">
        <f>(Table1347456[[#This Row],[lnrr]]/Table1347456[[#This Row],[z_from_p]])^2</f>
        <v>#DIV/0!</v>
      </c>
      <c r="BM1384" s="20" t="e">
        <f>SQRT(Table1347456[[#This Row],[v]])</f>
        <v>#DIV/0!</v>
      </c>
      <c r="BN1384" s="20" t="e">
        <f>Table1347456[[#This Row],[lnrr]]-(1.96*Table1347456[[#This Row],[se]])</f>
        <v>#DIV/0!</v>
      </c>
      <c r="BO1384" s="20" t="e">
        <f>Table1347456[[#This Row],[lnrr]]+(1.96 * Table1347456[[#This Row],[se]])</f>
        <v>#DIV/0!</v>
      </c>
    </row>
    <row r="1385" spans="1:67">
      <c r="A1385" s="13" t="s">
        <v>423</v>
      </c>
      <c r="B1385" s="13" t="s">
        <v>429</v>
      </c>
      <c r="C1385" s="13" t="s">
        <v>43</v>
      </c>
      <c r="D1385" s="13" t="s">
        <v>425</v>
      </c>
      <c r="E1385" s="13" t="s">
        <v>426</v>
      </c>
      <c r="F1385" s="13" t="s">
        <v>586</v>
      </c>
      <c r="G1385" s="13" t="s">
        <v>46</v>
      </c>
      <c r="H1385" s="13">
        <v>27.5</v>
      </c>
      <c r="I1385" s="13" t="s">
        <v>46</v>
      </c>
      <c r="K1385" s="13" t="s">
        <v>949</v>
      </c>
      <c r="L1385" s="13" t="s">
        <v>950</v>
      </c>
      <c r="N1385" s="13" t="s">
        <v>47</v>
      </c>
      <c r="O1385" s="13" t="s">
        <v>645</v>
      </c>
      <c r="P1385" s="13" t="s">
        <v>48</v>
      </c>
      <c r="Q1385" s="13" t="s">
        <v>48</v>
      </c>
      <c r="R1385" s="4">
        <v>4</v>
      </c>
      <c r="S1385" s="13" t="s">
        <v>596</v>
      </c>
      <c r="T1385" s="13">
        <v>55</v>
      </c>
      <c r="U1385" s="4" t="s">
        <v>427</v>
      </c>
      <c r="V1385" s="4">
        <v>500</v>
      </c>
      <c r="W1385" s="4" t="s">
        <v>601</v>
      </c>
      <c r="X1385" s="4">
        <v>746</v>
      </c>
      <c r="Y1385" s="4">
        <v>59.8</v>
      </c>
      <c r="Z1385" s="4" t="s">
        <v>491</v>
      </c>
      <c r="AA1385" s="4" t="s">
        <v>50</v>
      </c>
      <c r="AB1385" s="4">
        <v>292</v>
      </c>
      <c r="AC1385" s="4" t="s">
        <v>49</v>
      </c>
      <c r="AD1385" s="4">
        <v>0</v>
      </c>
      <c r="AE1385" s="4" t="s">
        <v>49</v>
      </c>
      <c r="AF1385" s="4">
        <v>0</v>
      </c>
      <c r="AG1385" s="4" t="s">
        <v>46</v>
      </c>
      <c r="AH1385" s="4" t="s">
        <v>676</v>
      </c>
      <c r="AI1385" s="4" t="s">
        <v>64</v>
      </c>
      <c r="AJ1385" s="13">
        <v>0</v>
      </c>
      <c r="AK1385" s="13">
        <v>23</v>
      </c>
      <c r="AL1385" s="13" t="s">
        <v>486</v>
      </c>
      <c r="AM1385" s="13" t="s">
        <v>528</v>
      </c>
      <c r="AO1385" s="13" t="s">
        <v>568</v>
      </c>
      <c r="AP1385" s="13" t="s">
        <v>50</v>
      </c>
      <c r="AQ1385" s="13" t="s">
        <v>49</v>
      </c>
      <c r="AR1385" s="13" t="s">
        <v>50</v>
      </c>
      <c r="AS1385" s="13" t="s">
        <v>49</v>
      </c>
      <c r="AT1385" s="13" t="s">
        <v>992</v>
      </c>
      <c r="AU1385" s="4" t="s">
        <v>1000</v>
      </c>
      <c r="AV1385" s="14">
        <v>0.127</v>
      </c>
      <c r="AW1385" s="14">
        <v>3.3000000000000002E-2</v>
      </c>
      <c r="AX1385" s="14">
        <f>Table1347456[[#This Row],[treatment_mean]]/Table1347456[[#This Row],[control_mean]]</f>
        <v>3.8484848484848482</v>
      </c>
      <c r="AY1385" s="14">
        <f>LN(Table1347456[[#This Row],[rr]])</f>
        <v>1.347679524992111</v>
      </c>
      <c r="AZ1385" s="13">
        <v>4</v>
      </c>
      <c r="BA1385" s="13">
        <v>4</v>
      </c>
      <c r="BB1385" s="14">
        <v>0</v>
      </c>
      <c r="BC1385" s="14">
        <v>0</v>
      </c>
      <c r="BD1385" s="15">
        <f>Table1347456[[#This Row],[treatment_se]]*SQRT(Table1347456[[#This Row],[treatment_n]])</f>
        <v>0</v>
      </c>
      <c r="BE1385" s="14">
        <f>Table1347456[[#This Row],[control_se]]*SQRT(Table1347456[[#This Row],[control_n]])</f>
        <v>0</v>
      </c>
      <c r="BF138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85" s="17">
        <f>SQRT(Table1347456[[#This Row],[v_from_sd_and_n]])</f>
        <v>0</v>
      </c>
      <c r="BH1385" s="13" t="s">
        <v>50</v>
      </c>
      <c r="BI1385" s="13">
        <v>0.05</v>
      </c>
      <c r="BJ1385" s="18">
        <f>ABS(_xlfn.NORM.S.INV(Table1347456[[#This Row],[p_value]]/2))</f>
        <v>1.9599639845400538</v>
      </c>
      <c r="BK1385" s="19">
        <f>(Table1347456[[#This Row],[lnrr]]/Table1347456[[#This Row],[z_from_p]])^2</f>
        <v>0.47279957611384216</v>
      </c>
      <c r="BL1385" s="16">
        <f>(Table1347456[[#This Row],[lnrr]]/Table1347456[[#This Row],[z_from_p]])^2</f>
        <v>0.47279957611384216</v>
      </c>
      <c r="BM1385" s="20">
        <f>SQRT(Table1347456[[#This Row],[v]])</f>
        <v>0.68760422927280063</v>
      </c>
      <c r="BN1385" s="20">
        <f>Table1347456[[#This Row],[lnrr]]-(1.96*Table1347456[[#This Row],[se]])</f>
        <v>-2.4764382578146282E-5</v>
      </c>
      <c r="BO1385" s="20">
        <f>Table1347456[[#This Row],[lnrr]]+(1.96 * Table1347456[[#This Row],[se]])</f>
        <v>2.6953838143668003</v>
      </c>
    </row>
    <row r="1386" spans="1:67">
      <c r="A1386" s="13" t="s">
        <v>423</v>
      </c>
      <c r="B1386" s="13" t="s">
        <v>424</v>
      </c>
      <c r="C1386" s="13" t="s">
        <v>43</v>
      </c>
      <c r="D1386" s="13" t="s">
        <v>425</v>
      </c>
      <c r="E1386" s="13" t="s">
        <v>426</v>
      </c>
      <c r="F1386" s="13" t="s">
        <v>586</v>
      </c>
      <c r="G1386" s="13" t="s">
        <v>46</v>
      </c>
      <c r="H1386" s="13">
        <v>27.5</v>
      </c>
      <c r="I1386" s="13" t="s">
        <v>46</v>
      </c>
      <c r="K1386" s="13" t="s">
        <v>949</v>
      </c>
      <c r="L1386" s="13" t="s">
        <v>950</v>
      </c>
      <c r="N1386" s="13" t="s">
        <v>47</v>
      </c>
      <c r="O1386" s="13" t="s">
        <v>645</v>
      </c>
      <c r="P1386" s="13" t="s">
        <v>48</v>
      </c>
      <c r="Q1386" s="13" t="s">
        <v>48</v>
      </c>
      <c r="R1386" s="4">
        <v>4</v>
      </c>
      <c r="S1386" s="13" t="s">
        <v>596</v>
      </c>
      <c r="T1386" s="13">
        <v>55</v>
      </c>
      <c r="U1386" s="4" t="s">
        <v>427</v>
      </c>
      <c r="V1386" s="4">
        <v>500</v>
      </c>
      <c r="W1386" s="4" t="s">
        <v>601</v>
      </c>
      <c r="X1386" s="4">
        <v>746</v>
      </c>
      <c r="Y1386" s="4">
        <v>59.8</v>
      </c>
      <c r="Z1386" s="4" t="s">
        <v>491</v>
      </c>
      <c r="AA1386" s="4" t="s">
        <v>49</v>
      </c>
      <c r="AB1386" s="4">
        <v>0</v>
      </c>
      <c r="AC1386" s="4" t="s">
        <v>50</v>
      </c>
      <c r="AD1386" s="4">
        <v>98.67</v>
      </c>
      <c r="AE1386" s="4" t="s">
        <v>49</v>
      </c>
      <c r="AF1386" s="4">
        <v>0</v>
      </c>
      <c r="AG1386" s="4" t="s">
        <v>46</v>
      </c>
      <c r="AH1386" s="4" t="s">
        <v>676</v>
      </c>
      <c r="AI1386" s="4" t="s">
        <v>64</v>
      </c>
      <c r="AJ1386" s="13">
        <v>0</v>
      </c>
      <c r="AK1386" s="13">
        <v>23</v>
      </c>
      <c r="AL1386" s="13" t="s">
        <v>486</v>
      </c>
      <c r="AM1386" s="13" t="s">
        <v>528</v>
      </c>
      <c r="AO1386" s="13" t="s">
        <v>568</v>
      </c>
      <c r="AP1386" s="13" t="s">
        <v>50</v>
      </c>
      <c r="AQ1386" s="13" t="s">
        <v>49</v>
      </c>
      <c r="AR1386" s="13" t="s">
        <v>50</v>
      </c>
      <c r="AS1386" s="13" t="s">
        <v>49</v>
      </c>
      <c r="AT1386" s="13" t="s">
        <v>993</v>
      </c>
      <c r="AU1386" s="13" t="s">
        <v>1001</v>
      </c>
      <c r="AV1386" s="14">
        <v>0.127</v>
      </c>
      <c r="AW1386" s="14">
        <v>3.3000000000000002E-2</v>
      </c>
      <c r="AX1386" s="14">
        <f>Table1347456[[#This Row],[treatment_mean]]/Table1347456[[#This Row],[control_mean]]</f>
        <v>3.8484848484848482</v>
      </c>
      <c r="AY1386" s="14">
        <f>LN(Table1347456[[#This Row],[rr]])</f>
        <v>1.347679524992111</v>
      </c>
      <c r="AZ1386" s="13">
        <v>4</v>
      </c>
      <c r="BA1386" s="13">
        <v>4</v>
      </c>
      <c r="BB1386" s="14">
        <v>0</v>
      </c>
      <c r="BC1386" s="14">
        <v>0</v>
      </c>
      <c r="BD1386" s="15">
        <f>Table1347456[[#This Row],[treatment_se]]*SQRT(Table1347456[[#This Row],[treatment_n]])</f>
        <v>0</v>
      </c>
      <c r="BE1386" s="14">
        <f>Table1347456[[#This Row],[control_se]]*SQRT(Table1347456[[#This Row],[control_n]])</f>
        <v>0</v>
      </c>
      <c r="BF138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86" s="17">
        <f>SQRT(Table1347456[[#This Row],[v_from_sd_and_n]])</f>
        <v>0</v>
      </c>
      <c r="BH1386" s="13" t="s">
        <v>50</v>
      </c>
      <c r="BI1386" s="13">
        <v>0.05</v>
      </c>
      <c r="BJ1386" s="18">
        <f>ABS(_xlfn.NORM.S.INV(Table1347456[[#This Row],[p_value]]/2))</f>
        <v>1.9599639845400538</v>
      </c>
      <c r="BK1386" s="19">
        <f>(Table1347456[[#This Row],[lnrr]]/Table1347456[[#This Row],[z_from_p]])^2</f>
        <v>0.47279957611384216</v>
      </c>
      <c r="BL1386" s="16">
        <f>(Table1347456[[#This Row],[lnrr]]/Table1347456[[#This Row],[z_from_p]])^2</f>
        <v>0.47279957611384216</v>
      </c>
      <c r="BM1386" s="20">
        <f>SQRT(Table1347456[[#This Row],[v]])</f>
        <v>0.68760422927280063</v>
      </c>
      <c r="BN1386" s="20">
        <f>Table1347456[[#This Row],[lnrr]]-(1.96*Table1347456[[#This Row],[se]])</f>
        <v>-2.4764382578146282E-5</v>
      </c>
      <c r="BO1386" s="20">
        <f>Table1347456[[#This Row],[lnrr]]+(1.96 * Table1347456[[#This Row],[se]])</f>
        <v>2.6953838143668003</v>
      </c>
    </row>
    <row r="1387" spans="1:67">
      <c r="A1387" s="13" t="s">
        <v>423</v>
      </c>
      <c r="B1387" s="13" t="s">
        <v>424</v>
      </c>
      <c r="C1387" s="13" t="s">
        <v>43</v>
      </c>
      <c r="D1387" s="13" t="s">
        <v>425</v>
      </c>
      <c r="E1387" s="13" t="s">
        <v>426</v>
      </c>
      <c r="F1387" s="13" t="s">
        <v>586</v>
      </c>
      <c r="G1387" s="13" t="s">
        <v>46</v>
      </c>
      <c r="H1387" s="13">
        <v>27.5</v>
      </c>
      <c r="I1387" s="13" t="s">
        <v>46</v>
      </c>
      <c r="K1387" s="13" t="s">
        <v>949</v>
      </c>
      <c r="L1387" s="13" t="s">
        <v>950</v>
      </c>
      <c r="N1387" s="13" t="s">
        <v>47</v>
      </c>
      <c r="O1387" s="13" t="s">
        <v>645</v>
      </c>
      <c r="P1387" s="13" t="s">
        <v>48</v>
      </c>
      <c r="Q1387" s="13" t="s">
        <v>48</v>
      </c>
      <c r="R1387" s="4">
        <v>4</v>
      </c>
      <c r="S1387" s="13" t="s">
        <v>596</v>
      </c>
      <c r="T1387" s="13">
        <v>55</v>
      </c>
      <c r="U1387" s="4" t="s">
        <v>427</v>
      </c>
      <c r="V1387" s="4">
        <v>500</v>
      </c>
      <c r="W1387" s="4" t="s">
        <v>601</v>
      </c>
      <c r="X1387" s="4">
        <v>746</v>
      </c>
      <c r="Y1387" s="4">
        <v>59.8</v>
      </c>
      <c r="Z1387" s="4" t="s">
        <v>491</v>
      </c>
      <c r="AA1387" s="4" t="s">
        <v>49</v>
      </c>
      <c r="AB1387" s="4">
        <v>0</v>
      </c>
      <c r="AC1387" s="4" t="s">
        <v>49</v>
      </c>
      <c r="AD1387" s="4">
        <v>0</v>
      </c>
      <c r="AE1387" s="4" t="s">
        <v>50</v>
      </c>
      <c r="AF1387" s="4" t="s">
        <v>428</v>
      </c>
      <c r="AG1387" s="4" t="s">
        <v>46</v>
      </c>
      <c r="AH1387" s="4" t="s">
        <v>676</v>
      </c>
      <c r="AI1387" s="4" t="s">
        <v>64</v>
      </c>
      <c r="AJ1387" s="13">
        <v>0</v>
      </c>
      <c r="AK1387" s="13">
        <v>23</v>
      </c>
      <c r="AL1387" s="13" t="s">
        <v>486</v>
      </c>
      <c r="AM1387" s="13" t="s">
        <v>528</v>
      </c>
      <c r="AO1387" s="13" t="s">
        <v>568</v>
      </c>
      <c r="AP1387" s="13" t="s">
        <v>50</v>
      </c>
      <c r="AQ1387" s="13" t="s">
        <v>49</v>
      </c>
      <c r="AR1387" s="13" t="s">
        <v>50</v>
      </c>
      <c r="AS1387" s="13" t="s">
        <v>49</v>
      </c>
      <c r="AT1387" s="13" t="s">
        <v>995</v>
      </c>
      <c r="AU1387" s="13" t="s">
        <v>1002</v>
      </c>
      <c r="AV1387" s="14">
        <v>0.127</v>
      </c>
      <c r="AW1387" s="14">
        <v>3.3000000000000002E-2</v>
      </c>
      <c r="AX1387" s="14">
        <f>Table1347456[[#This Row],[treatment_mean]]/Table1347456[[#This Row],[control_mean]]</f>
        <v>3.8484848484848482</v>
      </c>
      <c r="AY1387" s="14">
        <f>LN(Table1347456[[#This Row],[rr]])</f>
        <v>1.347679524992111</v>
      </c>
      <c r="AZ1387" s="13">
        <v>4</v>
      </c>
      <c r="BA1387" s="13">
        <v>4</v>
      </c>
      <c r="BB1387" s="14">
        <v>0</v>
      </c>
      <c r="BC1387" s="14">
        <v>0</v>
      </c>
      <c r="BD1387" s="15">
        <f>Table1347456[[#This Row],[treatment_se]]*SQRT(Table1347456[[#This Row],[treatment_n]])</f>
        <v>0</v>
      </c>
      <c r="BE1387" s="14">
        <f>Table1347456[[#This Row],[control_se]]*SQRT(Table1347456[[#This Row],[control_n]])</f>
        <v>0</v>
      </c>
      <c r="BF138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87" s="17">
        <f>SQRT(Table1347456[[#This Row],[v_from_sd_and_n]])</f>
        <v>0</v>
      </c>
      <c r="BH1387" s="13" t="s">
        <v>50</v>
      </c>
      <c r="BI1387" s="13">
        <v>0.05</v>
      </c>
      <c r="BJ1387" s="18">
        <f>ABS(_xlfn.NORM.S.INV(Table1347456[[#This Row],[p_value]]/2))</f>
        <v>1.9599639845400538</v>
      </c>
      <c r="BK1387" s="19">
        <f>(Table1347456[[#This Row],[lnrr]]/Table1347456[[#This Row],[z_from_p]])^2</f>
        <v>0.47279957611384216</v>
      </c>
      <c r="BL1387" s="16">
        <f>(Table1347456[[#This Row],[lnrr]]/Table1347456[[#This Row],[z_from_p]])^2</f>
        <v>0.47279957611384216</v>
      </c>
      <c r="BM1387" s="20">
        <f>SQRT(Table1347456[[#This Row],[v]])</f>
        <v>0.68760422927280063</v>
      </c>
      <c r="BN1387" s="20">
        <f>Table1347456[[#This Row],[lnrr]]-(1.96*Table1347456[[#This Row],[se]])</f>
        <v>-2.4764382578146282E-5</v>
      </c>
      <c r="BO1387" s="20">
        <f>Table1347456[[#This Row],[lnrr]]+(1.96 * Table1347456[[#This Row],[se]])</f>
        <v>2.6953838143668003</v>
      </c>
    </row>
    <row r="1388" spans="1:67">
      <c r="A1388" s="13" t="s">
        <v>423</v>
      </c>
      <c r="B1388" s="13" t="s">
        <v>429</v>
      </c>
      <c r="C1388" s="13" t="s">
        <v>43</v>
      </c>
      <c r="D1388" s="13" t="s">
        <v>425</v>
      </c>
      <c r="E1388" s="13" t="s">
        <v>426</v>
      </c>
      <c r="F1388" s="13" t="s">
        <v>586</v>
      </c>
      <c r="G1388" s="13" t="s">
        <v>46</v>
      </c>
      <c r="H1388" s="13">
        <v>27.5</v>
      </c>
      <c r="I1388" s="13" t="s">
        <v>46</v>
      </c>
      <c r="J1388" s="13" t="s">
        <v>663</v>
      </c>
      <c r="K1388" s="13" t="s">
        <v>949</v>
      </c>
      <c r="L1388" s="13" t="s">
        <v>950</v>
      </c>
      <c r="M1388" s="13" t="s">
        <v>797</v>
      </c>
      <c r="N1388" s="13" t="s">
        <v>317</v>
      </c>
      <c r="O1388" s="13" t="s">
        <v>644</v>
      </c>
      <c r="P1388" s="13" t="s">
        <v>85</v>
      </c>
      <c r="Q1388" s="13" t="s">
        <v>48</v>
      </c>
      <c r="R1388" s="4">
        <v>4</v>
      </c>
      <c r="S1388" s="13" t="s">
        <v>596</v>
      </c>
      <c r="T1388" s="13">
        <v>55</v>
      </c>
      <c r="U1388" s="4" t="s">
        <v>427</v>
      </c>
      <c r="V1388" s="4">
        <v>500</v>
      </c>
      <c r="W1388" s="4" t="s">
        <v>601</v>
      </c>
      <c r="X1388" s="4">
        <v>746</v>
      </c>
      <c r="Y1388" s="4">
        <v>59.8</v>
      </c>
      <c r="Z1388" s="4" t="s">
        <v>491</v>
      </c>
      <c r="AA1388" s="4" t="s">
        <v>50</v>
      </c>
      <c r="AB1388" s="4">
        <v>292</v>
      </c>
      <c r="AC1388" s="4" t="s">
        <v>49</v>
      </c>
      <c r="AD1388" s="4">
        <v>0</v>
      </c>
      <c r="AE1388" s="4" t="s">
        <v>49</v>
      </c>
      <c r="AF1388" s="4">
        <v>0</v>
      </c>
      <c r="AG1388" s="4" t="s">
        <v>46</v>
      </c>
      <c r="AH1388" s="4" t="s">
        <v>676</v>
      </c>
      <c r="AI1388" s="4" t="s">
        <v>64</v>
      </c>
      <c r="AJ1388" s="13">
        <v>0</v>
      </c>
      <c r="AK1388" s="13">
        <v>23</v>
      </c>
      <c r="AL1388" s="13" t="s">
        <v>486</v>
      </c>
      <c r="AM1388" s="13" t="s">
        <v>528</v>
      </c>
      <c r="AO1388" s="13" t="s">
        <v>568</v>
      </c>
      <c r="AP1388" s="13" t="s">
        <v>50</v>
      </c>
      <c r="AQ1388" s="13" t="s">
        <v>49</v>
      </c>
      <c r="AR1388" s="13" t="s">
        <v>50</v>
      </c>
      <c r="AS1388" s="13" t="s">
        <v>49</v>
      </c>
      <c r="AT1388" s="13" t="s">
        <v>992</v>
      </c>
      <c r="AU1388" s="4" t="s">
        <v>1000</v>
      </c>
      <c r="AV1388" s="23">
        <f>16.5/1000</f>
        <v>1.6500000000000001E-2</v>
      </c>
      <c r="AW1388" s="23">
        <f>14/1000</f>
        <v>1.4E-2</v>
      </c>
      <c r="AX1388" s="14">
        <f>Table1347456[[#This Row],[treatment_mean]]/Table1347456[[#This Row],[control_mean]]</f>
        <v>1.1785714285714286</v>
      </c>
      <c r="AY1388" s="14">
        <f>LN(Table1347456[[#This Row],[rr]])</f>
        <v>0.16430305129127634</v>
      </c>
      <c r="AZ1388" s="13">
        <v>4</v>
      </c>
      <c r="BA1388" s="13">
        <v>4</v>
      </c>
      <c r="BB1388" s="14">
        <v>0</v>
      </c>
      <c r="BC1388" s="14">
        <v>0</v>
      </c>
      <c r="BD1388" s="15">
        <f>Table1347456[[#This Row],[treatment_se]]*SQRT(Table1347456[[#This Row],[treatment_n]])</f>
        <v>0</v>
      </c>
      <c r="BE1388" s="14">
        <f>Table1347456[[#This Row],[control_se]]*SQRT(Table1347456[[#This Row],[control_n]])</f>
        <v>0</v>
      </c>
      <c r="BF138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88" s="17">
        <f>SQRT(Table1347456[[#This Row],[v_from_sd_and_n]])</f>
        <v>0</v>
      </c>
      <c r="BH1388" s="13" t="s">
        <v>50</v>
      </c>
      <c r="BI1388" s="13">
        <v>0.05</v>
      </c>
      <c r="BJ1388" s="18">
        <f>ABS(_xlfn.NORM.S.INV(Table1347456[[#This Row],[p_value]]/2))</f>
        <v>1.9599639845400538</v>
      </c>
      <c r="BK1388" s="19">
        <f>(Table1347456[[#This Row],[lnrr]]/Table1347456[[#This Row],[z_from_p]])^2</f>
        <v>7.0274064941677266E-3</v>
      </c>
      <c r="BL1388" s="16">
        <f>(Table1347456[[#This Row],[lnrr]]/Table1347456[[#This Row],[z_from_p]])^2</f>
        <v>7.0274064941677266E-3</v>
      </c>
      <c r="BM1388" s="20">
        <f>SQRT(Table1347456[[#This Row],[v]])</f>
        <v>8.3829627782590843E-2</v>
      </c>
      <c r="BN1388" s="20">
        <f>Table1347456[[#This Row],[lnrr]]-(1.96*Table1347456[[#This Row],[se]])</f>
        <v>-3.0191626017028739E-6</v>
      </c>
      <c r="BO1388" s="20">
        <f>Table1347456[[#This Row],[lnrr]]+(1.96 * Table1347456[[#This Row],[se]])</f>
        <v>0.32860912174515439</v>
      </c>
    </row>
    <row r="1389" spans="1:67">
      <c r="A1389" s="13" t="s">
        <v>423</v>
      </c>
      <c r="B1389" s="13" t="s">
        <v>424</v>
      </c>
      <c r="C1389" s="13" t="s">
        <v>43</v>
      </c>
      <c r="D1389" s="13" t="s">
        <v>425</v>
      </c>
      <c r="E1389" s="13" t="s">
        <v>426</v>
      </c>
      <c r="F1389" s="13" t="s">
        <v>586</v>
      </c>
      <c r="G1389" s="13" t="s">
        <v>46</v>
      </c>
      <c r="H1389" s="13">
        <v>27.5</v>
      </c>
      <c r="I1389" s="13" t="s">
        <v>46</v>
      </c>
      <c r="J1389" s="13" t="s">
        <v>663</v>
      </c>
      <c r="K1389" s="13" t="s">
        <v>949</v>
      </c>
      <c r="L1389" s="13" t="s">
        <v>950</v>
      </c>
      <c r="M1389" s="13" t="s">
        <v>797</v>
      </c>
      <c r="N1389" s="13" t="s">
        <v>317</v>
      </c>
      <c r="O1389" s="13" t="s">
        <v>644</v>
      </c>
      <c r="P1389" s="13" t="s">
        <v>85</v>
      </c>
      <c r="Q1389" s="13" t="s">
        <v>48</v>
      </c>
      <c r="R1389" s="4">
        <v>4</v>
      </c>
      <c r="S1389" s="13" t="s">
        <v>596</v>
      </c>
      <c r="T1389" s="13">
        <v>55</v>
      </c>
      <c r="U1389" s="4" t="s">
        <v>427</v>
      </c>
      <c r="V1389" s="4">
        <v>500</v>
      </c>
      <c r="W1389" s="4" t="s">
        <v>601</v>
      </c>
      <c r="X1389" s="4">
        <v>746</v>
      </c>
      <c r="Y1389" s="4">
        <v>59.8</v>
      </c>
      <c r="Z1389" s="4" t="s">
        <v>491</v>
      </c>
      <c r="AA1389" s="4" t="s">
        <v>49</v>
      </c>
      <c r="AB1389" s="4">
        <v>0</v>
      </c>
      <c r="AC1389" s="4" t="s">
        <v>50</v>
      </c>
      <c r="AD1389" s="4">
        <v>98.67</v>
      </c>
      <c r="AE1389" s="4" t="s">
        <v>49</v>
      </c>
      <c r="AF1389" s="4">
        <v>0</v>
      </c>
      <c r="AG1389" s="4" t="s">
        <v>46</v>
      </c>
      <c r="AH1389" s="4" t="s">
        <v>676</v>
      </c>
      <c r="AI1389" s="4" t="s">
        <v>64</v>
      </c>
      <c r="AJ1389" s="13">
        <v>0</v>
      </c>
      <c r="AK1389" s="13">
        <v>23</v>
      </c>
      <c r="AL1389" s="13" t="s">
        <v>486</v>
      </c>
      <c r="AM1389" s="13" t="s">
        <v>528</v>
      </c>
      <c r="AO1389" s="13" t="s">
        <v>568</v>
      </c>
      <c r="AP1389" s="13" t="s">
        <v>50</v>
      </c>
      <c r="AQ1389" s="13" t="s">
        <v>49</v>
      </c>
      <c r="AR1389" s="13" t="s">
        <v>50</v>
      </c>
      <c r="AS1389" s="13" t="s">
        <v>49</v>
      </c>
      <c r="AT1389" s="13" t="s">
        <v>993</v>
      </c>
      <c r="AU1389" s="13" t="s">
        <v>1001</v>
      </c>
      <c r="AV1389" s="23">
        <f>5.5/1000</f>
        <v>5.4999999999999997E-3</v>
      </c>
      <c r="AW1389" s="23">
        <f>3/1000</f>
        <v>3.0000000000000001E-3</v>
      </c>
      <c r="AX1389" s="14">
        <f>Table1347456[[#This Row],[treatment_mean]]/Table1347456[[#This Row],[control_mean]]</f>
        <v>1.8333333333333333</v>
      </c>
      <c r="AY1389" s="14">
        <f>LN(Table1347456[[#This Row],[rr]])</f>
        <v>0.60613580357031549</v>
      </c>
      <c r="AZ1389" s="13">
        <v>4</v>
      </c>
      <c r="BA1389" s="13">
        <v>4</v>
      </c>
      <c r="BB1389" s="14">
        <v>0</v>
      </c>
      <c r="BC1389" s="14">
        <v>0</v>
      </c>
      <c r="BD1389" s="15">
        <f>Table1347456[[#This Row],[treatment_se]]*SQRT(Table1347456[[#This Row],[treatment_n]])</f>
        <v>0</v>
      </c>
      <c r="BE1389" s="14">
        <f>Table1347456[[#This Row],[control_se]]*SQRT(Table1347456[[#This Row],[control_n]])</f>
        <v>0</v>
      </c>
      <c r="BF138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89" s="17">
        <f>SQRT(Table1347456[[#This Row],[v_from_sd_and_n]])</f>
        <v>0</v>
      </c>
      <c r="BH1389" s="13" t="s">
        <v>50</v>
      </c>
      <c r="BI1389" s="13">
        <v>0.05</v>
      </c>
      <c r="BJ1389" s="18">
        <f>ABS(_xlfn.NORM.S.INV(Table1347456[[#This Row],[p_value]]/2))</f>
        <v>1.9599639845400538</v>
      </c>
      <c r="BK1389" s="19">
        <f>(Table1347456[[#This Row],[lnrr]]/Table1347456[[#This Row],[z_from_p]])^2</f>
        <v>9.564090870651204E-2</v>
      </c>
      <c r="BL1389" s="16">
        <f>(Table1347456[[#This Row],[lnrr]]/Table1347456[[#This Row],[z_from_p]])^2</f>
        <v>9.564090870651204E-2</v>
      </c>
      <c r="BM1389" s="20">
        <f>SQRT(Table1347456[[#This Row],[v]])</f>
        <v>0.30925864370541373</v>
      </c>
      <c r="BN1389" s="20">
        <f>Table1347456[[#This Row],[lnrr]]-(1.96*Table1347456[[#This Row],[se]])</f>
        <v>-1.1138092295359669E-5</v>
      </c>
      <c r="BO1389" s="20">
        <f>Table1347456[[#This Row],[lnrr]]+(1.96 * Table1347456[[#This Row],[se]])</f>
        <v>1.2122827452329263</v>
      </c>
    </row>
    <row r="1390" spans="1:67">
      <c r="A1390" s="13" t="s">
        <v>423</v>
      </c>
      <c r="B1390" s="13" t="s">
        <v>424</v>
      </c>
      <c r="C1390" s="13" t="s">
        <v>43</v>
      </c>
      <c r="D1390" s="13" t="s">
        <v>425</v>
      </c>
      <c r="E1390" s="13" t="s">
        <v>426</v>
      </c>
      <c r="F1390" s="13" t="s">
        <v>586</v>
      </c>
      <c r="G1390" s="13" t="s">
        <v>46</v>
      </c>
      <c r="H1390" s="13">
        <v>27.5</v>
      </c>
      <c r="I1390" s="13" t="s">
        <v>46</v>
      </c>
      <c r="J1390" s="13" t="s">
        <v>663</v>
      </c>
      <c r="K1390" s="13" t="s">
        <v>949</v>
      </c>
      <c r="L1390" s="13" t="s">
        <v>950</v>
      </c>
      <c r="M1390" s="13" t="s">
        <v>797</v>
      </c>
      <c r="N1390" s="13" t="s">
        <v>317</v>
      </c>
      <c r="O1390" s="13" t="s">
        <v>644</v>
      </c>
      <c r="P1390" s="13" t="s">
        <v>85</v>
      </c>
      <c r="Q1390" s="13" t="s">
        <v>48</v>
      </c>
      <c r="R1390" s="4">
        <v>4</v>
      </c>
      <c r="S1390" s="13" t="s">
        <v>596</v>
      </c>
      <c r="T1390" s="13">
        <v>55</v>
      </c>
      <c r="U1390" s="4" t="s">
        <v>427</v>
      </c>
      <c r="V1390" s="4">
        <v>500</v>
      </c>
      <c r="W1390" s="4" t="s">
        <v>601</v>
      </c>
      <c r="X1390" s="4">
        <v>746</v>
      </c>
      <c r="Y1390" s="4">
        <v>59.8</v>
      </c>
      <c r="Z1390" s="4" t="s">
        <v>491</v>
      </c>
      <c r="AA1390" s="4" t="s">
        <v>49</v>
      </c>
      <c r="AB1390" s="4">
        <v>0</v>
      </c>
      <c r="AC1390" s="4" t="s">
        <v>49</v>
      </c>
      <c r="AD1390" s="4">
        <v>0</v>
      </c>
      <c r="AE1390" s="4" t="s">
        <v>50</v>
      </c>
      <c r="AF1390" s="4" t="s">
        <v>428</v>
      </c>
      <c r="AG1390" s="4" t="s">
        <v>46</v>
      </c>
      <c r="AH1390" s="4" t="s">
        <v>676</v>
      </c>
      <c r="AI1390" s="4" t="s">
        <v>64</v>
      </c>
      <c r="AJ1390" s="13">
        <v>0</v>
      </c>
      <c r="AK1390" s="13">
        <v>23</v>
      </c>
      <c r="AL1390" s="13" t="s">
        <v>486</v>
      </c>
      <c r="AM1390" s="13" t="s">
        <v>528</v>
      </c>
      <c r="AO1390" s="13" t="s">
        <v>568</v>
      </c>
      <c r="AP1390" s="13" t="s">
        <v>50</v>
      </c>
      <c r="AQ1390" s="13" t="s">
        <v>49</v>
      </c>
      <c r="AR1390" s="13" t="s">
        <v>50</v>
      </c>
      <c r="AS1390" s="13" t="s">
        <v>49</v>
      </c>
      <c r="AT1390" s="13" t="s">
        <v>995</v>
      </c>
      <c r="AU1390" s="13" t="s">
        <v>1002</v>
      </c>
      <c r="AV1390" s="23">
        <f>4.8/1000</f>
        <v>4.7999999999999996E-3</v>
      </c>
      <c r="AW1390" s="23">
        <f>2.5/1000</f>
        <v>2.5000000000000001E-3</v>
      </c>
      <c r="AX1390" s="14">
        <f>Table1347456[[#This Row],[treatment_mean]]/Table1347456[[#This Row],[control_mean]]</f>
        <v>1.9199999999999997</v>
      </c>
      <c r="AY1390" s="14">
        <f>LN(Table1347456[[#This Row],[rr]])</f>
        <v>0.65232518603969003</v>
      </c>
      <c r="AZ1390" s="13">
        <v>4</v>
      </c>
      <c r="BA1390" s="13">
        <v>4</v>
      </c>
      <c r="BB1390" s="14">
        <v>0</v>
      </c>
      <c r="BC1390" s="14">
        <v>0</v>
      </c>
      <c r="BD1390" s="15">
        <f>Table1347456[[#This Row],[treatment_se]]*SQRT(Table1347456[[#This Row],[treatment_n]])</f>
        <v>0</v>
      </c>
      <c r="BE1390" s="14">
        <f>Table1347456[[#This Row],[control_se]]*SQRT(Table1347456[[#This Row],[control_n]])</f>
        <v>0</v>
      </c>
      <c r="BF139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90" s="17">
        <f>SQRT(Table1347456[[#This Row],[v_from_sd_and_n]])</f>
        <v>0</v>
      </c>
      <c r="BH1390" s="13" t="s">
        <v>50</v>
      </c>
      <c r="BI1390" s="13">
        <v>0.05</v>
      </c>
      <c r="BJ1390" s="18">
        <f>ABS(_xlfn.NORM.S.INV(Table1347456[[#This Row],[p_value]]/2))</f>
        <v>1.9599639845400538</v>
      </c>
      <c r="BK1390" s="19">
        <f>(Table1347456[[#This Row],[lnrr]]/Table1347456[[#This Row],[z_from_p]])^2</f>
        <v>0.11077253934088151</v>
      </c>
      <c r="BL1390" s="16">
        <f>(Table1347456[[#This Row],[lnrr]]/Table1347456[[#This Row],[z_from_p]])^2</f>
        <v>0.11077253934088151</v>
      </c>
      <c r="BM1390" s="20">
        <f>SQRT(Table1347456[[#This Row],[v]])</f>
        <v>0.33282508820832829</v>
      </c>
      <c r="BN1390" s="20">
        <f>Table1347456[[#This Row],[lnrr]]-(1.96*Table1347456[[#This Row],[se]])</f>
        <v>-1.1986848633460667E-5</v>
      </c>
      <c r="BO1390" s="20">
        <f>Table1347456[[#This Row],[lnrr]]+(1.96 * Table1347456[[#This Row],[se]])</f>
        <v>1.3046623589280135</v>
      </c>
    </row>
    <row r="1391" spans="1:67">
      <c r="A1391" s="13" t="s">
        <v>423</v>
      </c>
      <c r="B1391" s="13" t="s">
        <v>429</v>
      </c>
      <c r="C1391" s="13" t="s">
        <v>43</v>
      </c>
      <c r="D1391" s="13" t="s">
        <v>425</v>
      </c>
      <c r="E1391" s="13" t="s">
        <v>426</v>
      </c>
      <c r="F1391" s="13" t="s">
        <v>586</v>
      </c>
      <c r="G1391" s="13" t="s">
        <v>46</v>
      </c>
      <c r="H1391" s="13">
        <v>27.5</v>
      </c>
      <c r="I1391" s="13" t="s">
        <v>46</v>
      </c>
      <c r="K1391" s="13" t="s">
        <v>949</v>
      </c>
      <c r="L1391" s="13" t="s">
        <v>950</v>
      </c>
      <c r="N1391" s="13" t="s">
        <v>381</v>
      </c>
      <c r="O1391" s="13" t="s">
        <v>70</v>
      </c>
      <c r="P1391" s="13" t="s">
        <v>85</v>
      </c>
      <c r="Q1391" s="13" t="s">
        <v>71</v>
      </c>
      <c r="R1391" s="4">
        <v>4</v>
      </c>
      <c r="S1391" s="13" t="s">
        <v>596</v>
      </c>
      <c r="T1391" s="13">
        <v>55</v>
      </c>
      <c r="U1391" s="4" t="s">
        <v>427</v>
      </c>
      <c r="V1391" s="4">
        <v>500</v>
      </c>
      <c r="W1391" s="4" t="s">
        <v>601</v>
      </c>
      <c r="X1391" s="4">
        <v>746</v>
      </c>
      <c r="Y1391" s="4">
        <v>59.8</v>
      </c>
      <c r="Z1391" s="4" t="s">
        <v>491</v>
      </c>
      <c r="AA1391" s="4" t="s">
        <v>49</v>
      </c>
      <c r="AB1391" s="4">
        <v>0</v>
      </c>
      <c r="AC1391" s="4" t="s">
        <v>49</v>
      </c>
      <c r="AD1391" s="4">
        <v>0</v>
      </c>
      <c r="AE1391" s="4" t="s">
        <v>49</v>
      </c>
      <c r="AF1391" s="4">
        <v>0</v>
      </c>
      <c r="AG1391" s="4" t="s">
        <v>46</v>
      </c>
      <c r="AH1391" s="4" t="s">
        <v>676</v>
      </c>
      <c r="AI1391" s="4" t="s">
        <v>64</v>
      </c>
      <c r="AJ1391" s="13">
        <v>0</v>
      </c>
      <c r="AK1391" s="13">
        <v>23</v>
      </c>
      <c r="AL1391" s="13" t="s">
        <v>486</v>
      </c>
      <c r="AM1391" s="13" t="s">
        <v>528</v>
      </c>
      <c r="AO1391" s="13" t="s">
        <v>568</v>
      </c>
      <c r="AP1391" s="13" t="s">
        <v>50</v>
      </c>
      <c r="AQ1391" s="13" t="s">
        <v>49</v>
      </c>
      <c r="AR1391" s="13" t="s">
        <v>50</v>
      </c>
      <c r="AS1391" s="13" t="s">
        <v>49</v>
      </c>
      <c r="AT1391" s="13" t="s">
        <v>990</v>
      </c>
      <c r="AU1391" s="13" t="s">
        <v>998</v>
      </c>
      <c r="AV1391" s="14">
        <f>0.06*1.3*2.3</f>
        <v>0.17939999999999998</v>
      </c>
      <c r="AW1391" s="14">
        <f>0.32*1.3*2.3</f>
        <v>0.95679999999999998</v>
      </c>
      <c r="AX1391" s="14">
        <f>Table1347456[[#This Row],[treatment_mean]]/Table1347456[[#This Row],[control_mean]]</f>
        <v>0.18749999999999997</v>
      </c>
      <c r="AY1391" s="14">
        <f>LN(Table1347456[[#This Row],[rr]])</f>
        <v>-1.6739764335716716</v>
      </c>
      <c r="AZ1391" s="13">
        <v>4</v>
      </c>
      <c r="BA1391" s="13">
        <v>4</v>
      </c>
      <c r="BB1391" s="14">
        <v>0</v>
      </c>
      <c r="BC1391" s="14">
        <v>0</v>
      </c>
      <c r="BD1391" s="15">
        <f>Table1347456[[#This Row],[treatment_se]]*SQRT(Table1347456[[#This Row],[treatment_n]])</f>
        <v>0</v>
      </c>
      <c r="BE1391" s="14">
        <f>Table1347456[[#This Row],[control_se]]*SQRT(Table1347456[[#This Row],[control_n]])</f>
        <v>0</v>
      </c>
      <c r="BF139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91" s="17">
        <f>SQRT(Table1347456[[#This Row],[v_from_sd_and_n]])</f>
        <v>0</v>
      </c>
      <c r="BH1391" s="13" t="s">
        <v>50</v>
      </c>
      <c r="BI1391" s="13">
        <v>0.05</v>
      </c>
      <c r="BJ1391" s="18">
        <f>ABS(_xlfn.NORM.S.INV(Table1347456[[#This Row],[p_value]]/2))</f>
        <v>1.9599639845400538</v>
      </c>
      <c r="BK1391" s="19">
        <f>(Table1347456[[#This Row],[lnrr]]/Table1347456[[#This Row],[z_from_p]])^2</f>
        <v>0.72946170477157313</v>
      </c>
      <c r="BL1391" s="16">
        <f>(Table1347456[[#This Row],[lnrr]]/Table1347456[[#This Row],[z_from_p]])^2</f>
        <v>0.72946170477157313</v>
      </c>
      <c r="BM1391" s="20">
        <f>SQRT(Table1347456[[#This Row],[v]])</f>
        <v>0.854085302983006</v>
      </c>
      <c r="BN1391" s="20">
        <f>Table1347456[[#This Row],[lnrr]]-(1.96*Table1347456[[#This Row],[se]])</f>
        <v>-3.3479836274183636</v>
      </c>
      <c r="BO1391" s="20">
        <f>Table1347456[[#This Row],[lnrr]]+(1.96 * Table1347456[[#This Row],[se]])</f>
        <v>3.0760275020247363E-5</v>
      </c>
    </row>
    <row r="1392" spans="1:67">
      <c r="A1392" s="13" t="s">
        <v>423</v>
      </c>
      <c r="B1392" s="13" t="s">
        <v>424</v>
      </c>
      <c r="C1392" s="13" t="s">
        <v>43</v>
      </c>
      <c r="D1392" s="13" t="s">
        <v>425</v>
      </c>
      <c r="E1392" s="13" t="s">
        <v>426</v>
      </c>
      <c r="F1392" s="13" t="s">
        <v>586</v>
      </c>
      <c r="G1392" s="13" t="s">
        <v>46</v>
      </c>
      <c r="H1392" s="13">
        <v>27.5</v>
      </c>
      <c r="I1392" s="13" t="s">
        <v>46</v>
      </c>
      <c r="K1392" s="13" t="s">
        <v>949</v>
      </c>
      <c r="L1392" s="13" t="s">
        <v>950</v>
      </c>
      <c r="N1392" s="13" t="s">
        <v>381</v>
      </c>
      <c r="O1392" s="13" t="s">
        <v>70</v>
      </c>
      <c r="P1392" s="13" t="s">
        <v>85</v>
      </c>
      <c r="Q1392" s="13" t="s">
        <v>71</v>
      </c>
      <c r="R1392" s="4">
        <v>4</v>
      </c>
      <c r="S1392" s="13" t="s">
        <v>596</v>
      </c>
      <c r="T1392" s="13">
        <v>55</v>
      </c>
      <c r="U1392" s="4" t="s">
        <v>427</v>
      </c>
      <c r="V1392" s="4">
        <v>500</v>
      </c>
      <c r="W1392" s="4" t="s">
        <v>601</v>
      </c>
      <c r="X1392" s="4">
        <v>746</v>
      </c>
      <c r="Y1392" s="4">
        <v>59.8</v>
      </c>
      <c r="Z1392" s="4" t="s">
        <v>491</v>
      </c>
      <c r="AA1392" s="4" t="s">
        <v>50</v>
      </c>
      <c r="AB1392" s="4">
        <v>292</v>
      </c>
      <c r="AC1392" s="4" t="s">
        <v>49</v>
      </c>
      <c r="AD1392" s="4">
        <v>0</v>
      </c>
      <c r="AE1392" s="4" t="s">
        <v>49</v>
      </c>
      <c r="AF1392" s="4">
        <v>0</v>
      </c>
      <c r="AG1392" s="4" t="s">
        <v>46</v>
      </c>
      <c r="AH1392" s="4" t="s">
        <v>676</v>
      </c>
      <c r="AI1392" s="4" t="s">
        <v>64</v>
      </c>
      <c r="AJ1392" s="13">
        <v>0</v>
      </c>
      <c r="AK1392" s="13">
        <v>23</v>
      </c>
      <c r="AL1392" s="13" t="s">
        <v>486</v>
      </c>
      <c r="AM1392" s="13" t="s">
        <v>528</v>
      </c>
      <c r="AO1392" s="13" t="s">
        <v>568</v>
      </c>
      <c r="AP1392" s="13" t="s">
        <v>50</v>
      </c>
      <c r="AQ1392" s="13" t="s">
        <v>49</v>
      </c>
      <c r="AR1392" s="13" t="s">
        <v>50</v>
      </c>
      <c r="AS1392" s="13" t="s">
        <v>49</v>
      </c>
      <c r="AT1392" s="13" t="s">
        <v>992</v>
      </c>
      <c r="AU1392" s="4" t="s">
        <v>1000</v>
      </c>
      <c r="AV1392" s="14">
        <f>0.23*1.3*2.3</f>
        <v>0.68770000000000009</v>
      </c>
      <c r="AW1392" s="14">
        <f>0.53*1.3*2.3</f>
        <v>1.5847</v>
      </c>
      <c r="AX1392" s="14">
        <f>Table1347456[[#This Row],[treatment_mean]]/Table1347456[[#This Row],[control_mean]]</f>
        <v>0.43396226415094347</v>
      </c>
      <c r="AY1392" s="14">
        <f>LN(Table1347456[[#This Row],[rr]])</f>
        <v>-0.83479769762297196</v>
      </c>
      <c r="AZ1392" s="13">
        <v>4</v>
      </c>
      <c r="BA1392" s="13">
        <v>4</v>
      </c>
      <c r="BB1392" s="14">
        <v>0</v>
      </c>
      <c r="BC1392" s="14">
        <v>0</v>
      </c>
      <c r="BD1392" s="15">
        <f>Table1347456[[#This Row],[treatment_se]]*SQRT(Table1347456[[#This Row],[treatment_n]])</f>
        <v>0</v>
      </c>
      <c r="BE1392" s="14">
        <f>Table1347456[[#This Row],[control_se]]*SQRT(Table1347456[[#This Row],[control_n]])</f>
        <v>0</v>
      </c>
      <c r="BF139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92" s="17">
        <f>SQRT(Table1347456[[#This Row],[v_from_sd_and_n]])</f>
        <v>0</v>
      </c>
      <c r="BH1392" s="13" t="s">
        <v>50</v>
      </c>
      <c r="BI1392" s="13">
        <v>0.05</v>
      </c>
      <c r="BJ1392" s="18">
        <f>ABS(_xlfn.NORM.S.INV(Table1347456[[#This Row],[p_value]]/2))</f>
        <v>1.9599639845400538</v>
      </c>
      <c r="BK1392" s="19">
        <f>(Table1347456[[#This Row],[lnrr]]/Table1347456[[#This Row],[z_from_p]])^2</f>
        <v>0.18141212192681852</v>
      </c>
      <c r="BL1392" s="16">
        <f>(Table1347456[[#This Row],[lnrr]]/Table1347456[[#This Row],[z_from_p]])^2</f>
        <v>0.18141212192681852</v>
      </c>
      <c r="BM1392" s="20">
        <f>SQRT(Table1347456[[#This Row],[v]])</f>
        <v>0.42592501913695857</v>
      </c>
      <c r="BN1392" s="20">
        <f>Table1347456[[#This Row],[lnrr]]-(1.96*Table1347456[[#This Row],[se]])</f>
        <v>-1.6696107351314109</v>
      </c>
      <c r="BO1392" s="20">
        <f>Table1347456[[#This Row],[lnrr]]+(1.96 * Table1347456[[#This Row],[se]])</f>
        <v>1.5339885466869596E-5</v>
      </c>
    </row>
    <row r="1393" spans="1:67">
      <c r="A1393" s="13" t="s">
        <v>423</v>
      </c>
      <c r="B1393" s="13" t="s">
        <v>424</v>
      </c>
      <c r="C1393" s="13" t="s">
        <v>43</v>
      </c>
      <c r="D1393" s="13" t="s">
        <v>425</v>
      </c>
      <c r="E1393" s="13" t="s">
        <v>426</v>
      </c>
      <c r="F1393" s="13" t="s">
        <v>586</v>
      </c>
      <c r="G1393" s="13" t="s">
        <v>46</v>
      </c>
      <c r="H1393" s="13">
        <v>27.5</v>
      </c>
      <c r="I1393" s="13" t="s">
        <v>46</v>
      </c>
      <c r="K1393" s="13" t="s">
        <v>949</v>
      </c>
      <c r="L1393" s="13" t="s">
        <v>950</v>
      </c>
      <c r="N1393" s="13" t="s">
        <v>381</v>
      </c>
      <c r="O1393" s="13" t="s">
        <v>70</v>
      </c>
      <c r="P1393" s="13" t="s">
        <v>85</v>
      </c>
      <c r="Q1393" s="13" t="s">
        <v>71</v>
      </c>
      <c r="R1393" s="4">
        <v>4</v>
      </c>
      <c r="S1393" s="13" t="s">
        <v>596</v>
      </c>
      <c r="T1393" s="13">
        <v>55</v>
      </c>
      <c r="U1393" s="4" t="s">
        <v>427</v>
      </c>
      <c r="V1393" s="4">
        <v>500</v>
      </c>
      <c r="W1393" s="4" t="s">
        <v>601</v>
      </c>
      <c r="X1393" s="4">
        <v>746</v>
      </c>
      <c r="Y1393" s="4">
        <v>59.8</v>
      </c>
      <c r="Z1393" s="4" t="s">
        <v>491</v>
      </c>
      <c r="AA1393" s="4" t="s">
        <v>49</v>
      </c>
      <c r="AB1393" s="4">
        <v>0</v>
      </c>
      <c r="AC1393" s="4" t="s">
        <v>50</v>
      </c>
      <c r="AD1393" s="4">
        <v>98.67</v>
      </c>
      <c r="AE1393" s="4" t="s">
        <v>49</v>
      </c>
      <c r="AF1393" s="4">
        <v>0</v>
      </c>
      <c r="AG1393" s="4" t="s">
        <v>46</v>
      </c>
      <c r="AH1393" s="4" t="s">
        <v>676</v>
      </c>
      <c r="AI1393" s="4" t="s">
        <v>64</v>
      </c>
      <c r="AJ1393" s="13">
        <v>0</v>
      </c>
      <c r="AK1393" s="13">
        <v>23</v>
      </c>
      <c r="AL1393" s="13" t="s">
        <v>486</v>
      </c>
      <c r="AM1393" s="13" t="s">
        <v>528</v>
      </c>
      <c r="AO1393" s="13" t="s">
        <v>568</v>
      </c>
      <c r="AP1393" s="13" t="s">
        <v>50</v>
      </c>
      <c r="AQ1393" s="13" t="s">
        <v>49</v>
      </c>
      <c r="AR1393" s="13" t="s">
        <v>50</v>
      </c>
      <c r="AS1393" s="13" t="s">
        <v>49</v>
      </c>
      <c r="AT1393" s="13" t="s">
        <v>993</v>
      </c>
      <c r="AU1393" s="13" t="s">
        <v>1001</v>
      </c>
      <c r="AV1393" s="14">
        <f>0.11*1.3*2.3</f>
        <v>0.32890000000000003</v>
      </c>
      <c r="AW1393" s="14">
        <f>0.19*1.3*2.3</f>
        <v>0.56810000000000005</v>
      </c>
      <c r="AX1393" s="14">
        <f>Table1347456[[#This Row],[treatment_mean]]/Table1347456[[#This Row],[control_mean]]</f>
        <v>0.57894736842105265</v>
      </c>
      <c r="AY1393" s="14">
        <f>LN(Table1347456[[#This Row],[rr]])</f>
        <v>-0.54654370636806993</v>
      </c>
      <c r="AZ1393" s="13">
        <v>4</v>
      </c>
      <c r="BA1393" s="13">
        <v>4</v>
      </c>
      <c r="BB1393" s="14">
        <v>0</v>
      </c>
      <c r="BC1393" s="14">
        <v>0</v>
      </c>
      <c r="BD1393" s="15">
        <f>Table1347456[[#This Row],[treatment_se]]*SQRT(Table1347456[[#This Row],[treatment_n]])</f>
        <v>0</v>
      </c>
      <c r="BE1393" s="14">
        <f>Table1347456[[#This Row],[control_se]]*SQRT(Table1347456[[#This Row],[control_n]])</f>
        <v>0</v>
      </c>
      <c r="BF139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93" s="17">
        <f>SQRT(Table1347456[[#This Row],[v_from_sd_and_n]])</f>
        <v>0</v>
      </c>
      <c r="BH1393" s="13" t="s">
        <v>50</v>
      </c>
      <c r="BI1393" s="13">
        <v>0.05</v>
      </c>
      <c r="BJ1393" s="18">
        <f>ABS(_xlfn.NORM.S.INV(Table1347456[[#This Row],[p_value]]/2))</f>
        <v>1.9599639845400538</v>
      </c>
      <c r="BK1393" s="19">
        <f>(Table1347456[[#This Row],[lnrr]]/Table1347456[[#This Row],[z_from_p]])^2</f>
        <v>7.7759527542344511E-2</v>
      </c>
      <c r="BL1393" s="16">
        <f>(Table1347456[[#This Row],[lnrr]]/Table1347456[[#This Row],[z_from_p]])^2</f>
        <v>7.7759527542344511E-2</v>
      </c>
      <c r="BM1393" s="20">
        <f>SQRT(Table1347456[[#This Row],[v]])</f>
        <v>0.27885395378646599</v>
      </c>
      <c r="BN1393" s="20">
        <f>Table1347456[[#This Row],[lnrr]]-(1.96*Table1347456[[#This Row],[se]])</f>
        <v>-1.0930974557895432</v>
      </c>
      <c r="BO1393" s="20">
        <f>Table1347456[[#This Row],[lnrr]]+(1.96 * Table1347456[[#This Row],[se]])</f>
        <v>1.0043053403352431E-5</v>
      </c>
    </row>
    <row r="1394" spans="1:67">
      <c r="A1394" s="13" t="s">
        <v>423</v>
      </c>
      <c r="B1394" s="13" t="s">
        <v>424</v>
      </c>
      <c r="C1394" s="13" t="s">
        <v>43</v>
      </c>
      <c r="D1394" s="13" t="s">
        <v>425</v>
      </c>
      <c r="E1394" s="13" t="s">
        <v>426</v>
      </c>
      <c r="F1394" s="13" t="s">
        <v>586</v>
      </c>
      <c r="G1394" s="13" t="s">
        <v>46</v>
      </c>
      <c r="H1394" s="13">
        <v>27.5</v>
      </c>
      <c r="I1394" s="13" t="s">
        <v>46</v>
      </c>
      <c r="K1394" s="13" t="s">
        <v>949</v>
      </c>
      <c r="L1394" s="13" t="s">
        <v>950</v>
      </c>
      <c r="N1394" s="13" t="s">
        <v>381</v>
      </c>
      <c r="O1394" s="13" t="s">
        <v>70</v>
      </c>
      <c r="P1394" s="13" t="s">
        <v>85</v>
      </c>
      <c r="Q1394" s="13" t="s">
        <v>71</v>
      </c>
      <c r="R1394" s="4">
        <v>4</v>
      </c>
      <c r="S1394" s="13" t="s">
        <v>596</v>
      </c>
      <c r="T1394" s="13">
        <v>55</v>
      </c>
      <c r="U1394" s="4" t="s">
        <v>427</v>
      </c>
      <c r="V1394" s="4">
        <v>500</v>
      </c>
      <c r="W1394" s="4" t="s">
        <v>601</v>
      </c>
      <c r="X1394" s="4">
        <v>746</v>
      </c>
      <c r="Y1394" s="4">
        <v>59.8</v>
      </c>
      <c r="Z1394" s="4" t="s">
        <v>491</v>
      </c>
      <c r="AA1394" s="4" t="s">
        <v>49</v>
      </c>
      <c r="AB1394" s="4">
        <v>0</v>
      </c>
      <c r="AC1394" s="4" t="s">
        <v>49</v>
      </c>
      <c r="AD1394" s="4">
        <v>0</v>
      </c>
      <c r="AE1394" s="4" t="s">
        <v>50</v>
      </c>
      <c r="AF1394" s="4" t="s">
        <v>428</v>
      </c>
      <c r="AG1394" s="4" t="s">
        <v>46</v>
      </c>
      <c r="AH1394" s="4" t="s">
        <v>676</v>
      </c>
      <c r="AI1394" s="4" t="s">
        <v>64</v>
      </c>
      <c r="AJ1394" s="13">
        <v>0</v>
      </c>
      <c r="AK1394" s="13">
        <v>23</v>
      </c>
      <c r="AL1394" s="13" t="s">
        <v>486</v>
      </c>
      <c r="AM1394" s="13" t="s">
        <v>528</v>
      </c>
      <c r="AO1394" s="13" t="s">
        <v>568</v>
      </c>
      <c r="AP1394" s="13" t="s">
        <v>50</v>
      </c>
      <c r="AQ1394" s="13" t="s">
        <v>49</v>
      </c>
      <c r="AR1394" s="13" t="s">
        <v>50</v>
      </c>
      <c r="AS1394" s="13" t="s">
        <v>49</v>
      </c>
      <c r="AT1394" s="13" t="s">
        <v>995</v>
      </c>
      <c r="AU1394" s="13" t="s">
        <v>1002</v>
      </c>
      <c r="AV1394" s="14">
        <f>0.33*1.3*2.3</f>
        <v>0.98670000000000002</v>
      </c>
      <c r="AW1394" s="14">
        <f>0.89*1.3*2.3</f>
        <v>2.6610999999999998</v>
      </c>
      <c r="AX1394" s="14">
        <f>Table1347456[[#This Row],[treatment_mean]]/Table1347456[[#This Row],[control_mean]]</f>
        <v>0.3707865168539326</v>
      </c>
      <c r="AY1394" s="14">
        <f>LN(Table1347456[[#This Row],[rr]])</f>
        <v>-0.99212880826565952</v>
      </c>
      <c r="AZ1394" s="13">
        <v>4</v>
      </c>
      <c r="BA1394" s="13">
        <v>4</v>
      </c>
      <c r="BB1394" s="14">
        <v>0</v>
      </c>
      <c r="BC1394" s="14">
        <v>0</v>
      </c>
      <c r="BD1394" s="15">
        <f>Table1347456[[#This Row],[treatment_se]]*SQRT(Table1347456[[#This Row],[treatment_n]])</f>
        <v>0</v>
      </c>
      <c r="BE1394" s="14">
        <f>Table1347456[[#This Row],[control_se]]*SQRT(Table1347456[[#This Row],[control_n]])</f>
        <v>0</v>
      </c>
      <c r="BF139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394" s="17">
        <f>SQRT(Table1347456[[#This Row],[v_from_sd_and_n]])</f>
        <v>0</v>
      </c>
      <c r="BH1394" s="13" t="s">
        <v>50</v>
      </c>
      <c r="BI1394" s="13">
        <v>0.05</v>
      </c>
      <c r="BJ1394" s="18">
        <f>ABS(_xlfn.NORM.S.INV(Table1347456[[#This Row],[p_value]]/2))</f>
        <v>1.9599639845400538</v>
      </c>
      <c r="BK1394" s="19">
        <f>(Table1347456[[#This Row],[lnrr]]/Table1347456[[#This Row],[z_from_p]])^2</f>
        <v>0.25623587760151445</v>
      </c>
      <c r="BL1394" s="16">
        <f>(Table1347456[[#This Row],[lnrr]]/Table1347456[[#This Row],[z_from_p]])^2</f>
        <v>0.25623587760151445</v>
      </c>
      <c r="BM1394" s="20">
        <f>SQRT(Table1347456[[#This Row],[v]])</f>
        <v>0.50619746897975937</v>
      </c>
      <c r="BN1394" s="20">
        <f>Table1347456[[#This Row],[lnrr]]-(1.96*Table1347456[[#This Row],[se]])</f>
        <v>-1.9842758474659878</v>
      </c>
      <c r="BO1394" s="20">
        <f>Table1347456[[#This Row],[lnrr]]+(1.96 * Table1347456[[#This Row],[se]])</f>
        <v>1.8230934668794774E-5</v>
      </c>
    </row>
    <row r="1395" spans="1:67">
      <c r="A1395" s="13" t="s">
        <v>423</v>
      </c>
      <c r="B1395" s="13" t="s">
        <v>424</v>
      </c>
      <c r="C1395" s="13" t="s">
        <v>43</v>
      </c>
      <c r="D1395" s="13" t="s">
        <v>425</v>
      </c>
      <c r="E1395" s="13" t="s">
        <v>426</v>
      </c>
      <c r="F1395" s="13" t="s">
        <v>586</v>
      </c>
      <c r="G1395" s="13" t="s">
        <v>46</v>
      </c>
      <c r="H1395" s="13">
        <v>27.5</v>
      </c>
      <c r="I1395" s="13" t="s">
        <v>46</v>
      </c>
      <c r="K1395" s="13" t="s">
        <v>949</v>
      </c>
      <c r="L1395" s="13" t="s">
        <v>950</v>
      </c>
      <c r="N1395" s="13" t="s">
        <v>99</v>
      </c>
      <c r="O1395" s="13" t="s">
        <v>644</v>
      </c>
      <c r="P1395" s="13" t="s">
        <v>71</v>
      </c>
      <c r="Q1395" s="13" t="s">
        <v>48</v>
      </c>
      <c r="R1395" s="4">
        <v>4</v>
      </c>
      <c r="S1395" s="13" t="s">
        <v>596</v>
      </c>
      <c r="T1395" s="13">
        <v>55</v>
      </c>
      <c r="U1395" s="4" t="s">
        <v>427</v>
      </c>
      <c r="V1395" s="4">
        <v>500</v>
      </c>
      <c r="W1395" s="4" t="s">
        <v>601</v>
      </c>
      <c r="X1395" s="4">
        <v>746</v>
      </c>
      <c r="Y1395" s="4">
        <v>59.8</v>
      </c>
      <c r="Z1395" s="4" t="s">
        <v>491</v>
      </c>
      <c r="AA1395" s="4" t="s">
        <v>49</v>
      </c>
      <c r="AB1395" s="4">
        <v>0</v>
      </c>
      <c r="AC1395" s="4" t="s">
        <v>49</v>
      </c>
      <c r="AD1395" s="4">
        <v>0</v>
      </c>
      <c r="AE1395" s="4" t="s">
        <v>49</v>
      </c>
      <c r="AF1395" s="4">
        <v>0</v>
      </c>
      <c r="AG1395" s="4" t="s">
        <v>46</v>
      </c>
      <c r="AH1395" s="4" t="s">
        <v>676</v>
      </c>
      <c r="AI1395" s="4" t="s">
        <v>64</v>
      </c>
      <c r="AJ1395" s="13">
        <v>0</v>
      </c>
      <c r="AK1395" s="13">
        <v>23</v>
      </c>
      <c r="AL1395" s="13" t="s">
        <v>486</v>
      </c>
      <c r="AM1395" s="13" t="s">
        <v>528</v>
      </c>
      <c r="AO1395" s="13" t="s">
        <v>568</v>
      </c>
      <c r="AP1395" s="13" t="s">
        <v>50</v>
      </c>
      <c r="AQ1395" s="13" t="s">
        <v>49</v>
      </c>
      <c r="AR1395" s="13" t="s">
        <v>50</v>
      </c>
      <c r="AS1395" s="13" t="s">
        <v>49</v>
      </c>
      <c r="AT1395" s="13" t="s">
        <v>990</v>
      </c>
      <c r="AU1395" s="13" t="s">
        <v>998</v>
      </c>
      <c r="AV1395" s="14">
        <f>(1.2*2.3)/1.3/1000</f>
        <v>2.1230769230769228E-3</v>
      </c>
      <c r="AW1395" s="14">
        <f>(5.6*2.3)/1.3/1000</f>
        <v>9.9076923076923066E-3</v>
      </c>
      <c r="AX1395" s="14">
        <f>Table1347456[[#This Row],[treatment_mean]]/Table1347456[[#This Row],[control_mean]]</f>
        <v>0.21428571428571427</v>
      </c>
      <c r="AY1395" s="14">
        <f>LN(Table1347456[[#This Row],[rr]])</f>
        <v>-1.5404450409471491</v>
      </c>
      <c r="AZ1395" s="13">
        <v>4</v>
      </c>
      <c r="BA1395" s="13">
        <v>4</v>
      </c>
      <c r="BB1395" s="14">
        <f>(0.1*2.3)/1.3/1000</f>
        <v>1.769230769230769E-4</v>
      </c>
      <c r="BC1395" s="14">
        <f>(0.5*2.3)/1.3/1000</f>
        <v>8.8461538461538452E-4</v>
      </c>
      <c r="BD1395" s="15">
        <f>Table1347456[[#This Row],[treatment_se]]*SQRT(Table1347456[[#This Row],[treatment_n]])</f>
        <v>3.5384615384615381E-4</v>
      </c>
      <c r="BE1395" s="14">
        <f>Table1347456[[#This Row],[control_se]]*SQRT(Table1347456[[#This Row],[control_n]])</f>
        <v>1.769230769230769E-3</v>
      </c>
      <c r="BF139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1.4916383219954648E-2</v>
      </c>
      <c r="BG1395" s="17">
        <f>SQRT(Table1347456[[#This Row],[v_from_sd_and_n]])</f>
        <v>0.12213264600406662</v>
      </c>
      <c r="BH1395" s="13" t="s">
        <v>50</v>
      </c>
      <c r="BI1395" s="13">
        <v>0.05</v>
      </c>
      <c r="BJ1395" s="18">
        <f>ABS(_xlfn.NORM.S.INV(Table1347456[[#This Row],[p_value]]/2))</f>
        <v>1.9599639845400538</v>
      </c>
      <c r="BK1395" s="19">
        <f>(Table1347456[[#This Row],[lnrr]]/Table1347456[[#This Row],[z_from_p]])^2</f>
        <v>0.61772650311786637</v>
      </c>
      <c r="BL1395" s="16">
        <f>Table1347456[[#This Row],[v_from_sd_and_n]]</f>
        <v>1.4916383219954648E-2</v>
      </c>
      <c r="BM1395" s="20">
        <f>SQRT(Table1347456[[#This Row],[v]])</f>
        <v>0.12213264600406662</v>
      </c>
      <c r="BN1395" s="20">
        <f>Table1347456[[#This Row],[lnrr]]-(1.96*Table1347456[[#This Row],[se]])</f>
        <v>-1.7798250271151197</v>
      </c>
      <c r="BO1395" s="20">
        <f>Table1347456[[#This Row],[lnrr]]+(1.96 * Table1347456[[#This Row],[se]])</f>
        <v>-1.3010650547791784</v>
      </c>
    </row>
    <row r="1396" spans="1:67">
      <c r="A1396" s="13" t="s">
        <v>423</v>
      </c>
      <c r="B1396" s="13" t="s">
        <v>424</v>
      </c>
      <c r="C1396" s="13" t="s">
        <v>43</v>
      </c>
      <c r="D1396" s="13" t="s">
        <v>425</v>
      </c>
      <c r="E1396" s="13" t="s">
        <v>426</v>
      </c>
      <c r="F1396" s="13" t="s">
        <v>586</v>
      </c>
      <c r="G1396" s="13" t="s">
        <v>46</v>
      </c>
      <c r="H1396" s="13">
        <v>27.5</v>
      </c>
      <c r="I1396" s="13" t="s">
        <v>46</v>
      </c>
      <c r="K1396" s="13" t="s">
        <v>949</v>
      </c>
      <c r="L1396" s="13" t="s">
        <v>950</v>
      </c>
      <c r="N1396" s="13" t="s">
        <v>99</v>
      </c>
      <c r="O1396" s="13" t="s">
        <v>644</v>
      </c>
      <c r="P1396" s="13" t="s">
        <v>71</v>
      </c>
      <c r="Q1396" s="13" t="s">
        <v>48</v>
      </c>
      <c r="R1396" s="4">
        <v>4</v>
      </c>
      <c r="S1396" s="13" t="s">
        <v>596</v>
      </c>
      <c r="T1396" s="13">
        <v>55</v>
      </c>
      <c r="U1396" s="4" t="s">
        <v>427</v>
      </c>
      <c r="V1396" s="4">
        <v>500</v>
      </c>
      <c r="W1396" s="4" t="s">
        <v>601</v>
      </c>
      <c r="X1396" s="4">
        <v>746</v>
      </c>
      <c r="Y1396" s="4">
        <v>59.8</v>
      </c>
      <c r="Z1396" s="4" t="s">
        <v>491</v>
      </c>
      <c r="AA1396" s="4" t="s">
        <v>50</v>
      </c>
      <c r="AB1396" s="4">
        <v>292</v>
      </c>
      <c r="AC1396" s="4" t="s">
        <v>49</v>
      </c>
      <c r="AD1396" s="4">
        <v>0</v>
      </c>
      <c r="AE1396" s="4" t="s">
        <v>49</v>
      </c>
      <c r="AF1396" s="4">
        <v>0</v>
      </c>
      <c r="AG1396" s="4" t="s">
        <v>46</v>
      </c>
      <c r="AH1396" s="4" t="s">
        <v>676</v>
      </c>
      <c r="AI1396" s="4" t="s">
        <v>64</v>
      </c>
      <c r="AJ1396" s="13">
        <v>0</v>
      </c>
      <c r="AK1396" s="13">
        <v>23</v>
      </c>
      <c r="AL1396" s="13" t="s">
        <v>486</v>
      </c>
      <c r="AM1396" s="13" t="s">
        <v>528</v>
      </c>
      <c r="AO1396" s="13" t="s">
        <v>568</v>
      </c>
      <c r="AP1396" s="13" t="s">
        <v>50</v>
      </c>
      <c r="AQ1396" s="13" t="s">
        <v>49</v>
      </c>
      <c r="AR1396" s="13" t="s">
        <v>50</v>
      </c>
      <c r="AS1396" s="13" t="s">
        <v>49</v>
      </c>
      <c r="AT1396" s="13" t="s">
        <v>992</v>
      </c>
      <c r="AU1396" s="4" t="s">
        <v>1000</v>
      </c>
      <c r="AV1396" s="14">
        <f>(30.2*2.3)/1.3/1000</f>
        <v>5.3430769230769219E-2</v>
      </c>
      <c r="AW1396" s="14">
        <f>(54.5*2.3)/1.3/1000</f>
        <v>9.6423076923076917E-2</v>
      </c>
      <c r="AX1396" s="14">
        <f>Table1347456[[#This Row],[treatment_mean]]/Table1347456[[#This Row],[control_mean]]</f>
        <v>0.5541284403669724</v>
      </c>
      <c r="AY1396" s="14">
        <f>LN(Table1347456[[#This Row],[rr]])</f>
        <v>-0.5903587772883746</v>
      </c>
      <c r="AZ1396" s="13">
        <v>4</v>
      </c>
      <c r="BA1396" s="13">
        <v>4</v>
      </c>
      <c r="BB1396" s="14">
        <f>(3.1*2.3)/1.3/1000</f>
        <v>5.4846153846153847E-3</v>
      </c>
      <c r="BC1396" s="14">
        <f>(1.7*2.3)/1.3/1000</f>
        <v>3.0076923076923071E-3</v>
      </c>
      <c r="BD1396" s="15">
        <f>Table1347456[[#This Row],[treatment_se]]*SQRT(Table1347456[[#This Row],[treatment_n]])</f>
        <v>1.0969230769230769E-2</v>
      </c>
      <c r="BE1396" s="14">
        <f>Table1347456[[#This Row],[control_se]]*SQRT(Table1347456[[#This Row],[control_n]])</f>
        <v>6.0153846153846143E-3</v>
      </c>
      <c r="BF139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1.1509800632805595E-2</v>
      </c>
      <c r="BG1396" s="17">
        <f>SQRT(Table1347456[[#This Row],[v_from_sd_and_n]])</f>
        <v>0.10728373890206098</v>
      </c>
      <c r="BH1396" s="13" t="s">
        <v>50</v>
      </c>
      <c r="BI1396" s="13">
        <v>0.05</v>
      </c>
      <c r="BJ1396" s="18">
        <f>ABS(_xlfn.NORM.S.INV(Table1347456[[#This Row],[p_value]]/2))</f>
        <v>1.9599639845400538</v>
      </c>
      <c r="BK1396" s="19">
        <f>(Table1347456[[#This Row],[lnrr]]/Table1347456[[#This Row],[z_from_p]])^2</f>
        <v>9.0726857214741413E-2</v>
      </c>
      <c r="BL1396" s="16">
        <f>Table1347456[[#This Row],[v_from_sd_and_n]]</f>
        <v>1.1509800632805595E-2</v>
      </c>
      <c r="BM1396" s="20">
        <f>SQRT(Table1347456[[#This Row],[v]])</f>
        <v>0.10728373890206098</v>
      </c>
      <c r="BN1396" s="20">
        <f>Table1347456[[#This Row],[lnrr]]-(1.96*Table1347456[[#This Row],[se]])</f>
        <v>-0.80063490553641414</v>
      </c>
      <c r="BO1396" s="20">
        <f>Table1347456[[#This Row],[lnrr]]+(1.96 * Table1347456[[#This Row],[se]])</f>
        <v>-0.38008264904033506</v>
      </c>
    </row>
    <row r="1397" spans="1:67">
      <c r="A1397" s="13" t="s">
        <v>423</v>
      </c>
      <c r="B1397" s="13" t="s">
        <v>424</v>
      </c>
      <c r="C1397" s="13" t="s">
        <v>43</v>
      </c>
      <c r="D1397" s="13" t="s">
        <v>425</v>
      </c>
      <c r="E1397" s="13" t="s">
        <v>426</v>
      </c>
      <c r="F1397" s="13" t="s">
        <v>586</v>
      </c>
      <c r="G1397" s="13" t="s">
        <v>46</v>
      </c>
      <c r="H1397" s="13">
        <v>27.5</v>
      </c>
      <c r="I1397" s="13" t="s">
        <v>46</v>
      </c>
      <c r="K1397" s="13" t="s">
        <v>949</v>
      </c>
      <c r="L1397" s="13" t="s">
        <v>950</v>
      </c>
      <c r="N1397" s="13" t="s">
        <v>99</v>
      </c>
      <c r="O1397" s="13" t="s">
        <v>644</v>
      </c>
      <c r="P1397" s="13" t="s">
        <v>71</v>
      </c>
      <c r="Q1397" s="13" t="s">
        <v>48</v>
      </c>
      <c r="R1397" s="4">
        <v>4</v>
      </c>
      <c r="S1397" s="13" t="s">
        <v>596</v>
      </c>
      <c r="T1397" s="13">
        <v>55</v>
      </c>
      <c r="U1397" s="4" t="s">
        <v>427</v>
      </c>
      <c r="V1397" s="4">
        <v>500</v>
      </c>
      <c r="W1397" s="4" t="s">
        <v>601</v>
      </c>
      <c r="X1397" s="4">
        <v>746</v>
      </c>
      <c r="Y1397" s="4">
        <v>59.8</v>
      </c>
      <c r="Z1397" s="4" t="s">
        <v>491</v>
      </c>
      <c r="AA1397" s="4" t="s">
        <v>49</v>
      </c>
      <c r="AB1397" s="4">
        <v>0</v>
      </c>
      <c r="AC1397" s="4" t="s">
        <v>50</v>
      </c>
      <c r="AD1397" s="4">
        <v>98.67</v>
      </c>
      <c r="AE1397" s="4" t="s">
        <v>49</v>
      </c>
      <c r="AF1397" s="4">
        <v>0</v>
      </c>
      <c r="AG1397" s="4" t="s">
        <v>46</v>
      </c>
      <c r="AH1397" s="4" t="s">
        <v>676</v>
      </c>
      <c r="AI1397" s="4" t="s">
        <v>64</v>
      </c>
      <c r="AJ1397" s="13">
        <v>0</v>
      </c>
      <c r="AK1397" s="13">
        <v>23</v>
      </c>
      <c r="AL1397" s="13" t="s">
        <v>486</v>
      </c>
      <c r="AM1397" s="13" t="s">
        <v>528</v>
      </c>
      <c r="AO1397" s="13" t="s">
        <v>568</v>
      </c>
      <c r="AP1397" s="13" t="s">
        <v>50</v>
      </c>
      <c r="AQ1397" s="13" t="s">
        <v>49</v>
      </c>
      <c r="AR1397" s="13" t="s">
        <v>50</v>
      </c>
      <c r="AS1397" s="13" t="s">
        <v>49</v>
      </c>
      <c r="AT1397" s="13" t="s">
        <v>993</v>
      </c>
      <c r="AU1397" s="13" t="s">
        <v>1001</v>
      </c>
      <c r="AV1397" s="14">
        <f>(1.7*2.3)/1.3/1000</f>
        <v>3.0076923076923071E-3</v>
      </c>
      <c r="AW1397" s="14">
        <f>(4.9*2.3)/1.3/1000</f>
        <v>8.6692307692307694E-3</v>
      </c>
      <c r="AX1397" s="14">
        <f>Table1347456[[#This Row],[treatment_mean]]/Table1347456[[#This Row],[control_mean]]</f>
        <v>0.34693877551020402</v>
      </c>
      <c r="AY1397" s="14">
        <f>LN(Table1347456[[#This Row],[rr]])</f>
        <v>-1.0586069540544107</v>
      </c>
      <c r="AZ1397" s="13">
        <v>4</v>
      </c>
      <c r="BA1397" s="13">
        <v>4</v>
      </c>
      <c r="BB1397" s="14">
        <f>(0.1*2.3)/1.3/1000</f>
        <v>1.769230769230769E-4</v>
      </c>
      <c r="BC1397" s="14">
        <f>(0.6*2.3)/1.3/1000</f>
        <v>1.0615384615384614E-3</v>
      </c>
      <c r="BD1397" s="15">
        <f>Table1347456[[#This Row],[treatment_se]]*SQRT(Table1347456[[#This Row],[treatment_n]])</f>
        <v>3.5384615384615381E-4</v>
      </c>
      <c r="BE1397" s="14">
        <f>Table1347456[[#This Row],[control_se]]*SQRT(Table1347456[[#This Row],[control_n]])</f>
        <v>2.1230769230769228E-3</v>
      </c>
      <c r="BF139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1.8453960215538794E-2</v>
      </c>
      <c r="BG1397" s="17">
        <f>SQRT(Table1347456[[#This Row],[v_from_sd_and_n]])</f>
        <v>0.13584535404473277</v>
      </c>
      <c r="BH1397" s="13" t="s">
        <v>50</v>
      </c>
      <c r="BI1397" s="13">
        <v>0.05</v>
      </c>
      <c r="BJ1397" s="18">
        <f>ABS(_xlfn.NORM.S.INV(Table1347456[[#This Row],[p_value]]/2))</f>
        <v>1.9599639845400538</v>
      </c>
      <c r="BK1397" s="19">
        <f>(Table1347456[[#This Row],[lnrr]]/Table1347456[[#This Row],[z_from_p]])^2</f>
        <v>0.29172476798016644</v>
      </c>
      <c r="BL1397" s="16">
        <f>Table1347456[[#This Row],[v_from_sd_and_n]]</f>
        <v>1.8453960215538794E-2</v>
      </c>
      <c r="BM1397" s="20">
        <f>SQRT(Table1347456[[#This Row],[v]])</f>
        <v>0.13584535404473277</v>
      </c>
      <c r="BN1397" s="20">
        <f>Table1347456[[#This Row],[lnrr]]-(1.96*Table1347456[[#This Row],[se]])</f>
        <v>-1.3248638479820869</v>
      </c>
      <c r="BO1397" s="20">
        <f>Table1347456[[#This Row],[lnrr]]+(1.96 * Table1347456[[#This Row],[se]])</f>
        <v>-0.79235006012673459</v>
      </c>
    </row>
    <row r="1398" spans="1:67">
      <c r="A1398" s="13" t="s">
        <v>423</v>
      </c>
      <c r="B1398" s="13" t="s">
        <v>424</v>
      </c>
      <c r="C1398" s="13" t="s">
        <v>43</v>
      </c>
      <c r="D1398" s="13" t="s">
        <v>425</v>
      </c>
      <c r="E1398" s="13" t="s">
        <v>426</v>
      </c>
      <c r="F1398" s="13" t="s">
        <v>586</v>
      </c>
      <c r="G1398" s="13" t="s">
        <v>46</v>
      </c>
      <c r="H1398" s="13">
        <v>27.5</v>
      </c>
      <c r="I1398" s="13" t="s">
        <v>46</v>
      </c>
      <c r="K1398" s="13" t="s">
        <v>949</v>
      </c>
      <c r="L1398" s="13" t="s">
        <v>950</v>
      </c>
      <c r="N1398" s="13" t="s">
        <v>99</v>
      </c>
      <c r="O1398" s="13" t="s">
        <v>644</v>
      </c>
      <c r="P1398" s="13" t="s">
        <v>71</v>
      </c>
      <c r="Q1398" s="13" t="s">
        <v>48</v>
      </c>
      <c r="R1398" s="4">
        <v>4</v>
      </c>
      <c r="S1398" s="13" t="s">
        <v>596</v>
      </c>
      <c r="T1398" s="13">
        <v>55</v>
      </c>
      <c r="U1398" s="4" t="s">
        <v>427</v>
      </c>
      <c r="V1398" s="4">
        <v>500</v>
      </c>
      <c r="W1398" s="4" t="s">
        <v>601</v>
      </c>
      <c r="X1398" s="4">
        <v>746</v>
      </c>
      <c r="Y1398" s="4">
        <v>59.8</v>
      </c>
      <c r="Z1398" s="4" t="s">
        <v>491</v>
      </c>
      <c r="AA1398" s="4" t="s">
        <v>49</v>
      </c>
      <c r="AB1398" s="4">
        <v>0</v>
      </c>
      <c r="AC1398" s="4" t="s">
        <v>49</v>
      </c>
      <c r="AD1398" s="4">
        <v>0</v>
      </c>
      <c r="AE1398" s="4" t="s">
        <v>50</v>
      </c>
      <c r="AF1398" s="4" t="s">
        <v>428</v>
      </c>
      <c r="AG1398" s="4" t="s">
        <v>46</v>
      </c>
      <c r="AH1398" s="4" t="s">
        <v>676</v>
      </c>
      <c r="AI1398" s="4" t="s">
        <v>64</v>
      </c>
      <c r="AJ1398" s="13">
        <v>0</v>
      </c>
      <c r="AK1398" s="13">
        <v>23</v>
      </c>
      <c r="AL1398" s="13" t="s">
        <v>486</v>
      </c>
      <c r="AM1398" s="13" t="s">
        <v>528</v>
      </c>
      <c r="AO1398" s="13" t="s">
        <v>568</v>
      </c>
      <c r="AP1398" s="13" t="s">
        <v>50</v>
      </c>
      <c r="AQ1398" s="13" t="s">
        <v>49</v>
      </c>
      <c r="AR1398" s="13" t="s">
        <v>50</v>
      </c>
      <c r="AS1398" s="13" t="s">
        <v>49</v>
      </c>
      <c r="AT1398" s="13" t="s">
        <v>995</v>
      </c>
      <c r="AU1398" s="13" t="s">
        <v>1002</v>
      </c>
      <c r="AV1398" s="14">
        <f>(11.4*2.3)/1.3/1000</f>
        <v>2.0169230769230769E-2</v>
      </c>
      <c r="AW1398" s="14">
        <f>(22*2.3)/1.3/1000</f>
        <v>3.8923076923076921E-2</v>
      </c>
      <c r="AX1398" s="14">
        <f>Table1347456[[#This Row],[treatment_mean]]/Table1347456[[#This Row],[control_mean]]</f>
        <v>0.51818181818181819</v>
      </c>
      <c r="AY1398" s="14">
        <f>LN(Table1347456[[#This Row],[rr]])</f>
        <v>-0.65742909795786608</v>
      </c>
      <c r="AZ1398" s="13">
        <v>4</v>
      </c>
      <c r="BA1398" s="13">
        <v>4</v>
      </c>
      <c r="BB1398" s="14">
        <f>(1.1*2.3)/1.3/1000</f>
        <v>1.9461538461538459E-3</v>
      </c>
      <c r="BC1398" s="14">
        <f>(0.9*2.3)/1.3/1000</f>
        <v>1.5923076923076921E-3</v>
      </c>
      <c r="BD1398" s="15">
        <f>Table1347456[[#This Row],[treatment_se]]*SQRT(Table1347456[[#This Row],[treatment_n]])</f>
        <v>3.8923076923076919E-3</v>
      </c>
      <c r="BE1398" s="14">
        <f>Table1347456[[#This Row],[control_se]]*SQRT(Table1347456[[#This Row],[control_n]])</f>
        <v>3.1846153846153843E-3</v>
      </c>
      <c r="BF139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1.0984110813498874E-2</v>
      </c>
      <c r="BG1398" s="17">
        <f>SQRT(Table1347456[[#This Row],[v_from_sd_and_n]])</f>
        <v>0.10480510871851083</v>
      </c>
      <c r="BH1398" s="13" t="s">
        <v>50</v>
      </c>
      <c r="BI1398" s="13">
        <v>0.05</v>
      </c>
      <c r="BJ1398" s="18">
        <f>ABS(_xlfn.NORM.S.INV(Table1347456[[#This Row],[p_value]]/2))</f>
        <v>1.9599639845400538</v>
      </c>
      <c r="BK1398" s="19">
        <f>(Table1347456[[#This Row],[lnrr]]/Table1347456[[#This Row],[z_from_p]])^2</f>
        <v>0.1125127299330507</v>
      </c>
      <c r="BL1398" s="16">
        <f>Table1347456[[#This Row],[v_from_sd_and_n]]</f>
        <v>1.0984110813498874E-2</v>
      </c>
      <c r="BM1398" s="20">
        <f>SQRT(Table1347456[[#This Row],[v]])</f>
        <v>0.10480510871851083</v>
      </c>
      <c r="BN1398" s="20">
        <f>Table1347456[[#This Row],[lnrr]]-(1.96*Table1347456[[#This Row],[se]])</f>
        <v>-0.86284711104614731</v>
      </c>
      <c r="BO1398" s="20">
        <f>Table1347456[[#This Row],[lnrr]]+(1.96 * Table1347456[[#This Row],[se]])</f>
        <v>-0.45201108486958486</v>
      </c>
    </row>
    <row r="1399" spans="1:67">
      <c r="A1399" s="13" t="s">
        <v>423</v>
      </c>
      <c r="B1399" s="13" t="s">
        <v>429</v>
      </c>
      <c r="C1399" s="13" t="s">
        <v>43</v>
      </c>
      <c r="D1399" s="13" t="s">
        <v>425</v>
      </c>
      <c r="E1399" s="13" t="s">
        <v>426</v>
      </c>
      <c r="F1399" s="13" t="s">
        <v>586</v>
      </c>
      <c r="G1399" s="13" t="s">
        <v>46</v>
      </c>
      <c r="H1399" s="13">
        <v>27.5</v>
      </c>
      <c r="I1399" s="13" t="s">
        <v>46</v>
      </c>
      <c r="K1399" s="13" t="s">
        <v>949</v>
      </c>
      <c r="L1399" s="13" t="s">
        <v>950</v>
      </c>
      <c r="N1399" s="13" t="s">
        <v>632</v>
      </c>
      <c r="O1399" s="13" t="s">
        <v>812</v>
      </c>
      <c r="P1399" s="13" t="s">
        <v>71</v>
      </c>
      <c r="Q1399" s="13" t="s">
        <v>419</v>
      </c>
      <c r="R1399" s="4">
        <v>4</v>
      </c>
      <c r="S1399" s="13" t="s">
        <v>596</v>
      </c>
      <c r="T1399" s="13">
        <v>55</v>
      </c>
      <c r="U1399" s="4" t="s">
        <v>427</v>
      </c>
      <c r="V1399" s="4">
        <v>500</v>
      </c>
      <c r="W1399" s="4" t="s">
        <v>601</v>
      </c>
      <c r="X1399" s="4">
        <v>746</v>
      </c>
      <c r="Y1399" s="4">
        <v>59.8</v>
      </c>
      <c r="Z1399" s="4" t="s">
        <v>491</v>
      </c>
      <c r="AA1399" s="4" t="s">
        <v>49</v>
      </c>
      <c r="AB1399" s="4">
        <v>0</v>
      </c>
      <c r="AC1399" s="4" t="s">
        <v>49</v>
      </c>
      <c r="AD1399" s="4">
        <v>0</v>
      </c>
      <c r="AE1399" s="4" t="s">
        <v>49</v>
      </c>
      <c r="AF1399" s="4">
        <v>0</v>
      </c>
      <c r="AG1399" s="4" t="s">
        <v>46</v>
      </c>
      <c r="AH1399" s="4" t="s">
        <v>676</v>
      </c>
      <c r="AI1399" s="4" t="s">
        <v>64</v>
      </c>
      <c r="AJ1399" s="13">
        <v>0</v>
      </c>
      <c r="AK1399" s="13">
        <v>23</v>
      </c>
      <c r="AL1399" s="13" t="s">
        <v>486</v>
      </c>
      <c r="AM1399" s="13" t="s">
        <v>528</v>
      </c>
      <c r="AO1399" s="13" t="s">
        <v>568</v>
      </c>
      <c r="AP1399" s="13" t="s">
        <v>50</v>
      </c>
      <c r="AQ1399" s="13" t="s">
        <v>49</v>
      </c>
      <c r="AR1399" s="13" t="s">
        <v>50</v>
      </c>
      <c r="AS1399" s="13" t="s">
        <v>49</v>
      </c>
      <c r="AT1399" s="13" t="s">
        <v>990</v>
      </c>
      <c r="AU1399" s="13" t="s">
        <v>998</v>
      </c>
      <c r="AV1399" s="14">
        <v>0.59799999999999998</v>
      </c>
      <c r="AW1399" s="14">
        <v>0.39100000000000001</v>
      </c>
      <c r="AX1399" s="14">
        <f>Table1347456[[#This Row],[treatment_mean]]/Table1347456[[#This Row],[control_mean]]</f>
        <v>1.5294117647058822</v>
      </c>
      <c r="AY1399" s="14">
        <f>LN(Table1347456[[#This Row],[rr]])</f>
        <v>0.42488319396526592</v>
      </c>
      <c r="AZ1399" s="13">
        <v>4</v>
      </c>
      <c r="BA1399" s="13">
        <v>4</v>
      </c>
      <c r="BB1399" s="14">
        <f>0.04*2.3</f>
        <v>9.1999999999999998E-2</v>
      </c>
      <c r="BC1399" s="14">
        <f>0.05*2.3</f>
        <v>0.11499999999999999</v>
      </c>
      <c r="BD1399" s="15">
        <f>Table1347456[[#This Row],[treatment_se]]*SQRT(Table1347456[[#This Row],[treatment_n]])</f>
        <v>0.184</v>
      </c>
      <c r="BE1399" s="14">
        <f>Table1347456[[#This Row],[control_se]]*SQRT(Table1347456[[#This Row],[control_n]])</f>
        <v>0.22999999999999998</v>
      </c>
      <c r="BF139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0.11017382936467308</v>
      </c>
      <c r="BG1399" s="17">
        <f>SQRT(Table1347456[[#This Row],[v_from_sd_and_n]])</f>
        <v>0.33192443321435844</v>
      </c>
      <c r="BH1399" s="13" t="s">
        <v>50</v>
      </c>
      <c r="BI1399" s="13">
        <v>0.05</v>
      </c>
      <c r="BJ1399" s="18">
        <f>ABS(_xlfn.NORM.S.INV(Table1347456[[#This Row],[p_value]]/2))</f>
        <v>1.9599639845400538</v>
      </c>
      <c r="BK1399" s="19">
        <f>(Table1347456[[#This Row],[lnrr]]/Table1347456[[#This Row],[z_from_p]])^2</f>
        <v>4.6994055368139047E-2</v>
      </c>
      <c r="BL1399" s="16">
        <f>Table1347456[[#This Row],[v_from_sd_and_n]]</f>
        <v>0.11017382936467308</v>
      </c>
      <c r="BM1399" s="20">
        <f>SQRT(Table1347456[[#This Row],[v]])</f>
        <v>0.33192443321435844</v>
      </c>
      <c r="BN1399" s="20">
        <f>Table1347456[[#This Row],[lnrr]]-(1.96*Table1347456[[#This Row],[se]])</f>
        <v>-0.2256886951348766</v>
      </c>
      <c r="BO1399" s="20">
        <f>Table1347456[[#This Row],[lnrr]]+(1.96 * Table1347456[[#This Row],[se]])</f>
        <v>1.0754550830654084</v>
      </c>
    </row>
    <row r="1400" spans="1:67">
      <c r="A1400" s="13" t="s">
        <v>423</v>
      </c>
      <c r="B1400" s="13" t="s">
        <v>424</v>
      </c>
      <c r="C1400" s="13" t="s">
        <v>43</v>
      </c>
      <c r="D1400" s="13" t="s">
        <v>425</v>
      </c>
      <c r="E1400" s="13" t="s">
        <v>426</v>
      </c>
      <c r="F1400" s="13" t="s">
        <v>586</v>
      </c>
      <c r="G1400" s="13" t="s">
        <v>46</v>
      </c>
      <c r="H1400" s="13">
        <v>27.5</v>
      </c>
      <c r="I1400" s="13" t="s">
        <v>46</v>
      </c>
      <c r="K1400" s="13" t="s">
        <v>949</v>
      </c>
      <c r="L1400" s="13" t="s">
        <v>950</v>
      </c>
      <c r="N1400" s="13" t="s">
        <v>632</v>
      </c>
      <c r="O1400" s="13" t="s">
        <v>812</v>
      </c>
      <c r="P1400" s="13" t="s">
        <v>71</v>
      </c>
      <c r="Q1400" s="13" t="s">
        <v>419</v>
      </c>
      <c r="R1400" s="4">
        <v>4</v>
      </c>
      <c r="S1400" s="13" t="s">
        <v>596</v>
      </c>
      <c r="T1400" s="13">
        <v>55</v>
      </c>
      <c r="U1400" s="4" t="s">
        <v>427</v>
      </c>
      <c r="V1400" s="4">
        <v>500</v>
      </c>
      <c r="W1400" s="4" t="s">
        <v>601</v>
      </c>
      <c r="X1400" s="4">
        <v>746</v>
      </c>
      <c r="Y1400" s="4">
        <v>59.8</v>
      </c>
      <c r="Z1400" s="4" t="s">
        <v>491</v>
      </c>
      <c r="AA1400" s="4" t="s">
        <v>50</v>
      </c>
      <c r="AB1400" s="4">
        <v>292</v>
      </c>
      <c r="AC1400" s="4" t="s">
        <v>49</v>
      </c>
      <c r="AD1400" s="4">
        <v>0</v>
      </c>
      <c r="AE1400" s="4" t="s">
        <v>49</v>
      </c>
      <c r="AF1400" s="4">
        <v>0</v>
      </c>
      <c r="AG1400" s="4" t="s">
        <v>46</v>
      </c>
      <c r="AH1400" s="4" t="s">
        <v>676</v>
      </c>
      <c r="AI1400" s="4" t="s">
        <v>64</v>
      </c>
      <c r="AJ1400" s="13">
        <v>0</v>
      </c>
      <c r="AK1400" s="13">
        <v>23</v>
      </c>
      <c r="AL1400" s="13" t="s">
        <v>486</v>
      </c>
      <c r="AM1400" s="13" t="s">
        <v>528</v>
      </c>
      <c r="AO1400" s="13" t="s">
        <v>568</v>
      </c>
      <c r="AP1400" s="13" t="s">
        <v>50</v>
      </c>
      <c r="AQ1400" s="13" t="s">
        <v>49</v>
      </c>
      <c r="AR1400" s="13" t="s">
        <v>50</v>
      </c>
      <c r="AS1400" s="13" t="s">
        <v>49</v>
      </c>
      <c r="AT1400" s="13" t="s">
        <v>992</v>
      </c>
      <c r="AU1400" s="4" t="s">
        <v>1000</v>
      </c>
      <c r="AV1400" s="14">
        <v>0.32</v>
      </c>
      <c r="AW1400" s="14">
        <v>0.12</v>
      </c>
      <c r="AX1400" s="14">
        <f>Table1347456[[#This Row],[treatment_mean]]/Table1347456[[#This Row],[control_mean]]</f>
        <v>2.666666666666667</v>
      </c>
      <c r="AY1400" s="14">
        <f>LN(Table1347456[[#This Row],[rr]])</f>
        <v>0.9808292530117263</v>
      </c>
      <c r="AZ1400" s="13">
        <v>4</v>
      </c>
      <c r="BA1400" s="13">
        <v>4</v>
      </c>
      <c r="BB1400" s="14">
        <f>0.08*2.3</f>
        <v>0.184</v>
      </c>
      <c r="BC1400" s="14">
        <f>0.03*2.3</f>
        <v>6.8999999999999992E-2</v>
      </c>
      <c r="BD1400" s="15">
        <f>Table1347456[[#This Row],[treatment_se]]*SQRT(Table1347456[[#This Row],[treatment_n]])</f>
        <v>0.36799999999999999</v>
      </c>
      <c r="BE1400" s="14">
        <f>Table1347456[[#This Row],[control_se]]*SQRT(Table1347456[[#This Row],[control_n]])</f>
        <v>0.13799999999999998</v>
      </c>
      <c r="BF140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0.66124999999999989</v>
      </c>
      <c r="BG1400" s="17">
        <f>SQRT(Table1347456[[#This Row],[v_from_sd_and_n]])</f>
        <v>0.8131727983645296</v>
      </c>
      <c r="BH1400" s="13" t="s">
        <v>50</v>
      </c>
      <c r="BI1400" s="13">
        <v>0.05</v>
      </c>
      <c r="BJ1400" s="18">
        <f>ABS(_xlfn.NORM.S.INV(Table1347456[[#This Row],[p_value]]/2))</f>
        <v>1.9599639845400538</v>
      </c>
      <c r="BK1400" s="19">
        <f>(Table1347456[[#This Row],[lnrr]]/Table1347456[[#This Row],[z_from_p]])^2</f>
        <v>0.2504324707012503</v>
      </c>
      <c r="BL1400" s="16">
        <f>Table1347456[[#This Row],[v_from_sd_and_n]]</f>
        <v>0.66124999999999989</v>
      </c>
      <c r="BM1400" s="20">
        <f>SQRT(Table1347456[[#This Row],[v]])</f>
        <v>0.8131727983645296</v>
      </c>
      <c r="BN1400" s="20">
        <f>Table1347456[[#This Row],[lnrr]]-(1.96*Table1347456[[#This Row],[se]])</f>
        <v>-0.61298943178275167</v>
      </c>
      <c r="BO1400" s="20">
        <f>Table1347456[[#This Row],[lnrr]]+(1.96 * Table1347456[[#This Row],[se]])</f>
        <v>2.5746479378062044</v>
      </c>
    </row>
    <row r="1401" spans="1:67">
      <c r="A1401" s="13" t="s">
        <v>423</v>
      </c>
      <c r="B1401" s="13" t="s">
        <v>424</v>
      </c>
      <c r="C1401" s="13" t="s">
        <v>43</v>
      </c>
      <c r="D1401" s="13" t="s">
        <v>425</v>
      </c>
      <c r="E1401" s="13" t="s">
        <v>426</v>
      </c>
      <c r="F1401" s="13" t="s">
        <v>586</v>
      </c>
      <c r="G1401" s="13" t="s">
        <v>46</v>
      </c>
      <c r="H1401" s="13">
        <v>27.5</v>
      </c>
      <c r="I1401" s="13" t="s">
        <v>46</v>
      </c>
      <c r="K1401" s="13" t="s">
        <v>949</v>
      </c>
      <c r="L1401" s="13" t="s">
        <v>950</v>
      </c>
      <c r="N1401" s="13" t="s">
        <v>632</v>
      </c>
      <c r="O1401" s="13" t="s">
        <v>812</v>
      </c>
      <c r="P1401" s="13" t="s">
        <v>71</v>
      </c>
      <c r="Q1401" s="13" t="s">
        <v>419</v>
      </c>
      <c r="R1401" s="4">
        <v>4</v>
      </c>
      <c r="S1401" s="13" t="s">
        <v>596</v>
      </c>
      <c r="T1401" s="13">
        <v>55</v>
      </c>
      <c r="U1401" s="4" t="s">
        <v>427</v>
      </c>
      <c r="V1401" s="4">
        <v>500</v>
      </c>
      <c r="W1401" s="4" t="s">
        <v>601</v>
      </c>
      <c r="X1401" s="4">
        <v>746</v>
      </c>
      <c r="Y1401" s="4">
        <v>59.8</v>
      </c>
      <c r="Z1401" s="4" t="s">
        <v>491</v>
      </c>
      <c r="AA1401" s="4" t="s">
        <v>49</v>
      </c>
      <c r="AB1401" s="4">
        <v>0</v>
      </c>
      <c r="AC1401" s="4" t="s">
        <v>50</v>
      </c>
      <c r="AD1401" s="4">
        <v>98.67</v>
      </c>
      <c r="AE1401" s="4" t="s">
        <v>49</v>
      </c>
      <c r="AF1401" s="4">
        <v>0</v>
      </c>
      <c r="AG1401" s="4" t="s">
        <v>46</v>
      </c>
      <c r="AH1401" s="4" t="s">
        <v>676</v>
      </c>
      <c r="AI1401" s="4" t="s">
        <v>64</v>
      </c>
      <c r="AJ1401" s="13">
        <v>0</v>
      </c>
      <c r="AK1401" s="13">
        <v>23</v>
      </c>
      <c r="AL1401" s="13" t="s">
        <v>486</v>
      </c>
      <c r="AM1401" s="13" t="s">
        <v>528</v>
      </c>
      <c r="AO1401" s="13" t="s">
        <v>568</v>
      </c>
      <c r="AP1401" s="13" t="s">
        <v>50</v>
      </c>
      <c r="AQ1401" s="13" t="s">
        <v>49</v>
      </c>
      <c r="AR1401" s="13" t="s">
        <v>50</v>
      </c>
      <c r="AS1401" s="13" t="s">
        <v>49</v>
      </c>
      <c r="AT1401" s="13" t="s">
        <v>993</v>
      </c>
      <c r="AU1401" s="13" t="s">
        <v>1001</v>
      </c>
      <c r="AV1401" s="14">
        <v>0.17</v>
      </c>
      <c r="AW1401" s="14">
        <v>0.28000000000000003</v>
      </c>
      <c r="AX1401" s="14">
        <f>Table1347456[[#This Row],[treatment_mean]]/Table1347456[[#This Row],[control_mean]]</f>
        <v>0.6071428571428571</v>
      </c>
      <c r="AY1401" s="14">
        <f>LN(Table1347456[[#This Row],[rr]])</f>
        <v>-0.49899116611898792</v>
      </c>
      <c r="AZ1401" s="13">
        <v>4</v>
      </c>
      <c r="BA1401" s="13">
        <v>4</v>
      </c>
      <c r="BB1401" s="14">
        <f>0.02*2.3</f>
        <v>4.5999999999999999E-2</v>
      </c>
      <c r="BC1401" s="14">
        <f>0.02*2.3</f>
        <v>4.5999999999999999E-2</v>
      </c>
      <c r="BD1401" s="15">
        <f>Table1347456[[#This Row],[treatment_se]]*SQRT(Table1347456[[#This Row],[treatment_n]])</f>
        <v>9.1999999999999998E-2</v>
      </c>
      <c r="BE1401" s="14">
        <f>Table1347456[[#This Row],[control_se]]*SQRT(Table1347456[[#This Row],[control_n]])</f>
        <v>9.1999999999999998E-2</v>
      </c>
      <c r="BF140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0.10020778899795209</v>
      </c>
      <c r="BG1401" s="17">
        <f>SQRT(Table1347456[[#This Row],[v_from_sd_and_n]])</f>
        <v>0.31655613877786681</v>
      </c>
      <c r="BH1401" s="13" t="s">
        <v>50</v>
      </c>
      <c r="BI1401" s="13">
        <v>0.05</v>
      </c>
      <c r="BJ1401" s="18">
        <f>ABS(_xlfn.NORM.S.INV(Table1347456[[#This Row],[p_value]]/2))</f>
        <v>1.9599639845400538</v>
      </c>
      <c r="BK1401" s="19">
        <f>(Table1347456[[#This Row],[lnrr]]/Table1347456[[#This Row],[z_from_p]])^2</f>
        <v>6.4817090456223164E-2</v>
      </c>
      <c r="BL1401" s="16">
        <f>Table1347456[[#This Row],[v_from_sd_and_n]]</f>
        <v>0.10020778899795209</v>
      </c>
      <c r="BM1401" s="20">
        <f>SQRT(Table1347456[[#This Row],[v]])</f>
        <v>0.31655613877786681</v>
      </c>
      <c r="BN1401" s="20">
        <f>Table1347456[[#This Row],[lnrr]]-(1.96*Table1347456[[#This Row],[se]])</f>
        <v>-1.1194411981236068</v>
      </c>
      <c r="BO1401" s="20">
        <f>Table1347456[[#This Row],[lnrr]]+(1.96 * Table1347456[[#This Row],[se]])</f>
        <v>0.12145886588563098</v>
      </c>
    </row>
    <row r="1402" spans="1:67">
      <c r="A1402" s="13" t="s">
        <v>423</v>
      </c>
      <c r="B1402" s="13" t="s">
        <v>424</v>
      </c>
      <c r="C1402" s="13" t="s">
        <v>43</v>
      </c>
      <c r="D1402" s="13" t="s">
        <v>425</v>
      </c>
      <c r="E1402" s="13" t="s">
        <v>426</v>
      </c>
      <c r="F1402" s="13" t="s">
        <v>586</v>
      </c>
      <c r="G1402" s="13" t="s">
        <v>46</v>
      </c>
      <c r="H1402" s="13">
        <v>27.5</v>
      </c>
      <c r="I1402" s="13" t="s">
        <v>46</v>
      </c>
      <c r="K1402" s="13" t="s">
        <v>949</v>
      </c>
      <c r="L1402" s="13" t="s">
        <v>950</v>
      </c>
      <c r="N1402" s="13" t="s">
        <v>632</v>
      </c>
      <c r="O1402" s="13" t="s">
        <v>812</v>
      </c>
      <c r="P1402" s="13" t="s">
        <v>71</v>
      </c>
      <c r="Q1402" s="13" t="s">
        <v>419</v>
      </c>
      <c r="R1402" s="4">
        <v>4</v>
      </c>
      <c r="S1402" s="13" t="s">
        <v>596</v>
      </c>
      <c r="T1402" s="13">
        <v>55</v>
      </c>
      <c r="U1402" s="4" t="s">
        <v>427</v>
      </c>
      <c r="V1402" s="4">
        <v>500</v>
      </c>
      <c r="W1402" s="4" t="s">
        <v>601</v>
      </c>
      <c r="X1402" s="4">
        <v>746</v>
      </c>
      <c r="Y1402" s="4">
        <v>59.8</v>
      </c>
      <c r="Z1402" s="4" t="s">
        <v>491</v>
      </c>
      <c r="AA1402" s="4" t="s">
        <v>49</v>
      </c>
      <c r="AB1402" s="4">
        <v>0</v>
      </c>
      <c r="AC1402" s="4" t="s">
        <v>49</v>
      </c>
      <c r="AD1402" s="4">
        <v>0</v>
      </c>
      <c r="AE1402" s="4" t="s">
        <v>50</v>
      </c>
      <c r="AF1402" s="4" t="s">
        <v>428</v>
      </c>
      <c r="AG1402" s="4" t="s">
        <v>46</v>
      </c>
      <c r="AH1402" s="4" t="s">
        <v>676</v>
      </c>
      <c r="AI1402" s="4" t="s">
        <v>64</v>
      </c>
      <c r="AJ1402" s="13">
        <v>0</v>
      </c>
      <c r="AK1402" s="13">
        <v>23</v>
      </c>
      <c r="AL1402" s="13" t="s">
        <v>486</v>
      </c>
      <c r="AM1402" s="13" t="s">
        <v>528</v>
      </c>
      <c r="AO1402" s="13" t="s">
        <v>568</v>
      </c>
      <c r="AP1402" s="13" t="s">
        <v>50</v>
      </c>
      <c r="AQ1402" s="13" t="s">
        <v>49</v>
      </c>
      <c r="AR1402" s="13" t="s">
        <v>50</v>
      </c>
      <c r="AS1402" s="13" t="s">
        <v>49</v>
      </c>
      <c r="AT1402" s="13" t="s">
        <v>995</v>
      </c>
      <c r="AU1402" s="13" t="s">
        <v>1002</v>
      </c>
      <c r="AV1402" s="14">
        <v>0.15</v>
      </c>
      <c r="AW1402" s="14">
        <v>0.1</v>
      </c>
      <c r="AX1402" s="14">
        <f>Table1347456[[#This Row],[treatment_mean]]/Table1347456[[#This Row],[control_mean]]</f>
        <v>1.4999999999999998</v>
      </c>
      <c r="AY1402" s="14">
        <f>LN(Table1347456[[#This Row],[rr]])</f>
        <v>0.40546510810816422</v>
      </c>
      <c r="AZ1402" s="13">
        <v>4</v>
      </c>
      <c r="BA1402" s="13">
        <v>4</v>
      </c>
      <c r="BB1402" s="14">
        <f>0.03*2.3</f>
        <v>6.8999999999999992E-2</v>
      </c>
      <c r="BC1402" s="14">
        <f>0.04*2.3</f>
        <v>9.1999999999999998E-2</v>
      </c>
      <c r="BD1402" s="15">
        <f>Table1347456[[#This Row],[treatment_se]]*SQRT(Table1347456[[#This Row],[treatment_n]])</f>
        <v>0.13799999999999998</v>
      </c>
      <c r="BE1402" s="14">
        <f>Table1347456[[#This Row],[control_se]]*SQRT(Table1347456[[#This Row],[control_n]])</f>
        <v>0.184</v>
      </c>
      <c r="BF140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1.0579999999999998</v>
      </c>
      <c r="BG1402" s="17">
        <f>SQRT(Table1347456[[#This Row],[v_from_sd_and_n]])</f>
        <v>1.0285912696499031</v>
      </c>
      <c r="BH1402" s="13" t="s">
        <v>50</v>
      </c>
      <c r="BI1402" s="13">
        <v>0.05</v>
      </c>
      <c r="BJ1402" s="18">
        <f>ABS(_xlfn.NORM.S.INV(Table1347456[[#This Row],[p_value]]/2))</f>
        <v>1.9599639845400538</v>
      </c>
      <c r="BK1402" s="19">
        <f>(Table1347456[[#This Row],[lnrr]]/Table1347456[[#This Row],[z_from_p]])^2</f>
        <v>4.2796750288594532E-2</v>
      </c>
      <c r="BL1402" s="16">
        <f>Table1347456[[#This Row],[v_from_sd_and_n]]</f>
        <v>1.0579999999999998</v>
      </c>
      <c r="BM1402" s="20">
        <f>SQRT(Table1347456[[#This Row],[v]])</f>
        <v>1.0285912696499031</v>
      </c>
      <c r="BN1402" s="20">
        <f>Table1347456[[#This Row],[lnrr]]-(1.96*Table1347456[[#This Row],[se]])</f>
        <v>-1.6105737804056459</v>
      </c>
      <c r="BO1402" s="20">
        <f>Table1347456[[#This Row],[lnrr]]+(1.96 * Table1347456[[#This Row],[se]])</f>
        <v>2.4215039966219742</v>
      </c>
    </row>
    <row r="1403" spans="1:67">
      <c r="A1403" s="13" t="s">
        <v>423</v>
      </c>
      <c r="B1403" s="13" t="s">
        <v>429</v>
      </c>
      <c r="C1403" s="13" t="s">
        <v>43</v>
      </c>
      <c r="D1403" s="13" t="s">
        <v>425</v>
      </c>
      <c r="E1403" s="13" t="s">
        <v>426</v>
      </c>
      <c r="F1403" s="13" t="s">
        <v>586</v>
      </c>
      <c r="G1403" s="13" t="s">
        <v>46</v>
      </c>
      <c r="H1403" s="13">
        <v>27.5</v>
      </c>
      <c r="I1403" s="13" t="s">
        <v>46</v>
      </c>
      <c r="K1403" s="13" t="s">
        <v>949</v>
      </c>
      <c r="L1403" s="13" t="s">
        <v>950</v>
      </c>
      <c r="N1403" s="13" t="s">
        <v>668</v>
      </c>
      <c r="O1403" s="13" t="s">
        <v>668</v>
      </c>
      <c r="P1403" s="13" t="s">
        <v>87</v>
      </c>
      <c r="Q1403" s="13" t="s">
        <v>87</v>
      </c>
      <c r="R1403" s="4">
        <v>4</v>
      </c>
      <c r="S1403" s="13" t="s">
        <v>596</v>
      </c>
      <c r="T1403" s="13">
        <v>55</v>
      </c>
      <c r="U1403" s="4" t="s">
        <v>427</v>
      </c>
      <c r="V1403" s="4">
        <v>500</v>
      </c>
      <c r="W1403" s="4" t="s">
        <v>601</v>
      </c>
      <c r="X1403" s="4">
        <v>746</v>
      </c>
      <c r="Y1403" s="4">
        <v>59.8</v>
      </c>
      <c r="Z1403" s="4" t="s">
        <v>491</v>
      </c>
      <c r="AA1403" s="4" t="s">
        <v>49</v>
      </c>
      <c r="AB1403" s="4">
        <v>0</v>
      </c>
      <c r="AC1403" s="4" t="s">
        <v>49</v>
      </c>
      <c r="AD1403" s="4">
        <v>0</v>
      </c>
      <c r="AE1403" s="4" t="s">
        <v>49</v>
      </c>
      <c r="AF1403" s="4">
        <v>0</v>
      </c>
      <c r="AG1403" s="4" t="s">
        <v>46</v>
      </c>
      <c r="AH1403" s="4" t="s">
        <v>676</v>
      </c>
      <c r="AI1403" s="4" t="s">
        <v>64</v>
      </c>
      <c r="AJ1403" s="13">
        <v>0</v>
      </c>
      <c r="AK1403" s="13">
        <v>23</v>
      </c>
      <c r="AL1403" s="13" t="s">
        <v>486</v>
      </c>
      <c r="AM1403" s="13" t="s">
        <v>528</v>
      </c>
      <c r="AO1403" s="13" t="s">
        <v>568</v>
      </c>
      <c r="AP1403" s="13" t="s">
        <v>50</v>
      </c>
      <c r="AQ1403" s="13" t="s">
        <v>49</v>
      </c>
      <c r="AR1403" s="13" t="s">
        <v>50</v>
      </c>
      <c r="AS1403" s="13" t="s">
        <v>49</v>
      </c>
      <c r="AT1403" s="13" t="s">
        <v>990</v>
      </c>
      <c r="AU1403" s="13" t="s">
        <v>998</v>
      </c>
      <c r="AV1403" s="14">
        <v>26.9</v>
      </c>
      <c r="AW1403" s="14">
        <v>19.399999999999999</v>
      </c>
      <c r="AX1403" s="14">
        <f>Table1347456[[#This Row],[treatment_mean]]/Table1347456[[#This Row],[control_mean]]</f>
        <v>1.3865979381443299</v>
      </c>
      <c r="AY1403" s="14">
        <f>LN(Table1347456[[#This Row],[rr]])</f>
        <v>0.32685322053851096</v>
      </c>
      <c r="AZ1403" s="13">
        <v>4</v>
      </c>
      <c r="BA1403" s="13">
        <v>4</v>
      </c>
      <c r="BB1403" s="14">
        <v>1.8</v>
      </c>
      <c r="BC1403" s="14">
        <v>0.7</v>
      </c>
      <c r="BD1403" s="15">
        <f>Table1347456[[#This Row],[treatment_se]]*SQRT(Table1347456[[#This Row],[treatment_n]])</f>
        <v>3.6</v>
      </c>
      <c r="BE1403" s="14">
        <f>Table1347456[[#This Row],[control_se]]*SQRT(Table1347456[[#This Row],[control_n]])</f>
        <v>1.4</v>
      </c>
      <c r="BF140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5.7794950078252005E-3</v>
      </c>
      <c r="BG1403" s="17">
        <f>SQRT(Table1347456[[#This Row],[v_from_sd_and_n]])</f>
        <v>7.6022989995298135E-2</v>
      </c>
      <c r="BH1403" s="13" t="s">
        <v>50</v>
      </c>
      <c r="BI1403" s="13">
        <v>0.05</v>
      </c>
      <c r="BJ1403" s="18">
        <f>ABS(_xlfn.NORM.S.INV(Table1347456[[#This Row],[p_value]]/2))</f>
        <v>1.9599639845400538</v>
      </c>
      <c r="BK1403" s="19">
        <f>(Table1347456[[#This Row],[lnrr]]/Table1347456[[#This Row],[z_from_p]])^2</f>
        <v>2.7810535726917548E-2</v>
      </c>
      <c r="BL1403" s="16">
        <f>Table1347456[[#This Row],[v_from_sd_and_n]]</f>
        <v>5.7794950078252005E-3</v>
      </c>
      <c r="BM1403" s="20">
        <f>SQRT(Table1347456[[#This Row],[v]])</f>
        <v>7.6022989995298135E-2</v>
      </c>
      <c r="BN1403" s="20">
        <f>Table1347456[[#This Row],[lnrr]]-(1.96*Table1347456[[#This Row],[se]])</f>
        <v>0.17784816014772661</v>
      </c>
      <c r="BO1403" s="20">
        <f>Table1347456[[#This Row],[lnrr]]+(1.96 * Table1347456[[#This Row],[se]])</f>
        <v>0.47585828092929527</v>
      </c>
    </row>
    <row r="1404" spans="1:67">
      <c r="A1404" s="13" t="s">
        <v>423</v>
      </c>
      <c r="B1404" s="13" t="s">
        <v>424</v>
      </c>
      <c r="C1404" s="13" t="s">
        <v>43</v>
      </c>
      <c r="D1404" s="13" t="s">
        <v>425</v>
      </c>
      <c r="E1404" s="13" t="s">
        <v>426</v>
      </c>
      <c r="F1404" s="13" t="s">
        <v>586</v>
      </c>
      <c r="G1404" s="13" t="s">
        <v>46</v>
      </c>
      <c r="H1404" s="13">
        <v>27.5</v>
      </c>
      <c r="I1404" s="13" t="s">
        <v>46</v>
      </c>
      <c r="K1404" s="13" t="s">
        <v>949</v>
      </c>
      <c r="L1404" s="13" t="s">
        <v>950</v>
      </c>
      <c r="N1404" s="13" t="s">
        <v>668</v>
      </c>
      <c r="O1404" s="13" t="s">
        <v>668</v>
      </c>
      <c r="P1404" s="13" t="s">
        <v>87</v>
      </c>
      <c r="Q1404" s="13" t="s">
        <v>87</v>
      </c>
      <c r="R1404" s="4">
        <v>4</v>
      </c>
      <c r="S1404" s="13" t="s">
        <v>596</v>
      </c>
      <c r="T1404" s="13">
        <v>55</v>
      </c>
      <c r="U1404" s="4" t="s">
        <v>427</v>
      </c>
      <c r="V1404" s="4">
        <v>500</v>
      </c>
      <c r="W1404" s="4" t="s">
        <v>601</v>
      </c>
      <c r="X1404" s="4">
        <v>746</v>
      </c>
      <c r="Y1404" s="4">
        <v>59.8</v>
      </c>
      <c r="Z1404" s="4" t="s">
        <v>491</v>
      </c>
      <c r="AA1404" s="4" t="s">
        <v>50</v>
      </c>
      <c r="AB1404" s="4">
        <v>292</v>
      </c>
      <c r="AC1404" s="4" t="s">
        <v>49</v>
      </c>
      <c r="AD1404" s="4">
        <v>0</v>
      </c>
      <c r="AE1404" s="4" t="s">
        <v>49</v>
      </c>
      <c r="AF1404" s="4">
        <v>0</v>
      </c>
      <c r="AG1404" s="4" t="s">
        <v>46</v>
      </c>
      <c r="AH1404" s="4" t="s">
        <v>676</v>
      </c>
      <c r="AI1404" s="4" t="s">
        <v>64</v>
      </c>
      <c r="AJ1404" s="13">
        <v>0</v>
      </c>
      <c r="AK1404" s="13">
        <v>23</v>
      </c>
      <c r="AL1404" s="13" t="s">
        <v>486</v>
      </c>
      <c r="AM1404" s="13" t="s">
        <v>528</v>
      </c>
      <c r="AO1404" s="13" t="s">
        <v>568</v>
      </c>
      <c r="AP1404" s="13" t="s">
        <v>50</v>
      </c>
      <c r="AQ1404" s="13" t="s">
        <v>49</v>
      </c>
      <c r="AR1404" s="13" t="s">
        <v>50</v>
      </c>
      <c r="AS1404" s="13" t="s">
        <v>49</v>
      </c>
      <c r="AT1404" s="13" t="s">
        <v>992</v>
      </c>
      <c r="AU1404" s="4" t="s">
        <v>1000</v>
      </c>
      <c r="AV1404" s="14">
        <v>25.6</v>
      </c>
      <c r="AW1404" s="14">
        <v>19</v>
      </c>
      <c r="AX1404" s="14">
        <f>Table1347456[[#This Row],[treatment_mean]]/Table1347456[[#This Row],[control_mean]]</f>
        <v>1.3473684210526315</v>
      </c>
      <c r="AY1404" s="14">
        <f>LN(Table1347456[[#This Row],[rr]])</f>
        <v>0.29815337231907629</v>
      </c>
      <c r="AZ1404" s="13">
        <v>4</v>
      </c>
      <c r="BA1404" s="13">
        <v>4</v>
      </c>
      <c r="BB1404" s="14">
        <v>0.3</v>
      </c>
      <c r="BC1404" s="14">
        <v>0.2</v>
      </c>
      <c r="BD1404" s="15">
        <f>Table1347456[[#This Row],[treatment_se]]*SQRT(Table1347456[[#This Row],[treatment_n]])</f>
        <v>0.6</v>
      </c>
      <c r="BE1404" s="14">
        <f>Table1347456[[#This Row],[control_se]]*SQRT(Table1347456[[#This Row],[control_n]])</f>
        <v>0.4</v>
      </c>
      <c r="BF140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2.48132425662223E-4</v>
      </c>
      <c r="BG1404" s="17">
        <f>SQRT(Table1347456[[#This Row],[v_from_sd_and_n]])</f>
        <v>1.5752219705877105E-2</v>
      </c>
      <c r="BH1404" s="13" t="s">
        <v>50</v>
      </c>
      <c r="BI1404" s="13">
        <v>0.05</v>
      </c>
      <c r="BJ1404" s="18">
        <f>ABS(_xlfn.NORM.S.INV(Table1347456[[#This Row],[p_value]]/2))</f>
        <v>1.9599639845400538</v>
      </c>
      <c r="BK1404" s="19">
        <f>(Table1347456[[#This Row],[lnrr]]/Table1347456[[#This Row],[z_from_p]])^2</f>
        <v>2.3141061137074731E-2</v>
      </c>
      <c r="BL1404" s="16">
        <f>Table1347456[[#This Row],[v_from_sd_and_n]]</f>
        <v>2.48132425662223E-4</v>
      </c>
      <c r="BM1404" s="20">
        <f>SQRT(Table1347456[[#This Row],[v]])</f>
        <v>1.5752219705877105E-2</v>
      </c>
      <c r="BN1404" s="20">
        <f>Table1347456[[#This Row],[lnrr]]-(1.96*Table1347456[[#This Row],[se]])</f>
        <v>0.26727902169555717</v>
      </c>
      <c r="BO1404" s="20">
        <f>Table1347456[[#This Row],[lnrr]]+(1.96 * Table1347456[[#This Row],[se]])</f>
        <v>0.32902772294259541</v>
      </c>
    </row>
    <row r="1405" spans="1:67">
      <c r="A1405" s="13" t="s">
        <v>423</v>
      </c>
      <c r="B1405" s="13" t="s">
        <v>424</v>
      </c>
      <c r="C1405" s="13" t="s">
        <v>43</v>
      </c>
      <c r="D1405" s="13" t="s">
        <v>425</v>
      </c>
      <c r="E1405" s="13" t="s">
        <v>426</v>
      </c>
      <c r="F1405" s="13" t="s">
        <v>586</v>
      </c>
      <c r="G1405" s="13" t="s">
        <v>46</v>
      </c>
      <c r="H1405" s="13">
        <v>27.5</v>
      </c>
      <c r="I1405" s="13" t="s">
        <v>46</v>
      </c>
      <c r="K1405" s="13" t="s">
        <v>949</v>
      </c>
      <c r="L1405" s="13" t="s">
        <v>950</v>
      </c>
      <c r="N1405" s="13" t="s">
        <v>668</v>
      </c>
      <c r="O1405" s="13" t="s">
        <v>668</v>
      </c>
      <c r="P1405" s="13" t="s">
        <v>87</v>
      </c>
      <c r="Q1405" s="13" t="s">
        <v>87</v>
      </c>
      <c r="R1405" s="4">
        <v>4</v>
      </c>
      <c r="S1405" s="13" t="s">
        <v>596</v>
      </c>
      <c r="T1405" s="13">
        <v>55</v>
      </c>
      <c r="U1405" s="4" t="s">
        <v>427</v>
      </c>
      <c r="V1405" s="4">
        <v>500</v>
      </c>
      <c r="W1405" s="4" t="s">
        <v>601</v>
      </c>
      <c r="X1405" s="4">
        <v>746</v>
      </c>
      <c r="Y1405" s="4">
        <v>59.8</v>
      </c>
      <c r="Z1405" s="4" t="s">
        <v>491</v>
      </c>
      <c r="AA1405" s="4" t="s">
        <v>49</v>
      </c>
      <c r="AB1405" s="4">
        <v>0</v>
      </c>
      <c r="AC1405" s="4" t="s">
        <v>50</v>
      </c>
      <c r="AD1405" s="4">
        <v>98.67</v>
      </c>
      <c r="AE1405" s="4" t="s">
        <v>49</v>
      </c>
      <c r="AF1405" s="4">
        <v>0</v>
      </c>
      <c r="AG1405" s="4" t="s">
        <v>46</v>
      </c>
      <c r="AH1405" s="4" t="s">
        <v>676</v>
      </c>
      <c r="AI1405" s="4" t="s">
        <v>64</v>
      </c>
      <c r="AJ1405" s="13">
        <v>0</v>
      </c>
      <c r="AK1405" s="13">
        <v>23</v>
      </c>
      <c r="AL1405" s="13" t="s">
        <v>486</v>
      </c>
      <c r="AM1405" s="13" t="s">
        <v>528</v>
      </c>
      <c r="AO1405" s="13" t="s">
        <v>568</v>
      </c>
      <c r="AP1405" s="13" t="s">
        <v>50</v>
      </c>
      <c r="AQ1405" s="13" t="s">
        <v>49</v>
      </c>
      <c r="AR1405" s="13" t="s">
        <v>50</v>
      </c>
      <c r="AS1405" s="13" t="s">
        <v>49</v>
      </c>
      <c r="AT1405" s="13" t="s">
        <v>993</v>
      </c>
      <c r="AU1405" s="13" t="s">
        <v>1001</v>
      </c>
      <c r="AV1405" s="14">
        <v>31.2</v>
      </c>
      <c r="AW1405" s="14">
        <v>23.4</v>
      </c>
      <c r="AX1405" s="14">
        <f>Table1347456[[#This Row],[treatment_mean]]/Table1347456[[#This Row],[control_mean]]</f>
        <v>1.3333333333333335</v>
      </c>
      <c r="AY1405" s="14">
        <f>LN(Table1347456[[#This Row],[rr]])</f>
        <v>0.28768207245178101</v>
      </c>
      <c r="AZ1405" s="13">
        <v>4</v>
      </c>
      <c r="BA1405" s="13">
        <v>4</v>
      </c>
      <c r="BB1405" s="14">
        <v>0.2</v>
      </c>
      <c r="BC1405" s="14">
        <v>0.3</v>
      </c>
      <c r="BD1405" s="15">
        <f>Table1347456[[#This Row],[treatment_se]]*SQRT(Table1347456[[#This Row],[treatment_n]])</f>
        <v>0.4</v>
      </c>
      <c r="BE1405" s="14">
        <f>Table1347456[[#This Row],[control_se]]*SQRT(Table1347456[[#This Row],[control_n]])</f>
        <v>0.6</v>
      </c>
      <c r="BF140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2.0545693622616701E-4</v>
      </c>
      <c r="BG1405" s="17">
        <f>SQRT(Table1347456[[#This Row],[v_from_sd_and_n]])</f>
        <v>1.4333769086537114E-2</v>
      </c>
      <c r="BH1405" s="13" t="s">
        <v>50</v>
      </c>
      <c r="BI1405" s="13">
        <v>0.05</v>
      </c>
      <c r="BJ1405" s="18">
        <f>ABS(_xlfn.NORM.S.INV(Table1347456[[#This Row],[p_value]]/2))</f>
        <v>1.9599639845400538</v>
      </c>
      <c r="BK1405" s="19">
        <f>(Table1347456[[#This Row],[lnrr]]/Table1347456[[#This Row],[z_from_p]])^2</f>
        <v>2.1544152540257468E-2</v>
      </c>
      <c r="BL1405" s="16">
        <f>Table1347456[[#This Row],[v_from_sd_and_n]]</f>
        <v>2.0545693622616701E-4</v>
      </c>
      <c r="BM1405" s="20">
        <f>SQRT(Table1347456[[#This Row],[v]])</f>
        <v>1.4333769086537114E-2</v>
      </c>
      <c r="BN1405" s="20">
        <f>Table1347456[[#This Row],[lnrr]]-(1.96*Table1347456[[#This Row],[se]])</f>
        <v>0.25958788504216829</v>
      </c>
      <c r="BO1405" s="20">
        <f>Table1347456[[#This Row],[lnrr]]+(1.96 * Table1347456[[#This Row],[se]])</f>
        <v>0.31577625986139374</v>
      </c>
    </row>
    <row r="1406" spans="1:67">
      <c r="A1406" s="13" t="s">
        <v>423</v>
      </c>
      <c r="B1406" s="13" t="s">
        <v>424</v>
      </c>
      <c r="C1406" s="13" t="s">
        <v>43</v>
      </c>
      <c r="D1406" s="13" t="s">
        <v>425</v>
      </c>
      <c r="E1406" s="13" t="s">
        <v>426</v>
      </c>
      <c r="F1406" s="13" t="s">
        <v>586</v>
      </c>
      <c r="G1406" s="13" t="s">
        <v>46</v>
      </c>
      <c r="H1406" s="13">
        <v>27.5</v>
      </c>
      <c r="I1406" s="13" t="s">
        <v>46</v>
      </c>
      <c r="K1406" s="13" t="s">
        <v>949</v>
      </c>
      <c r="L1406" s="13" t="s">
        <v>950</v>
      </c>
      <c r="N1406" s="13" t="s">
        <v>668</v>
      </c>
      <c r="O1406" s="13" t="s">
        <v>668</v>
      </c>
      <c r="P1406" s="13" t="s">
        <v>87</v>
      </c>
      <c r="Q1406" s="13" t="s">
        <v>87</v>
      </c>
      <c r="R1406" s="4">
        <v>4</v>
      </c>
      <c r="S1406" s="13" t="s">
        <v>596</v>
      </c>
      <c r="T1406" s="13">
        <v>55</v>
      </c>
      <c r="U1406" s="4" t="s">
        <v>427</v>
      </c>
      <c r="V1406" s="4">
        <v>500</v>
      </c>
      <c r="W1406" s="4" t="s">
        <v>601</v>
      </c>
      <c r="X1406" s="4">
        <v>746</v>
      </c>
      <c r="Y1406" s="4">
        <v>59.8</v>
      </c>
      <c r="Z1406" s="4" t="s">
        <v>491</v>
      </c>
      <c r="AA1406" s="4" t="s">
        <v>49</v>
      </c>
      <c r="AB1406" s="4">
        <v>0</v>
      </c>
      <c r="AC1406" s="4" t="s">
        <v>49</v>
      </c>
      <c r="AD1406" s="4">
        <v>0</v>
      </c>
      <c r="AE1406" s="4" t="s">
        <v>50</v>
      </c>
      <c r="AF1406" s="4" t="s">
        <v>428</v>
      </c>
      <c r="AG1406" s="4" t="s">
        <v>46</v>
      </c>
      <c r="AH1406" s="4" t="s">
        <v>676</v>
      </c>
      <c r="AI1406" s="4" t="s">
        <v>64</v>
      </c>
      <c r="AJ1406" s="13">
        <v>0</v>
      </c>
      <c r="AK1406" s="13">
        <v>23</v>
      </c>
      <c r="AL1406" s="13" t="s">
        <v>486</v>
      </c>
      <c r="AM1406" s="13" t="s">
        <v>528</v>
      </c>
      <c r="AO1406" s="13" t="s">
        <v>568</v>
      </c>
      <c r="AP1406" s="13" t="s">
        <v>50</v>
      </c>
      <c r="AQ1406" s="13" t="s">
        <v>49</v>
      </c>
      <c r="AR1406" s="13" t="s">
        <v>50</v>
      </c>
      <c r="AS1406" s="13" t="s">
        <v>49</v>
      </c>
      <c r="AT1406" s="13" t="s">
        <v>995</v>
      </c>
      <c r="AU1406" s="13" t="s">
        <v>1002</v>
      </c>
      <c r="AV1406" s="14">
        <v>30.9</v>
      </c>
      <c r="AW1406" s="14">
        <v>23.6</v>
      </c>
      <c r="AX1406" s="14">
        <f>Table1347456[[#This Row],[treatment_mean]]/Table1347456[[#This Row],[control_mean]]</f>
        <v>1.3093220338983049</v>
      </c>
      <c r="AY1406" s="14">
        <f>LN(Table1347456[[#This Row],[rr]])</f>
        <v>0.26950947187213525</v>
      </c>
      <c r="AZ1406" s="13">
        <v>4</v>
      </c>
      <c r="BA1406" s="13">
        <v>4</v>
      </c>
      <c r="BB1406" s="14">
        <v>0.6</v>
      </c>
      <c r="BC1406" s="14">
        <v>0.3</v>
      </c>
      <c r="BD1406" s="15">
        <f>Table1347456[[#This Row],[treatment_se]]*SQRT(Table1347456[[#This Row],[treatment_n]])</f>
        <v>1.2</v>
      </c>
      <c r="BE1406" s="14">
        <f>Table1347456[[#This Row],[control_se]]*SQRT(Table1347456[[#This Row],[control_n]])</f>
        <v>0.6</v>
      </c>
      <c r="BF140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5.3862986034985331E-4</v>
      </c>
      <c r="BG1406" s="17">
        <f>SQRT(Table1347456[[#This Row],[v_from_sd_and_n]])</f>
        <v>2.3208400641790319E-2</v>
      </c>
      <c r="BH1406" s="13" t="s">
        <v>50</v>
      </c>
      <c r="BI1406" s="13">
        <v>0.05</v>
      </c>
      <c r="BJ1406" s="18">
        <f>ABS(_xlfn.NORM.S.INV(Table1347456[[#This Row],[p_value]]/2))</f>
        <v>1.9599639845400538</v>
      </c>
      <c r="BK1406" s="19">
        <f>(Table1347456[[#This Row],[lnrr]]/Table1347456[[#This Row],[z_from_p]])^2</f>
        <v>1.8908273866560039E-2</v>
      </c>
      <c r="BL1406" s="16">
        <f>Table1347456[[#This Row],[v_from_sd_and_n]]</f>
        <v>5.3862986034985331E-4</v>
      </c>
      <c r="BM1406" s="20">
        <f>SQRT(Table1347456[[#This Row],[v]])</f>
        <v>2.3208400641790319E-2</v>
      </c>
      <c r="BN1406" s="20">
        <f>Table1347456[[#This Row],[lnrr]]-(1.96*Table1347456[[#This Row],[se]])</f>
        <v>0.22402100661422622</v>
      </c>
      <c r="BO1406" s="20">
        <f>Table1347456[[#This Row],[lnrr]]+(1.96 * Table1347456[[#This Row],[se]])</f>
        <v>0.31499793713004426</v>
      </c>
    </row>
    <row r="1407" spans="1:67">
      <c r="A1407" s="13" t="s">
        <v>423</v>
      </c>
      <c r="B1407" s="13" t="s">
        <v>424</v>
      </c>
      <c r="C1407" s="13" t="s">
        <v>43</v>
      </c>
      <c r="D1407" s="13" t="s">
        <v>425</v>
      </c>
      <c r="E1407" s="13" t="s">
        <v>426</v>
      </c>
      <c r="F1407" s="13" t="s">
        <v>586</v>
      </c>
      <c r="G1407" s="13" t="s">
        <v>46</v>
      </c>
      <c r="H1407" s="13">
        <v>27.5</v>
      </c>
      <c r="I1407" s="13" t="s">
        <v>46</v>
      </c>
      <c r="K1407" s="13" t="s">
        <v>949</v>
      </c>
      <c r="L1407" s="13" t="s">
        <v>950</v>
      </c>
      <c r="N1407" s="13" t="s">
        <v>99</v>
      </c>
      <c r="O1407" s="13" t="s">
        <v>644</v>
      </c>
      <c r="P1407" s="13" t="s">
        <v>85</v>
      </c>
      <c r="Q1407" s="13" t="s">
        <v>48</v>
      </c>
      <c r="R1407" s="4">
        <v>4</v>
      </c>
      <c r="S1407" s="13" t="s">
        <v>596</v>
      </c>
      <c r="T1407" s="13">
        <v>55</v>
      </c>
      <c r="U1407" s="4" t="s">
        <v>427</v>
      </c>
      <c r="V1407" s="4">
        <v>500</v>
      </c>
      <c r="W1407" s="4" t="s">
        <v>601</v>
      </c>
      <c r="X1407" s="4">
        <v>746</v>
      </c>
      <c r="Y1407" s="4">
        <v>59.8</v>
      </c>
      <c r="Z1407" s="4" t="s">
        <v>491</v>
      </c>
      <c r="AA1407" s="4" t="s">
        <v>49</v>
      </c>
      <c r="AB1407" s="4">
        <v>0</v>
      </c>
      <c r="AC1407" s="4" t="s">
        <v>49</v>
      </c>
      <c r="AD1407" s="4">
        <v>0</v>
      </c>
      <c r="AE1407" s="4" t="s">
        <v>49</v>
      </c>
      <c r="AF1407" s="4">
        <v>0</v>
      </c>
      <c r="AG1407" s="4" t="s">
        <v>46</v>
      </c>
      <c r="AH1407" s="4" t="s">
        <v>676</v>
      </c>
      <c r="AI1407" s="4" t="s">
        <v>64</v>
      </c>
      <c r="AJ1407" s="13">
        <v>0</v>
      </c>
      <c r="AK1407" s="13">
        <v>23</v>
      </c>
      <c r="AL1407" s="13" t="s">
        <v>486</v>
      </c>
      <c r="AM1407" s="13" t="s">
        <v>528</v>
      </c>
      <c r="AO1407" s="13" t="s">
        <v>568</v>
      </c>
      <c r="AP1407" s="13" t="s">
        <v>50</v>
      </c>
      <c r="AQ1407" s="13" t="s">
        <v>49</v>
      </c>
      <c r="AR1407" s="13" t="s">
        <v>50</v>
      </c>
      <c r="AS1407" s="13" t="s">
        <v>49</v>
      </c>
      <c r="AT1407" s="13" t="s">
        <v>990</v>
      </c>
      <c r="AU1407" s="13" t="s">
        <v>998</v>
      </c>
      <c r="AV1407" s="14">
        <f>0.6/1000</f>
        <v>5.9999999999999995E-4</v>
      </c>
      <c r="AW1407" s="14">
        <f>0.8/1000</f>
        <v>8.0000000000000004E-4</v>
      </c>
      <c r="AX1407" s="14">
        <f>Table1347456[[#This Row],[treatment_mean]]/Table1347456[[#This Row],[control_mean]]</f>
        <v>0.74999999999999989</v>
      </c>
      <c r="AY1407" s="14">
        <f>LN(Table1347456[[#This Row],[rr]])</f>
        <v>-0.28768207245178107</v>
      </c>
      <c r="AZ1407" s="13">
        <v>4</v>
      </c>
      <c r="BA1407" s="13">
        <v>4</v>
      </c>
      <c r="BB1407" s="14">
        <f>0.2/1000</f>
        <v>2.0000000000000001E-4</v>
      </c>
      <c r="BC1407" s="14">
        <f>0.1/1000</f>
        <v>1E-4</v>
      </c>
      <c r="BD1407" s="15">
        <f>Table1347456[[#This Row],[treatment_se]]*SQRT(Table1347456[[#This Row],[treatment_n]])</f>
        <v>4.0000000000000002E-4</v>
      </c>
      <c r="BE1407" s="14">
        <f>Table1347456[[#This Row],[control_se]]*SQRT(Table1347456[[#This Row],[control_n]])</f>
        <v>2.0000000000000001E-4</v>
      </c>
      <c r="BF140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0.12673611111111113</v>
      </c>
      <c r="BG1407" s="17">
        <f>SQRT(Table1347456[[#This Row],[v_from_sd_and_n]])</f>
        <v>0.35600015605489715</v>
      </c>
      <c r="BH1407" s="13" t="s">
        <v>50</v>
      </c>
      <c r="BI1407" s="13">
        <v>0.05</v>
      </c>
      <c r="BJ1407" s="18">
        <f>ABS(_xlfn.NORM.S.INV(Table1347456[[#This Row],[p_value]]/2))</f>
        <v>1.9599639845400538</v>
      </c>
      <c r="BK1407" s="19">
        <f>(Table1347456[[#This Row],[lnrr]]/Table1347456[[#This Row],[z_from_p]])^2</f>
        <v>2.1544152540257475E-2</v>
      </c>
      <c r="BL1407" s="16">
        <f>Table1347456[[#This Row],[v_from_sd_and_n]]</f>
        <v>0.12673611111111113</v>
      </c>
      <c r="BM1407" s="20">
        <f>SQRT(Table1347456[[#This Row],[v]])</f>
        <v>0.35600015605489715</v>
      </c>
      <c r="BN1407" s="20">
        <f>Table1347456[[#This Row],[lnrr]]-(1.96*Table1347456[[#This Row],[se]])</f>
        <v>-0.98544237831937953</v>
      </c>
      <c r="BO1407" s="20">
        <f>Table1347456[[#This Row],[lnrr]]+(1.96 * Table1347456[[#This Row],[se]])</f>
        <v>0.41007823341581734</v>
      </c>
    </row>
    <row r="1408" spans="1:67">
      <c r="A1408" s="13" t="s">
        <v>423</v>
      </c>
      <c r="B1408" s="13" t="s">
        <v>424</v>
      </c>
      <c r="C1408" s="13" t="s">
        <v>43</v>
      </c>
      <c r="D1408" s="13" t="s">
        <v>425</v>
      </c>
      <c r="E1408" s="13" t="s">
        <v>426</v>
      </c>
      <c r="F1408" s="13" t="s">
        <v>586</v>
      </c>
      <c r="G1408" s="13" t="s">
        <v>46</v>
      </c>
      <c r="H1408" s="13">
        <v>27.5</v>
      </c>
      <c r="I1408" s="13" t="s">
        <v>46</v>
      </c>
      <c r="K1408" s="13" t="s">
        <v>949</v>
      </c>
      <c r="L1408" s="13" t="s">
        <v>950</v>
      </c>
      <c r="N1408" s="13" t="s">
        <v>99</v>
      </c>
      <c r="O1408" s="13" t="s">
        <v>644</v>
      </c>
      <c r="P1408" s="13" t="s">
        <v>85</v>
      </c>
      <c r="Q1408" s="13" t="s">
        <v>48</v>
      </c>
      <c r="R1408" s="4">
        <v>4</v>
      </c>
      <c r="S1408" s="13" t="s">
        <v>596</v>
      </c>
      <c r="T1408" s="13">
        <v>55</v>
      </c>
      <c r="U1408" s="4" t="s">
        <v>427</v>
      </c>
      <c r="V1408" s="4">
        <v>500</v>
      </c>
      <c r="W1408" s="4" t="s">
        <v>601</v>
      </c>
      <c r="X1408" s="4">
        <v>746</v>
      </c>
      <c r="Y1408" s="4">
        <v>59.8</v>
      </c>
      <c r="Z1408" s="4" t="s">
        <v>491</v>
      </c>
      <c r="AA1408" s="4" t="s">
        <v>50</v>
      </c>
      <c r="AB1408" s="4">
        <v>292</v>
      </c>
      <c r="AC1408" s="4" t="s">
        <v>49</v>
      </c>
      <c r="AD1408" s="4">
        <v>0</v>
      </c>
      <c r="AE1408" s="4" t="s">
        <v>49</v>
      </c>
      <c r="AF1408" s="4">
        <v>0</v>
      </c>
      <c r="AG1408" s="4" t="s">
        <v>46</v>
      </c>
      <c r="AH1408" s="4" t="s">
        <v>676</v>
      </c>
      <c r="AI1408" s="4" t="s">
        <v>64</v>
      </c>
      <c r="AJ1408" s="13">
        <v>0</v>
      </c>
      <c r="AK1408" s="13">
        <v>23</v>
      </c>
      <c r="AL1408" s="13" t="s">
        <v>486</v>
      </c>
      <c r="AM1408" s="13" t="s">
        <v>528</v>
      </c>
      <c r="AO1408" s="13" t="s">
        <v>568</v>
      </c>
      <c r="AP1408" s="13" t="s">
        <v>50</v>
      </c>
      <c r="AQ1408" s="13" t="s">
        <v>49</v>
      </c>
      <c r="AR1408" s="13" t="s">
        <v>50</v>
      </c>
      <c r="AS1408" s="13" t="s">
        <v>49</v>
      </c>
      <c r="AT1408" s="13" t="s">
        <v>992</v>
      </c>
      <c r="AU1408" s="4" t="s">
        <v>1000</v>
      </c>
      <c r="AV1408" s="14">
        <f>0.6/1000</f>
        <v>5.9999999999999995E-4</v>
      </c>
      <c r="AW1408" s="14">
        <f>1/1000</f>
        <v>1E-3</v>
      </c>
      <c r="AX1408" s="14">
        <f>Table1347456[[#This Row],[treatment_mean]]/Table1347456[[#This Row],[control_mean]]</f>
        <v>0.6</v>
      </c>
      <c r="AY1408" s="14">
        <f>LN(Table1347456[[#This Row],[rr]])</f>
        <v>-0.51082562376599072</v>
      </c>
      <c r="AZ1408" s="13">
        <v>4</v>
      </c>
      <c r="BA1408" s="13">
        <v>4</v>
      </c>
      <c r="BB1408" s="14">
        <f>0.2/1000</f>
        <v>2.0000000000000001E-4</v>
      </c>
      <c r="BC1408" s="14">
        <f>0.1/1000</f>
        <v>1E-4</v>
      </c>
      <c r="BD1408" s="15">
        <f>Table1347456[[#This Row],[treatment_se]]*SQRT(Table1347456[[#This Row],[treatment_n]])</f>
        <v>4.0000000000000002E-4</v>
      </c>
      <c r="BE1408" s="14">
        <f>Table1347456[[#This Row],[control_se]]*SQRT(Table1347456[[#This Row],[control_n]])</f>
        <v>2.0000000000000001E-4</v>
      </c>
      <c r="BF140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0.12111111111111113</v>
      </c>
      <c r="BG1408" s="17">
        <f>SQRT(Table1347456[[#This Row],[v_from_sd_and_n]])</f>
        <v>0.348010216963685</v>
      </c>
      <c r="BH1408" s="13" t="s">
        <v>50</v>
      </c>
      <c r="BI1408" s="13">
        <v>0.05</v>
      </c>
      <c r="BJ1408" s="18">
        <f>ABS(_xlfn.NORM.S.INV(Table1347456[[#This Row],[p_value]]/2))</f>
        <v>1.9599639845400538</v>
      </c>
      <c r="BK1408" s="19">
        <f>(Table1347456[[#This Row],[lnrr]]/Table1347456[[#This Row],[z_from_p]])^2</f>
        <v>6.792805287673577E-2</v>
      </c>
      <c r="BL1408" s="16">
        <f>Table1347456[[#This Row],[v_from_sd_and_n]]</f>
        <v>0.12111111111111113</v>
      </c>
      <c r="BM1408" s="20">
        <f>SQRT(Table1347456[[#This Row],[v]])</f>
        <v>0.348010216963685</v>
      </c>
      <c r="BN1408" s="20">
        <f>Table1347456[[#This Row],[lnrr]]-(1.96*Table1347456[[#This Row],[se]])</f>
        <v>-1.1929256490148132</v>
      </c>
      <c r="BO1408" s="20">
        <f>Table1347456[[#This Row],[lnrr]]+(1.96 * Table1347456[[#This Row],[se]])</f>
        <v>0.17127440148283191</v>
      </c>
    </row>
    <row r="1409" spans="1:67">
      <c r="A1409" s="13" t="s">
        <v>423</v>
      </c>
      <c r="B1409" s="13" t="s">
        <v>424</v>
      </c>
      <c r="C1409" s="13" t="s">
        <v>43</v>
      </c>
      <c r="D1409" s="13" t="s">
        <v>425</v>
      </c>
      <c r="E1409" s="13" t="s">
        <v>426</v>
      </c>
      <c r="F1409" s="13" t="s">
        <v>586</v>
      </c>
      <c r="G1409" s="13" t="s">
        <v>46</v>
      </c>
      <c r="H1409" s="13">
        <v>27.5</v>
      </c>
      <c r="I1409" s="13" t="s">
        <v>46</v>
      </c>
      <c r="K1409" s="13" t="s">
        <v>949</v>
      </c>
      <c r="L1409" s="13" t="s">
        <v>950</v>
      </c>
      <c r="N1409" s="13" t="s">
        <v>99</v>
      </c>
      <c r="O1409" s="13" t="s">
        <v>644</v>
      </c>
      <c r="P1409" s="13" t="s">
        <v>85</v>
      </c>
      <c r="Q1409" s="13" t="s">
        <v>48</v>
      </c>
      <c r="R1409" s="4">
        <v>4</v>
      </c>
      <c r="S1409" s="13" t="s">
        <v>596</v>
      </c>
      <c r="T1409" s="13">
        <v>55</v>
      </c>
      <c r="U1409" s="4" t="s">
        <v>427</v>
      </c>
      <c r="V1409" s="4">
        <v>500</v>
      </c>
      <c r="W1409" s="4" t="s">
        <v>601</v>
      </c>
      <c r="X1409" s="4">
        <v>746</v>
      </c>
      <c r="Y1409" s="4">
        <v>59.8</v>
      </c>
      <c r="Z1409" s="4" t="s">
        <v>491</v>
      </c>
      <c r="AA1409" s="4" t="s">
        <v>49</v>
      </c>
      <c r="AB1409" s="4">
        <v>0</v>
      </c>
      <c r="AC1409" s="4" t="s">
        <v>50</v>
      </c>
      <c r="AD1409" s="4">
        <v>98.67</v>
      </c>
      <c r="AE1409" s="4" t="s">
        <v>49</v>
      </c>
      <c r="AF1409" s="4">
        <v>0</v>
      </c>
      <c r="AG1409" s="4" t="s">
        <v>46</v>
      </c>
      <c r="AH1409" s="4" t="s">
        <v>676</v>
      </c>
      <c r="AI1409" s="4" t="s">
        <v>64</v>
      </c>
      <c r="AJ1409" s="13">
        <v>0</v>
      </c>
      <c r="AK1409" s="13">
        <v>23</v>
      </c>
      <c r="AL1409" s="13" t="s">
        <v>486</v>
      </c>
      <c r="AM1409" s="13" t="s">
        <v>528</v>
      </c>
      <c r="AO1409" s="13" t="s">
        <v>568</v>
      </c>
      <c r="AP1409" s="13" t="s">
        <v>50</v>
      </c>
      <c r="AQ1409" s="13" t="s">
        <v>49</v>
      </c>
      <c r="AR1409" s="13" t="s">
        <v>50</v>
      </c>
      <c r="AS1409" s="13" t="s">
        <v>49</v>
      </c>
      <c r="AT1409" s="13" t="s">
        <v>993</v>
      </c>
      <c r="AU1409" s="13" t="s">
        <v>1001</v>
      </c>
      <c r="AV1409" s="14">
        <f>1/1000</f>
        <v>1E-3</v>
      </c>
      <c r="AW1409" s="14">
        <f>1.1/1000</f>
        <v>1.1000000000000001E-3</v>
      </c>
      <c r="AX1409" s="14">
        <f>Table1347456[[#This Row],[treatment_mean]]/Table1347456[[#This Row],[control_mean]]</f>
        <v>0.90909090909090906</v>
      </c>
      <c r="AY1409" s="14">
        <f>LN(Table1347456[[#This Row],[rr]])</f>
        <v>-9.5310179804324893E-2</v>
      </c>
      <c r="AZ1409" s="13">
        <v>4</v>
      </c>
      <c r="BA1409" s="13">
        <v>4</v>
      </c>
      <c r="BB1409" s="14">
        <f>0.3/1000</f>
        <v>2.9999999999999997E-4</v>
      </c>
      <c r="BC1409" s="14">
        <f>0.1/1000</f>
        <v>1E-4</v>
      </c>
      <c r="BD1409" s="15">
        <f>Table1347456[[#This Row],[treatment_se]]*SQRT(Table1347456[[#This Row],[treatment_n]])</f>
        <v>5.9999999999999995E-4</v>
      </c>
      <c r="BE1409" s="14">
        <f>Table1347456[[#This Row],[control_se]]*SQRT(Table1347456[[#This Row],[control_n]])</f>
        <v>2.0000000000000001E-4</v>
      </c>
      <c r="BF140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9.8264462809917338E-2</v>
      </c>
      <c r="BG1409" s="17">
        <f>SQRT(Table1347456[[#This Row],[v_from_sd_and_n]])</f>
        <v>0.31347162999212119</v>
      </c>
      <c r="BH1409" s="13" t="s">
        <v>50</v>
      </c>
      <c r="BI1409" s="13">
        <v>0.05</v>
      </c>
      <c r="BJ1409" s="18">
        <f>ABS(_xlfn.NORM.S.INV(Table1347456[[#This Row],[p_value]]/2))</f>
        <v>1.9599639845400538</v>
      </c>
      <c r="BK1409" s="19">
        <f>(Table1347456[[#This Row],[lnrr]]/Table1347456[[#This Row],[z_from_p]])^2</f>
        <v>2.3647345444383341E-3</v>
      </c>
      <c r="BL1409" s="16">
        <f>Table1347456[[#This Row],[v_from_sd_and_n]]</f>
        <v>9.8264462809917338E-2</v>
      </c>
      <c r="BM1409" s="20">
        <f>SQRT(Table1347456[[#This Row],[v]])</f>
        <v>0.31347162999212119</v>
      </c>
      <c r="BN1409" s="20">
        <f>Table1347456[[#This Row],[lnrr]]-(1.96*Table1347456[[#This Row],[se]])</f>
        <v>-0.70971457458888243</v>
      </c>
      <c r="BO1409" s="20">
        <f>Table1347456[[#This Row],[lnrr]]+(1.96 * Table1347456[[#This Row],[se]])</f>
        <v>0.51909421498023267</v>
      </c>
    </row>
    <row r="1410" spans="1:67">
      <c r="A1410" s="13" t="s">
        <v>423</v>
      </c>
      <c r="B1410" s="13" t="s">
        <v>424</v>
      </c>
      <c r="C1410" s="13" t="s">
        <v>43</v>
      </c>
      <c r="D1410" s="13" t="s">
        <v>425</v>
      </c>
      <c r="E1410" s="13" t="s">
        <v>426</v>
      </c>
      <c r="F1410" s="13" t="s">
        <v>586</v>
      </c>
      <c r="G1410" s="13" t="s">
        <v>46</v>
      </c>
      <c r="H1410" s="13">
        <v>27.5</v>
      </c>
      <c r="I1410" s="13" t="s">
        <v>46</v>
      </c>
      <c r="K1410" s="13" t="s">
        <v>949</v>
      </c>
      <c r="L1410" s="13" t="s">
        <v>950</v>
      </c>
      <c r="N1410" s="13" t="s">
        <v>99</v>
      </c>
      <c r="O1410" s="13" t="s">
        <v>644</v>
      </c>
      <c r="P1410" s="13" t="s">
        <v>85</v>
      </c>
      <c r="Q1410" s="13" t="s">
        <v>48</v>
      </c>
      <c r="R1410" s="4">
        <v>4</v>
      </c>
      <c r="S1410" s="13" t="s">
        <v>596</v>
      </c>
      <c r="T1410" s="13">
        <v>55</v>
      </c>
      <c r="U1410" s="4" t="s">
        <v>427</v>
      </c>
      <c r="V1410" s="4">
        <v>500</v>
      </c>
      <c r="W1410" s="4" t="s">
        <v>601</v>
      </c>
      <c r="X1410" s="4">
        <v>746</v>
      </c>
      <c r="Y1410" s="4">
        <v>59.8</v>
      </c>
      <c r="Z1410" s="4" t="s">
        <v>491</v>
      </c>
      <c r="AA1410" s="4" t="s">
        <v>49</v>
      </c>
      <c r="AB1410" s="4">
        <v>0</v>
      </c>
      <c r="AC1410" s="4" t="s">
        <v>49</v>
      </c>
      <c r="AD1410" s="4">
        <v>0</v>
      </c>
      <c r="AE1410" s="4" t="s">
        <v>50</v>
      </c>
      <c r="AF1410" s="4" t="s">
        <v>428</v>
      </c>
      <c r="AG1410" s="4" t="s">
        <v>46</v>
      </c>
      <c r="AH1410" s="4" t="s">
        <v>676</v>
      </c>
      <c r="AI1410" s="4" t="s">
        <v>64</v>
      </c>
      <c r="AJ1410" s="13">
        <v>0</v>
      </c>
      <c r="AK1410" s="13">
        <v>23</v>
      </c>
      <c r="AL1410" s="13" t="s">
        <v>486</v>
      </c>
      <c r="AM1410" s="13" t="s">
        <v>528</v>
      </c>
      <c r="AO1410" s="13" t="s">
        <v>568</v>
      </c>
      <c r="AP1410" s="13" t="s">
        <v>50</v>
      </c>
      <c r="AQ1410" s="13" t="s">
        <v>49</v>
      </c>
      <c r="AR1410" s="13" t="s">
        <v>50</v>
      </c>
      <c r="AS1410" s="13" t="s">
        <v>49</v>
      </c>
      <c r="AT1410" s="13" t="s">
        <v>995</v>
      </c>
      <c r="AU1410" s="13" t="s">
        <v>1002</v>
      </c>
      <c r="AV1410" s="14">
        <f>1.1/1000</f>
        <v>1.1000000000000001E-3</v>
      </c>
      <c r="AW1410" s="14">
        <f>1.1/1000</f>
        <v>1.1000000000000001E-3</v>
      </c>
      <c r="AX1410" s="14">
        <f>Table1347456[[#This Row],[treatment_mean]]/Table1347456[[#This Row],[control_mean]]</f>
        <v>1</v>
      </c>
      <c r="AY1410" s="14">
        <f>LN(Table1347456[[#This Row],[rr]])</f>
        <v>0</v>
      </c>
      <c r="AZ1410" s="13">
        <v>4</v>
      </c>
      <c r="BA1410" s="13">
        <v>4</v>
      </c>
      <c r="BB1410" s="14">
        <f>0.2/1000</f>
        <v>2.0000000000000001E-4</v>
      </c>
      <c r="BC1410" s="14">
        <f>0.1/1000</f>
        <v>1E-4</v>
      </c>
      <c r="BD1410" s="15">
        <f>Table1347456[[#This Row],[treatment_se]]*SQRT(Table1347456[[#This Row],[treatment_n]])</f>
        <v>4.0000000000000002E-4</v>
      </c>
      <c r="BE1410" s="14">
        <f>Table1347456[[#This Row],[control_se]]*SQRT(Table1347456[[#This Row],[control_n]])</f>
        <v>2.0000000000000001E-4</v>
      </c>
      <c r="BF141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4.1322314049586778E-2</v>
      </c>
      <c r="BG1410" s="17">
        <f>SQRT(Table1347456[[#This Row],[v_from_sd_and_n]])</f>
        <v>0.20327890704543544</v>
      </c>
      <c r="BH1410" s="13" t="s">
        <v>50</v>
      </c>
      <c r="BI1410" s="13">
        <v>0.05</v>
      </c>
      <c r="BJ1410" s="18">
        <f>ABS(_xlfn.NORM.S.INV(Table1347456[[#This Row],[p_value]]/2))</f>
        <v>1.9599639845400538</v>
      </c>
      <c r="BK1410" s="19">
        <f>(Table1347456[[#This Row],[lnrr]]/Table1347456[[#This Row],[z_from_p]])^2</f>
        <v>0</v>
      </c>
      <c r="BL1410" s="16">
        <f>Table1347456[[#This Row],[v_from_sd_and_n]]</f>
        <v>4.1322314049586778E-2</v>
      </c>
      <c r="BM1410" s="20">
        <f>SQRT(Table1347456[[#This Row],[v]])</f>
        <v>0.20327890704543544</v>
      </c>
      <c r="BN1410" s="20">
        <f>Table1347456[[#This Row],[lnrr]]-(1.96*Table1347456[[#This Row],[se]])</f>
        <v>-0.39842665780905345</v>
      </c>
      <c r="BO1410" s="20">
        <f>Table1347456[[#This Row],[lnrr]]+(1.96 * Table1347456[[#This Row],[se]])</f>
        <v>0.39842665780905345</v>
      </c>
    </row>
    <row r="1411" spans="1:67">
      <c r="A1411" s="13" t="s">
        <v>423</v>
      </c>
      <c r="B1411" s="13" t="s">
        <v>429</v>
      </c>
      <c r="C1411" s="13" t="s">
        <v>43</v>
      </c>
      <c r="D1411" s="13" t="s">
        <v>425</v>
      </c>
      <c r="E1411" s="13" t="s">
        <v>426</v>
      </c>
      <c r="F1411" s="13" t="s">
        <v>586</v>
      </c>
      <c r="G1411" s="13" t="s">
        <v>46</v>
      </c>
      <c r="H1411" s="13">
        <v>27.5</v>
      </c>
      <c r="I1411" s="13" t="s">
        <v>46</v>
      </c>
      <c r="K1411" s="13" t="s">
        <v>949</v>
      </c>
      <c r="L1411" s="13" t="s">
        <v>950</v>
      </c>
      <c r="N1411" s="13" t="s">
        <v>617</v>
      </c>
      <c r="O1411" s="13" t="s">
        <v>54</v>
      </c>
      <c r="P1411" s="13" t="s">
        <v>85</v>
      </c>
      <c r="Q1411" s="13" t="s">
        <v>48</v>
      </c>
      <c r="R1411" s="4">
        <v>4</v>
      </c>
      <c r="S1411" s="13" t="s">
        <v>596</v>
      </c>
      <c r="T1411" s="13">
        <v>55</v>
      </c>
      <c r="U1411" s="4" t="s">
        <v>427</v>
      </c>
      <c r="V1411" s="4">
        <v>500</v>
      </c>
      <c r="W1411" s="4" t="s">
        <v>601</v>
      </c>
      <c r="X1411" s="4">
        <v>746</v>
      </c>
      <c r="Y1411" s="4">
        <v>59.8</v>
      </c>
      <c r="Z1411" s="4" t="s">
        <v>491</v>
      </c>
      <c r="AA1411" s="4" t="s">
        <v>49</v>
      </c>
      <c r="AB1411" s="4">
        <v>0</v>
      </c>
      <c r="AC1411" s="4" t="s">
        <v>49</v>
      </c>
      <c r="AD1411" s="4">
        <v>0</v>
      </c>
      <c r="AE1411" s="4" t="s">
        <v>49</v>
      </c>
      <c r="AF1411" s="4">
        <v>0</v>
      </c>
      <c r="AG1411" s="4" t="s">
        <v>46</v>
      </c>
      <c r="AH1411" s="4" t="s">
        <v>676</v>
      </c>
      <c r="AI1411" s="4" t="s">
        <v>64</v>
      </c>
      <c r="AJ1411" s="13">
        <v>0</v>
      </c>
      <c r="AK1411" s="13">
        <v>23</v>
      </c>
      <c r="AL1411" s="13" t="s">
        <v>486</v>
      </c>
      <c r="AM1411" s="13" t="s">
        <v>528</v>
      </c>
      <c r="AO1411" s="13" t="s">
        <v>568</v>
      </c>
      <c r="AP1411" s="13" t="s">
        <v>50</v>
      </c>
      <c r="AQ1411" s="13" t="s">
        <v>49</v>
      </c>
      <c r="AR1411" s="13" t="s">
        <v>50</v>
      </c>
      <c r="AS1411" s="13" t="s">
        <v>49</v>
      </c>
      <c r="AT1411" s="13" t="s">
        <v>990</v>
      </c>
      <c r="AU1411" s="13" t="s">
        <v>998</v>
      </c>
      <c r="AV1411" s="14">
        <f>0.1/1000</f>
        <v>1E-4</v>
      </c>
      <c r="AW1411" s="14">
        <f>0.2/1000</f>
        <v>2.0000000000000001E-4</v>
      </c>
      <c r="AX1411" s="14">
        <f>Table1347456[[#This Row],[treatment_mean]]/Table1347456[[#This Row],[control_mean]]</f>
        <v>0.5</v>
      </c>
      <c r="AY1411" s="14">
        <f>LN(Table1347456[[#This Row],[rr]])</f>
        <v>-0.69314718055994529</v>
      </c>
      <c r="AZ1411" s="13">
        <v>4</v>
      </c>
      <c r="BA1411" s="13">
        <v>4</v>
      </c>
      <c r="BB1411" s="14">
        <v>0</v>
      </c>
      <c r="BC1411" s="14">
        <v>0</v>
      </c>
      <c r="BD1411" s="15">
        <f>Table1347456[[#This Row],[treatment_se]]*SQRT(Table1347456[[#This Row],[treatment_n]])</f>
        <v>0</v>
      </c>
      <c r="BE1411" s="14">
        <f>Table1347456[[#This Row],[control_se]]*SQRT(Table1347456[[#This Row],[control_n]])</f>
        <v>0</v>
      </c>
      <c r="BF141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11" s="17">
        <f>SQRT(Table1347456[[#This Row],[v_from_sd_and_n]])</f>
        <v>0</v>
      </c>
      <c r="BH1411" s="13" t="s">
        <v>50</v>
      </c>
      <c r="BI1411" s="13">
        <v>0.05</v>
      </c>
      <c r="BJ1411" s="18">
        <f>ABS(_xlfn.NORM.S.INV(Table1347456[[#This Row],[p_value]]/2))</f>
        <v>1.9599639845400538</v>
      </c>
      <c r="BK1411" s="19">
        <f>(Table1347456[[#This Row],[lnrr]]/Table1347456[[#This Row],[z_from_p]])^2</f>
        <v>0.12507045795466495</v>
      </c>
      <c r="BL1411" s="16">
        <f>(Table1347456[[#This Row],[lnrr]]/Table1347456[[#This Row],[z_from_p]])^2</f>
        <v>0.12507045795466495</v>
      </c>
      <c r="BM1411" s="20">
        <f>SQRT(Table1347456[[#This Row],[v]])</f>
        <v>0.35365301915106701</v>
      </c>
      <c r="BN1411" s="20">
        <f>Table1347456[[#This Row],[lnrr]]-(1.96*Table1347456[[#This Row],[se]])</f>
        <v>-1.3863070980960366</v>
      </c>
      <c r="BO1411" s="20">
        <f>Table1347456[[#This Row],[lnrr]]+(1.96 * Table1347456[[#This Row],[se]])</f>
        <v>1.2736976146010548E-5</v>
      </c>
    </row>
    <row r="1412" spans="1:67">
      <c r="A1412" s="13" t="s">
        <v>423</v>
      </c>
      <c r="B1412" s="13" t="s">
        <v>429</v>
      </c>
      <c r="C1412" s="13" t="s">
        <v>43</v>
      </c>
      <c r="D1412" s="13" t="s">
        <v>425</v>
      </c>
      <c r="E1412" s="13" t="s">
        <v>426</v>
      </c>
      <c r="F1412" s="13" t="s">
        <v>586</v>
      </c>
      <c r="G1412" s="13" t="s">
        <v>46</v>
      </c>
      <c r="H1412" s="13">
        <v>27.5</v>
      </c>
      <c r="I1412" s="13" t="s">
        <v>46</v>
      </c>
      <c r="K1412" s="13" t="s">
        <v>949</v>
      </c>
      <c r="L1412" s="13" t="s">
        <v>950</v>
      </c>
      <c r="N1412" s="13" t="s">
        <v>617</v>
      </c>
      <c r="O1412" s="13" t="s">
        <v>54</v>
      </c>
      <c r="P1412" s="13" t="s">
        <v>85</v>
      </c>
      <c r="Q1412" s="13" t="s">
        <v>48</v>
      </c>
      <c r="R1412" s="4">
        <v>4</v>
      </c>
      <c r="S1412" s="13" t="s">
        <v>596</v>
      </c>
      <c r="T1412" s="13">
        <v>55</v>
      </c>
      <c r="U1412" s="4" t="s">
        <v>427</v>
      </c>
      <c r="V1412" s="4">
        <v>500</v>
      </c>
      <c r="W1412" s="4" t="s">
        <v>601</v>
      </c>
      <c r="X1412" s="4">
        <v>746</v>
      </c>
      <c r="Y1412" s="4">
        <v>59.8</v>
      </c>
      <c r="Z1412" s="4" t="s">
        <v>491</v>
      </c>
      <c r="AA1412" s="4" t="s">
        <v>50</v>
      </c>
      <c r="AB1412" s="4">
        <v>292</v>
      </c>
      <c r="AC1412" s="4" t="s">
        <v>49</v>
      </c>
      <c r="AD1412" s="4">
        <v>0</v>
      </c>
      <c r="AE1412" s="4" t="s">
        <v>49</v>
      </c>
      <c r="AF1412" s="4">
        <v>0</v>
      </c>
      <c r="AG1412" s="4" t="s">
        <v>46</v>
      </c>
      <c r="AH1412" s="4" t="s">
        <v>676</v>
      </c>
      <c r="AI1412" s="4" t="s">
        <v>64</v>
      </c>
      <c r="AJ1412" s="13">
        <v>0</v>
      </c>
      <c r="AK1412" s="13">
        <v>23</v>
      </c>
      <c r="AL1412" s="13" t="s">
        <v>486</v>
      </c>
      <c r="AM1412" s="13" t="s">
        <v>528</v>
      </c>
      <c r="AO1412" s="13" t="s">
        <v>568</v>
      </c>
      <c r="AP1412" s="13" t="s">
        <v>50</v>
      </c>
      <c r="AQ1412" s="13" t="s">
        <v>49</v>
      </c>
      <c r="AR1412" s="13" t="s">
        <v>50</v>
      </c>
      <c r="AS1412" s="13" t="s">
        <v>49</v>
      </c>
      <c r="AT1412" s="13" t="s">
        <v>992</v>
      </c>
      <c r="AU1412" s="4" t="s">
        <v>1000</v>
      </c>
      <c r="AV1412" s="14">
        <f>0.11/1000</f>
        <v>1.1E-4</v>
      </c>
      <c r="AW1412" s="14">
        <f>0.1/1000</f>
        <v>1E-4</v>
      </c>
      <c r="AX1412" s="14">
        <f>Table1347456[[#This Row],[treatment_mean]]/Table1347456[[#This Row],[control_mean]]</f>
        <v>1.1000000000000001</v>
      </c>
      <c r="AY1412" s="17">
        <f>LN(Table1347456[[#This Row],[rr]])</f>
        <v>9.5310179804324935E-2</v>
      </c>
      <c r="AZ1412" s="13">
        <v>4</v>
      </c>
      <c r="BA1412" s="13">
        <v>4</v>
      </c>
      <c r="BB1412" s="14">
        <v>0</v>
      </c>
      <c r="BC1412" s="14">
        <v>0</v>
      </c>
      <c r="BD1412" s="15">
        <f>Table1347456[[#This Row],[treatment_se]]*SQRT(Table1347456[[#This Row],[treatment_n]])</f>
        <v>0</v>
      </c>
      <c r="BE1412" s="14">
        <f>Table1347456[[#This Row],[control_se]]*SQRT(Table1347456[[#This Row],[control_n]])</f>
        <v>0</v>
      </c>
      <c r="BF141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12" s="17">
        <f>SQRT(Table1347456[[#This Row],[v_from_sd_and_n]])</f>
        <v>0</v>
      </c>
      <c r="BH1412" s="13" t="s">
        <v>50</v>
      </c>
      <c r="BI1412" s="13">
        <v>0.05</v>
      </c>
      <c r="BJ1412" s="18">
        <f>ABS(_xlfn.NORM.S.INV(Table1347456[[#This Row],[p_value]]/2))</f>
        <v>1.9599639845400538</v>
      </c>
      <c r="BK1412" s="19">
        <f>(Table1347456[[#This Row],[lnrr]]/Table1347456[[#This Row],[z_from_p]])^2</f>
        <v>2.3647345444383363E-3</v>
      </c>
      <c r="BL1412" s="16">
        <f>(Table1347456[[#This Row],[lnrr]]/Table1347456[[#This Row],[z_from_p]])^2</f>
        <v>2.3647345444383363E-3</v>
      </c>
      <c r="BM1412" s="20">
        <f>SQRT(Table1347456[[#This Row],[v]])</f>
        <v>4.8628536318074969E-2</v>
      </c>
      <c r="BN1412" s="20">
        <f>Table1347456[[#This Row],[lnrr]]-(1.96*Table1347456[[#This Row],[se]])</f>
        <v>-1.751379102007955E-6</v>
      </c>
      <c r="BO1412" s="20">
        <f>Table1347456[[#This Row],[lnrr]]+(1.96 * Table1347456[[#This Row],[se]])</f>
        <v>0.19062211098775189</v>
      </c>
    </row>
    <row r="1413" spans="1:67">
      <c r="A1413" s="13" t="s">
        <v>423</v>
      </c>
      <c r="B1413" s="13" t="s">
        <v>429</v>
      </c>
      <c r="C1413" s="13" t="s">
        <v>43</v>
      </c>
      <c r="D1413" s="13" t="s">
        <v>425</v>
      </c>
      <c r="E1413" s="13" t="s">
        <v>426</v>
      </c>
      <c r="F1413" s="13" t="s">
        <v>586</v>
      </c>
      <c r="G1413" s="13" t="s">
        <v>46</v>
      </c>
      <c r="H1413" s="13">
        <v>27.5</v>
      </c>
      <c r="I1413" s="13" t="s">
        <v>46</v>
      </c>
      <c r="K1413" s="13" t="s">
        <v>949</v>
      </c>
      <c r="L1413" s="13" t="s">
        <v>950</v>
      </c>
      <c r="N1413" s="13" t="s">
        <v>617</v>
      </c>
      <c r="O1413" s="13" t="s">
        <v>54</v>
      </c>
      <c r="P1413" s="13" t="s">
        <v>85</v>
      </c>
      <c r="Q1413" s="13" t="s">
        <v>48</v>
      </c>
      <c r="R1413" s="4">
        <v>4</v>
      </c>
      <c r="S1413" s="13" t="s">
        <v>596</v>
      </c>
      <c r="T1413" s="13">
        <v>55</v>
      </c>
      <c r="U1413" s="4" t="s">
        <v>427</v>
      </c>
      <c r="V1413" s="4">
        <v>500</v>
      </c>
      <c r="W1413" s="4" t="s">
        <v>601</v>
      </c>
      <c r="X1413" s="4">
        <v>746</v>
      </c>
      <c r="Y1413" s="4">
        <v>59.8</v>
      </c>
      <c r="Z1413" s="4" t="s">
        <v>491</v>
      </c>
      <c r="AA1413" s="4" t="s">
        <v>49</v>
      </c>
      <c r="AB1413" s="4">
        <v>0</v>
      </c>
      <c r="AC1413" s="4" t="s">
        <v>50</v>
      </c>
      <c r="AD1413" s="4">
        <v>98.67</v>
      </c>
      <c r="AE1413" s="4" t="s">
        <v>49</v>
      </c>
      <c r="AF1413" s="4">
        <v>0</v>
      </c>
      <c r="AG1413" s="4" t="s">
        <v>46</v>
      </c>
      <c r="AH1413" s="4" t="s">
        <v>676</v>
      </c>
      <c r="AI1413" s="4" t="s">
        <v>64</v>
      </c>
      <c r="AJ1413" s="13">
        <v>0</v>
      </c>
      <c r="AK1413" s="13">
        <v>23</v>
      </c>
      <c r="AL1413" s="13" t="s">
        <v>486</v>
      </c>
      <c r="AM1413" s="13" t="s">
        <v>528</v>
      </c>
      <c r="AO1413" s="13" t="s">
        <v>568</v>
      </c>
      <c r="AP1413" s="13" t="s">
        <v>50</v>
      </c>
      <c r="AQ1413" s="13" t="s">
        <v>49</v>
      </c>
      <c r="AR1413" s="13" t="s">
        <v>50</v>
      </c>
      <c r="AS1413" s="13" t="s">
        <v>49</v>
      </c>
      <c r="AT1413" s="13" t="s">
        <v>993</v>
      </c>
      <c r="AU1413" s="13" t="s">
        <v>1001</v>
      </c>
      <c r="AV1413" s="14">
        <f>0.3/1000</f>
        <v>2.9999999999999997E-4</v>
      </c>
      <c r="AW1413" s="14">
        <f>0.7/1000</f>
        <v>6.9999999999999999E-4</v>
      </c>
      <c r="AX1413" s="14">
        <f>Table1347456[[#This Row],[treatment_mean]]/Table1347456[[#This Row],[control_mean]]</f>
        <v>0.42857142857142855</v>
      </c>
      <c r="AY1413" s="14">
        <f>LN(Table1347456[[#This Row],[rr]])</f>
        <v>-0.84729786038720367</v>
      </c>
      <c r="AZ1413" s="13">
        <v>4</v>
      </c>
      <c r="BA1413" s="13">
        <v>4</v>
      </c>
      <c r="BB1413" s="14">
        <f>0.1/1000</f>
        <v>1E-4</v>
      </c>
      <c r="BC1413" s="14">
        <f>0.2/1000</f>
        <v>2.0000000000000001E-4</v>
      </c>
      <c r="BD1413" s="15">
        <f>Table1347456[[#This Row],[treatment_se]]*SQRT(Table1347456[[#This Row],[treatment_n]])</f>
        <v>2.0000000000000001E-4</v>
      </c>
      <c r="BE1413" s="14">
        <f>Table1347456[[#This Row],[control_se]]*SQRT(Table1347456[[#This Row],[control_n]])</f>
        <v>4.0000000000000002E-4</v>
      </c>
      <c r="BF141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0.19274376417233563</v>
      </c>
      <c r="BG1413" s="17">
        <f>SQRT(Table1347456[[#This Row],[v_from_sd_and_n]])</f>
        <v>0.43902592653775657</v>
      </c>
      <c r="BH1413" s="13" t="s">
        <v>50</v>
      </c>
      <c r="BI1413" s="13">
        <v>0.05</v>
      </c>
      <c r="BJ1413" s="18">
        <f>ABS(_xlfn.NORM.S.INV(Table1347456[[#This Row],[p_value]]/2))</f>
        <v>1.9599639845400538</v>
      </c>
      <c r="BK1413" s="19">
        <f>(Table1347456[[#This Row],[lnrr]]/Table1347456[[#This Row],[z_from_p]])^2</f>
        <v>0.18688568528947849</v>
      </c>
      <c r="BL1413" s="16">
        <f>Table1347456[[#This Row],[v_from_sd_and_n]]</f>
        <v>0.19274376417233563</v>
      </c>
      <c r="BM1413" s="20">
        <f>SQRT(Table1347456[[#This Row],[v]])</f>
        <v>0.43902592653775657</v>
      </c>
      <c r="BN1413" s="20">
        <f>Table1347456[[#This Row],[lnrr]]-(1.96*Table1347456[[#This Row],[se]])</f>
        <v>-1.7077886764012065</v>
      </c>
      <c r="BO1413" s="20">
        <f>Table1347456[[#This Row],[lnrr]]+(1.96 * Table1347456[[#This Row],[se]])</f>
        <v>1.319295562679923E-2</v>
      </c>
    </row>
    <row r="1414" spans="1:67">
      <c r="A1414" s="13" t="s">
        <v>423</v>
      </c>
      <c r="B1414" s="13" t="s">
        <v>429</v>
      </c>
      <c r="C1414" s="13" t="s">
        <v>43</v>
      </c>
      <c r="D1414" s="13" t="s">
        <v>425</v>
      </c>
      <c r="E1414" s="13" t="s">
        <v>426</v>
      </c>
      <c r="F1414" s="13" t="s">
        <v>586</v>
      </c>
      <c r="G1414" s="13" t="s">
        <v>46</v>
      </c>
      <c r="H1414" s="13">
        <v>27.5</v>
      </c>
      <c r="I1414" s="13" t="s">
        <v>46</v>
      </c>
      <c r="K1414" s="13" t="s">
        <v>949</v>
      </c>
      <c r="L1414" s="13" t="s">
        <v>950</v>
      </c>
      <c r="N1414" s="13" t="s">
        <v>617</v>
      </c>
      <c r="O1414" s="13" t="s">
        <v>54</v>
      </c>
      <c r="P1414" s="13" t="s">
        <v>85</v>
      </c>
      <c r="Q1414" s="13" t="s">
        <v>48</v>
      </c>
      <c r="R1414" s="4">
        <v>4</v>
      </c>
      <c r="S1414" s="13" t="s">
        <v>596</v>
      </c>
      <c r="T1414" s="13">
        <v>55</v>
      </c>
      <c r="U1414" s="4" t="s">
        <v>427</v>
      </c>
      <c r="V1414" s="4">
        <v>500</v>
      </c>
      <c r="W1414" s="4" t="s">
        <v>601</v>
      </c>
      <c r="X1414" s="4">
        <v>746</v>
      </c>
      <c r="Y1414" s="4">
        <v>59.8</v>
      </c>
      <c r="Z1414" s="4" t="s">
        <v>491</v>
      </c>
      <c r="AA1414" s="4" t="s">
        <v>49</v>
      </c>
      <c r="AB1414" s="4">
        <v>0</v>
      </c>
      <c r="AC1414" s="4" t="s">
        <v>49</v>
      </c>
      <c r="AD1414" s="4">
        <v>0</v>
      </c>
      <c r="AE1414" s="4" t="s">
        <v>50</v>
      </c>
      <c r="AF1414" s="4" t="s">
        <v>428</v>
      </c>
      <c r="AG1414" s="4" t="s">
        <v>46</v>
      </c>
      <c r="AH1414" s="4" t="s">
        <v>676</v>
      </c>
      <c r="AI1414" s="4" t="s">
        <v>64</v>
      </c>
      <c r="AJ1414" s="13">
        <v>0</v>
      </c>
      <c r="AK1414" s="13">
        <v>23</v>
      </c>
      <c r="AL1414" s="13" t="s">
        <v>486</v>
      </c>
      <c r="AM1414" s="13" t="s">
        <v>528</v>
      </c>
      <c r="AO1414" s="13" t="s">
        <v>568</v>
      </c>
      <c r="AP1414" s="13" t="s">
        <v>50</v>
      </c>
      <c r="AQ1414" s="13" t="s">
        <v>49</v>
      </c>
      <c r="AR1414" s="13" t="s">
        <v>50</v>
      </c>
      <c r="AS1414" s="13" t="s">
        <v>49</v>
      </c>
      <c r="AT1414" s="13" t="s">
        <v>995</v>
      </c>
      <c r="AU1414" s="13" t="s">
        <v>1002</v>
      </c>
      <c r="AV1414" s="14">
        <f>0.3/1000</f>
        <v>2.9999999999999997E-4</v>
      </c>
      <c r="AW1414" s="14">
        <f>0.2/1000</f>
        <v>2.0000000000000001E-4</v>
      </c>
      <c r="AX1414" s="14">
        <f>Table1347456[[#This Row],[treatment_mean]]/Table1347456[[#This Row],[control_mean]]</f>
        <v>1.4999999999999998</v>
      </c>
      <c r="AY1414" s="14">
        <f>LN(Table1347456[[#This Row],[rr]])</f>
        <v>0.40546510810816422</v>
      </c>
      <c r="AZ1414" s="13">
        <v>4</v>
      </c>
      <c r="BA1414" s="13">
        <v>4</v>
      </c>
      <c r="BB1414" s="14">
        <f>0.1/1000</f>
        <v>1E-4</v>
      </c>
      <c r="BC1414" s="14">
        <v>0</v>
      </c>
      <c r="BD1414" s="15">
        <f>Table1347456[[#This Row],[treatment_se]]*SQRT(Table1347456[[#This Row],[treatment_n]])</f>
        <v>2.0000000000000001E-4</v>
      </c>
      <c r="BE1414" s="14">
        <f>Table1347456[[#This Row],[control_se]]*SQRT(Table1347456[[#This Row],[control_n]])</f>
        <v>0</v>
      </c>
      <c r="BF141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0.11111111111111113</v>
      </c>
      <c r="BG1414" s="17">
        <f>SQRT(Table1347456[[#This Row],[v_from_sd_and_n]])</f>
        <v>0.33333333333333337</v>
      </c>
      <c r="BH1414" s="13" t="s">
        <v>50</v>
      </c>
      <c r="BI1414" s="13">
        <v>0.05</v>
      </c>
      <c r="BJ1414" s="18">
        <f>ABS(_xlfn.NORM.S.INV(Table1347456[[#This Row],[p_value]]/2))</f>
        <v>1.9599639845400538</v>
      </c>
      <c r="BK1414" s="19">
        <f>(Table1347456[[#This Row],[lnrr]]/Table1347456[[#This Row],[z_from_p]])^2</f>
        <v>4.2796750288594532E-2</v>
      </c>
      <c r="BL1414" s="16">
        <f>Table1347456[[#This Row],[v_from_sd_and_n]]</f>
        <v>0.11111111111111113</v>
      </c>
      <c r="BM1414" s="20">
        <f>SQRT(Table1347456[[#This Row],[v]])</f>
        <v>0.33333333333333337</v>
      </c>
      <c r="BN1414" s="20">
        <f>Table1347456[[#This Row],[lnrr]]-(1.96*Table1347456[[#This Row],[se]])</f>
        <v>-0.24786822522516921</v>
      </c>
      <c r="BO1414" s="20">
        <f>Table1347456[[#This Row],[lnrr]]+(1.96 * Table1347456[[#This Row],[se]])</f>
        <v>1.0587984414414977</v>
      </c>
    </row>
    <row r="1415" spans="1:67">
      <c r="A1415" s="13" t="s">
        <v>423</v>
      </c>
      <c r="B1415" s="13" t="s">
        <v>424</v>
      </c>
      <c r="C1415" s="13" t="s">
        <v>43</v>
      </c>
      <c r="D1415" s="13" t="s">
        <v>425</v>
      </c>
      <c r="E1415" s="13" t="s">
        <v>426</v>
      </c>
      <c r="F1415" s="13" t="s">
        <v>586</v>
      </c>
      <c r="G1415" s="13" t="s">
        <v>46</v>
      </c>
      <c r="H1415" s="13">
        <v>27.5</v>
      </c>
      <c r="I1415" s="13" t="s">
        <v>46</v>
      </c>
      <c r="K1415" s="13" t="s">
        <v>949</v>
      </c>
      <c r="L1415" s="13" t="s">
        <v>950</v>
      </c>
      <c r="N1415" s="13" t="s">
        <v>53</v>
      </c>
      <c r="O1415" s="13" t="s">
        <v>54</v>
      </c>
      <c r="P1415" s="13" t="s">
        <v>85</v>
      </c>
      <c r="Q1415" s="13" t="s">
        <v>48</v>
      </c>
      <c r="R1415" s="4">
        <v>4</v>
      </c>
      <c r="S1415" s="13" t="s">
        <v>596</v>
      </c>
      <c r="T1415" s="13">
        <v>55</v>
      </c>
      <c r="U1415" s="4" t="s">
        <v>427</v>
      </c>
      <c r="V1415" s="4">
        <v>500</v>
      </c>
      <c r="W1415" s="4" t="s">
        <v>601</v>
      </c>
      <c r="X1415" s="4">
        <v>746</v>
      </c>
      <c r="Y1415" s="4">
        <v>59.8</v>
      </c>
      <c r="Z1415" s="4" t="s">
        <v>491</v>
      </c>
      <c r="AA1415" s="4" t="s">
        <v>49</v>
      </c>
      <c r="AB1415" s="4">
        <v>0</v>
      </c>
      <c r="AC1415" s="4" t="s">
        <v>49</v>
      </c>
      <c r="AD1415" s="4">
        <v>0</v>
      </c>
      <c r="AE1415" s="4" t="s">
        <v>49</v>
      </c>
      <c r="AF1415" s="4">
        <v>0</v>
      </c>
      <c r="AG1415" s="4" t="s">
        <v>46</v>
      </c>
      <c r="AH1415" s="4" t="s">
        <v>676</v>
      </c>
      <c r="AI1415" s="4" t="s">
        <v>64</v>
      </c>
      <c r="AJ1415" s="13">
        <v>0</v>
      </c>
      <c r="AK1415" s="13">
        <v>23</v>
      </c>
      <c r="AL1415" s="13" t="s">
        <v>486</v>
      </c>
      <c r="AM1415" s="13" t="s">
        <v>528</v>
      </c>
      <c r="AO1415" s="13" t="s">
        <v>568</v>
      </c>
      <c r="AP1415" s="13" t="s">
        <v>50</v>
      </c>
      <c r="AQ1415" s="13" t="s">
        <v>49</v>
      </c>
      <c r="AR1415" s="13" t="s">
        <v>50</v>
      </c>
      <c r="AS1415" s="13" t="s">
        <v>49</v>
      </c>
      <c r="AT1415" s="13" t="s">
        <v>990</v>
      </c>
      <c r="AU1415" s="13" t="s">
        <v>998</v>
      </c>
      <c r="AV1415" s="14">
        <f>0.4/1000</f>
        <v>4.0000000000000002E-4</v>
      </c>
      <c r="AW1415" s="14">
        <f>0.7/1000</f>
        <v>6.9999999999999999E-4</v>
      </c>
      <c r="AX1415" s="14">
        <f>Table1347456[[#This Row],[treatment_mean]]/Table1347456[[#This Row],[control_mean]]</f>
        <v>0.57142857142857151</v>
      </c>
      <c r="AY1415" s="14">
        <f>LN(Table1347456[[#This Row],[rr]])</f>
        <v>-0.55961578793542255</v>
      </c>
      <c r="AZ1415" s="13">
        <v>4</v>
      </c>
      <c r="BA1415" s="13">
        <v>4</v>
      </c>
      <c r="BB1415" s="14">
        <f>0.2/1000</f>
        <v>2.0000000000000001E-4</v>
      </c>
      <c r="BC1415" s="14">
        <f>0.1/1000</f>
        <v>1E-4</v>
      </c>
      <c r="BD1415" s="15">
        <f>Table1347456[[#This Row],[treatment_se]]*SQRT(Table1347456[[#This Row],[treatment_n]])</f>
        <v>4.0000000000000002E-4</v>
      </c>
      <c r="BE1415" s="14">
        <f>Table1347456[[#This Row],[control_se]]*SQRT(Table1347456[[#This Row],[control_n]])</f>
        <v>2.0000000000000001E-4</v>
      </c>
      <c r="BF141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0.27040816326530615</v>
      </c>
      <c r="BG1415" s="17">
        <f>SQRT(Table1347456[[#This Row],[v_from_sd_and_n]])</f>
        <v>0.52000784923432275</v>
      </c>
      <c r="BH1415" s="13" t="s">
        <v>50</v>
      </c>
      <c r="BI1415" s="13">
        <v>0.05</v>
      </c>
      <c r="BJ1415" s="18">
        <f>ABS(_xlfn.NORM.S.INV(Table1347456[[#This Row],[p_value]]/2))</f>
        <v>1.9599639845400538</v>
      </c>
      <c r="BK1415" s="19">
        <f>(Table1347456[[#This Row],[lnrr]]/Table1347456[[#This Row],[z_from_p]])^2</f>
        <v>8.1523672314153875E-2</v>
      </c>
      <c r="BL1415" s="16">
        <f>Table1347456[[#This Row],[v_from_sd_and_n]]</f>
        <v>0.27040816326530615</v>
      </c>
      <c r="BM1415" s="20">
        <f>SQRT(Table1347456[[#This Row],[v]])</f>
        <v>0.52000784923432275</v>
      </c>
      <c r="BN1415" s="20">
        <f>Table1347456[[#This Row],[lnrr]]-(1.96*Table1347456[[#This Row],[se]])</f>
        <v>-1.5788311724346951</v>
      </c>
      <c r="BO1415" s="20">
        <f>Table1347456[[#This Row],[lnrr]]+(1.96 * Table1347456[[#This Row],[se]])</f>
        <v>0.45959959656385008</v>
      </c>
    </row>
    <row r="1416" spans="1:67">
      <c r="A1416" s="13" t="s">
        <v>423</v>
      </c>
      <c r="B1416" s="13" t="s">
        <v>424</v>
      </c>
      <c r="C1416" s="13" t="s">
        <v>43</v>
      </c>
      <c r="D1416" s="13" t="s">
        <v>425</v>
      </c>
      <c r="E1416" s="13" t="s">
        <v>426</v>
      </c>
      <c r="F1416" s="13" t="s">
        <v>586</v>
      </c>
      <c r="G1416" s="13" t="s">
        <v>46</v>
      </c>
      <c r="H1416" s="13">
        <v>27.5</v>
      </c>
      <c r="I1416" s="13" t="s">
        <v>46</v>
      </c>
      <c r="K1416" s="13" t="s">
        <v>949</v>
      </c>
      <c r="L1416" s="13" t="s">
        <v>950</v>
      </c>
      <c r="N1416" s="13" t="s">
        <v>53</v>
      </c>
      <c r="O1416" s="13" t="s">
        <v>54</v>
      </c>
      <c r="P1416" s="13" t="s">
        <v>85</v>
      </c>
      <c r="Q1416" s="13" t="s">
        <v>48</v>
      </c>
      <c r="R1416" s="4">
        <v>4</v>
      </c>
      <c r="S1416" s="13" t="s">
        <v>596</v>
      </c>
      <c r="T1416" s="13">
        <v>55</v>
      </c>
      <c r="U1416" s="4" t="s">
        <v>427</v>
      </c>
      <c r="V1416" s="4">
        <v>500</v>
      </c>
      <c r="W1416" s="4" t="s">
        <v>601</v>
      </c>
      <c r="X1416" s="4">
        <v>746</v>
      </c>
      <c r="Y1416" s="4">
        <v>59.8</v>
      </c>
      <c r="Z1416" s="4" t="s">
        <v>491</v>
      </c>
      <c r="AA1416" s="4" t="s">
        <v>50</v>
      </c>
      <c r="AB1416" s="4">
        <v>292</v>
      </c>
      <c r="AC1416" s="4" t="s">
        <v>49</v>
      </c>
      <c r="AD1416" s="4">
        <v>0</v>
      </c>
      <c r="AE1416" s="4" t="s">
        <v>49</v>
      </c>
      <c r="AF1416" s="4">
        <v>0</v>
      </c>
      <c r="AG1416" s="4" t="s">
        <v>46</v>
      </c>
      <c r="AH1416" s="4" t="s">
        <v>676</v>
      </c>
      <c r="AI1416" s="4" t="s">
        <v>64</v>
      </c>
      <c r="AJ1416" s="13">
        <v>0</v>
      </c>
      <c r="AK1416" s="13">
        <v>23</v>
      </c>
      <c r="AL1416" s="13" t="s">
        <v>486</v>
      </c>
      <c r="AM1416" s="13" t="s">
        <v>528</v>
      </c>
      <c r="AO1416" s="13" t="s">
        <v>568</v>
      </c>
      <c r="AP1416" s="13" t="s">
        <v>50</v>
      </c>
      <c r="AQ1416" s="13" t="s">
        <v>49</v>
      </c>
      <c r="AR1416" s="13" t="s">
        <v>50</v>
      </c>
      <c r="AS1416" s="13" t="s">
        <v>49</v>
      </c>
      <c r="AT1416" s="13" t="s">
        <v>992</v>
      </c>
      <c r="AU1416" s="4" t="s">
        <v>1000</v>
      </c>
      <c r="AV1416" s="14">
        <f>0.6/1000</f>
        <v>5.9999999999999995E-4</v>
      </c>
      <c r="AW1416" s="14">
        <f>0.9/1000</f>
        <v>8.9999999999999998E-4</v>
      </c>
      <c r="AX1416" s="14">
        <f>Table1347456[[#This Row],[treatment_mean]]/Table1347456[[#This Row],[control_mean]]</f>
        <v>0.66666666666666663</v>
      </c>
      <c r="AY1416" s="14">
        <f>LN(Table1347456[[#This Row],[rr]])</f>
        <v>-0.40546510810816444</v>
      </c>
      <c r="AZ1416" s="13">
        <v>4</v>
      </c>
      <c r="BA1416" s="13">
        <v>4</v>
      </c>
      <c r="BB1416" s="14">
        <f>0.2/1000</f>
        <v>2.0000000000000001E-4</v>
      </c>
      <c r="BC1416" s="14">
        <f>0.1/1000</f>
        <v>1E-4</v>
      </c>
      <c r="BD1416" s="15">
        <f>Table1347456[[#This Row],[treatment_se]]*SQRT(Table1347456[[#This Row],[treatment_n]])</f>
        <v>4.0000000000000002E-4</v>
      </c>
      <c r="BE1416" s="14">
        <f>Table1347456[[#This Row],[control_se]]*SQRT(Table1347456[[#This Row],[control_n]])</f>
        <v>2.0000000000000001E-4</v>
      </c>
      <c r="BF141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0.12345679012345681</v>
      </c>
      <c r="BG1416" s="17">
        <f>SQRT(Table1347456[[#This Row],[v_from_sd_and_n]])</f>
        <v>0.35136418446315326</v>
      </c>
      <c r="BH1416" s="13" t="s">
        <v>50</v>
      </c>
      <c r="BI1416" s="13">
        <v>0.05</v>
      </c>
      <c r="BJ1416" s="18">
        <f>ABS(_xlfn.NORM.S.INV(Table1347456[[#This Row],[p_value]]/2))</f>
        <v>1.9599639845400538</v>
      </c>
      <c r="BK1416" s="19">
        <f>(Table1347456[[#This Row],[lnrr]]/Table1347456[[#This Row],[z_from_p]])^2</f>
        <v>4.2796750288594587E-2</v>
      </c>
      <c r="BL1416" s="16">
        <f>Table1347456[[#This Row],[v_from_sd_and_n]]</f>
        <v>0.12345679012345681</v>
      </c>
      <c r="BM1416" s="20">
        <f>SQRT(Table1347456[[#This Row],[v]])</f>
        <v>0.35136418446315326</v>
      </c>
      <c r="BN1416" s="20">
        <f>Table1347456[[#This Row],[lnrr]]-(1.96*Table1347456[[#This Row],[se]])</f>
        <v>-1.0941389096559448</v>
      </c>
      <c r="BO1416" s="20">
        <f>Table1347456[[#This Row],[lnrr]]+(1.96 * Table1347456[[#This Row],[se]])</f>
        <v>0.28320869343961591</v>
      </c>
    </row>
    <row r="1417" spans="1:67">
      <c r="A1417" s="13" t="s">
        <v>423</v>
      </c>
      <c r="B1417" s="13" t="s">
        <v>424</v>
      </c>
      <c r="C1417" s="13" t="s">
        <v>43</v>
      </c>
      <c r="D1417" s="13" t="s">
        <v>425</v>
      </c>
      <c r="E1417" s="13" t="s">
        <v>426</v>
      </c>
      <c r="F1417" s="13" t="s">
        <v>586</v>
      </c>
      <c r="G1417" s="13" t="s">
        <v>46</v>
      </c>
      <c r="H1417" s="13">
        <v>27.5</v>
      </c>
      <c r="I1417" s="13" t="s">
        <v>46</v>
      </c>
      <c r="K1417" s="13" t="s">
        <v>949</v>
      </c>
      <c r="L1417" s="13" t="s">
        <v>950</v>
      </c>
      <c r="N1417" s="13" t="s">
        <v>53</v>
      </c>
      <c r="O1417" s="13" t="s">
        <v>54</v>
      </c>
      <c r="P1417" s="13" t="s">
        <v>85</v>
      </c>
      <c r="Q1417" s="13" t="s">
        <v>48</v>
      </c>
      <c r="R1417" s="4">
        <v>4</v>
      </c>
      <c r="S1417" s="13" t="s">
        <v>596</v>
      </c>
      <c r="T1417" s="13">
        <v>55</v>
      </c>
      <c r="U1417" s="4" t="s">
        <v>427</v>
      </c>
      <c r="V1417" s="4">
        <v>500</v>
      </c>
      <c r="W1417" s="4" t="s">
        <v>601</v>
      </c>
      <c r="X1417" s="4">
        <v>746</v>
      </c>
      <c r="Y1417" s="4">
        <v>59.8</v>
      </c>
      <c r="Z1417" s="4" t="s">
        <v>491</v>
      </c>
      <c r="AA1417" s="4" t="s">
        <v>49</v>
      </c>
      <c r="AB1417" s="4">
        <v>0</v>
      </c>
      <c r="AC1417" s="4" t="s">
        <v>50</v>
      </c>
      <c r="AD1417" s="4">
        <v>98.67</v>
      </c>
      <c r="AE1417" s="4" t="s">
        <v>49</v>
      </c>
      <c r="AF1417" s="4">
        <v>0</v>
      </c>
      <c r="AG1417" s="4" t="s">
        <v>46</v>
      </c>
      <c r="AH1417" s="4" t="s">
        <v>676</v>
      </c>
      <c r="AI1417" s="4" t="s">
        <v>64</v>
      </c>
      <c r="AJ1417" s="13">
        <v>0</v>
      </c>
      <c r="AK1417" s="13">
        <v>23</v>
      </c>
      <c r="AL1417" s="13" t="s">
        <v>486</v>
      </c>
      <c r="AM1417" s="13" t="s">
        <v>528</v>
      </c>
      <c r="AO1417" s="13" t="s">
        <v>568</v>
      </c>
      <c r="AP1417" s="13" t="s">
        <v>50</v>
      </c>
      <c r="AQ1417" s="13" t="s">
        <v>49</v>
      </c>
      <c r="AR1417" s="13" t="s">
        <v>50</v>
      </c>
      <c r="AS1417" s="13" t="s">
        <v>49</v>
      </c>
      <c r="AT1417" s="13" t="s">
        <v>993</v>
      </c>
      <c r="AU1417" s="13" t="s">
        <v>1001</v>
      </c>
      <c r="AV1417" s="14">
        <f>0.7/1000</f>
        <v>6.9999999999999999E-4</v>
      </c>
      <c r="AW1417" s="14">
        <f>0.4/1000</f>
        <v>4.0000000000000002E-4</v>
      </c>
      <c r="AX1417" s="14">
        <f>Table1347456[[#This Row],[treatment_mean]]/Table1347456[[#This Row],[control_mean]]</f>
        <v>1.75</v>
      </c>
      <c r="AY1417" s="14">
        <f>LN(Table1347456[[#This Row],[rr]])</f>
        <v>0.55961578793542266</v>
      </c>
      <c r="AZ1417" s="13">
        <v>4</v>
      </c>
      <c r="BA1417" s="13">
        <v>4</v>
      </c>
      <c r="BB1417" s="14">
        <f>0.3/1000</f>
        <v>2.9999999999999997E-4</v>
      </c>
      <c r="BC1417" s="14">
        <f>0.1/1000</f>
        <v>1E-4</v>
      </c>
      <c r="BD1417" s="15">
        <f>Table1347456[[#This Row],[treatment_se]]*SQRT(Table1347456[[#This Row],[treatment_n]])</f>
        <v>5.9999999999999995E-4</v>
      </c>
      <c r="BE1417" s="14">
        <f>Table1347456[[#This Row],[control_se]]*SQRT(Table1347456[[#This Row],[control_n]])</f>
        <v>2.0000000000000001E-4</v>
      </c>
      <c r="BF141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0.24617346938775508</v>
      </c>
      <c r="BG1417" s="17">
        <f>SQRT(Table1347456[[#This Row],[v_from_sd_and_n]])</f>
        <v>0.49615871390892158</v>
      </c>
      <c r="BH1417" s="13" t="s">
        <v>50</v>
      </c>
      <c r="BI1417" s="13">
        <v>0.05</v>
      </c>
      <c r="BJ1417" s="18">
        <f>ABS(_xlfn.NORM.S.INV(Table1347456[[#This Row],[p_value]]/2))</f>
        <v>1.9599639845400538</v>
      </c>
      <c r="BK1417" s="19">
        <f>(Table1347456[[#This Row],[lnrr]]/Table1347456[[#This Row],[z_from_p]])^2</f>
        <v>8.1523672314153917E-2</v>
      </c>
      <c r="BL1417" s="16">
        <f>Table1347456[[#This Row],[v_from_sd_and_n]]</f>
        <v>0.24617346938775508</v>
      </c>
      <c r="BM1417" s="20">
        <f>SQRT(Table1347456[[#This Row],[v]])</f>
        <v>0.49615871390892158</v>
      </c>
      <c r="BN1417" s="20">
        <f>Table1347456[[#This Row],[lnrr]]-(1.96*Table1347456[[#This Row],[se]])</f>
        <v>-0.41285529132606358</v>
      </c>
      <c r="BO1417" s="20">
        <f>Table1347456[[#This Row],[lnrr]]+(1.96 * Table1347456[[#This Row],[se]])</f>
        <v>1.532086867196909</v>
      </c>
    </row>
    <row r="1418" spans="1:67">
      <c r="A1418" s="13" t="s">
        <v>423</v>
      </c>
      <c r="B1418" s="13" t="s">
        <v>424</v>
      </c>
      <c r="C1418" s="13" t="s">
        <v>43</v>
      </c>
      <c r="D1418" s="13" t="s">
        <v>425</v>
      </c>
      <c r="E1418" s="13" t="s">
        <v>426</v>
      </c>
      <c r="F1418" s="13" t="s">
        <v>586</v>
      </c>
      <c r="G1418" s="13" t="s">
        <v>46</v>
      </c>
      <c r="H1418" s="13">
        <v>27.5</v>
      </c>
      <c r="I1418" s="13" t="s">
        <v>46</v>
      </c>
      <c r="K1418" s="13" t="s">
        <v>949</v>
      </c>
      <c r="L1418" s="13" t="s">
        <v>950</v>
      </c>
      <c r="N1418" s="13" t="s">
        <v>53</v>
      </c>
      <c r="O1418" s="13" t="s">
        <v>54</v>
      </c>
      <c r="P1418" s="13" t="s">
        <v>85</v>
      </c>
      <c r="Q1418" s="13" t="s">
        <v>48</v>
      </c>
      <c r="R1418" s="4">
        <v>4</v>
      </c>
      <c r="S1418" s="13" t="s">
        <v>596</v>
      </c>
      <c r="T1418" s="13">
        <v>55</v>
      </c>
      <c r="U1418" s="4" t="s">
        <v>427</v>
      </c>
      <c r="V1418" s="4">
        <v>500</v>
      </c>
      <c r="W1418" s="4" t="s">
        <v>601</v>
      </c>
      <c r="X1418" s="4">
        <v>746</v>
      </c>
      <c r="Y1418" s="4">
        <v>59.8</v>
      </c>
      <c r="Z1418" s="4" t="s">
        <v>491</v>
      </c>
      <c r="AA1418" s="4" t="s">
        <v>49</v>
      </c>
      <c r="AB1418" s="4">
        <v>0</v>
      </c>
      <c r="AC1418" s="4" t="s">
        <v>49</v>
      </c>
      <c r="AD1418" s="4">
        <v>0</v>
      </c>
      <c r="AE1418" s="4" t="s">
        <v>50</v>
      </c>
      <c r="AF1418" s="4" t="s">
        <v>428</v>
      </c>
      <c r="AG1418" s="4" t="s">
        <v>46</v>
      </c>
      <c r="AH1418" s="4" t="s">
        <v>676</v>
      </c>
      <c r="AI1418" s="4" t="s">
        <v>64</v>
      </c>
      <c r="AJ1418" s="13">
        <v>0</v>
      </c>
      <c r="AK1418" s="13">
        <v>23</v>
      </c>
      <c r="AL1418" s="13" t="s">
        <v>486</v>
      </c>
      <c r="AM1418" s="13" t="s">
        <v>528</v>
      </c>
      <c r="AO1418" s="13" t="s">
        <v>568</v>
      </c>
      <c r="AP1418" s="13" t="s">
        <v>50</v>
      </c>
      <c r="AQ1418" s="13" t="s">
        <v>49</v>
      </c>
      <c r="AR1418" s="13" t="s">
        <v>50</v>
      </c>
      <c r="AS1418" s="13" t="s">
        <v>49</v>
      </c>
      <c r="AT1418" s="13" t="s">
        <v>995</v>
      </c>
      <c r="AU1418" s="13" t="s">
        <v>1002</v>
      </c>
      <c r="AV1418" s="14">
        <f>0.9/1000</f>
        <v>8.9999999999999998E-4</v>
      </c>
      <c r="AW1418" s="14">
        <f>0.9/1000</f>
        <v>8.9999999999999998E-4</v>
      </c>
      <c r="AX1418" s="14">
        <f>Table1347456[[#This Row],[treatment_mean]]/Table1347456[[#This Row],[control_mean]]</f>
        <v>1</v>
      </c>
      <c r="AY1418" s="14">
        <f>LN(Table1347456[[#This Row],[rr]])</f>
        <v>0</v>
      </c>
      <c r="AZ1418" s="13">
        <v>4</v>
      </c>
      <c r="BA1418" s="13">
        <v>4</v>
      </c>
      <c r="BB1418" s="14">
        <f>0.2/1000</f>
        <v>2.0000000000000001E-4</v>
      </c>
      <c r="BC1418" s="14">
        <f>0.1/1000</f>
        <v>1E-4</v>
      </c>
      <c r="BD1418" s="15">
        <f>Table1347456[[#This Row],[treatment_se]]*SQRT(Table1347456[[#This Row],[treatment_n]])</f>
        <v>4.0000000000000002E-4</v>
      </c>
      <c r="BE1418" s="14">
        <f>Table1347456[[#This Row],[control_se]]*SQRT(Table1347456[[#This Row],[control_n]])</f>
        <v>2.0000000000000001E-4</v>
      </c>
      <c r="BF141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6.1728395061728399E-2</v>
      </c>
      <c r="BG1418" s="17">
        <f>SQRT(Table1347456[[#This Row],[v_from_sd_and_n]])</f>
        <v>0.24845199749997665</v>
      </c>
      <c r="BH1418" s="13" t="s">
        <v>50</v>
      </c>
      <c r="BI1418" s="13">
        <v>0.05</v>
      </c>
      <c r="BJ1418" s="18">
        <f>ABS(_xlfn.NORM.S.INV(Table1347456[[#This Row],[p_value]]/2))</f>
        <v>1.9599639845400538</v>
      </c>
      <c r="BK1418" s="19">
        <f>(Table1347456[[#This Row],[lnrr]]/Table1347456[[#This Row],[z_from_p]])^2</f>
        <v>0</v>
      </c>
      <c r="BL1418" s="16">
        <f>Table1347456[[#This Row],[v_from_sd_and_n]]</f>
        <v>6.1728395061728399E-2</v>
      </c>
      <c r="BM1418" s="20">
        <f>SQRT(Table1347456[[#This Row],[v]])</f>
        <v>0.24845199749997665</v>
      </c>
      <c r="BN1418" s="20">
        <f>Table1347456[[#This Row],[lnrr]]-(1.96*Table1347456[[#This Row],[se]])</f>
        <v>-0.48696591509995424</v>
      </c>
      <c r="BO1418" s="20">
        <f>Table1347456[[#This Row],[lnrr]]+(1.96 * Table1347456[[#This Row],[se]])</f>
        <v>0.48696591509995424</v>
      </c>
    </row>
    <row r="1419" spans="1:67">
      <c r="A1419" s="13" t="s">
        <v>430</v>
      </c>
      <c r="B1419" s="13" t="s">
        <v>431</v>
      </c>
      <c r="C1419" s="13" t="s">
        <v>43</v>
      </c>
      <c r="D1419" s="13" t="s">
        <v>432</v>
      </c>
      <c r="E1419" s="13" t="s">
        <v>97</v>
      </c>
      <c r="F1419" s="13" t="s">
        <v>588</v>
      </c>
      <c r="G1419" s="13" t="s">
        <v>46</v>
      </c>
      <c r="H1419" s="13">
        <v>26.35</v>
      </c>
      <c r="I1419" s="13">
        <v>195</v>
      </c>
      <c r="K1419" s="13" t="s">
        <v>951</v>
      </c>
      <c r="L1419" s="13" t="s">
        <v>952</v>
      </c>
      <c r="N1419" s="13" t="s">
        <v>47</v>
      </c>
      <c r="O1419" s="13" t="s">
        <v>645</v>
      </c>
      <c r="P1419" s="13" t="s">
        <v>422</v>
      </c>
      <c r="Q1419" s="13" t="s">
        <v>48</v>
      </c>
      <c r="R1419" s="4">
        <v>3</v>
      </c>
      <c r="S1419" s="13" t="s">
        <v>594</v>
      </c>
      <c r="T1419" s="13">
        <v>730</v>
      </c>
      <c r="U1419" s="4" t="s">
        <v>173</v>
      </c>
      <c r="V1419" s="4" t="s">
        <v>46</v>
      </c>
      <c r="W1419" s="4" t="s">
        <v>46</v>
      </c>
      <c r="X1419" s="4" t="s">
        <v>46</v>
      </c>
      <c r="Y1419" s="4">
        <v>5</v>
      </c>
      <c r="AA1419" s="4" t="s">
        <v>49</v>
      </c>
      <c r="AB1419" s="4">
        <v>0</v>
      </c>
      <c r="AC1419" s="4" t="s">
        <v>49</v>
      </c>
      <c r="AD1419" s="4">
        <v>0</v>
      </c>
      <c r="AE1419" s="4" t="s">
        <v>49</v>
      </c>
      <c r="AF1419" s="4">
        <v>0</v>
      </c>
      <c r="AG1419" s="4" t="s">
        <v>741</v>
      </c>
      <c r="AH1419" s="4" t="s">
        <v>740</v>
      </c>
      <c r="AI1419" s="4" t="s">
        <v>64</v>
      </c>
      <c r="AJ1419" s="13">
        <v>0</v>
      </c>
      <c r="AK1419" s="13">
        <v>15</v>
      </c>
      <c r="AM1419" s="13" t="s">
        <v>569</v>
      </c>
      <c r="AP1419" s="13" t="s">
        <v>49</v>
      </c>
      <c r="AQ1419" s="13" t="s">
        <v>49</v>
      </c>
      <c r="AR1419" s="13" t="s">
        <v>49</v>
      </c>
      <c r="AS1419" s="13" t="s">
        <v>49</v>
      </c>
      <c r="AT1419" s="13" t="s">
        <v>990</v>
      </c>
      <c r="AU1419" s="13" t="s">
        <v>998</v>
      </c>
      <c r="AV1419" s="14">
        <f>0.13*10</f>
        <v>1.3</v>
      </c>
      <c r="AW1419" s="14">
        <f>0.09*10</f>
        <v>0.89999999999999991</v>
      </c>
      <c r="AX1419" s="14">
        <f>Table1347456[[#This Row],[treatment_mean]]/Table1347456[[#This Row],[control_mean]]</f>
        <v>1.4444444444444446</v>
      </c>
      <c r="AY1419" s="14">
        <f>LN(Table1347456[[#This Row],[rr]])</f>
        <v>0.36772478012531751</v>
      </c>
      <c r="AZ1419" s="13">
        <v>3</v>
      </c>
      <c r="BA1419" s="13">
        <v>3</v>
      </c>
      <c r="BB1419" s="14">
        <v>0</v>
      </c>
      <c r="BC1419" s="14">
        <v>0</v>
      </c>
      <c r="BD1419" s="15">
        <f>Table1347456[[#This Row],[treatment_se]]*SQRT(Table1347456[[#This Row],[treatment_n]])</f>
        <v>0</v>
      </c>
      <c r="BE1419" s="14">
        <f>Table1347456[[#This Row],[control_se]]*SQRT(Table1347456[[#This Row],[control_n]])</f>
        <v>0</v>
      </c>
      <c r="BF141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19" s="17">
        <f>SQRT(Table1347456[[#This Row],[v_from_sd_and_n]])</f>
        <v>0</v>
      </c>
      <c r="BH1419" s="13" t="s">
        <v>49</v>
      </c>
      <c r="BI1419" s="13">
        <v>0.05</v>
      </c>
      <c r="BJ1419" s="18">
        <f>ABS(_xlfn.NORM.S.INV(Table1347456[[#This Row],[p_value]]/2))</f>
        <v>1.9599639845400538</v>
      </c>
      <c r="BK1419" s="19">
        <f>(Table1347456[[#This Row],[lnrr]]/Table1347456[[#This Row],[z_from_p]])^2</f>
        <v>3.5200563179219387E-2</v>
      </c>
      <c r="BL1419" s="16">
        <f>(Table1347456[[#This Row],[lnrr]]/Table1347456[[#This Row],[z_from_p]])^2</f>
        <v>3.5200563179219387E-2</v>
      </c>
      <c r="BM1419" s="20">
        <f>SQRT(Table1347456[[#This Row],[v]])</f>
        <v>0.18761813126459656</v>
      </c>
      <c r="BN1419" s="20">
        <f>Table1347456[[#This Row],[lnrr]]-(1.96*Table1347456[[#This Row],[se]])</f>
        <v>-6.7571532917365396E-6</v>
      </c>
      <c r="BO1419" s="20">
        <f>Table1347456[[#This Row],[lnrr]]+(1.96 * Table1347456[[#This Row],[se]])</f>
        <v>0.73545631740392681</v>
      </c>
    </row>
    <row r="1420" spans="1:67">
      <c r="A1420" s="13" t="s">
        <v>430</v>
      </c>
      <c r="B1420" s="13" t="s">
        <v>431</v>
      </c>
      <c r="C1420" s="13" t="s">
        <v>43</v>
      </c>
      <c r="D1420" s="13" t="s">
        <v>432</v>
      </c>
      <c r="E1420" s="13" t="s">
        <v>97</v>
      </c>
      <c r="F1420" s="13" t="s">
        <v>588</v>
      </c>
      <c r="G1420" s="13" t="s">
        <v>46</v>
      </c>
      <c r="H1420" s="13">
        <v>26.35</v>
      </c>
      <c r="I1420" s="13">
        <v>195</v>
      </c>
      <c r="K1420" s="13" t="s">
        <v>951</v>
      </c>
      <c r="L1420" s="13" t="s">
        <v>952</v>
      </c>
      <c r="N1420" s="13" t="s">
        <v>47</v>
      </c>
      <c r="O1420" s="13" t="s">
        <v>645</v>
      </c>
      <c r="P1420" s="13" t="s">
        <v>422</v>
      </c>
      <c r="Q1420" s="13" t="s">
        <v>48</v>
      </c>
      <c r="R1420" s="4">
        <v>3</v>
      </c>
      <c r="S1420" s="13" t="s">
        <v>594</v>
      </c>
      <c r="T1420" s="13">
        <v>730</v>
      </c>
      <c r="U1420" s="4" t="s">
        <v>173</v>
      </c>
      <c r="V1420" s="4" t="s">
        <v>46</v>
      </c>
      <c r="W1420" s="4" t="s">
        <v>46</v>
      </c>
      <c r="X1420" s="4" t="s">
        <v>46</v>
      </c>
      <c r="Y1420" s="4">
        <v>10</v>
      </c>
      <c r="AA1420" s="4" t="s">
        <v>49</v>
      </c>
      <c r="AB1420" s="4">
        <v>0</v>
      </c>
      <c r="AC1420" s="4" t="s">
        <v>49</v>
      </c>
      <c r="AD1420" s="4">
        <v>0</v>
      </c>
      <c r="AE1420" s="4" t="s">
        <v>49</v>
      </c>
      <c r="AF1420" s="4">
        <v>0</v>
      </c>
      <c r="AG1420" s="4" t="s">
        <v>741</v>
      </c>
      <c r="AH1420" s="4" t="s">
        <v>740</v>
      </c>
      <c r="AI1420" s="4" t="s">
        <v>64</v>
      </c>
      <c r="AJ1420" s="13">
        <v>0</v>
      </c>
      <c r="AK1420" s="13">
        <v>15</v>
      </c>
      <c r="AM1420" s="13" t="s">
        <v>569</v>
      </c>
      <c r="AP1420" s="13" t="s">
        <v>49</v>
      </c>
      <c r="AQ1420" s="13" t="s">
        <v>49</v>
      </c>
      <c r="AR1420" s="13" t="s">
        <v>49</v>
      </c>
      <c r="AS1420" s="13" t="s">
        <v>49</v>
      </c>
      <c r="AT1420" s="13" t="s">
        <v>990</v>
      </c>
      <c r="AU1420" s="13" t="s">
        <v>998</v>
      </c>
      <c r="AV1420" s="14">
        <f>0.15*10</f>
        <v>1.5</v>
      </c>
      <c r="AW1420" s="14">
        <f>0.09*10</f>
        <v>0.89999999999999991</v>
      </c>
      <c r="AX1420" s="14">
        <f>Table1347456[[#This Row],[treatment_mean]]/Table1347456[[#This Row],[control_mean]]</f>
        <v>1.6666666666666667</v>
      </c>
      <c r="AY1420" s="14">
        <f>LN(Table1347456[[#This Row],[rr]])</f>
        <v>0.51082562376599072</v>
      </c>
      <c r="AZ1420" s="13">
        <v>3</v>
      </c>
      <c r="BA1420" s="13">
        <v>3</v>
      </c>
      <c r="BB1420" s="14">
        <v>0</v>
      </c>
      <c r="BC1420" s="14">
        <v>0</v>
      </c>
      <c r="BD1420" s="15">
        <f>Table1347456[[#This Row],[treatment_se]]*SQRT(Table1347456[[#This Row],[treatment_n]])</f>
        <v>0</v>
      </c>
      <c r="BE1420" s="14">
        <f>Table1347456[[#This Row],[control_se]]*SQRT(Table1347456[[#This Row],[control_n]])</f>
        <v>0</v>
      </c>
      <c r="BF142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20" s="17">
        <f>SQRT(Table1347456[[#This Row],[v_from_sd_and_n]])</f>
        <v>0</v>
      </c>
      <c r="BH1420" s="13" t="s">
        <v>49</v>
      </c>
      <c r="BI1420" s="13">
        <v>0.05</v>
      </c>
      <c r="BJ1420" s="18">
        <f>ABS(_xlfn.NORM.S.INV(Table1347456[[#This Row],[p_value]]/2))</f>
        <v>1.9599639845400538</v>
      </c>
      <c r="BK1420" s="19">
        <f>(Table1347456[[#This Row],[lnrr]]/Table1347456[[#This Row],[z_from_p]])^2</f>
        <v>6.792805287673577E-2</v>
      </c>
      <c r="BL1420" s="16">
        <f>(Table1347456[[#This Row],[lnrr]]/Table1347456[[#This Row],[z_from_p]])^2</f>
        <v>6.792805287673577E-2</v>
      </c>
      <c r="BM1420" s="20">
        <f>SQRT(Table1347456[[#This Row],[v]])</f>
        <v>0.26063010738733883</v>
      </c>
      <c r="BN1420" s="20">
        <f>Table1347456[[#This Row],[lnrr]]-(1.96*Table1347456[[#This Row],[se]])</f>
        <v>-9.3867131933933479E-6</v>
      </c>
      <c r="BO1420" s="20">
        <f>Table1347456[[#This Row],[lnrr]]+(1.96 * Table1347456[[#This Row],[se]])</f>
        <v>1.0216606342451748</v>
      </c>
    </row>
    <row r="1421" spans="1:67">
      <c r="A1421" s="13" t="s">
        <v>430</v>
      </c>
      <c r="B1421" s="13" t="s">
        <v>431</v>
      </c>
      <c r="C1421" s="13" t="s">
        <v>43</v>
      </c>
      <c r="D1421" s="13" t="s">
        <v>432</v>
      </c>
      <c r="E1421" s="13" t="s">
        <v>97</v>
      </c>
      <c r="F1421" s="13" t="s">
        <v>588</v>
      </c>
      <c r="G1421" s="13" t="s">
        <v>46</v>
      </c>
      <c r="H1421" s="13">
        <v>26.35</v>
      </c>
      <c r="I1421" s="13">
        <v>195</v>
      </c>
      <c r="J1421" s="13" t="s">
        <v>656</v>
      </c>
      <c r="K1421" s="13" t="s">
        <v>951</v>
      </c>
      <c r="L1421" s="13" t="s">
        <v>952</v>
      </c>
      <c r="M1421" s="13" t="s">
        <v>803</v>
      </c>
      <c r="N1421" s="13" t="s">
        <v>317</v>
      </c>
      <c r="O1421" s="13" t="s">
        <v>644</v>
      </c>
      <c r="P1421" s="13" t="s">
        <v>512</v>
      </c>
      <c r="Q1421" s="13" t="s">
        <v>48</v>
      </c>
      <c r="R1421" s="4">
        <v>3</v>
      </c>
      <c r="S1421" s="13" t="s">
        <v>594</v>
      </c>
      <c r="T1421" s="13">
        <v>730</v>
      </c>
      <c r="U1421" s="4" t="s">
        <v>173</v>
      </c>
      <c r="V1421" s="4" t="s">
        <v>46</v>
      </c>
      <c r="W1421" s="4" t="s">
        <v>46</v>
      </c>
      <c r="X1421" s="4" t="s">
        <v>46</v>
      </c>
      <c r="Y1421" s="4">
        <v>5</v>
      </c>
      <c r="AA1421" s="4" t="s">
        <v>49</v>
      </c>
      <c r="AB1421" s="4">
        <v>0</v>
      </c>
      <c r="AC1421" s="4" t="s">
        <v>49</v>
      </c>
      <c r="AD1421" s="4">
        <v>0</v>
      </c>
      <c r="AE1421" s="4" t="s">
        <v>49</v>
      </c>
      <c r="AF1421" s="4">
        <v>0</v>
      </c>
      <c r="AG1421" s="4" t="s">
        <v>741</v>
      </c>
      <c r="AH1421" s="4" t="s">
        <v>740</v>
      </c>
      <c r="AI1421" s="4" t="s">
        <v>64</v>
      </c>
      <c r="AJ1421" s="13">
        <v>0</v>
      </c>
      <c r="AK1421" s="13">
        <v>15</v>
      </c>
      <c r="AM1421" s="13" t="s">
        <v>569</v>
      </c>
      <c r="AP1421" s="13" t="s">
        <v>49</v>
      </c>
      <c r="AQ1421" s="13" t="s">
        <v>49</v>
      </c>
      <c r="AR1421" s="13" t="s">
        <v>49</v>
      </c>
      <c r="AS1421" s="13" t="s">
        <v>49</v>
      </c>
      <c r="AT1421" s="13" t="s">
        <v>990</v>
      </c>
      <c r="AU1421" s="13" t="s">
        <v>998</v>
      </c>
      <c r="AV1421" s="23">
        <f>24.35/1000</f>
        <v>2.435E-2</v>
      </c>
      <c r="AW1421" s="23">
        <f>23.18/1000</f>
        <v>2.3179999999999999E-2</v>
      </c>
      <c r="AX1421" s="14">
        <f>Table1347456[[#This Row],[treatment_mean]]/Table1347456[[#This Row],[control_mean]]</f>
        <v>1.0504745470232959</v>
      </c>
      <c r="AY1421" s="14">
        <f>LN(Table1347456[[#This Row],[rr]])</f>
        <v>4.9242011616993105E-2</v>
      </c>
      <c r="AZ1421" s="13">
        <v>3</v>
      </c>
      <c r="BA1421" s="13">
        <v>3</v>
      </c>
      <c r="BB1421" s="14">
        <v>0</v>
      </c>
      <c r="BC1421" s="14">
        <v>0</v>
      </c>
      <c r="BD1421" s="15">
        <f>Table1347456[[#This Row],[treatment_se]]*SQRT(Table1347456[[#This Row],[treatment_n]])</f>
        <v>0</v>
      </c>
      <c r="BE1421" s="14">
        <f>Table1347456[[#This Row],[control_se]]*SQRT(Table1347456[[#This Row],[control_n]])</f>
        <v>0</v>
      </c>
      <c r="BF142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21" s="17">
        <f>SQRT(Table1347456[[#This Row],[v_from_sd_and_n]])</f>
        <v>0</v>
      </c>
      <c r="BH1421" s="13" t="s">
        <v>49</v>
      </c>
      <c r="BI1421" s="13">
        <v>0.05</v>
      </c>
      <c r="BJ1421" s="18">
        <f>ABS(_xlfn.NORM.S.INV(Table1347456[[#This Row],[p_value]]/2))</f>
        <v>1.9599639845400538</v>
      </c>
      <c r="BK1421" s="19">
        <f>(Table1347456[[#This Row],[lnrr]]/Table1347456[[#This Row],[z_from_p]])^2</f>
        <v>6.3121220902478503E-4</v>
      </c>
      <c r="BL1421" s="16">
        <f>(Table1347456[[#This Row],[lnrr]]/Table1347456[[#This Row],[z_from_p]])^2</f>
        <v>6.3121220902478503E-4</v>
      </c>
      <c r="BM1421" s="20">
        <f>SQRT(Table1347456[[#This Row],[v]])</f>
        <v>2.5123936973030024E-2</v>
      </c>
      <c r="BN1421" s="20">
        <f>Table1347456[[#This Row],[lnrr]]-(1.96*Table1347456[[#This Row],[se]])</f>
        <v>-9.0485014574148703E-7</v>
      </c>
      <c r="BO1421" s="20">
        <f>Table1347456[[#This Row],[lnrr]]+(1.96 * Table1347456[[#This Row],[se]])</f>
        <v>9.8484928084131951E-2</v>
      </c>
    </row>
    <row r="1422" spans="1:67">
      <c r="A1422" s="13" t="s">
        <v>430</v>
      </c>
      <c r="B1422" s="13" t="s">
        <v>431</v>
      </c>
      <c r="C1422" s="13" t="s">
        <v>43</v>
      </c>
      <c r="D1422" s="13" t="s">
        <v>432</v>
      </c>
      <c r="E1422" s="13" t="s">
        <v>97</v>
      </c>
      <c r="F1422" s="13" t="s">
        <v>588</v>
      </c>
      <c r="G1422" s="13" t="s">
        <v>46</v>
      </c>
      <c r="H1422" s="13">
        <v>26.35</v>
      </c>
      <c r="I1422" s="13">
        <v>195</v>
      </c>
      <c r="J1422" s="13" t="s">
        <v>656</v>
      </c>
      <c r="K1422" s="13" t="s">
        <v>951</v>
      </c>
      <c r="L1422" s="13" t="s">
        <v>952</v>
      </c>
      <c r="M1422" s="13" t="s">
        <v>803</v>
      </c>
      <c r="N1422" s="13" t="s">
        <v>317</v>
      </c>
      <c r="O1422" s="13" t="s">
        <v>644</v>
      </c>
      <c r="P1422" s="13" t="s">
        <v>512</v>
      </c>
      <c r="Q1422" s="13" t="s">
        <v>48</v>
      </c>
      <c r="R1422" s="4">
        <v>3</v>
      </c>
      <c r="S1422" s="13" t="s">
        <v>594</v>
      </c>
      <c r="T1422" s="13">
        <v>730</v>
      </c>
      <c r="U1422" s="4" t="s">
        <v>173</v>
      </c>
      <c r="V1422" s="4" t="s">
        <v>46</v>
      </c>
      <c r="W1422" s="4" t="s">
        <v>46</v>
      </c>
      <c r="X1422" s="4" t="s">
        <v>46</v>
      </c>
      <c r="Y1422" s="4">
        <v>10</v>
      </c>
      <c r="AA1422" s="4" t="s">
        <v>49</v>
      </c>
      <c r="AB1422" s="4">
        <v>0</v>
      </c>
      <c r="AC1422" s="4" t="s">
        <v>49</v>
      </c>
      <c r="AD1422" s="4">
        <v>0</v>
      </c>
      <c r="AE1422" s="4" t="s">
        <v>49</v>
      </c>
      <c r="AF1422" s="4">
        <v>0</v>
      </c>
      <c r="AG1422" s="4" t="s">
        <v>741</v>
      </c>
      <c r="AH1422" s="4" t="s">
        <v>740</v>
      </c>
      <c r="AI1422" s="4" t="s">
        <v>64</v>
      </c>
      <c r="AJ1422" s="13">
        <v>0</v>
      </c>
      <c r="AK1422" s="13">
        <v>15</v>
      </c>
      <c r="AM1422" s="13" t="s">
        <v>569</v>
      </c>
      <c r="AP1422" s="13" t="s">
        <v>49</v>
      </c>
      <c r="AQ1422" s="13" t="s">
        <v>49</v>
      </c>
      <c r="AR1422" s="13" t="s">
        <v>49</v>
      </c>
      <c r="AS1422" s="13" t="s">
        <v>49</v>
      </c>
      <c r="AT1422" s="13" t="s">
        <v>990</v>
      </c>
      <c r="AU1422" s="13" t="s">
        <v>998</v>
      </c>
      <c r="AV1422" s="23">
        <f>32.35/1000</f>
        <v>3.2350000000000004E-2</v>
      </c>
      <c r="AW1422" s="23">
        <f>23.18/1000</f>
        <v>2.3179999999999999E-2</v>
      </c>
      <c r="AX1422" s="14">
        <f>Table1347456[[#This Row],[treatment_mean]]/Table1347456[[#This Row],[control_mean]]</f>
        <v>1.3955996548748923</v>
      </c>
      <c r="AY1422" s="14">
        <f>LN(Table1347456[[#This Row],[rr]])</f>
        <v>0.33332418303530409</v>
      </c>
      <c r="AZ1422" s="13">
        <v>3</v>
      </c>
      <c r="BA1422" s="13">
        <v>3</v>
      </c>
      <c r="BB1422" s="14">
        <v>0</v>
      </c>
      <c r="BC1422" s="14">
        <v>0</v>
      </c>
      <c r="BD1422" s="15">
        <f>Table1347456[[#This Row],[treatment_se]]*SQRT(Table1347456[[#This Row],[treatment_n]])</f>
        <v>0</v>
      </c>
      <c r="BE1422" s="14">
        <f>Table1347456[[#This Row],[control_se]]*SQRT(Table1347456[[#This Row],[control_n]])</f>
        <v>0</v>
      </c>
      <c r="BF142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22" s="17">
        <f>SQRT(Table1347456[[#This Row],[v_from_sd_and_n]])</f>
        <v>0</v>
      </c>
      <c r="BH1422" s="13" t="s">
        <v>49</v>
      </c>
      <c r="BI1422" s="13">
        <v>0.05</v>
      </c>
      <c r="BJ1422" s="18">
        <f>ABS(_xlfn.NORM.S.INV(Table1347456[[#This Row],[p_value]]/2))</f>
        <v>1.9599639845400538</v>
      </c>
      <c r="BK1422" s="19">
        <f>(Table1347456[[#This Row],[lnrr]]/Table1347456[[#This Row],[z_from_p]])^2</f>
        <v>2.8922608879112501E-2</v>
      </c>
      <c r="BL1422" s="16">
        <f>(Table1347456[[#This Row],[lnrr]]/Table1347456[[#This Row],[z_from_p]])^2</f>
        <v>2.8922608879112501E-2</v>
      </c>
      <c r="BM1422" s="20">
        <f>SQRT(Table1347456[[#This Row],[v]])</f>
        <v>0.17006648370302863</v>
      </c>
      <c r="BN1422" s="20">
        <f>Table1347456[[#This Row],[lnrr]]-(1.96*Table1347456[[#This Row],[se]])</f>
        <v>-6.1250226320308521E-6</v>
      </c>
      <c r="BO1422" s="20">
        <f>Table1347456[[#This Row],[lnrr]]+(1.96 * Table1347456[[#This Row],[se]])</f>
        <v>0.66665449109324015</v>
      </c>
    </row>
    <row r="1423" spans="1:67">
      <c r="A1423" s="13" t="s">
        <v>430</v>
      </c>
      <c r="B1423" s="13" t="s">
        <v>431</v>
      </c>
      <c r="C1423" s="13" t="s">
        <v>43</v>
      </c>
      <c r="D1423" s="13" t="s">
        <v>432</v>
      </c>
      <c r="E1423" s="13" t="s">
        <v>97</v>
      </c>
      <c r="F1423" s="13" t="s">
        <v>588</v>
      </c>
      <c r="G1423" s="13" t="s">
        <v>46</v>
      </c>
      <c r="H1423" s="13">
        <v>26.35</v>
      </c>
      <c r="I1423" s="13">
        <v>195</v>
      </c>
      <c r="K1423" s="13" t="s">
        <v>951</v>
      </c>
      <c r="L1423" s="13" t="s">
        <v>952</v>
      </c>
      <c r="N1423" s="13" t="s">
        <v>400</v>
      </c>
      <c r="O1423" s="13" t="s">
        <v>644</v>
      </c>
      <c r="P1423" s="13" t="s">
        <v>87</v>
      </c>
      <c r="Q1423" s="13" t="s">
        <v>48</v>
      </c>
      <c r="R1423" s="4">
        <v>3</v>
      </c>
      <c r="S1423" s="13" t="s">
        <v>594</v>
      </c>
      <c r="T1423" s="13">
        <v>730</v>
      </c>
      <c r="U1423" s="4" t="s">
        <v>173</v>
      </c>
      <c r="V1423" s="4" t="s">
        <v>46</v>
      </c>
      <c r="W1423" s="4" t="s">
        <v>46</v>
      </c>
      <c r="X1423" s="4" t="s">
        <v>46</v>
      </c>
      <c r="Y1423" s="4">
        <v>5</v>
      </c>
      <c r="AA1423" s="4" t="s">
        <v>49</v>
      </c>
      <c r="AB1423" s="4">
        <v>0</v>
      </c>
      <c r="AC1423" s="4" t="s">
        <v>49</v>
      </c>
      <c r="AD1423" s="4">
        <v>0</v>
      </c>
      <c r="AE1423" s="4" t="s">
        <v>49</v>
      </c>
      <c r="AF1423" s="4">
        <v>0</v>
      </c>
      <c r="AG1423" s="4" t="s">
        <v>741</v>
      </c>
      <c r="AH1423" s="4" t="s">
        <v>740</v>
      </c>
      <c r="AI1423" s="4" t="s">
        <v>64</v>
      </c>
      <c r="AJ1423" s="13">
        <v>0</v>
      </c>
      <c r="AK1423" s="13">
        <v>15</v>
      </c>
      <c r="AM1423" s="13" t="s">
        <v>569</v>
      </c>
      <c r="AP1423" s="13" t="s">
        <v>49</v>
      </c>
      <c r="AQ1423" s="13" t="s">
        <v>49</v>
      </c>
      <c r="AR1423" s="13" t="s">
        <v>49</v>
      </c>
      <c r="AS1423" s="13" t="s">
        <v>49</v>
      </c>
      <c r="AT1423" s="13" t="s">
        <v>990</v>
      </c>
      <c r="AU1423" s="13" t="s">
        <v>998</v>
      </c>
      <c r="AV1423" s="14">
        <f>(0.42*39.1*10)/1000</f>
        <v>0.16422</v>
      </c>
      <c r="AW1423" s="14">
        <f>(0.24*39.1*10)/1000</f>
        <v>9.3840000000000007E-2</v>
      </c>
      <c r="AX1423" s="14">
        <f>Table1347456[[#This Row],[treatment_mean]]/Table1347456[[#This Row],[control_mean]]</f>
        <v>1.75</v>
      </c>
      <c r="AY1423" s="14">
        <f>LN(Table1347456[[#This Row],[rr]])</f>
        <v>0.55961578793542266</v>
      </c>
      <c r="AZ1423" s="13">
        <v>3</v>
      </c>
      <c r="BA1423" s="13">
        <v>3</v>
      </c>
      <c r="BB1423" s="14">
        <v>0</v>
      </c>
      <c r="BC1423" s="14">
        <v>0</v>
      </c>
      <c r="BD1423" s="15">
        <f>Table1347456[[#This Row],[treatment_se]]*SQRT(Table1347456[[#This Row],[treatment_n]])</f>
        <v>0</v>
      </c>
      <c r="BE1423" s="14">
        <f>Table1347456[[#This Row],[control_se]]*SQRT(Table1347456[[#This Row],[control_n]])</f>
        <v>0</v>
      </c>
      <c r="BF142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23" s="17">
        <f>SQRT(Table1347456[[#This Row],[v_from_sd_and_n]])</f>
        <v>0</v>
      </c>
      <c r="BH1423" s="13" t="s">
        <v>49</v>
      </c>
      <c r="BI1423" s="13">
        <v>0.05</v>
      </c>
      <c r="BJ1423" s="18">
        <f>ABS(_xlfn.NORM.S.INV(Table1347456[[#This Row],[p_value]]/2))</f>
        <v>1.9599639845400538</v>
      </c>
      <c r="BK1423" s="19">
        <f>(Table1347456[[#This Row],[lnrr]]/Table1347456[[#This Row],[z_from_p]])^2</f>
        <v>8.1523672314153917E-2</v>
      </c>
      <c r="BL1423" s="16">
        <f>(Table1347456[[#This Row],[lnrr]]/Table1347456[[#This Row],[z_from_p]])^2</f>
        <v>8.1523672314153917E-2</v>
      </c>
      <c r="BM1423" s="20">
        <f>SQRT(Table1347456[[#This Row],[v]])</f>
        <v>0.28552350571214608</v>
      </c>
      <c r="BN1423" s="20">
        <f>Table1347456[[#This Row],[lnrr]]-(1.96*Table1347456[[#This Row],[se]])</f>
        <v>-1.0283260383658899E-5</v>
      </c>
      <c r="BO1423" s="20">
        <f>Table1347456[[#This Row],[lnrr]]+(1.96 * Table1347456[[#This Row],[se]])</f>
        <v>1.119241859131229</v>
      </c>
    </row>
    <row r="1424" spans="1:67">
      <c r="A1424" s="13" t="s">
        <v>430</v>
      </c>
      <c r="B1424" s="13" t="s">
        <v>431</v>
      </c>
      <c r="C1424" s="13" t="s">
        <v>43</v>
      </c>
      <c r="D1424" s="13" t="s">
        <v>432</v>
      </c>
      <c r="E1424" s="13" t="s">
        <v>97</v>
      </c>
      <c r="F1424" s="13" t="s">
        <v>588</v>
      </c>
      <c r="G1424" s="13" t="s">
        <v>46</v>
      </c>
      <c r="H1424" s="13">
        <v>26.35</v>
      </c>
      <c r="I1424" s="13">
        <v>195</v>
      </c>
      <c r="K1424" s="13" t="s">
        <v>951</v>
      </c>
      <c r="L1424" s="13" t="s">
        <v>952</v>
      </c>
      <c r="N1424" s="13" t="s">
        <v>400</v>
      </c>
      <c r="O1424" s="13" t="s">
        <v>644</v>
      </c>
      <c r="P1424" s="13" t="s">
        <v>87</v>
      </c>
      <c r="Q1424" s="13" t="s">
        <v>48</v>
      </c>
      <c r="R1424" s="4">
        <v>3</v>
      </c>
      <c r="S1424" s="13" t="s">
        <v>594</v>
      </c>
      <c r="T1424" s="13">
        <v>730</v>
      </c>
      <c r="U1424" s="4" t="s">
        <v>173</v>
      </c>
      <c r="V1424" s="4" t="s">
        <v>46</v>
      </c>
      <c r="W1424" s="4" t="s">
        <v>46</v>
      </c>
      <c r="X1424" s="4" t="s">
        <v>46</v>
      </c>
      <c r="Y1424" s="4">
        <v>10</v>
      </c>
      <c r="AA1424" s="4" t="s">
        <v>49</v>
      </c>
      <c r="AB1424" s="4">
        <v>0</v>
      </c>
      <c r="AC1424" s="4" t="s">
        <v>49</v>
      </c>
      <c r="AD1424" s="4">
        <v>0</v>
      </c>
      <c r="AE1424" s="4" t="s">
        <v>49</v>
      </c>
      <c r="AF1424" s="4">
        <v>0</v>
      </c>
      <c r="AG1424" s="4" t="s">
        <v>741</v>
      </c>
      <c r="AH1424" s="4" t="s">
        <v>740</v>
      </c>
      <c r="AI1424" s="4" t="s">
        <v>64</v>
      </c>
      <c r="AJ1424" s="13">
        <v>0</v>
      </c>
      <c r="AK1424" s="13">
        <v>15</v>
      </c>
      <c r="AM1424" s="13" t="s">
        <v>569</v>
      </c>
      <c r="AP1424" s="13" t="s">
        <v>49</v>
      </c>
      <c r="AQ1424" s="13" t="s">
        <v>49</v>
      </c>
      <c r="AR1424" s="13" t="s">
        <v>49</v>
      </c>
      <c r="AS1424" s="13" t="s">
        <v>49</v>
      </c>
      <c r="AT1424" s="13" t="s">
        <v>990</v>
      </c>
      <c r="AU1424" s="13" t="s">
        <v>998</v>
      </c>
      <c r="AV1424" s="14">
        <f>(0.59*39.1*10)/1000</f>
        <v>0.23069000000000001</v>
      </c>
      <c r="AW1424" s="14">
        <f>(0.24*39.1*10)/1000</f>
        <v>9.3840000000000007E-2</v>
      </c>
      <c r="AX1424" s="14">
        <f>Table1347456[[#This Row],[treatment_mean]]/Table1347456[[#This Row],[control_mean]]</f>
        <v>2.458333333333333</v>
      </c>
      <c r="AY1424" s="14">
        <f>LN(Table1347456[[#This Row],[rr]])</f>
        <v>0.89948361355777373</v>
      </c>
      <c r="AZ1424" s="13">
        <v>3</v>
      </c>
      <c r="BA1424" s="13">
        <v>3</v>
      </c>
      <c r="BB1424" s="14">
        <v>0</v>
      </c>
      <c r="BC1424" s="14">
        <v>0</v>
      </c>
      <c r="BD1424" s="15">
        <f>Table1347456[[#This Row],[treatment_se]]*SQRT(Table1347456[[#This Row],[treatment_n]])</f>
        <v>0</v>
      </c>
      <c r="BE1424" s="14">
        <f>Table1347456[[#This Row],[control_se]]*SQRT(Table1347456[[#This Row],[control_n]])</f>
        <v>0</v>
      </c>
      <c r="BF142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24" s="17">
        <f>SQRT(Table1347456[[#This Row],[v_from_sd_and_n]])</f>
        <v>0</v>
      </c>
      <c r="BH1424" s="13" t="s">
        <v>49</v>
      </c>
      <c r="BI1424" s="13">
        <v>0.05</v>
      </c>
      <c r="BJ1424" s="18">
        <f>ABS(_xlfn.NORM.S.INV(Table1347456[[#This Row],[p_value]]/2))</f>
        <v>1.9599639845400538</v>
      </c>
      <c r="BK1424" s="19">
        <f>(Table1347456[[#This Row],[lnrr]]/Table1347456[[#This Row],[z_from_p]])^2</f>
        <v>0.21061550021060935</v>
      </c>
      <c r="BL1424" s="16">
        <f>(Table1347456[[#This Row],[lnrr]]/Table1347456[[#This Row],[z_from_p]])^2</f>
        <v>0.21061550021060935</v>
      </c>
      <c r="BM1424" s="20">
        <f>SQRT(Table1347456[[#This Row],[v]])</f>
        <v>0.45892864392039134</v>
      </c>
      <c r="BN1424" s="20">
        <f>Table1347456[[#This Row],[lnrr]]-(1.96*Table1347456[[#This Row],[se]])</f>
        <v>-1.6528526193271276E-5</v>
      </c>
      <c r="BO1424" s="20">
        <f>Table1347456[[#This Row],[lnrr]]+(1.96 * Table1347456[[#This Row],[se]])</f>
        <v>1.7989837556417407</v>
      </c>
    </row>
    <row r="1425" spans="1:67">
      <c r="A1425" s="13" t="s">
        <v>430</v>
      </c>
      <c r="B1425" s="13" t="s">
        <v>431</v>
      </c>
      <c r="C1425" s="13" t="s">
        <v>43</v>
      </c>
      <c r="D1425" s="13" t="s">
        <v>432</v>
      </c>
      <c r="E1425" s="13" t="s">
        <v>97</v>
      </c>
      <c r="F1425" s="13" t="s">
        <v>588</v>
      </c>
      <c r="G1425" s="13" t="s">
        <v>46</v>
      </c>
      <c r="H1425" s="13">
        <v>26.35</v>
      </c>
      <c r="I1425" s="13">
        <v>195</v>
      </c>
      <c r="K1425" s="13" t="s">
        <v>951</v>
      </c>
      <c r="L1425" s="13" t="s">
        <v>952</v>
      </c>
      <c r="N1425" s="13" t="s">
        <v>668</v>
      </c>
      <c r="O1425" s="13" t="s">
        <v>668</v>
      </c>
      <c r="P1425" s="13" t="s">
        <v>87</v>
      </c>
      <c r="Q1425" s="13" t="s">
        <v>87</v>
      </c>
      <c r="R1425" s="4">
        <v>3</v>
      </c>
      <c r="S1425" s="13" t="s">
        <v>594</v>
      </c>
      <c r="T1425" s="13">
        <v>730</v>
      </c>
      <c r="U1425" s="4" t="s">
        <v>173</v>
      </c>
      <c r="V1425" s="4" t="s">
        <v>46</v>
      </c>
      <c r="W1425" s="4" t="s">
        <v>46</v>
      </c>
      <c r="X1425" s="4" t="s">
        <v>46</v>
      </c>
      <c r="Y1425" s="4">
        <v>5</v>
      </c>
      <c r="AA1425" s="4" t="s">
        <v>49</v>
      </c>
      <c r="AB1425" s="4">
        <v>0</v>
      </c>
      <c r="AC1425" s="4" t="s">
        <v>49</v>
      </c>
      <c r="AD1425" s="4">
        <v>0</v>
      </c>
      <c r="AE1425" s="4" t="s">
        <v>49</v>
      </c>
      <c r="AF1425" s="4">
        <v>0</v>
      </c>
      <c r="AG1425" s="4" t="s">
        <v>741</v>
      </c>
      <c r="AH1425" s="4" t="s">
        <v>740</v>
      </c>
      <c r="AI1425" s="4" t="s">
        <v>64</v>
      </c>
      <c r="AJ1425" s="13">
        <v>0</v>
      </c>
      <c r="AK1425" s="13">
        <v>15</v>
      </c>
      <c r="AM1425" s="13" t="s">
        <v>569</v>
      </c>
      <c r="AP1425" s="13" t="s">
        <v>49</v>
      </c>
      <c r="AQ1425" s="13" t="s">
        <v>49</v>
      </c>
      <c r="AR1425" s="13" t="s">
        <v>49</v>
      </c>
      <c r="AS1425" s="13" t="s">
        <v>49</v>
      </c>
      <c r="AT1425" s="13" t="s">
        <v>990</v>
      </c>
      <c r="AU1425" s="13" t="s">
        <v>998</v>
      </c>
      <c r="AV1425" s="14">
        <v>6.58</v>
      </c>
      <c r="AW1425" s="14">
        <v>5.42</v>
      </c>
      <c r="AX1425" s="14">
        <f>Table1347456[[#This Row],[treatment_mean]]/Table1347456[[#This Row],[control_mean]]</f>
        <v>1.2140221402214022</v>
      </c>
      <c r="AY1425" s="14">
        <f>LN(Table1347456[[#This Row],[rr]])</f>
        <v>0.19393892988567099</v>
      </c>
      <c r="AZ1425" s="13">
        <v>3</v>
      </c>
      <c r="BA1425" s="13">
        <v>3</v>
      </c>
      <c r="BB1425" s="14">
        <v>0</v>
      </c>
      <c r="BC1425" s="14">
        <v>0</v>
      </c>
      <c r="BD1425" s="15">
        <f>Table1347456[[#This Row],[treatment_se]]*SQRT(Table1347456[[#This Row],[treatment_n]])</f>
        <v>0</v>
      </c>
      <c r="BE1425" s="14">
        <f>Table1347456[[#This Row],[control_se]]*SQRT(Table1347456[[#This Row],[control_n]])</f>
        <v>0</v>
      </c>
      <c r="BF142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25" s="17">
        <f>SQRT(Table1347456[[#This Row],[v_from_sd_and_n]])</f>
        <v>0</v>
      </c>
      <c r="BH1425" s="13" t="s">
        <v>49</v>
      </c>
      <c r="BI1425" s="13">
        <v>0.05</v>
      </c>
      <c r="BJ1425" s="18">
        <f>ABS(_xlfn.NORM.S.INV(Table1347456[[#This Row],[p_value]]/2))</f>
        <v>1.9599639845400538</v>
      </c>
      <c r="BK1425" s="19">
        <f>(Table1347456[[#This Row],[lnrr]]/Table1347456[[#This Row],[z_from_p]])^2</f>
        <v>9.7911523410272906E-3</v>
      </c>
      <c r="BL1425" s="16">
        <f>(Table1347456[[#This Row],[lnrr]]/Table1347456[[#This Row],[z_from_p]])^2</f>
        <v>9.7911523410272906E-3</v>
      </c>
      <c r="BM1425" s="20">
        <f>SQRT(Table1347456[[#This Row],[v]])</f>
        <v>9.8950251849236295E-2</v>
      </c>
      <c r="BN1425" s="20">
        <f>Table1347456[[#This Row],[lnrr]]-(1.96*Table1347456[[#This Row],[se]])</f>
        <v>-3.5637388321463348E-6</v>
      </c>
      <c r="BO1425" s="20">
        <f>Table1347456[[#This Row],[lnrr]]+(1.96 * Table1347456[[#This Row],[se]])</f>
        <v>0.38788142351017413</v>
      </c>
    </row>
    <row r="1426" spans="1:67">
      <c r="A1426" s="13" t="s">
        <v>430</v>
      </c>
      <c r="B1426" s="13" t="s">
        <v>431</v>
      </c>
      <c r="C1426" s="13" t="s">
        <v>43</v>
      </c>
      <c r="D1426" s="13" t="s">
        <v>432</v>
      </c>
      <c r="E1426" s="13" t="s">
        <v>97</v>
      </c>
      <c r="F1426" s="13" t="s">
        <v>588</v>
      </c>
      <c r="G1426" s="13" t="s">
        <v>46</v>
      </c>
      <c r="H1426" s="13">
        <v>26.35</v>
      </c>
      <c r="I1426" s="13">
        <v>195</v>
      </c>
      <c r="K1426" s="13" t="s">
        <v>951</v>
      </c>
      <c r="L1426" s="13" t="s">
        <v>952</v>
      </c>
      <c r="N1426" s="13" t="s">
        <v>668</v>
      </c>
      <c r="O1426" s="13" t="s">
        <v>668</v>
      </c>
      <c r="P1426" s="13" t="s">
        <v>87</v>
      </c>
      <c r="Q1426" s="13" t="s">
        <v>87</v>
      </c>
      <c r="R1426" s="4">
        <v>3</v>
      </c>
      <c r="S1426" s="13" t="s">
        <v>594</v>
      </c>
      <c r="T1426" s="13">
        <v>730</v>
      </c>
      <c r="U1426" s="4" t="s">
        <v>173</v>
      </c>
      <c r="V1426" s="4" t="s">
        <v>46</v>
      </c>
      <c r="W1426" s="4" t="s">
        <v>46</v>
      </c>
      <c r="X1426" s="4" t="s">
        <v>46</v>
      </c>
      <c r="Y1426" s="4">
        <v>10</v>
      </c>
      <c r="AA1426" s="4" t="s">
        <v>49</v>
      </c>
      <c r="AB1426" s="4">
        <v>0</v>
      </c>
      <c r="AC1426" s="4" t="s">
        <v>49</v>
      </c>
      <c r="AD1426" s="4">
        <v>0</v>
      </c>
      <c r="AE1426" s="4" t="s">
        <v>49</v>
      </c>
      <c r="AF1426" s="4">
        <v>0</v>
      </c>
      <c r="AG1426" s="4" t="s">
        <v>741</v>
      </c>
      <c r="AH1426" s="4" t="s">
        <v>740</v>
      </c>
      <c r="AI1426" s="4" t="s">
        <v>64</v>
      </c>
      <c r="AJ1426" s="13">
        <v>0</v>
      </c>
      <c r="AK1426" s="13">
        <v>15</v>
      </c>
      <c r="AM1426" s="13" t="s">
        <v>569</v>
      </c>
      <c r="AP1426" s="13" t="s">
        <v>49</v>
      </c>
      <c r="AQ1426" s="13" t="s">
        <v>49</v>
      </c>
      <c r="AR1426" s="13" t="s">
        <v>49</v>
      </c>
      <c r="AS1426" s="13" t="s">
        <v>49</v>
      </c>
      <c r="AT1426" s="13" t="s">
        <v>990</v>
      </c>
      <c r="AU1426" s="13" t="s">
        <v>998</v>
      </c>
      <c r="AV1426" s="14">
        <v>7.83</v>
      </c>
      <c r="AW1426" s="14">
        <v>5.42</v>
      </c>
      <c r="AX1426" s="14">
        <f>Table1347456[[#This Row],[treatment_mean]]/Table1347456[[#This Row],[control_mean]]</f>
        <v>1.444649446494465</v>
      </c>
      <c r="AY1426" s="14">
        <f>LN(Table1347456[[#This Row],[rr]])</f>
        <v>0.36786669455115695</v>
      </c>
      <c r="AZ1426" s="13">
        <v>3</v>
      </c>
      <c r="BA1426" s="13">
        <v>3</v>
      </c>
      <c r="BB1426" s="14">
        <v>0</v>
      </c>
      <c r="BC1426" s="14">
        <v>0</v>
      </c>
      <c r="BD1426" s="15">
        <f>Table1347456[[#This Row],[treatment_se]]*SQRT(Table1347456[[#This Row],[treatment_n]])</f>
        <v>0</v>
      </c>
      <c r="BE1426" s="14">
        <f>Table1347456[[#This Row],[control_se]]*SQRT(Table1347456[[#This Row],[control_n]])</f>
        <v>0</v>
      </c>
      <c r="BF142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26" s="17">
        <f>SQRT(Table1347456[[#This Row],[v_from_sd_and_n]])</f>
        <v>0</v>
      </c>
      <c r="BH1426" s="13" t="s">
        <v>49</v>
      </c>
      <c r="BI1426" s="13">
        <v>0.05</v>
      </c>
      <c r="BJ1426" s="18">
        <f>ABS(_xlfn.NORM.S.INV(Table1347456[[#This Row],[p_value]]/2))</f>
        <v>1.9599639845400538</v>
      </c>
      <c r="BK1426" s="19">
        <f>(Table1347456[[#This Row],[lnrr]]/Table1347456[[#This Row],[z_from_p]])^2</f>
        <v>3.5227738022593665E-2</v>
      </c>
      <c r="BL1426" s="16">
        <f>(Table1347456[[#This Row],[lnrr]]/Table1347456[[#This Row],[z_from_p]])^2</f>
        <v>3.5227738022593665E-2</v>
      </c>
      <c r="BM1426" s="20">
        <f>SQRT(Table1347456[[#This Row],[v]])</f>
        <v>0.18769053791439158</v>
      </c>
      <c r="BN1426" s="20">
        <f>Table1347456[[#This Row],[lnrr]]-(1.96*Table1347456[[#This Row],[se]])</f>
        <v>-6.7597610505232275E-6</v>
      </c>
      <c r="BO1426" s="20">
        <f>Table1347456[[#This Row],[lnrr]]+(1.96 * Table1347456[[#This Row],[se]])</f>
        <v>0.73574014886336436</v>
      </c>
    </row>
    <row r="1427" spans="1:67">
      <c r="A1427" s="13" t="s">
        <v>430</v>
      </c>
      <c r="B1427" s="13" t="s">
        <v>431</v>
      </c>
      <c r="C1427" s="13" t="s">
        <v>43</v>
      </c>
      <c r="D1427" s="13" t="s">
        <v>432</v>
      </c>
      <c r="E1427" s="13" t="s">
        <v>97</v>
      </c>
      <c r="F1427" s="13" t="s">
        <v>588</v>
      </c>
      <c r="G1427" s="13" t="s">
        <v>46</v>
      </c>
      <c r="H1427" s="13">
        <v>26.35</v>
      </c>
      <c r="I1427" s="13">
        <v>195</v>
      </c>
      <c r="K1427" s="13" t="s">
        <v>951</v>
      </c>
      <c r="L1427" s="13" t="s">
        <v>952</v>
      </c>
      <c r="N1427" s="13" t="s">
        <v>47</v>
      </c>
      <c r="O1427" s="13" t="s">
        <v>645</v>
      </c>
      <c r="P1427" s="13" t="s">
        <v>422</v>
      </c>
      <c r="Q1427" s="13" t="s">
        <v>48</v>
      </c>
      <c r="R1427" s="4">
        <v>3</v>
      </c>
      <c r="S1427" s="13" t="s">
        <v>594</v>
      </c>
      <c r="T1427" s="13">
        <v>730</v>
      </c>
      <c r="U1427" s="4" t="s">
        <v>338</v>
      </c>
      <c r="V1427" s="4" t="s">
        <v>46</v>
      </c>
      <c r="W1427" s="4" t="s">
        <v>46</v>
      </c>
      <c r="X1427" s="4" t="s">
        <v>46</v>
      </c>
      <c r="Y1427" s="4">
        <v>5</v>
      </c>
      <c r="AA1427" s="4" t="s">
        <v>49</v>
      </c>
      <c r="AB1427" s="4">
        <v>0</v>
      </c>
      <c r="AC1427" s="4" t="s">
        <v>49</v>
      </c>
      <c r="AD1427" s="4">
        <v>0</v>
      </c>
      <c r="AE1427" s="4" t="s">
        <v>49</v>
      </c>
      <c r="AF1427" s="4">
        <v>0</v>
      </c>
      <c r="AG1427" s="4" t="s">
        <v>742</v>
      </c>
      <c r="AH1427" s="4" t="s">
        <v>740</v>
      </c>
      <c r="AI1427" s="4" t="s">
        <v>64</v>
      </c>
      <c r="AJ1427" s="13">
        <v>0</v>
      </c>
      <c r="AK1427" s="13">
        <v>15</v>
      </c>
      <c r="AM1427" s="13" t="s">
        <v>569</v>
      </c>
      <c r="AP1427" s="13" t="s">
        <v>49</v>
      </c>
      <c r="AQ1427" s="13" t="s">
        <v>49</v>
      </c>
      <c r="AR1427" s="13" t="s">
        <v>49</v>
      </c>
      <c r="AS1427" s="13" t="s">
        <v>49</v>
      </c>
      <c r="AT1427" s="13" t="s">
        <v>990</v>
      </c>
      <c r="AU1427" s="13" t="s">
        <v>998</v>
      </c>
      <c r="AV1427" s="14">
        <f>0.12*10</f>
        <v>1.2</v>
      </c>
      <c r="AW1427" s="14">
        <f>0.11*10</f>
        <v>1.1000000000000001</v>
      </c>
      <c r="AX1427" s="14">
        <f>Table1347456[[#This Row],[treatment_mean]]/Table1347456[[#This Row],[control_mean]]</f>
        <v>1.0909090909090908</v>
      </c>
      <c r="AY1427" s="14">
        <f>LN(Table1347456[[#This Row],[rr]])</f>
        <v>8.7011376989629699E-2</v>
      </c>
      <c r="AZ1427" s="13">
        <v>3</v>
      </c>
      <c r="BA1427" s="13">
        <v>3</v>
      </c>
      <c r="BB1427" s="14">
        <v>0</v>
      </c>
      <c r="BC1427" s="14">
        <v>0</v>
      </c>
      <c r="BD1427" s="15">
        <f>Table1347456[[#This Row],[treatment_se]]*SQRT(Table1347456[[#This Row],[treatment_n]])</f>
        <v>0</v>
      </c>
      <c r="BE1427" s="14">
        <f>Table1347456[[#This Row],[control_se]]*SQRT(Table1347456[[#This Row],[control_n]])</f>
        <v>0</v>
      </c>
      <c r="BF142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27" s="17">
        <f>SQRT(Table1347456[[#This Row],[v_from_sd_and_n]])</f>
        <v>0</v>
      </c>
      <c r="BH1427" s="13" t="s">
        <v>49</v>
      </c>
      <c r="BI1427" s="13">
        <v>0.05</v>
      </c>
      <c r="BJ1427" s="18">
        <f>ABS(_xlfn.NORM.S.INV(Table1347456[[#This Row],[p_value]]/2))</f>
        <v>1.9599639845400538</v>
      </c>
      <c r="BK1427" s="19">
        <f>(Table1347456[[#This Row],[lnrr]]/Table1347456[[#This Row],[z_from_p]])^2</f>
        <v>1.9708605712096213E-3</v>
      </c>
      <c r="BL1427" s="16">
        <f>(Table1347456[[#This Row],[lnrr]]/Table1347456[[#This Row],[z_from_p]])^2</f>
        <v>1.9708605712096213E-3</v>
      </c>
      <c r="BM1427" s="20">
        <f>SQRT(Table1347456[[#This Row],[v]])</f>
        <v>4.4394375445653264E-2</v>
      </c>
      <c r="BN1427" s="20">
        <f>Table1347456[[#This Row],[lnrr]]-(1.96*Table1347456[[#This Row],[se]])</f>
        <v>-1.5988838506925118E-6</v>
      </c>
      <c r="BO1427" s="20">
        <f>Table1347456[[#This Row],[lnrr]]+(1.96 * Table1347456[[#This Row],[se]])</f>
        <v>0.17402435286311008</v>
      </c>
    </row>
    <row r="1428" spans="1:67">
      <c r="A1428" s="13" t="s">
        <v>430</v>
      </c>
      <c r="B1428" s="13" t="s">
        <v>431</v>
      </c>
      <c r="C1428" s="13" t="s">
        <v>43</v>
      </c>
      <c r="D1428" s="13" t="s">
        <v>432</v>
      </c>
      <c r="E1428" s="13" t="s">
        <v>97</v>
      </c>
      <c r="F1428" s="13" t="s">
        <v>588</v>
      </c>
      <c r="G1428" s="13" t="s">
        <v>46</v>
      </c>
      <c r="H1428" s="13">
        <v>26.35</v>
      </c>
      <c r="I1428" s="13">
        <v>195</v>
      </c>
      <c r="K1428" s="13" t="s">
        <v>951</v>
      </c>
      <c r="L1428" s="13" t="s">
        <v>952</v>
      </c>
      <c r="N1428" s="13" t="s">
        <v>47</v>
      </c>
      <c r="O1428" s="13" t="s">
        <v>645</v>
      </c>
      <c r="P1428" s="13" t="s">
        <v>422</v>
      </c>
      <c r="Q1428" s="13" t="s">
        <v>48</v>
      </c>
      <c r="R1428" s="4">
        <v>3</v>
      </c>
      <c r="S1428" s="13" t="s">
        <v>594</v>
      </c>
      <c r="T1428" s="13">
        <v>730</v>
      </c>
      <c r="U1428" s="4" t="s">
        <v>338</v>
      </c>
      <c r="V1428" s="4" t="s">
        <v>46</v>
      </c>
      <c r="W1428" s="4" t="s">
        <v>46</v>
      </c>
      <c r="X1428" s="4" t="s">
        <v>46</v>
      </c>
      <c r="Y1428" s="4">
        <v>10</v>
      </c>
      <c r="AA1428" s="4" t="s">
        <v>49</v>
      </c>
      <c r="AB1428" s="4">
        <v>0</v>
      </c>
      <c r="AC1428" s="4" t="s">
        <v>49</v>
      </c>
      <c r="AD1428" s="4">
        <v>0</v>
      </c>
      <c r="AE1428" s="4" t="s">
        <v>49</v>
      </c>
      <c r="AF1428" s="4">
        <v>0</v>
      </c>
      <c r="AG1428" s="4" t="s">
        <v>742</v>
      </c>
      <c r="AH1428" s="4" t="s">
        <v>740</v>
      </c>
      <c r="AI1428" s="4" t="s">
        <v>64</v>
      </c>
      <c r="AJ1428" s="13">
        <v>0</v>
      </c>
      <c r="AK1428" s="13">
        <v>15</v>
      </c>
      <c r="AM1428" s="13" t="s">
        <v>569</v>
      </c>
      <c r="AP1428" s="13" t="s">
        <v>49</v>
      </c>
      <c r="AQ1428" s="13" t="s">
        <v>49</v>
      </c>
      <c r="AR1428" s="13" t="s">
        <v>49</v>
      </c>
      <c r="AS1428" s="13" t="s">
        <v>49</v>
      </c>
      <c r="AT1428" s="13" t="s">
        <v>990</v>
      </c>
      <c r="AU1428" s="13" t="s">
        <v>998</v>
      </c>
      <c r="AV1428" s="14">
        <f>0.14*10</f>
        <v>1.4000000000000001</v>
      </c>
      <c r="AW1428" s="14">
        <f>0.11*10</f>
        <v>1.1000000000000001</v>
      </c>
      <c r="AX1428" s="14">
        <f>Table1347456[[#This Row],[treatment_mean]]/Table1347456[[#This Row],[control_mean]]</f>
        <v>1.2727272727272727</v>
      </c>
      <c r="AY1428" s="14">
        <f>LN(Table1347456[[#This Row],[rr]])</f>
        <v>0.24116205681688804</v>
      </c>
      <c r="AZ1428" s="13">
        <v>3</v>
      </c>
      <c r="BA1428" s="13">
        <v>3</v>
      </c>
      <c r="BB1428" s="14">
        <v>0</v>
      </c>
      <c r="BC1428" s="14">
        <v>0</v>
      </c>
      <c r="BD1428" s="15">
        <f>Table1347456[[#This Row],[treatment_se]]*SQRT(Table1347456[[#This Row],[treatment_n]])</f>
        <v>0</v>
      </c>
      <c r="BE1428" s="14">
        <f>Table1347456[[#This Row],[control_se]]*SQRT(Table1347456[[#This Row],[control_n]])</f>
        <v>0</v>
      </c>
      <c r="BF142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28" s="17">
        <f>SQRT(Table1347456[[#This Row],[v_from_sd_and_n]])</f>
        <v>0</v>
      </c>
      <c r="BH1428" s="13" t="s">
        <v>49</v>
      </c>
      <c r="BI1428" s="13">
        <v>0.05</v>
      </c>
      <c r="BJ1428" s="18">
        <f>ABS(_xlfn.NORM.S.INV(Table1347456[[#This Row],[p_value]]/2))</f>
        <v>1.9599639845400538</v>
      </c>
      <c r="BK1428" s="19">
        <f>(Table1347456[[#This Row],[lnrr]]/Table1347456[[#This Row],[z_from_p]])^2</f>
        <v>1.5139857112315209E-2</v>
      </c>
      <c r="BL1428" s="16">
        <f>(Table1347456[[#This Row],[lnrr]]/Table1347456[[#This Row],[z_from_p]])^2</f>
        <v>1.5139857112315209E-2</v>
      </c>
      <c r="BM1428" s="20">
        <f>SQRT(Table1347456[[#This Row],[v]])</f>
        <v>0.12304412668760427</v>
      </c>
      <c r="BN1428" s="20">
        <f>Table1347456[[#This Row],[lnrr]]-(1.96*Table1347456[[#This Row],[se]])</f>
        <v>-4.4314908163312072E-6</v>
      </c>
      <c r="BO1428" s="20">
        <f>Table1347456[[#This Row],[lnrr]]+(1.96 * Table1347456[[#This Row],[se]])</f>
        <v>0.48232854512459244</v>
      </c>
    </row>
    <row r="1429" spans="1:67">
      <c r="A1429" s="13" t="s">
        <v>430</v>
      </c>
      <c r="B1429" s="13" t="s">
        <v>431</v>
      </c>
      <c r="C1429" s="13" t="s">
        <v>43</v>
      </c>
      <c r="D1429" s="13" t="s">
        <v>432</v>
      </c>
      <c r="E1429" s="13" t="s">
        <v>97</v>
      </c>
      <c r="F1429" s="13" t="s">
        <v>588</v>
      </c>
      <c r="G1429" s="13" t="s">
        <v>46</v>
      </c>
      <c r="H1429" s="13">
        <v>26.35</v>
      </c>
      <c r="I1429" s="13">
        <v>195</v>
      </c>
      <c r="J1429" s="13" t="s">
        <v>656</v>
      </c>
      <c r="K1429" s="13" t="s">
        <v>951</v>
      </c>
      <c r="L1429" s="13" t="s">
        <v>952</v>
      </c>
      <c r="M1429" s="13" t="s">
        <v>803</v>
      </c>
      <c r="N1429" s="13" t="s">
        <v>317</v>
      </c>
      <c r="O1429" s="13" t="s">
        <v>644</v>
      </c>
      <c r="P1429" s="13" t="s">
        <v>512</v>
      </c>
      <c r="Q1429" s="13" t="s">
        <v>48</v>
      </c>
      <c r="R1429" s="4">
        <v>3</v>
      </c>
      <c r="S1429" s="13" t="s">
        <v>594</v>
      </c>
      <c r="T1429" s="13">
        <v>730</v>
      </c>
      <c r="U1429" s="4" t="s">
        <v>338</v>
      </c>
      <c r="V1429" s="4" t="s">
        <v>46</v>
      </c>
      <c r="W1429" s="4" t="s">
        <v>46</v>
      </c>
      <c r="X1429" s="4" t="s">
        <v>46</v>
      </c>
      <c r="Y1429" s="4">
        <v>5</v>
      </c>
      <c r="AA1429" s="4" t="s">
        <v>49</v>
      </c>
      <c r="AB1429" s="4">
        <v>0</v>
      </c>
      <c r="AC1429" s="4" t="s">
        <v>49</v>
      </c>
      <c r="AD1429" s="4">
        <v>0</v>
      </c>
      <c r="AE1429" s="4" t="s">
        <v>49</v>
      </c>
      <c r="AF1429" s="4">
        <v>0</v>
      </c>
      <c r="AG1429" s="4" t="s">
        <v>742</v>
      </c>
      <c r="AH1429" s="4" t="s">
        <v>740</v>
      </c>
      <c r="AI1429" s="4" t="s">
        <v>64</v>
      </c>
      <c r="AJ1429" s="13">
        <v>0</v>
      </c>
      <c r="AK1429" s="13">
        <v>15</v>
      </c>
      <c r="AM1429" s="13" t="s">
        <v>569</v>
      </c>
      <c r="AP1429" s="13" t="s">
        <v>49</v>
      </c>
      <c r="AQ1429" s="13" t="s">
        <v>49</v>
      </c>
      <c r="AR1429" s="13" t="s">
        <v>49</v>
      </c>
      <c r="AS1429" s="13" t="s">
        <v>49</v>
      </c>
      <c r="AT1429" s="13" t="s">
        <v>990</v>
      </c>
      <c r="AU1429" s="13" t="s">
        <v>998</v>
      </c>
      <c r="AV1429" s="23">
        <f>24.21/1000</f>
        <v>2.4210000000000002E-2</v>
      </c>
      <c r="AW1429" s="23">
        <f>23.76/1000</f>
        <v>2.376E-2</v>
      </c>
      <c r="AX1429" s="14">
        <f>Table1347456[[#This Row],[treatment_mean]]/Table1347456[[#This Row],[control_mean]]</f>
        <v>1.018939393939394</v>
      </c>
      <c r="AY1429" s="14">
        <f>LN(Table1347456[[#This Row],[rr]])</f>
        <v>1.8762276455523034E-2</v>
      </c>
      <c r="AZ1429" s="13">
        <v>3</v>
      </c>
      <c r="BA1429" s="13">
        <v>3</v>
      </c>
      <c r="BB1429" s="14">
        <v>0</v>
      </c>
      <c r="BC1429" s="14">
        <v>0</v>
      </c>
      <c r="BD1429" s="15">
        <f>Table1347456[[#This Row],[treatment_se]]*SQRT(Table1347456[[#This Row],[treatment_n]])</f>
        <v>0</v>
      </c>
      <c r="BE1429" s="14">
        <f>Table1347456[[#This Row],[control_se]]*SQRT(Table1347456[[#This Row],[control_n]])</f>
        <v>0</v>
      </c>
      <c r="BF142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29" s="17">
        <f>SQRT(Table1347456[[#This Row],[v_from_sd_and_n]])</f>
        <v>0</v>
      </c>
      <c r="BH1429" s="13" t="s">
        <v>49</v>
      </c>
      <c r="BI1429" s="13">
        <v>0.05</v>
      </c>
      <c r="BJ1429" s="18">
        <f>ABS(_xlfn.NORM.S.INV(Table1347456[[#This Row],[p_value]]/2))</f>
        <v>1.9599639845400538</v>
      </c>
      <c r="BK1429" s="19">
        <f>(Table1347456[[#This Row],[lnrr]]/Table1347456[[#This Row],[z_from_p]])^2</f>
        <v>9.1637847553410949E-5</v>
      </c>
      <c r="BL1429" s="16">
        <f>(Table1347456[[#This Row],[lnrr]]/Table1347456[[#This Row],[z_from_p]])^2</f>
        <v>9.1637847553410949E-5</v>
      </c>
      <c r="BM1429" s="20">
        <f>SQRT(Table1347456[[#This Row],[v]])</f>
        <v>9.5727659301484518E-3</v>
      </c>
      <c r="BN1429" s="20">
        <f>Table1347456[[#This Row],[lnrr]]-(1.96*Table1347456[[#This Row],[se]])</f>
        <v>-3.4476756793216934E-7</v>
      </c>
      <c r="BO1429" s="20">
        <f>Table1347456[[#This Row],[lnrr]]+(1.96 * Table1347456[[#This Row],[se]])</f>
        <v>3.7524897678614E-2</v>
      </c>
    </row>
    <row r="1430" spans="1:67">
      <c r="A1430" s="13" t="s">
        <v>430</v>
      </c>
      <c r="B1430" s="13" t="s">
        <v>431</v>
      </c>
      <c r="C1430" s="13" t="s">
        <v>43</v>
      </c>
      <c r="D1430" s="13" t="s">
        <v>432</v>
      </c>
      <c r="E1430" s="13" t="s">
        <v>97</v>
      </c>
      <c r="F1430" s="13" t="s">
        <v>588</v>
      </c>
      <c r="G1430" s="13" t="s">
        <v>46</v>
      </c>
      <c r="H1430" s="13">
        <v>26.35</v>
      </c>
      <c r="I1430" s="13">
        <v>195</v>
      </c>
      <c r="J1430" s="13" t="s">
        <v>656</v>
      </c>
      <c r="K1430" s="13" t="s">
        <v>951</v>
      </c>
      <c r="L1430" s="13" t="s">
        <v>952</v>
      </c>
      <c r="M1430" s="13" t="s">
        <v>803</v>
      </c>
      <c r="N1430" s="13" t="s">
        <v>317</v>
      </c>
      <c r="O1430" s="13" t="s">
        <v>644</v>
      </c>
      <c r="P1430" s="13" t="s">
        <v>512</v>
      </c>
      <c r="Q1430" s="13" t="s">
        <v>48</v>
      </c>
      <c r="R1430" s="4">
        <v>3</v>
      </c>
      <c r="S1430" s="13" t="s">
        <v>594</v>
      </c>
      <c r="T1430" s="13">
        <v>730</v>
      </c>
      <c r="U1430" s="4" t="s">
        <v>338</v>
      </c>
      <c r="V1430" s="4" t="s">
        <v>46</v>
      </c>
      <c r="W1430" s="4" t="s">
        <v>46</v>
      </c>
      <c r="X1430" s="4" t="s">
        <v>46</v>
      </c>
      <c r="Y1430" s="4">
        <v>10</v>
      </c>
      <c r="AA1430" s="4" t="s">
        <v>49</v>
      </c>
      <c r="AB1430" s="4">
        <v>0</v>
      </c>
      <c r="AC1430" s="4" t="s">
        <v>49</v>
      </c>
      <c r="AD1430" s="4">
        <v>0</v>
      </c>
      <c r="AE1430" s="4" t="s">
        <v>49</v>
      </c>
      <c r="AF1430" s="4">
        <v>0</v>
      </c>
      <c r="AG1430" s="4" t="s">
        <v>742</v>
      </c>
      <c r="AH1430" s="4" t="s">
        <v>740</v>
      </c>
      <c r="AI1430" s="4" t="s">
        <v>64</v>
      </c>
      <c r="AJ1430" s="13">
        <v>0</v>
      </c>
      <c r="AK1430" s="13">
        <v>15</v>
      </c>
      <c r="AM1430" s="13" t="s">
        <v>569</v>
      </c>
      <c r="AP1430" s="13" t="s">
        <v>49</v>
      </c>
      <c r="AQ1430" s="13" t="s">
        <v>49</v>
      </c>
      <c r="AR1430" s="13" t="s">
        <v>49</v>
      </c>
      <c r="AS1430" s="13" t="s">
        <v>49</v>
      </c>
      <c r="AT1430" s="13" t="s">
        <v>990</v>
      </c>
      <c r="AU1430" s="13" t="s">
        <v>998</v>
      </c>
      <c r="AV1430" s="23">
        <f>32.06/1000</f>
        <v>3.2060000000000005E-2</v>
      </c>
      <c r="AW1430" s="23">
        <f>23.76/1000</f>
        <v>2.376E-2</v>
      </c>
      <c r="AX1430" s="14">
        <f>Table1347456[[#This Row],[treatment_mean]]/Table1347456[[#This Row],[control_mean]]</f>
        <v>1.3493265993265995</v>
      </c>
      <c r="AY1430" s="14">
        <f>LN(Table1347456[[#This Row],[rr]])</f>
        <v>0.29960565268696282</v>
      </c>
      <c r="AZ1430" s="13">
        <v>3</v>
      </c>
      <c r="BA1430" s="13">
        <v>3</v>
      </c>
      <c r="BB1430" s="14">
        <v>0</v>
      </c>
      <c r="BC1430" s="14">
        <v>0</v>
      </c>
      <c r="BD1430" s="15">
        <f>Table1347456[[#This Row],[treatment_se]]*SQRT(Table1347456[[#This Row],[treatment_n]])</f>
        <v>0</v>
      </c>
      <c r="BE1430" s="14">
        <f>Table1347456[[#This Row],[control_se]]*SQRT(Table1347456[[#This Row],[control_n]])</f>
        <v>0</v>
      </c>
      <c r="BF143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30" s="17">
        <f>SQRT(Table1347456[[#This Row],[v_from_sd_and_n]])</f>
        <v>0</v>
      </c>
      <c r="BH1430" s="13" t="s">
        <v>49</v>
      </c>
      <c r="BI1430" s="13">
        <v>0.05</v>
      </c>
      <c r="BJ1430" s="18">
        <f>ABS(_xlfn.NORM.S.INV(Table1347456[[#This Row],[p_value]]/2))</f>
        <v>1.9599639845400538</v>
      </c>
      <c r="BK1430" s="19">
        <f>(Table1347456[[#This Row],[lnrr]]/Table1347456[[#This Row],[z_from_p]])^2</f>
        <v>2.3367046560129816E-2</v>
      </c>
      <c r="BL1430" s="16">
        <f>(Table1347456[[#This Row],[lnrr]]/Table1347456[[#This Row],[z_from_p]])^2</f>
        <v>2.3367046560129816E-2</v>
      </c>
      <c r="BM1430" s="20">
        <f>SQRT(Table1347456[[#This Row],[v]])</f>
        <v>0.15286283577158255</v>
      </c>
      <c r="BN1430" s="20">
        <f>Table1347456[[#This Row],[lnrr]]-(1.96*Table1347456[[#This Row],[se]])</f>
        <v>-5.5054253389474894E-6</v>
      </c>
      <c r="BO1430" s="20">
        <f>Table1347456[[#This Row],[lnrr]]+(1.96 * Table1347456[[#This Row],[se]])</f>
        <v>0.59921681079926459</v>
      </c>
    </row>
    <row r="1431" spans="1:67">
      <c r="A1431" s="13" t="s">
        <v>430</v>
      </c>
      <c r="B1431" s="13" t="s">
        <v>431</v>
      </c>
      <c r="C1431" s="13" t="s">
        <v>43</v>
      </c>
      <c r="D1431" s="13" t="s">
        <v>432</v>
      </c>
      <c r="E1431" s="13" t="s">
        <v>97</v>
      </c>
      <c r="F1431" s="13" t="s">
        <v>588</v>
      </c>
      <c r="G1431" s="13" t="s">
        <v>46</v>
      </c>
      <c r="H1431" s="13">
        <v>26.35</v>
      </c>
      <c r="I1431" s="13">
        <v>195</v>
      </c>
      <c r="K1431" s="13" t="s">
        <v>951</v>
      </c>
      <c r="L1431" s="13" t="s">
        <v>952</v>
      </c>
      <c r="N1431" s="13" t="s">
        <v>400</v>
      </c>
      <c r="O1431" s="13" t="s">
        <v>644</v>
      </c>
      <c r="P1431" s="13" t="s">
        <v>87</v>
      </c>
      <c r="Q1431" s="13" t="s">
        <v>48</v>
      </c>
      <c r="R1431" s="4">
        <v>3</v>
      </c>
      <c r="S1431" s="13" t="s">
        <v>594</v>
      </c>
      <c r="T1431" s="13">
        <v>730</v>
      </c>
      <c r="U1431" s="4" t="s">
        <v>338</v>
      </c>
      <c r="V1431" s="4" t="s">
        <v>46</v>
      </c>
      <c r="W1431" s="4" t="s">
        <v>46</v>
      </c>
      <c r="X1431" s="4" t="s">
        <v>46</v>
      </c>
      <c r="Y1431" s="4">
        <v>5</v>
      </c>
      <c r="AA1431" s="4" t="s">
        <v>49</v>
      </c>
      <c r="AB1431" s="4">
        <v>0</v>
      </c>
      <c r="AC1431" s="4" t="s">
        <v>49</v>
      </c>
      <c r="AD1431" s="4">
        <v>0</v>
      </c>
      <c r="AE1431" s="4" t="s">
        <v>49</v>
      </c>
      <c r="AF1431" s="4">
        <v>0</v>
      </c>
      <c r="AG1431" s="4" t="s">
        <v>742</v>
      </c>
      <c r="AH1431" s="4" t="s">
        <v>740</v>
      </c>
      <c r="AI1431" s="4" t="s">
        <v>64</v>
      </c>
      <c r="AJ1431" s="13">
        <v>0</v>
      </c>
      <c r="AK1431" s="13">
        <v>15</v>
      </c>
      <c r="AM1431" s="13" t="s">
        <v>569</v>
      </c>
      <c r="AP1431" s="13" t="s">
        <v>49</v>
      </c>
      <c r="AQ1431" s="13" t="s">
        <v>49</v>
      </c>
      <c r="AR1431" s="13" t="s">
        <v>49</v>
      </c>
      <c r="AS1431" s="13" t="s">
        <v>49</v>
      </c>
      <c r="AT1431" s="13" t="s">
        <v>990</v>
      </c>
      <c r="AU1431" s="13" t="s">
        <v>998</v>
      </c>
      <c r="AV1431" s="14">
        <f>(0.37*39.1*10)/1000</f>
        <v>0.14467000000000002</v>
      </c>
      <c r="AW1431" s="14">
        <f>(0.24*39.1*10)/1000</f>
        <v>9.3840000000000007E-2</v>
      </c>
      <c r="AX1431" s="14">
        <f>Table1347456[[#This Row],[treatment_mean]]/Table1347456[[#This Row],[control_mean]]</f>
        <v>1.5416666666666667</v>
      </c>
      <c r="AY1431" s="14">
        <f>LN(Table1347456[[#This Row],[rr]])</f>
        <v>0.43286408229627887</v>
      </c>
      <c r="AZ1431" s="13">
        <v>3</v>
      </c>
      <c r="BA1431" s="13">
        <v>3</v>
      </c>
      <c r="BB1431" s="14">
        <v>0</v>
      </c>
      <c r="BC1431" s="14">
        <v>0</v>
      </c>
      <c r="BD1431" s="15">
        <f>Table1347456[[#This Row],[treatment_se]]*SQRT(Table1347456[[#This Row],[treatment_n]])</f>
        <v>0</v>
      </c>
      <c r="BE1431" s="14">
        <f>Table1347456[[#This Row],[control_se]]*SQRT(Table1347456[[#This Row],[control_n]])</f>
        <v>0</v>
      </c>
      <c r="BF143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31" s="17">
        <f>SQRT(Table1347456[[#This Row],[v_from_sd_and_n]])</f>
        <v>0</v>
      </c>
      <c r="BH1431" s="13" t="s">
        <v>49</v>
      </c>
      <c r="BI1431" s="13">
        <v>0.05</v>
      </c>
      <c r="BJ1431" s="18">
        <f>ABS(_xlfn.NORM.S.INV(Table1347456[[#This Row],[p_value]]/2))</f>
        <v>1.9599639845400538</v>
      </c>
      <c r="BK1431" s="19">
        <f>(Table1347456[[#This Row],[lnrr]]/Table1347456[[#This Row],[z_from_p]])^2</f>
        <v>4.8776082860193984E-2</v>
      </c>
      <c r="BL1431" s="16">
        <f>(Table1347456[[#This Row],[lnrr]]/Table1347456[[#This Row],[z_from_p]])^2</f>
        <v>4.8776082860193984E-2</v>
      </c>
      <c r="BM1431" s="20">
        <f>SQRT(Table1347456[[#This Row],[v]])</f>
        <v>0.22085307980690236</v>
      </c>
      <c r="BN1431" s="20">
        <f>Table1347456[[#This Row],[lnrr]]-(1.96*Table1347456[[#This Row],[se]])</f>
        <v>-7.9541252497317139E-6</v>
      </c>
      <c r="BO1431" s="20">
        <f>Table1347456[[#This Row],[lnrr]]+(1.96 * Table1347456[[#This Row],[se]])</f>
        <v>0.86573611871780742</v>
      </c>
    </row>
    <row r="1432" spans="1:67">
      <c r="A1432" s="13" t="s">
        <v>430</v>
      </c>
      <c r="B1432" s="13" t="s">
        <v>431</v>
      </c>
      <c r="C1432" s="13" t="s">
        <v>43</v>
      </c>
      <c r="D1432" s="13" t="s">
        <v>432</v>
      </c>
      <c r="E1432" s="13" t="s">
        <v>97</v>
      </c>
      <c r="F1432" s="13" t="s">
        <v>588</v>
      </c>
      <c r="G1432" s="13" t="s">
        <v>46</v>
      </c>
      <c r="H1432" s="13">
        <v>26.35</v>
      </c>
      <c r="I1432" s="13">
        <v>195</v>
      </c>
      <c r="K1432" s="13" t="s">
        <v>951</v>
      </c>
      <c r="L1432" s="13" t="s">
        <v>952</v>
      </c>
      <c r="N1432" s="13" t="s">
        <v>400</v>
      </c>
      <c r="O1432" s="13" t="s">
        <v>644</v>
      </c>
      <c r="P1432" s="13" t="s">
        <v>87</v>
      </c>
      <c r="Q1432" s="13" t="s">
        <v>48</v>
      </c>
      <c r="R1432" s="4">
        <v>3</v>
      </c>
      <c r="S1432" s="13" t="s">
        <v>594</v>
      </c>
      <c r="T1432" s="13">
        <v>730</v>
      </c>
      <c r="U1432" s="4" t="s">
        <v>338</v>
      </c>
      <c r="V1432" s="4" t="s">
        <v>46</v>
      </c>
      <c r="W1432" s="4" t="s">
        <v>46</v>
      </c>
      <c r="X1432" s="4" t="s">
        <v>46</v>
      </c>
      <c r="Y1432" s="4">
        <v>10</v>
      </c>
      <c r="AA1432" s="4" t="s">
        <v>49</v>
      </c>
      <c r="AB1432" s="4">
        <v>0</v>
      </c>
      <c r="AC1432" s="4" t="s">
        <v>49</v>
      </c>
      <c r="AD1432" s="4">
        <v>0</v>
      </c>
      <c r="AE1432" s="4" t="s">
        <v>49</v>
      </c>
      <c r="AF1432" s="4">
        <v>0</v>
      </c>
      <c r="AG1432" s="4" t="s">
        <v>742</v>
      </c>
      <c r="AH1432" s="4" t="s">
        <v>740</v>
      </c>
      <c r="AI1432" s="4" t="s">
        <v>64</v>
      </c>
      <c r="AJ1432" s="13">
        <v>0</v>
      </c>
      <c r="AK1432" s="13">
        <v>15</v>
      </c>
      <c r="AM1432" s="13" t="s">
        <v>569</v>
      </c>
      <c r="AP1432" s="13" t="s">
        <v>49</v>
      </c>
      <c r="AQ1432" s="13" t="s">
        <v>49</v>
      </c>
      <c r="AR1432" s="13" t="s">
        <v>49</v>
      </c>
      <c r="AS1432" s="13" t="s">
        <v>49</v>
      </c>
      <c r="AT1432" s="13" t="s">
        <v>990</v>
      </c>
      <c r="AU1432" s="13" t="s">
        <v>998</v>
      </c>
      <c r="AV1432" s="14">
        <f>(0.65*39.1*10)/1000</f>
        <v>0.25415000000000004</v>
      </c>
      <c r="AW1432" s="14">
        <f>(0.24*39.1*10)/1000</f>
        <v>9.3840000000000007E-2</v>
      </c>
      <c r="AX1432" s="14">
        <f>Table1347456[[#This Row],[treatment_mean]]/Table1347456[[#This Row],[control_mean]]</f>
        <v>2.7083333333333335</v>
      </c>
      <c r="AY1432" s="14">
        <f>LN(Table1347456[[#This Row],[rr]])</f>
        <v>0.99633343954769149</v>
      </c>
      <c r="AZ1432" s="13">
        <v>3</v>
      </c>
      <c r="BA1432" s="13">
        <v>3</v>
      </c>
      <c r="BB1432" s="14">
        <v>0</v>
      </c>
      <c r="BC1432" s="14">
        <v>0</v>
      </c>
      <c r="BD1432" s="15">
        <f>Table1347456[[#This Row],[treatment_se]]*SQRT(Table1347456[[#This Row],[treatment_n]])</f>
        <v>0</v>
      </c>
      <c r="BE1432" s="14">
        <f>Table1347456[[#This Row],[control_se]]*SQRT(Table1347456[[#This Row],[control_n]])</f>
        <v>0</v>
      </c>
      <c r="BF143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32" s="17">
        <f>SQRT(Table1347456[[#This Row],[v_from_sd_and_n]])</f>
        <v>0</v>
      </c>
      <c r="BH1432" s="13" t="s">
        <v>49</v>
      </c>
      <c r="BI1432" s="13">
        <v>0.05</v>
      </c>
      <c r="BJ1432" s="18">
        <f>ABS(_xlfn.NORM.S.INV(Table1347456[[#This Row],[p_value]]/2))</f>
        <v>1.9599639845400538</v>
      </c>
      <c r="BK1432" s="19">
        <f>(Table1347456[[#This Row],[lnrr]]/Table1347456[[#This Row],[z_from_p]])^2</f>
        <v>0.25841232955910309</v>
      </c>
      <c r="BL1432" s="16">
        <f>(Table1347456[[#This Row],[lnrr]]/Table1347456[[#This Row],[z_from_p]])^2</f>
        <v>0.25841232955910309</v>
      </c>
      <c r="BM1432" s="20">
        <f>SQRT(Table1347456[[#This Row],[v]])</f>
        <v>0.5083427284412585</v>
      </c>
      <c r="BN1432" s="20">
        <f>Table1347456[[#This Row],[lnrr]]-(1.96*Table1347456[[#This Row],[se]])</f>
        <v>-1.8308197175187502E-5</v>
      </c>
      <c r="BO1432" s="20">
        <f>Table1347456[[#This Row],[lnrr]]+(1.96 * Table1347456[[#This Row],[se]])</f>
        <v>1.9926851872925582</v>
      </c>
    </row>
    <row r="1433" spans="1:67">
      <c r="A1433" s="13" t="s">
        <v>430</v>
      </c>
      <c r="B1433" s="13" t="s">
        <v>431</v>
      </c>
      <c r="C1433" s="13" t="s">
        <v>43</v>
      </c>
      <c r="D1433" s="13" t="s">
        <v>432</v>
      </c>
      <c r="E1433" s="13" t="s">
        <v>97</v>
      </c>
      <c r="F1433" s="13" t="s">
        <v>588</v>
      </c>
      <c r="G1433" s="13" t="s">
        <v>46</v>
      </c>
      <c r="H1433" s="13">
        <v>26.35</v>
      </c>
      <c r="I1433" s="13">
        <v>195</v>
      </c>
      <c r="K1433" s="13" t="s">
        <v>951</v>
      </c>
      <c r="L1433" s="13" t="s">
        <v>952</v>
      </c>
      <c r="N1433" s="13" t="s">
        <v>668</v>
      </c>
      <c r="O1433" s="13" t="s">
        <v>668</v>
      </c>
      <c r="P1433" s="13" t="s">
        <v>87</v>
      </c>
      <c r="Q1433" s="13" t="s">
        <v>87</v>
      </c>
      <c r="R1433" s="4">
        <v>3</v>
      </c>
      <c r="S1433" s="13" t="s">
        <v>594</v>
      </c>
      <c r="T1433" s="13">
        <v>730</v>
      </c>
      <c r="U1433" s="4" t="s">
        <v>338</v>
      </c>
      <c r="V1433" s="4" t="s">
        <v>46</v>
      </c>
      <c r="W1433" s="4" t="s">
        <v>46</v>
      </c>
      <c r="X1433" s="4" t="s">
        <v>46</v>
      </c>
      <c r="Y1433" s="4">
        <v>5</v>
      </c>
      <c r="AA1433" s="4" t="s">
        <v>49</v>
      </c>
      <c r="AB1433" s="4">
        <v>0</v>
      </c>
      <c r="AC1433" s="4" t="s">
        <v>49</v>
      </c>
      <c r="AD1433" s="4">
        <v>0</v>
      </c>
      <c r="AE1433" s="4" t="s">
        <v>49</v>
      </c>
      <c r="AF1433" s="4">
        <v>0</v>
      </c>
      <c r="AG1433" s="4" t="s">
        <v>742</v>
      </c>
      <c r="AH1433" s="4" t="s">
        <v>740</v>
      </c>
      <c r="AI1433" s="4" t="s">
        <v>64</v>
      </c>
      <c r="AJ1433" s="13">
        <v>0</v>
      </c>
      <c r="AK1433" s="13">
        <v>15</v>
      </c>
      <c r="AM1433" s="13" t="s">
        <v>569</v>
      </c>
      <c r="AP1433" s="13" t="s">
        <v>49</v>
      </c>
      <c r="AQ1433" s="13" t="s">
        <v>49</v>
      </c>
      <c r="AR1433" s="13" t="s">
        <v>49</v>
      </c>
      <c r="AS1433" s="13" t="s">
        <v>49</v>
      </c>
      <c r="AT1433" s="13" t="s">
        <v>990</v>
      </c>
      <c r="AU1433" s="13" t="s">
        <v>998</v>
      </c>
      <c r="AV1433" s="14">
        <v>6.33</v>
      </c>
      <c r="AW1433" s="14">
        <v>5.25</v>
      </c>
      <c r="AX1433" s="14">
        <f>Table1347456[[#This Row],[treatment_mean]]/Table1347456[[#This Row],[control_mean]]</f>
        <v>1.2057142857142857</v>
      </c>
      <c r="AY1433" s="14">
        <f>LN(Table1347456[[#This Row],[rr]])</f>
        <v>0.18707215955255246</v>
      </c>
      <c r="AZ1433" s="13">
        <v>3</v>
      </c>
      <c r="BA1433" s="13">
        <v>3</v>
      </c>
      <c r="BB1433" s="14">
        <v>0</v>
      </c>
      <c r="BC1433" s="14">
        <v>0</v>
      </c>
      <c r="BD1433" s="15">
        <f>Table1347456[[#This Row],[treatment_se]]*SQRT(Table1347456[[#This Row],[treatment_n]])</f>
        <v>0</v>
      </c>
      <c r="BE1433" s="14">
        <f>Table1347456[[#This Row],[control_se]]*SQRT(Table1347456[[#This Row],[control_n]])</f>
        <v>0</v>
      </c>
      <c r="BF143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33" s="17">
        <f>SQRT(Table1347456[[#This Row],[v_from_sd_and_n]])</f>
        <v>0</v>
      </c>
      <c r="BH1433" s="13" t="s">
        <v>49</v>
      </c>
      <c r="BI1433" s="13">
        <v>0.05</v>
      </c>
      <c r="BJ1433" s="18">
        <f>ABS(_xlfn.NORM.S.INV(Table1347456[[#This Row],[p_value]]/2))</f>
        <v>1.9599639845400538</v>
      </c>
      <c r="BK1433" s="19">
        <f>(Table1347456[[#This Row],[lnrr]]/Table1347456[[#This Row],[z_from_p]])^2</f>
        <v>9.1100788823065201E-3</v>
      </c>
      <c r="BL1433" s="16">
        <f>(Table1347456[[#This Row],[lnrr]]/Table1347456[[#This Row],[z_from_p]])^2</f>
        <v>9.1100788823065201E-3</v>
      </c>
      <c r="BM1433" s="20">
        <f>SQRT(Table1347456[[#This Row],[v]])</f>
        <v>9.5446733219668234E-2</v>
      </c>
      <c r="BN1433" s="20">
        <f>Table1347456[[#This Row],[lnrr]]-(1.96*Table1347456[[#This Row],[se]])</f>
        <v>-3.4375579972822923E-6</v>
      </c>
      <c r="BO1433" s="20">
        <f>Table1347456[[#This Row],[lnrr]]+(1.96 * Table1347456[[#This Row],[se]])</f>
        <v>0.37414775666310218</v>
      </c>
    </row>
    <row r="1434" spans="1:67">
      <c r="A1434" s="13" t="s">
        <v>430</v>
      </c>
      <c r="B1434" s="13" t="s">
        <v>431</v>
      </c>
      <c r="C1434" s="13" t="s">
        <v>43</v>
      </c>
      <c r="D1434" s="13" t="s">
        <v>432</v>
      </c>
      <c r="E1434" s="13" t="s">
        <v>97</v>
      </c>
      <c r="F1434" s="13" t="s">
        <v>588</v>
      </c>
      <c r="G1434" s="13" t="s">
        <v>46</v>
      </c>
      <c r="H1434" s="13">
        <v>26.35</v>
      </c>
      <c r="I1434" s="13">
        <v>195</v>
      </c>
      <c r="K1434" s="13" t="s">
        <v>951</v>
      </c>
      <c r="L1434" s="13" t="s">
        <v>952</v>
      </c>
      <c r="N1434" s="13" t="s">
        <v>668</v>
      </c>
      <c r="O1434" s="13" t="s">
        <v>668</v>
      </c>
      <c r="P1434" s="13" t="s">
        <v>87</v>
      </c>
      <c r="Q1434" s="13" t="s">
        <v>87</v>
      </c>
      <c r="R1434" s="4">
        <v>3</v>
      </c>
      <c r="S1434" s="13" t="s">
        <v>594</v>
      </c>
      <c r="T1434" s="13">
        <v>730</v>
      </c>
      <c r="U1434" s="4" t="s">
        <v>338</v>
      </c>
      <c r="V1434" s="4" t="s">
        <v>46</v>
      </c>
      <c r="W1434" s="4" t="s">
        <v>46</v>
      </c>
      <c r="X1434" s="4" t="s">
        <v>46</v>
      </c>
      <c r="Y1434" s="4">
        <v>10</v>
      </c>
      <c r="AA1434" s="4" t="s">
        <v>49</v>
      </c>
      <c r="AB1434" s="4">
        <v>0</v>
      </c>
      <c r="AC1434" s="4" t="s">
        <v>49</v>
      </c>
      <c r="AD1434" s="4">
        <v>0</v>
      </c>
      <c r="AE1434" s="4" t="s">
        <v>49</v>
      </c>
      <c r="AF1434" s="4">
        <v>0</v>
      </c>
      <c r="AG1434" s="4" t="s">
        <v>742</v>
      </c>
      <c r="AH1434" s="4" t="s">
        <v>740</v>
      </c>
      <c r="AI1434" s="4" t="s">
        <v>64</v>
      </c>
      <c r="AJ1434" s="13">
        <v>0</v>
      </c>
      <c r="AK1434" s="13">
        <v>15</v>
      </c>
      <c r="AM1434" s="13" t="s">
        <v>569</v>
      </c>
      <c r="AP1434" s="13" t="s">
        <v>49</v>
      </c>
      <c r="AQ1434" s="13" t="s">
        <v>49</v>
      </c>
      <c r="AR1434" s="13" t="s">
        <v>49</v>
      </c>
      <c r="AS1434" s="13" t="s">
        <v>49</v>
      </c>
      <c r="AT1434" s="13" t="s">
        <v>990</v>
      </c>
      <c r="AU1434" s="13" t="s">
        <v>998</v>
      </c>
      <c r="AV1434" s="14">
        <v>8.0500000000000007</v>
      </c>
      <c r="AW1434" s="14">
        <v>5.25</v>
      </c>
      <c r="AX1434" s="14">
        <f>Table1347456[[#This Row],[treatment_mean]]/Table1347456[[#This Row],[control_mean]]</f>
        <v>1.5333333333333334</v>
      </c>
      <c r="AY1434" s="14">
        <f>LN(Table1347456[[#This Row],[rr]])</f>
        <v>0.42744401482693967</v>
      </c>
      <c r="AZ1434" s="13">
        <v>3</v>
      </c>
      <c r="BA1434" s="13">
        <v>3</v>
      </c>
      <c r="BB1434" s="14">
        <v>0</v>
      </c>
      <c r="BC1434" s="14">
        <v>0</v>
      </c>
      <c r="BD1434" s="15">
        <f>Table1347456[[#This Row],[treatment_se]]*SQRT(Table1347456[[#This Row],[treatment_n]])</f>
        <v>0</v>
      </c>
      <c r="BE1434" s="14">
        <f>Table1347456[[#This Row],[control_se]]*SQRT(Table1347456[[#This Row],[control_n]])</f>
        <v>0</v>
      </c>
      <c r="BF143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34" s="17">
        <f>SQRT(Table1347456[[#This Row],[v_from_sd_and_n]])</f>
        <v>0</v>
      </c>
      <c r="BH1434" s="13" t="s">
        <v>49</v>
      </c>
      <c r="BI1434" s="13">
        <v>0.05</v>
      </c>
      <c r="BJ1434" s="18">
        <f>ABS(_xlfn.NORM.S.INV(Table1347456[[#This Row],[p_value]]/2))</f>
        <v>1.9599639845400538</v>
      </c>
      <c r="BK1434" s="19">
        <f>(Table1347456[[#This Row],[lnrr]]/Table1347456[[#This Row],[z_from_p]])^2</f>
        <v>4.7562239851983865E-2</v>
      </c>
      <c r="BL1434" s="16">
        <f>(Table1347456[[#This Row],[lnrr]]/Table1347456[[#This Row],[z_from_p]])^2</f>
        <v>4.7562239851983865E-2</v>
      </c>
      <c r="BM1434" s="20">
        <f>SQRT(Table1347456[[#This Row],[v]])</f>
        <v>0.21808768844660595</v>
      </c>
      <c r="BN1434" s="20">
        <f>Table1347456[[#This Row],[lnrr]]-(1.96*Table1347456[[#This Row],[se]])</f>
        <v>-7.8545284079578614E-6</v>
      </c>
      <c r="BO1434" s="20">
        <f>Table1347456[[#This Row],[lnrr]]+(1.96 * Table1347456[[#This Row],[se]])</f>
        <v>0.85489588418228735</v>
      </c>
    </row>
    <row r="1435" spans="1:67">
      <c r="A1435" s="13" t="s">
        <v>433</v>
      </c>
      <c r="B1435" s="13" t="s">
        <v>434</v>
      </c>
      <c r="C1435" s="13" t="s">
        <v>43</v>
      </c>
      <c r="D1435" s="13" t="s">
        <v>435</v>
      </c>
      <c r="E1435" s="13" t="s">
        <v>91</v>
      </c>
      <c r="F1435" s="13" t="s">
        <v>587</v>
      </c>
      <c r="G1435" s="13" t="s">
        <v>436</v>
      </c>
      <c r="H1435" s="13">
        <v>13</v>
      </c>
      <c r="I1435" s="13">
        <v>697</v>
      </c>
      <c r="K1435" s="13" t="s">
        <v>953</v>
      </c>
      <c r="L1435" s="13" t="s">
        <v>954</v>
      </c>
      <c r="N1435" s="13" t="s">
        <v>47</v>
      </c>
      <c r="O1435" s="13" t="s">
        <v>645</v>
      </c>
      <c r="P1435" s="13" t="s">
        <v>48</v>
      </c>
      <c r="Q1435" s="13" t="s">
        <v>48</v>
      </c>
      <c r="R1435" s="4">
        <v>3</v>
      </c>
      <c r="S1435" s="13" t="s">
        <v>594</v>
      </c>
      <c r="T1435" s="13">
        <v>1095</v>
      </c>
      <c r="U1435" s="4" t="s">
        <v>200</v>
      </c>
      <c r="V1435" s="4">
        <v>550</v>
      </c>
      <c r="W1435" s="4" t="s">
        <v>601</v>
      </c>
      <c r="X1435" s="4">
        <v>467</v>
      </c>
      <c r="Y1435" s="4">
        <v>20</v>
      </c>
      <c r="AA1435" s="4" t="s">
        <v>49</v>
      </c>
      <c r="AB1435" s="4">
        <v>0</v>
      </c>
      <c r="AC1435" s="4" t="s">
        <v>49</v>
      </c>
      <c r="AD1435" s="4">
        <v>0</v>
      </c>
      <c r="AE1435" s="4" t="s">
        <v>49</v>
      </c>
      <c r="AF1435" s="4">
        <v>0</v>
      </c>
      <c r="AG1435" s="4" t="s">
        <v>46</v>
      </c>
      <c r="AH1435" s="4" t="s">
        <v>703</v>
      </c>
      <c r="AI1435" s="4" t="s">
        <v>64</v>
      </c>
      <c r="AJ1435" s="13">
        <v>0</v>
      </c>
      <c r="AK1435" s="13">
        <v>10</v>
      </c>
      <c r="AM1435" s="13" t="s">
        <v>570</v>
      </c>
      <c r="AP1435" s="13" t="s">
        <v>50</v>
      </c>
      <c r="AQ1435" s="13" t="s">
        <v>49</v>
      </c>
      <c r="AR1435" s="13" t="s">
        <v>49</v>
      </c>
      <c r="AS1435" s="13" t="s">
        <v>49</v>
      </c>
      <c r="AT1435" s="13" t="s">
        <v>990</v>
      </c>
      <c r="AU1435" s="13" t="s">
        <v>998</v>
      </c>
      <c r="AV1435" s="14">
        <v>0.95</v>
      </c>
      <c r="AW1435" s="14">
        <v>0.87</v>
      </c>
      <c r="AX1435" s="14">
        <f>Table1347456[[#This Row],[treatment_mean]]/Table1347456[[#This Row],[control_mean]]</f>
        <v>1.0919540229885056</v>
      </c>
      <c r="AY1435" s="14">
        <f>LN(Table1347456[[#This Row],[rr]])</f>
        <v>8.7968772945957008E-2</v>
      </c>
      <c r="AZ1435" s="13">
        <v>3</v>
      </c>
      <c r="BA1435" s="13">
        <v>3</v>
      </c>
      <c r="BB1435" s="14">
        <v>0</v>
      </c>
      <c r="BC1435" s="14">
        <v>0</v>
      </c>
      <c r="BD1435" s="15">
        <f>Table1347456[[#This Row],[treatment_se]]*SQRT(Table1347456[[#This Row],[treatment_n]])</f>
        <v>0</v>
      </c>
      <c r="BE1435" s="14">
        <f>Table1347456[[#This Row],[control_se]]*SQRT(Table1347456[[#This Row],[control_n]])</f>
        <v>0</v>
      </c>
      <c r="BF143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35" s="17">
        <f>SQRT(Table1347456[[#This Row],[v_from_sd_and_n]])</f>
        <v>0</v>
      </c>
      <c r="BH1435" s="13" t="s">
        <v>50</v>
      </c>
      <c r="BI1435" s="13">
        <v>2.5000000000000001E-2</v>
      </c>
      <c r="BJ1435" s="18">
        <f>ABS(_xlfn.NORM.S.INV(Table1347456[[#This Row],[p_value]]/2))</f>
        <v>2.2414027276049446</v>
      </c>
      <c r="BK1435" s="19">
        <f>(Table1347456[[#This Row],[lnrr]]/Table1347456[[#This Row],[z_from_p]])^2</f>
        <v>1.5403424212030836E-3</v>
      </c>
      <c r="BL1435" s="16">
        <f>(Table1347456[[#This Row],[lnrr]]/Table1347456[[#This Row],[z_from_p]])^2</f>
        <v>1.5403424212030836E-3</v>
      </c>
      <c r="BM1435" s="20">
        <f>SQRT(Table1347456[[#This Row],[v]])</f>
        <v>3.924719634831364E-2</v>
      </c>
      <c r="BN1435" s="20">
        <f>Table1347456[[#This Row],[lnrr]]-(1.96*Table1347456[[#This Row],[se]])</f>
        <v>1.104426810326227E-2</v>
      </c>
      <c r="BO1435" s="20">
        <f>Table1347456[[#This Row],[lnrr]]+(1.96 * Table1347456[[#This Row],[se]])</f>
        <v>0.16489327778865176</v>
      </c>
    </row>
    <row r="1436" spans="1:67">
      <c r="A1436" s="13" t="s">
        <v>433</v>
      </c>
      <c r="B1436" s="13" t="s">
        <v>434</v>
      </c>
      <c r="C1436" s="13" t="s">
        <v>43</v>
      </c>
      <c r="D1436" s="13" t="s">
        <v>435</v>
      </c>
      <c r="E1436" s="13" t="s">
        <v>91</v>
      </c>
      <c r="F1436" s="13" t="s">
        <v>587</v>
      </c>
      <c r="G1436" s="13" t="s">
        <v>436</v>
      </c>
      <c r="H1436" s="13">
        <v>13</v>
      </c>
      <c r="I1436" s="13">
        <v>697</v>
      </c>
      <c r="K1436" s="13" t="s">
        <v>953</v>
      </c>
      <c r="L1436" s="13" t="s">
        <v>954</v>
      </c>
      <c r="N1436" s="13" t="s">
        <v>47</v>
      </c>
      <c r="O1436" s="13" t="s">
        <v>645</v>
      </c>
      <c r="P1436" s="13" t="s">
        <v>48</v>
      </c>
      <c r="Q1436" s="13" t="s">
        <v>48</v>
      </c>
      <c r="R1436" s="4">
        <v>3</v>
      </c>
      <c r="S1436" s="13" t="s">
        <v>594</v>
      </c>
      <c r="T1436" s="13">
        <v>1095</v>
      </c>
      <c r="U1436" s="4" t="s">
        <v>200</v>
      </c>
      <c r="V1436" s="4">
        <v>550</v>
      </c>
      <c r="W1436" s="4" t="s">
        <v>601</v>
      </c>
      <c r="X1436" s="4">
        <v>467</v>
      </c>
      <c r="Y1436" s="4">
        <v>40</v>
      </c>
      <c r="AA1436" s="4" t="s">
        <v>49</v>
      </c>
      <c r="AB1436" s="4">
        <v>0</v>
      </c>
      <c r="AC1436" s="4" t="s">
        <v>49</v>
      </c>
      <c r="AD1436" s="4">
        <v>0</v>
      </c>
      <c r="AE1436" s="4" t="s">
        <v>49</v>
      </c>
      <c r="AF1436" s="4">
        <v>0</v>
      </c>
      <c r="AG1436" s="4" t="s">
        <v>46</v>
      </c>
      <c r="AH1436" s="4" t="s">
        <v>703</v>
      </c>
      <c r="AI1436" s="4" t="s">
        <v>64</v>
      </c>
      <c r="AJ1436" s="13">
        <v>0</v>
      </c>
      <c r="AK1436" s="13">
        <v>10</v>
      </c>
      <c r="AM1436" s="13" t="s">
        <v>570</v>
      </c>
      <c r="AP1436" s="13" t="s">
        <v>50</v>
      </c>
      <c r="AQ1436" s="13" t="s">
        <v>49</v>
      </c>
      <c r="AR1436" s="13" t="s">
        <v>49</v>
      </c>
      <c r="AS1436" s="13" t="s">
        <v>49</v>
      </c>
      <c r="AT1436" s="13" t="s">
        <v>990</v>
      </c>
      <c r="AU1436" s="13" t="s">
        <v>998</v>
      </c>
      <c r="AV1436" s="14">
        <v>0.99</v>
      </c>
      <c r="AW1436" s="14">
        <v>0.87</v>
      </c>
      <c r="AX1436" s="14">
        <f>Table1347456[[#This Row],[treatment_mean]]/Table1347456[[#This Row],[control_mean]]</f>
        <v>1.1379310344827587</v>
      </c>
      <c r="AY1436" s="14">
        <f>LN(Table1347456[[#This Row],[rr]])</f>
        <v>0.12921173148000625</v>
      </c>
      <c r="AZ1436" s="13">
        <v>3</v>
      </c>
      <c r="BA1436" s="13">
        <v>3</v>
      </c>
      <c r="BB1436" s="14">
        <v>0</v>
      </c>
      <c r="BC1436" s="14">
        <v>0</v>
      </c>
      <c r="BD1436" s="15">
        <f>Table1347456[[#This Row],[treatment_se]]*SQRT(Table1347456[[#This Row],[treatment_n]])</f>
        <v>0</v>
      </c>
      <c r="BE1436" s="14">
        <f>Table1347456[[#This Row],[control_se]]*SQRT(Table1347456[[#This Row],[control_n]])</f>
        <v>0</v>
      </c>
      <c r="BF143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36" s="17">
        <f>SQRT(Table1347456[[#This Row],[v_from_sd_and_n]])</f>
        <v>0</v>
      </c>
      <c r="BH1436" s="13" t="s">
        <v>50</v>
      </c>
      <c r="BI1436" s="13">
        <v>2.5000000000000001E-2</v>
      </c>
      <c r="BJ1436" s="18">
        <f>ABS(_xlfn.NORM.S.INV(Table1347456[[#This Row],[p_value]]/2))</f>
        <v>2.2414027276049446</v>
      </c>
      <c r="BK1436" s="19">
        <f>(Table1347456[[#This Row],[lnrr]]/Table1347456[[#This Row],[z_from_p]])^2</f>
        <v>3.3232583162845428E-3</v>
      </c>
      <c r="BL1436" s="16">
        <f>(Table1347456[[#This Row],[lnrr]]/Table1347456[[#This Row],[z_from_p]])^2</f>
        <v>3.3232583162845428E-3</v>
      </c>
      <c r="BM1436" s="20">
        <f>SQRT(Table1347456[[#This Row],[v]])</f>
        <v>5.7647708681998304E-2</v>
      </c>
      <c r="BN1436" s="20">
        <f>Table1347456[[#This Row],[lnrr]]-(1.96*Table1347456[[#This Row],[se]])</f>
        <v>1.6222222463289582E-2</v>
      </c>
      <c r="BO1436" s="20">
        <f>Table1347456[[#This Row],[lnrr]]+(1.96 * Table1347456[[#This Row],[se]])</f>
        <v>0.24220124049672292</v>
      </c>
    </row>
    <row r="1437" spans="1:67">
      <c r="A1437" s="13" t="s">
        <v>433</v>
      </c>
      <c r="B1437" s="13" t="s">
        <v>434</v>
      </c>
      <c r="C1437" s="13" t="s">
        <v>43</v>
      </c>
      <c r="D1437" s="13" t="s">
        <v>435</v>
      </c>
      <c r="E1437" s="13" t="s">
        <v>91</v>
      </c>
      <c r="F1437" s="13" t="s">
        <v>587</v>
      </c>
      <c r="G1437" s="13" t="s">
        <v>436</v>
      </c>
      <c r="H1437" s="13">
        <v>13</v>
      </c>
      <c r="I1437" s="13">
        <v>697</v>
      </c>
      <c r="K1437" s="13" t="s">
        <v>953</v>
      </c>
      <c r="L1437" s="13" t="s">
        <v>954</v>
      </c>
      <c r="N1437" s="13" t="s">
        <v>316</v>
      </c>
      <c r="O1437" s="13" t="s">
        <v>644</v>
      </c>
      <c r="P1437" s="13" t="s">
        <v>85</v>
      </c>
      <c r="Q1437" s="13" t="s">
        <v>48</v>
      </c>
      <c r="R1437" s="4">
        <v>3</v>
      </c>
      <c r="S1437" s="13" t="s">
        <v>594</v>
      </c>
      <c r="T1437" s="13">
        <v>1095</v>
      </c>
      <c r="U1437" s="4" t="s">
        <v>200</v>
      </c>
      <c r="V1437" s="4">
        <v>550</v>
      </c>
      <c r="W1437" s="4" t="s">
        <v>601</v>
      </c>
      <c r="X1437" s="4">
        <v>467</v>
      </c>
      <c r="Y1437" s="4">
        <v>20</v>
      </c>
      <c r="AA1437" s="4" t="s">
        <v>49</v>
      </c>
      <c r="AB1437" s="4">
        <v>0</v>
      </c>
      <c r="AC1437" s="4" t="s">
        <v>49</v>
      </c>
      <c r="AD1437" s="4">
        <v>0</v>
      </c>
      <c r="AE1437" s="4" t="s">
        <v>49</v>
      </c>
      <c r="AF1437" s="4">
        <v>0</v>
      </c>
      <c r="AG1437" s="4" t="s">
        <v>46</v>
      </c>
      <c r="AH1437" s="4" t="s">
        <v>703</v>
      </c>
      <c r="AI1437" s="4" t="s">
        <v>64</v>
      </c>
      <c r="AJ1437" s="13">
        <v>0</v>
      </c>
      <c r="AK1437" s="13">
        <v>10</v>
      </c>
      <c r="AM1437" s="13" t="s">
        <v>570</v>
      </c>
      <c r="AP1437" s="13" t="s">
        <v>50</v>
      </c>
      <c r="AQ1437" s="13" t="s">
        <v>49</v>
      </c>
      <c r="AR1437" s="13" t="s">
        <v>49</v>
      </c>
      <c r="AS1437" s="13" t="s">
        <v>49</v>
      </c>
      <c r="AT1437" s="13" t="s">
        <v>990</v>
      </c>
      <c r="AU1437" s="13" t="s">
        <v>998</v>
      </c>
      <c r="AV1437" s="14">
        <f>75.72/1000</f>
        <v>7.5719999999999996E-2</v>
      </c>
      <c r="AW1437" s="14">
        <f>73.97/1000</f>
        <v>7.3969999999999994E-2</v>
      </c>
      <c r="AX1437" s="14">
        <f>Table1347456[[#This Row],[treatment_mean]]/Table1347456[[#This Row],[control_mean]]</f>
        <v>1.0236582398269569</v>
      </c>
      <c r="AY1437" s="14">
        <f>LN(Table1347456[[#This Row],[rr]])</f>
        <v>2.3382720741345852E-2</v>
      </c>
      <c r="AZ1437" s="13">
        <v>3</v>
      </c>
      <c r="BA1437" s="13">
        <v>3</v>
      </c>
      <c r="BB1437" s="14">
        <v>0</v>
      </c>
      <c r="BC1437" s="14">
        <v>0</v>
      </c>
      <c r="BD1437" s="15">
        <f>Table1347456[[#This Row],[treatment_se]]*SQRT(Table1347456[[#This Row],[treatment_n]])</f>
        <v>0</v>
      </c>
      <c r="BE1437" s="14">
        <f>Table1347456[[#This Row],[control_se]]*SQRT(Table1347456[[#This Row],[control_n]])</f>
        <v>0</v>
      </c>
      <c r="BF143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37" s="17">
        <f>SQRT(Table1347456[[#This Row],[v_from_sd_and_n]])</f>
        <v>0</v>
      </c>
      <c r="BH1437" s="13" t="s">
        <v>50</v>
      </c>
      <c r="BI1437" s="13">
        <v>2.5000000000000001E-2</v>
      </c>
      <c r="BJ1437" s="18">
        <f>ABS(_xlfn.NORM.S.INV(Table1347456[[#This Row],[p_value]]/2))</f>
        <v>2.2414027276049446</v>
      </c>
      <c r="BK1437" s="19">
        <f>(Table1347456[[#This Row],[lnrr]]/Table1347456[[#This Row],[z_from_p]])^2</f>
        <v>1.0883041710783413E-4</v>
      </c>
      <c r="BL1437" s="16">
        <f>(Table1347456[[#This Row],[lnrr]]/Table1347456[[#This Row],[z_from_p]])^2</f>
        <v>1.0883041710783413E-4</v>
      </c>
      <c r="BM1437" s="20">
        <f>SQRT(Table1347456[[#This Row],[v]])</f>
        <v>1.0432181799980008E-2</v>
      </c>
      <c r="BN1437" s="20">
        <f>Table1347456[[#This Row],[lnrr]]-(1.96*Table1347456[[#This Row],[se]])</f>
        <v>2.9356444133850357E-3</v>
      </c>
      <c r="BO1437" s="20">
        <f>Table1347456[[#This Row],[lnrr]]+(1.96 * Table1347456[[#This Row],[se]])</f>
        <v>4.3829797069306668E-2</v>
      </c>
    </row>
    <row r="1438" spans="1:67">
      <c r="A1438" s="13" t="s">
        <v>433</v>
      </c>
      <c r="B1438" s="13" t="s">
        <v>434</v>
      </c>
      <c r="C1438" s="13" t="s">
        <v>43</v>
      </c>
      <c r="D1438" s="13" t="s">
        <v>435</v>
      </c>
      <c r="E1438" s="13" t="s">
        <v>91</v>
      </c>
      <c r="F1438" s="13" t="s">
        <v>587</v>
      </c>
      <c r="G1438" s="13" t="s">
        <v>436</v>
      </c>
      <c r="H1438" s="13">
        <v>13</v>
      </c>
      <c r="I1438" s="13">
        <v>697</v>
      </c>
      <c r="K1438" s="13" t="s">
        <v>953</v>
      </c>
      <c r="L1438" s="13" t="s">
        <v>954</v>
      </c>
      <c r="N1438" s="13" t="s">
        <v>316</v>
      </c>
      <c r="O1438" s="13" t="s">
        <v>644</v>
      </c>
      <c r="P1438" s="13" t="s">
        <v>85</v>
      </c>
      <c r="Q1438" s="13" t="s">
        <v>48</v>
      </c>
      <c r="R1438" s="4">
        <v>3</v>
      </c>
      <c r="S1438" s="13" t="s">
        <v>594</v>
      </c>
      <c r="T1438" s="13">
        <v>1095</v>
      </c>
      <c r="U1438" s="4" t="s">
        <v>200</v>
      </c>
      <c r="V1438" s="4">
        <v>550</v>
      </c>
      <c r="W1438" s="4" t="s">
        <v>601</v>
      </c>
      <c r="X1438" s="4">
        <v>467</v>
      </c>
      <c r="Y1438" s="4">
        <v>40</v>
      </c>
      <c r="AA1438" s="4" t="s">
        <v>49</v>
      </c>
      <c r="AB1438" s="4">
        <v>0</v>
      </c>
      <c r="AC1438" s="4" t="s">
        <v>49</v>
      </c>
      <c r="AD1438" s="4">
        <v>0</v>
      </c>
      <c r="AE1438" s="4" t="s">
        <v>49</v>
      </c>
      <c r="AF1438" s="4">
        <v>0</v>
      </c>
      <c r="AG1438" s="4" t="s">
        <v>46</v>
      </c>
      <c r="AH1438" s="4" t="s">
        <v>703</v>
      </c>
      <c r="AI1438" s="4" t="s">
        <v>64</v>
      </c>
      <c r="AJ1438" s="13">
        <v>0</v>
      </c>
      <c r="AK1438" s="13">
        <v>10</v>
      </c>
      <c r="AM1438" s="13" t="s">
        <v>570</v>
      </c>
      <c r="AP1438" s="13" t="s">
        <v>50</v>
      </c>
      <c r="AQ1438" s="13" t="s">
        <v>49</v>
      </c>
      <c r="AR1438" s="13" t="s">
        <v>49</v>
      </c>
      <c r="AS1438" s="13" t="s">
        <v>49</v>
      </c>
      <c r="AT1438" s="13" t="s">
        <v>990</v>
      </c>
      <c r="AU1438" s="13" t="s">
        <v>998</v>
      </c>
      <c r="AV1438" s="14">
        <f>83.3/1000</f>
        <v>8.3299999999999999E-2</v>
      </c>
      <c r="AW1438" s="14">
        <f>73.97/1000</f>
        <v>7.3969999999999994E-2</v>
      </c>
      <c r="AX1438" s="14">
        <f>Table1347456[[#This Row],[treatment_mean]]/Table1347456[[#This Row],[control_mean]]</f>
        <v>1.1261322157631473</v>
      </c>
      <c r="AY1438" s="14">
        <f>LN(Table1347456[[#This Row],[rr]])</f>
        <v>0.11878894357302075</v>
      </c>
      <c r="AZ1438" s="13">
        <v>3</v>
      </c>
      <c r="BA1438" s="13">
        <v>3</v>
      </c>
      <c r="BB1438" s="14">
        <v>0</v>
      </c>
      <c r="BC1438" s="14">
        <v>0</v>
      </c>
      <c r="BD1438" s="15">
        <f>Table1347456[[#This Row],[treatment_se]]*SQRT(Table1347456[[#This Row],[treatment_n]])</f>
        <v>0</v>
      </c>
      <c r="BE1438" s="14">
        <f>Table1347456[[#This Row],[control_se]]*SQRT(Table1347456[[#This Row],[control_n]])</f>
        <v>0</v>
      </c>
      <c r="BF143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38" s="17">
        <f>SQRT(Table1347456[[#This Row],[v_from_sd_and_n]])</f>
        <v>0</v>
      </c>
      <c r="BH1438" s="13" t="s">
        <v>50</v>
      </c>
      <c r="BI1438" s="13">
        <v>2.5000000000000001E-2</v>
      </c>
      <c r="BJ1438" s="18">
        <f>ABS(_xlfn.NORM.S.INV(Table1347456[[#This Row],[p_value]]/2))</f>
        <v>2.2414027276049446</v>
      </c>
      <c r="BK1438" s="19">
        <f>(Table1347456[[#This Row],[lnrr]]/Table1347456[[#This Row],[z_from_p]])^2</f>
        <v>2.808744583192102E-3</v>
      </c>
      <c r="BL1438" s="16">
        <f>(Table1347456[[#This Row],[lnrr]]/Table1347456[[#This Row],[z_from_p]])^2</f>
        <v>2.808744583192102E-3</v>
      </c>
      <c r="BM1438" s="20">
        <f>SQRT(Table1347456[[#This Row],[v]])</f>
        <v>5.2997590352695301E-2</v>
      </c>
      <c r="BN1438" s="20">
        <f>Table1347456[[#This Row],[lnrr]]-(1.96*Table1347456[[#This Row],[se]])</f>
        <v>1.4913666481737961E-2</v>
      </c>
      <c r="BO1438" s="20">
        <f>Table1347456[[#This Row],[lnrr]]+(1.96 * Table1347456[[#This Row],[se]])</f>
        <v>0.22266422066430352</v>
      </c>
    </row>
    <row r="1439" spans="1:67">
      <c r="A1439" s="13" t="s">
        <v>437</v>
      </c>
      <c r="B1439" s="13" t="s">
        <v>438</v>
      </c>
      <c r="C1439" s="13" t="s">
        <v>43</v>
      </c>
      <c r="D1439" s="13" t="s">
        <v>439</v>
      </c>
      <c r="E1439" s="13" t="s">
        <v>91</v>
      </c>
      <c r="F1439" s="13" t="s">
        <v>587</v>
      </c>
      <c r="G1439" s="13" t="s">
        <v>46</v>
      </c>
      <c r="H1439" s="13">
        <v>17</v>
      </c>
      <c r="I1439" s="13">
        <v>1422.4</v>
      </c>
      <c r="K1439" s="13" t="s">
        <v>955</v>
      </c>
      <c r="L1439" s="13" t="s">
        <v>956</v>
      </c>
      <c r="N1439" s="13" t="s">
        <v>668</v>
      </c>
      <c r="O1439" s="13" t="s">
        <v>668</v>
      </c>
      <c r="P1439" s="13" t="s">
        <v>87</v>
      </c>
      <c r="Q1439" s="13" t="s">
        <v>87</v>
      </c>
      <c r="R1439" s="4">
        <v>3</v>
      </c>
      <c r="S1439" s="13" t="s">
        <v>594</v>
      </c>
      <c r="T1439" s="13">
        <v>150</v>
      </c>
      <c r="U1439" s="4" t="s">
        <v>200</v>
      </c>
      <c r="V1439" s="4">
        <v>550</v>
      </c>
      <c r="W1439" s="4" t="s">
        <v>601</v>
      </c>
      <c r="X1439" s="4">
        <v>467.2</v>
      </c>
      <c r="Y1439" s="4">
        <v>10</v>
      </c>
      <c r="AA1439" s="4" t="s">
        <v>50</v>
      </c>
      <c r="AB1439" s="4">
        <v>375</v>
      </c>
      <c r="AC1439" s="4" t="s">
        <v>49</v>
      </c>
      <c r="AD1439" s="4">
        <v>0</v>
      </c>
      <c r="AE1439" s="4" t="s">
        <v>49</v>
      </c>
      <c r="AF1439" s="4">
        <v>0</v>
      </c>
      <c r="AG1439" s="4" t="s">
        <v>705</v>
      </c>
      <c r="AH1439" s="4" t="s">
        <v>767</v>
      </c>
      <c r="AI1439" s="4" t="s">
        <v>52</v>
      </c>
      <c r="AJ1439" s="13">
        <v>0</v>
      </c>
      <c r="AK1439" s="13">
        <v>17</v>
      </c>
      <c r="AM1439" s="13" t="s">
        <v>571</v>
      </c>
      <c r="AP1439" s="13" t="s">
        <v>50</v>
      </c>
      <c r="AQ1439" s="13" t="s">
        <v>49</v>
      </c>
      <c r="AR1439" s="13" t="s">
        <v>50</v>
      </c>
      <c r="AS1439" s="13" t="s">
        <v>49</v>
      </c>
      <c r="AT1439" s="13" t="s">
        <v>992</v>
      </c>
      <c r="AU1439" s="4" t="s">
        <v>1000</v>
      </c>
      <c r="AV1439" s="14">
        <v>5.68</v>
      </c>
      <c r="AW1439" s="14">
        <v>4.99</v>
      </c>
      <c r="AX1439" s="14">
        <f>Table1347456[[#This Row],[treatment_mean]]/Table1347456[[#This Row],[control_mean]]</f>
        <v>1.1382765531062122</v>
      </c>
      <c r="AY1439" s="14">
        <f>LN(Table1347456[[#This Row],[rr]])</f>
        <v>0.1295153229696325</v>
      </c>
      <c r="AZ1439" s="13">
        <v>3</v>
      </c>
      <c r="BA1439" s="13">
        <v>3</v>
      </c>
      <c r="BB1439" s="14">
        <f>Table1347456[[#This Row],[treatment_sd]]/SQRT(Table1347456[[#This Row],[treatment_n]])</f>
        <v>8.0829037686547617E-2</v>
      </c>
      <c r="BC1439" s="14">
        <f>Table1347456[[#This Row],[control_sd]]/SQRT(Table1347456[[#This Row],[control_n]])</f>
        <v>0.19052558883257653</v>
      </c>
      <c r="BD1439" s="15">
        <v>0.14000000000000001</v>
      </c>
      <c r="BE1439" s="14">
        <v>0.33</v>
      </c>
      <c r="BF143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1.6603315870917139E-3</v>
      </c>
      <c r="BG1439" s="17">
        <f>SQRT(Table1347456[[#This Row],[v_from_sd_and_n]])</f>
        <v>4.0747166614277783E-2</v>
      </c>
      <c r="BH1439" s="13" t="s">
        <v>50</v>
      </c>
      <c r="BI1439" s="13">
        <v>2.5000000000000001E-2</v>
      </c>
      <c r="BJ1439" s="18">
        <f>ABS(_xlfn.NORM.S.INV(Table1347456[[#This Row],[p_value]]/2))</f>
        <v>2.2414027276049446</v>
      </c>
      <c r="BK1439" s="19">
        <f>(Table1347456[[#This Row],[lnrr]]/Table1347456[[#This Row],[z_from_p]])^2</f>
        <v>3.3388930916234644E-3</v>
      </c>
      <c r="BL1439" s="16">
        <f>Table1347456[[#This Row],[v_from_sd_and_n]]</f>
        <v>1.6603315870917139E-3</v>
      </c>
      <c r="BM1439" s="20">
        <f>SQRT(Table1347456[[#This Row],[v]])</f>
        <v>4.0747166614277783E-2</v>
      </c>
      <c r="BN1439" s="20">
        <f>Table1347456[[#This Row],[lnrr]]-(1.96*Table1347456[[#This Row],[se]])</f>
        <v>4.9650876405648053E-2</v>
      </c>
      <c r="BO1439" s="20">
        <f>Table1347456[[#This Row],[lnrr]]+(1.96 * Table1347456[[#This Row],[se]])</f>
        <v>0.20937976953361695</v>
      </c>
    </row>
    <row r="1440" spans="1:67">
      <c r="A1440" s="13" t="s">
        <v>437</v>
      </c>
      <c r="B1440" s="13" t="s">
        <v>438</v>
      </c>
      <c r="C1440" s="13" t="s">
        <v>43</v>
      </c>
      <c r="D1440" s="13" t="s">
        <v>439</v>
      </c>
      <c r="E1440" s="13" t="s">
        <v>91</v>
      </c>
      <c r="F1440" s="13" t="s">
        <v>587</v>
      </c>
      <c r="G1440" s="13" t="s">
        <v>46</v>
      </c>
      <c r="H1440" s="13">
        <v>17</v>
      </c>
      <c r="I1440" s="13">
        <v>1422.4</v>
      </c>
      <c r="K1440" s="13" t="s">
        <v>955</v>
      </c>
      <c r="L1440" s="13" t="s">
        <v>956</v>
      </c>
      <c r="N1440" s="13" t="s">
        <v>668</v>
      </c>
      <c r="O1440" s="13" t="s">
        <v>668</v>
      </c>
      <c r="P1440" s="13" t="s">
        <v>87</v>
      </c>
      <c r="Q1440" s="13" t="s">
        <v>87</v>
      </c>
      <c r="R1440" s="4">
        <v>3</v>
      </c>
      <c r="S1440" s="13" t="s">
        <v>594</v>
      </c>
      <c r="T1440" s="13">
        <v>150</v>
      </c>
      <c r="U1440" s="4" t="s">
        <v>200</v>
      </c>
      <c r="V1440" s="4">
        <v>550</v>
      </c>
      <c r="W1440" s="4" t="s">
        <v>601</v>
      </c>
      <c r="X1440" s="4">
        <v>467.2</v>
      </c>
      <c r="Y1440" s="4">
        <v>20</v>
      </c>
      <c r="AA1440" s="4" t="s">
        <v>50</v>
      </c>
      <c r="AB1440" s="4">
        <v>375</v>
      </c>
      <c r="AC1440" s="4" t="s">
        <v>49</v>
      </c>
      <c r="AD1440" s="4">
        <v>0</v>
      </c>
      <c r="AE1440" s="4" t="s">
        <v>49</v>
      </c>
      <c r="AF1440" s="4">
        <v>0</v>
      </c>
      <c r="AG1440" s="4" t="s">
        <v>705</v>
      </c>
      <c r="AH1440" s="4" t="s">
        <v>767</v>
      </c>
      <c r="AI1440" s="4" t="s">
        <v>52</v>
      </c>
      <c r="AJ1440" s="13">
        <v>0</v>
      </c>
      <c r="AK1440" s="13">
        <v>17</v>
      </c>
      <c r="AM1440" s="13" t="s">
        <v>571</v>
      </c>
      <c r="AP1440" s="13" t="s">
        <v>50</v>
      </c>
      <c r="AQ1440" s="13" t="s">
        <v>49</v>
      </c>
      <c r="AR1440" s="13" t="s">
        <v>50</v>
      </c>
      <c r="AS1440" s="13" t="s">
        <v>49</v>
      </c>
      <c r="AT1440" s="13" t="s">
        <v>992</v>
      </c>
      <c r="AU1440" s="4" t="s">
        <v>1000</v>
      </c>
      <c r="AV1440" s="14">
        <v>6.11</v>
      </c>
      <c r="AW1440" s="14">
        <v>4.99</v>
      </c>
      <c r="AX1440" s="14">
        <f>Table1347456[[#This Row],[treatment_mean]]/Table1347456[[#This Row],[control_mean]]</f>
        <v>1.2244488977955912</v>
      </c>
      <c r="AY1440" s="14">
        <f>LN(Table1347456[[#This Row],[rr]])</f>
        <v>0.20249086342007666</v>
      </c>
      <c r="AZ1440" s="13">
        <v>3</v>
      </c>
      <c r="BA1440" s="13">
        <v>3</v>
      </c>
      <c r="BB1440" s="14">
        <f>Table1347456[[#This Row],[treatment_sd]]/SQRT(Table1347456[[#This Row],[treatment_n]])</f>
        <v>0.1096965511460289</v>
      </c>
      <c r="BC1440" s="14">
        <f>Table1347456[[#This Row],[control_sd]]/SQRT(Table1347456[[#This Row],[control_n]])</f>
        <v>0.19052558883257653</v>
      </c>
      <c r="BD1440" s="15">
        <v>0.19</v>
      </c>
      <c r="BE1440" s="14">
        <v>0.33</v>
      </c>
      <c r="BF144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1.7801575476222705E-3</v>
      </c>
      <c r="BG1440" s="17">
        <f>SQRT(Table1347456[[#This Row],[v_from_sd_and_n]])</f>
        <v>4.2191913296534329E-2</v>
      </c>
      <c r="BH1440" s="13" t="s">
        <v>50</v>
      </c>
      <c r="BI1440" s="13">
        <v>2.5000000000000001E-2</v>
      </c>
      <c r="BJ1440" s="18">
        <f>ABS(_xlfn.NORM.S.INV(Table1347456[[#This Row],[p_value]]/2))</f>
        <v>2.2414027276049446</v>
      </c>
      <c r="BK1440" s="19">
        <f>(Table1347456[[#This Row],[lnrr]]/Table1347456[[#This Row],[z_from_p]])^2</f>
        <v>8.1615204325563677E-3</v>
      </c>
      <c r="BL1440" s="16">
        <f>Table1347456[[#This Row],[v_from_sd_and_n]]</f>
        <v>1.7801575476222705E-3</v>
      </c>
      <c r="BM1440" s="20">
        <f>SQRT(Table1347456[[#This Row],[v]])</f>
        <v>4.2191913296534329E-2</v>
      </c>
      <c r="BN1440" s="20">
        <f>Table1347456[[#This Row],[lnrr]]-(1.96*Table1347456[[#This Row],[se]])</f>
        <v>0.11979471335886938</v>
      </c>
      <c r="BO1440" s="20">
        <f>Table1347456[[#This Row],[lnrr]]+(1.96 * Table1347456[[#This Row],[se]])</f>
        <v>0.28518701348128395</v>
      </c>
    </row>
    <row r="1441" spans="1:67">
      <c r="A1441" s="13" t="s">
        <v>437</v>
      </c>
      <c r="B1441" s="13" t="s">
        <v>438</v>
      </c>
      <c r="C1441" s="13" t="s">
        <v>43</v>
      </c>
      <c r="D1441" s="13" t="s">
        <v>439</v>
      </c>
      <c r="E1441" s="13" t="s">
        <v>91</v>
      </c>
      <c r="F1441" s="13" t="s">
        <v>587</v>
      </c>
      <c r="G1441" s="13" t="s">
        <v>46</v>
      </c>
      <c r="H1441" s="13">
        <v>17</v>
      </c>
      <c r="I1441" s="13">
        <v>1422.4</v>
      </c>
      <c r="K1441" s="13" t="s">
        <v>955</v>
      </c>
      <c r="L1441" s="13" t="s">
        <v>956</v>
      </c>
      <c r="N1441" s="13" t="s">
        <v>668</v>
      </c>
      <c r="O1441" s="13" t="s">
        <v>668</v>
      </c>
      <c r="P1441" s="13" t="s">
        <v>87</v>
      </c>
      <c r="Q1441" s="13" t="s">
        <v>87</v>
      </c>
      <c r="R1441" s="4">
        <v>3</v>
      </c>
      <c r="S1441" s="13" t="s">
        <v>594</v>
      </c>
      <c r="T1441" s="13">
        <v>150</v>
      </c>
      <c r="U1441" s="4" t="s">
        <v>200</v>
      </c>
      <c r="V1441" s="4">
        <v>550</v>
      </c>
      <c r="W1441" s="4" t="s">
        <v>601</v>
      </c>
      <c r="X1441" s="4">
        <v>467.2</v>
      </c>
      <c r="Y1441" s="4">
        <v>30</v>
      </c>
      <c r="AA1441" s="4" t="s">
        <v>50</v>
      </c>
      <c r="AB1441" s="4">
        <v>375</v>
      </c>
      <c r="AC1441" s="4" t="s">
        <v>49</v>
      </c>
      <c r="AD1441" s="4">
        <v>0</v>
      </c>
      <c r="AE1441" s="4" t="s">
        <v>49</v>
      </c>
      <c r="AF1441" s="4">
        <v>0</v>
      </c>
      <c r="AG1441" s="4" t="s">
        <v>705</v>
      </c>
      <c r="AH1441" s="4" t="s">
        <v>767</v>
      </c>
      <c r="AI1441" s="4" t="s">
        <v>52</v>
      </c>
      <c r="AJ1441" s="13">
        <v>0</v>
      </c>
      <c r="AK1441" s="13">
        <v>17</v>
      </c>
      <c r="AM1441" s="13" t="s">
        <v>571</v>
      </c>
      <c r="AP1441" s="13" t="s">
        <v>50</v>
      </c>
      <c r="AQ1441" s="13" t="s">
        <v>49</v>
      </c>
      <c r="AR1441" s="13" t="s">
        <v>50</v>
      </c>
      <c r="AS1441" s="13" t="s">
        <v>49</v>
      </c>
      <c r="AT1441" s="13" t="s">
        <v>992</v>
      </c>
      <c r="AU1441" s="4" t="s">
        <v>1000</v>
      </c>
      <c r="AV1441" s="14">
        <v>6.39</v>
      </c>
      <c r="AW1441" s="14">
        <v>4.99</v>
      </c>
      <c r="AX1441" s="14">
        <f>Table1347456[[#This Row],[treatment_mean]]/Table1347456[[#This Row],[control_mean]]</f>
        <v>1.2805611222444888</v>
      </c>
      <c r="AY1441" s="14">
        <f>LN(Table1347456[[#This Row],[rr]])</f>
        <v>0.24729835862601601</v>
      </c>
      <c r="AZ1441" s="13">
        <v>3</v>
      </c>
      <c r="BA1441" s="13">
        <v>3</v>
      </c>
      <c r="BB1441" s="14">
        <v>7.0000000000000007E-2</v>
      </c>
      <c r="BC1441" s="14">
        <f>Table1347456[[#This Row],[control_sd]]/SQRT(Table1347456[[#This Row],[control_n]])</f>
        <v>0.19052558883257653</v>
      </c>
      <c r="BD1441" s="15">
        <v>0.19</v>
      </c>
      <c r="BE1441" s="14">
        <v>0.33</v>
      </c>
      <c r="BF144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1.7525282493582478E-3</v>
      </c>
      <c r="BG1441" s="17">
        <f>SQRT(Table1347456[[#This Row],[v_from_sd_and_n]])</f>
        <v>4.1863208780004525E-2</v>
      </c>
      <c r="BH1441" s="13" t="s">
        <v>50</v>
      </c>
      <c r="BI1441" s="13">
        <v>2.5000000000000001E-2</v>
      </c>
      <c r="BJ1441" s="18">
        <f>ABS(_xlfn.NORM.S.INV(Table1347456[[#This Row],[p_value]]/2))</f>
        <v>2.2414027276049446</v>
      </c>
      <c r="BK1441" s="19">
        <f>(Table1347456[[#This Row],[lnrr]]/Table1347456[[#This Row],[z_from_p]])^2</f>
        <v>1.2173141647503744E-2</v>
      </c>
      <c r="BL1441" s="16">
        <f>Table1347456[[#This Row],[v_from_sd_and_n]]</f>
        <v>1.7525282493582478E-3</v>
      </c>
      <c r="BM1441" s="20">
        <f>SQRT(Table1347456[[#This Row],[v]])</f>
        <v>4.1863208780004525E-2</v>
      </c>
      <c r="BN1441" s="20">
        <f>Table1347456[[#This Row],[lnrr]]-(1.96*Table1347456[[#This Row],[se]])</f>
        <v>0.16524646941720716</v>
      </c>
      <c r="BO1441" s="20">
        <f>Table1347456[[#This Row],[lnrr]]+(1.96 * Table1347456[[#This Row],[se]])</f>
        <v>0.32935024783482486</v>
      </c>
    </row>
    <row r="1442" spans="1:67">
      <c r="A1442" s="13" t="s">
        <v>437</v>
      </c>
      <c r="B1442" s="13" t="s">
        <v>438</v>
      </c>
      <c r="C1442" s="13" t="s">
        <v>43</v>
      </c>
      <c r="D1442" s="13" t="s">
        <v>439</v>
      </c>
      <c r="E1442" s="13" t="s">
        <v>91</v>
      </c>
      <c r="F1442" s="13" t="s">
        <v>587</v>
      </c>
      <c r="G1442" s="13" t="s">
        <v>46</v>
      </c>
      <c r="H1442" s="13">
        <v>17</v>
      </c>
      <c r="I1442" s="13">
        <v>1422.4</v>
      </c>
      <c r="K1442" s="13" t="s">
        <v>955</v>
      </c>
      <c r="L1442" s="13" t="s">
        <v>956</v>
      </c>
      <c r="N1442" s="13" t="s">
        <v>668</v>
      </c>
      <c r="O1442" s="13" t="s">
        <v>668</v>
      </c>
      <c r="P1442" s="13" t="s">
        <v>87</v>
      </c>
      <c r="Q1442" s="13" t="s">
        <v>87</v>
      </c>
      <c r="R1442" s="4">
        <v>3</v>
      </c>
      <c r="S1442" s="13" t="s">
        <v>594</v>
      </c>
      <c r="T1442" s="13">
        <v>150</v>
      </c>
      <c r="U1442" s="4" t="s">
        <v>200</v>
      </c>
      <c r="V1442" s="4">
        <v>550</v>
      </c>
      <c r="W1442" s="4" t="s">
        <v>601</v>
      </c>
      <c r="X1442" s="4">
        <v>467.2</v>
      </c>
      <c r="Y1442" s="4">
        <v>40</v>
      </c>
      <c r="AA1442" s="4" t="s">
        <v>50</v>
      </c>
      <c r="AB1442" s="4">
        <v>375</v>
      </c>
      <c r="AC1442" s="4" t="s">
        <v>49</v>
      </c>
      <c r="AD1442" s="4">
        <v>0</v>
      </c>
      <c r="AE1442" s="4" t="s">
        <v>49</v>
      </c>
      <c r="AF1442" s="4">
        <v>0</v>
      </c>
      <c r="AG1442" s="4" t="s">
        <v>705</v>
      </c>
      <c r="AH1442" s="4" t="s">
        <v>767</v>
      </c>
      <c r="AI1442" s="4" t="s">
        <v>52</v>
      </c>
      <c r="AJ1442" s="13">
        <v>0</v>
      </c>
      <c r="AK1442" s="13">
        <v>17</v>
      </c>
      <c r="AM1442" s="13" t="s">
        <v>571</v>
      </c>
      <c r="AP1442" s="13" t="s">
        <v>50</v>
      </c>
      <c r="AQ1442" s="13" t="s">
        <v>49</v>
      </c>
      <c r="AR1442" s="13" t="s">
        <v>50</v>
      </c>
      <c r="AS1442" s="13" t="s">
        <v>49</v>
      </c>
      <c r="AT1442" s="13" t="s">
        <v>992</v>
      </c>
      <c r="AU1442" s="4" t="s">
        <v>1000</v>
      </c>
      <c r="AV1442" s="14">
        <v>6.49</v>
      </c>
      <c r="AW1442" s="14">
        <v>4.99</v>
      </c>
      <c r="AX1442" s="14">
        <f>Table1347456[[#This Row],[treatment_mean]]/Table1347456[[#This Row],[control_mean]]</f>
        <v>1.3006012024048097</v>
      </c>
      <c r="AY1442" s="14">
        <f>LN(Table1347456[[#This Row],[rr]])</f>
        <v>0.26282662095257137</v>
      </c>
      <c r="AZ1442" s="13">
        <v>3</v>
      </c>
      <c r="BA1442" s="13">
        <v>3</v>
      </c>
      <c r="BB1442" s="14">
        <v>7.0000000000000007E-2</v>
      </c>
      <c r="BC1442" s="14">
        <f>Table1347456[[#This Row],[control_sd]]/SQRT(Table1347456[[#This Row],[control_n]])</f>
        <v>0.19052558883257653</v>
      </c>
      <c r="BD1442" s="15">
        <v>0.28999999999999998</v>
      </c>
      <c r="BE1442" s="14">
        <v>0.33</v>
      </c>
      <c r="BF144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2.1233826115495576E-3</v>
      </c>
      <c r="BG1442" s="17">
        <f>SQRT(Table1347456[[#This Row],[v_from_sd_and_n]])</f>
        <v>4.608017590623497E-2</v>
      </c>
      <c r="BH1442" s="13" t="s">
        <v>50</v>
      </c>
      <c r="BI1442" s="13">
        <v>2.5000000000000001E-2</v>
      </c>
      <c r="BJ1442" s="18">
        <f>ABS(_xlfn.NORM.S.INV(Table1347456[[#This Row],[p_value]]/2))</f>
        <v>2.2414027276049446</v>
      </c>
      <c r="BK1442" s="19">
        <f>(Table1347456[[#This Row],[lnrr]]/Table1347456[[#This Row],[z_from_p]])^2</f>
        <v>1.3749880093972955E-2</v>
      </c>
      <c r="BL1442" s="16">
        <f>Table1347456[[#This Row],[v_from_sd_and_n]]</f>
        <v>2.1233826115495576E-3</v>
      </c>
      <c r="BM1442" s="20">
        <f>SQRT(Table1347456[[#This Row],[v]])</f>
        <v>4.608017590623497E-2</v>
      </c>
      <c r="BN1442" s="20">
        <f>Table1347456[[#This Row],[lnrr]]-(1.96*Table1347456[[#This Row],[se]])</f>
        <v>0.17250947617635082</v>
      </c>
      <c r="BO1442" s="20">
        <f>Table1347456[[#This Row],[lnrr]]+(1.96 * Table1347456[[#This Row],[se]])</f>
        <v>0.35314376572879191</v>
      </c>
    </row>
    <row r="1443" spans="1:67">
      <c r="A1443" s="13" t="s">
        <v>437</v>
      </c>
      <c r="B1443" s="13" t="s">
        <v>438</v>
      </c>
      <c r="C1443" s="13" t="s">
        <v>43</v>
      </c>
      <c r="D1443" s="13" t="s">
        <v>439</v>
      </c>
      <c r="E1443" s="13" t="s">
        <v>91</v>
      </c>
      <c r="F1443" s="13" t="s">
        <v>587</v>
      </c>
      <c r="G1443" s="13" t="s">
        <v>46</v>
      </c>
      <c r="H1443" s="13">
        <v>17</v>
      </c>
      <c r="I1443" s="13">
        <v>1422.4</v>
      </c>
      <c r="K1443" s="13" t="s">
        <v>955</v>
      </c>
      <c r="L1443" s="13" t="s">
        <v>956</v>
      </c>
      <c r="N1443" s="13" t="s">
        <v>623</v>
      </c>
      <c r="O1443" s="13" t="s">
        <v>54</v>
      </c>
      <c r="P1443" s="13" t="s">
        <v>85</v>
      </c>
      <c r="Q1443" s="13" t="s">
        <v>48</v>
      </c>
      <c r="R1443" s="4">
        <v>3</v>
      </c>
      <c r="S1443" s="13" t="s">
        <v>594</v>
      </c>
      <c r="T1443" s="13">
        <v>150</v>
      </c>
      <c r="U1443" s="4" t="s">
        <v>200</v>
      </c>
      <c r="V1443" s="4">
        <v>550</v>
      </c>
      <c r="W1443" s="4" t="s">
        <v>601</v>
      </c>
      <c r="X1443" s="4">
        <v>467.2</v>
      </c>
      <c r="Y1443" s="4">
        <v>10</v>
      </c>
      <c r="AA1443" s="4" t="s">
        <v>50</v>
      </c>
      <c r="AB1443" s="4">
        <v>375</v>
      </c>
      <c r="AC1443" s="4" t="s">
        <v>49</v>
      </c>
      <c r="AD1443" s="4">
        <v>0</v>
      </c>
      <c r="AE1443" s="4" t="s">
        <v>49</v>
      </c>
      <c r="AF1443" s="4">
        <v>0</v>
      </c>
      <c r="AG1443" s="4" t="s">
        <v>705</v>
      </c>
      <c r="AH1443" s="4" t="s">
        <v>767</v>
      </c>
      <c r="AI1443" s="4" t="s">
        <v>52</v>
      </c>
      <c r="AJ1443" s="13">
        <v>0</v>
      </c>
      <c r="AK1443" s="13">
        <v>17</v>
      </c>
      <c r="AM1443" s="13" t="s">
        <v>571</v>
      </c>
      <c r="AP1443" s="13" t="s">
        <v>50</v>
      </c>
      <c r="AQ1443" s="13" t="s">
        <v>49</v>
      </c>
      <c r="AR1443" s="13" t="s">
        <v>50</v>
      </c>
      <c r="AS1443" s="13" t="s">
        <v>49</v>
      </c>
      <c r="AT1443" s="13" t="s">
        <v>992</v>
      </c>
      <c r="AU1443" s="4" t="s">
        <v>1000</v>
      </c>
      <c r="AV1443" s="14">
        <f>3.39/1000</f>
        <v>3.3900000000000002E-3</v>
      </c>
      <c r="AW1443" s="14">
        <f>2.87/1000</f>
        <v>2.8700000000000002E-3</v>
      </c>
      <c r="AX1443" s="14">
        <f>Table1347456[[#This Row],[treatment_mean]]/Table1347456[[#This Row],[control_mean]]</f>
        <v>1.1811846689895471</v>
      </c>
      <c r="AY1443" s="14">
        <f>LN(Table1347456[[#This Row],[rr]])</f>
        <v>0.16651789162082919</v>
      </c>
      <c r="AZ1443" s="13">
        <v>3</v>
      </c>
      <c r="BA1443" s="13">
        <v>3</v>
      </c>
      <c r="BB1443" s="14">
        <f>Table1347456[[#This Row],[treatment_sd]]/SQRT(Table1347456[[#This Row],[treatment_n]])</f>
        <v>1.9052558883257651E-4</v>
      </c>
      <c r="BC1443" s="14">
        <f>Table1347456[[#This Row],[control_sd]]/SQRT(Table1347456[[#This Row],[control_n]])</f>
        <v>3.4063665882187917E-4</v>
      </c>
      <c r="BD1443" s="15">
        <f>0.33/1000</f>
        <v>3.3E-4</v>
      </c>
      <c r="BE1443" s="14">
        <f>0.59/1000</f>
        <v>5.8999999999999992E-4</v>
      </c>
      <c r="BF144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1.7245706559790189E-2</v>
      </c>
      <c r="BG1443" s="17">
        <f>SQRT(Table1347456[[#This Row],[v_from_sd_and_n]])</f>
        <v>0.13132290950093281</v>
      </c>
      <c r="BH1443" s="13" t="s">
        <v>50</v>
      </c>
      <c r="BI1443" s="13">
        <v>2.5000000000000001E-2</v>
      </c>
      <c r="BJ1443" s="18">
        <f>ABS(_xlfn.NORM.S.INV(Table1347456[[#This Row],[p_value]]/2))</f>
        <v>2.2414027276049446</v>
      </c>
      <c r="BK1443" s="19">
        <f>(Table1347456[[#This Row],[lnrr]]/Table1347456[[#This Row],[z_from_p]])^2</f>
        <v>5.5192747598181774E-3</v>
      </c>
      <c r="BL1443" s="16">
        <f>Table1347456[[#This Row],[v_from_sd_and_n]]</f>
        <v>1.7245706559790189E-2</v>
      </c>
      <c r="BM1443" s="20">
        <f>SQRT(Table1347456[[#This Row],[v]])</f>
        <v>0.13132290950093281</v>
      </c>
      <c r="BN1443" s="20">
        <f>Table1347456[[#This Row],[lnrr]]-(1.96*Table1347456[[#This Row],[se]])</f>
        <v>-9.0875011000999095E-2</v>
      </c>
      <c r="BO1443" s="20">
        <f>Table1347456[[#This Row],[lnrr]]+(1.96 * Table1347456[[#This Row],[se]])</f>
        <v>0.42391079424265748</v>
      </c>
    </row>
    <row r="1444" spans="1:67">
      <c r="A1444" s="13" t="s">
        <v>437</v>
      </c>
      <c r="B1444" s="13" t="s">
        <v>438</v>
      </c>
      <c r="C1444" s="13" t="s">
        <v>43</v>
      </c>
      <c r="D1444" s="13" t="s">
        <v>439</v>
      </c>
      <c r="E1444" s="13" t="s">
        <v>91</v>
      </c>
      <c r="F1444" s="13" t="s">
        <v>587</v>
      </c>
      <c r="G1444" s="13" t="s">
        <v>46</v>
      </c>
      <c r="H1444" s="13">
        <v>17</v>
      </c>
      <c r="I1444" s="13">
        <v>1422.4</v>
      </c>
      <c r="K1444" s="13" t="s">
        <v>955</v>
      </c>
      <c r="L1444" s="13" t="s">
        <v>956</v>
      </c>
      <c r="N1444" s="13" t="s">
        <v>623</v>
      </c>
      <c r="O1444" s="13" t="s">
        <v>54</v>
      </c>
      <c r="P1444" s="13" t="s">
        <v>85</v>
      </c>
      <c r="Q1444" s="13" t="s">
        <v>48</v>
      </c>
      <c r="R1444" s="4">
        <v>3</v>
      </c>
      <c r="S1444" s="13" t="s">
        <v>594</v>
      </c>
      <c r="T1444" s="13">
        <v>150</v>
      </c>
      <c r="U1444" s="4" t="s">
        <v>200</v>
      </c>
      <c r="V1444" s="4">
        <v>550</v>
      </c>
      <c r="W1444" s="4" t="s">
        <v>601</v>
      </c>
      <c r="X1444" s="4">
        <v>467.2</v>
      </c>
      <c r="Y1444" s="4">
        <v>20</v>
      </c>
      <c r="AA1444" s="4" t="s">
        <v>50</v>
      </c>
      <c r="AB1444" s="4">
        <v>375</v>
      </c>
      <c r="AC1444" s="4" t="s">
        <v>49</v>
      </c>
      <c r="AD1444" s="4">
        <v>0</v>
      </c>
      <c r="AE1444" s="4" t="s">
        <v>49</v>
      </c>
      <c r="AF1444" s="4">
        <v>0</v>
      </c>
      <c r="AG1444" s="4" t="s">
        <v>705</v>
      </c>
      <c r="AH1444" s="4" t="s">
        <v>767</v>
      </c>
      <c r="AI1444" s="4" t="s">
        <v>52</v>
      </c>
      <c r="AJ1444" s="13">
        <v>0</v>
      </c>
      <c r="AK1444" s="13">
        <v>17</v>
      </c>
      <c r="AM1444" s="13" t="s">
        <v>571</v>
      </c>
      <c r="AP1444" s="13" t="s">
        <v>50</v>
      </c>
      <c r="AQ1444" s="13" t="s">
        <v>49</v>
      </c>
      <c r="AR1444" s="13" t="s">
        <v>50</v>
      </c>
      <c r="AS1444" s="13" t="s">
        <v>49</v>
      </c>
      <c r="AT1444" s="13" t="s">
        <v>992</v>
      </c>
      <c r="AU1444" s="4" t="s">
        <v>1000</v>
      </c>
      <c r="AV1444" s="14">
        <f>3.57/1000</f>
        <v>3.5699999999999998E-3</v>
      </c>
      <c r="AW1444" s="14">
        <f>2.87/1000</f>
        <v>2.8700000000000002E-3</v>
      </c>
      <c r="AX1444" s="14">
        <f>Table1347456[[#This Row],[treatment_mean]]/Table1347456[[#This Row],[control_mean]]</f>
        <v>1.24390243902439</v>
      </c>
      <c r="AY1444" s="14">
        <f>LN(Table1347456[[#This Row],[rr]])</f>
        <v>0.21825356602001778</v>
      </c>
      <c r="AZ1444" s="13">
        <v>3</v>
      </c>
      <c r="BA1444" s="13">
        <v>3</v>
      </c>
      <c r="BB1444" s="14">
        <f>Table1347456[[#This Row],[treatment_sd]]/SQRT(Table1347456[[#This Row],[treatment_n]])</f>
        <v>2.7712812921102038E-4</v>
      </c>
      <c r="BC1444" s="14">
        <f>Table1347456[[#This Row],[control_sd]]/SQRT(Table1347456[[#This Row],[control_n]])</f>
        <v>3.4063665882187917E-4</v>
      </c>
      <c r="BD1444" s="15">
        <f>0.48/1000</f>
        <v>4.7999999999999996E-4</v>
      </c>
      <c r="BE1444" s="14">
        <f>0.59/1000</f>
        <v>5.8999999999999992E-4</v>
      </c>
      <c r="BF144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2.0112954724528991E-2</v>
      </c>
      <c r="BG1444" s="17">
        <f>SQRT(Table1347456[[#This Row],[v_from_sd_and_n]])</f>
        <v>0.14182014921910424</v>
      </c>
      <c r="BH1444" s="13" t="s">
        <v>50</v>
      </c>
      <c r="BI1444" s="13">
        <v>2.5000000000000001E-2</v>
      </c>
      <c r="BJ1444" s="18">
        <f>ABS(_xlfn.NORM.S.INV(Table1347456[[#This Row],[p_value]]/2))</f>
        <v>2.2414027276049446</v>
      </c>
      <c r="BK1444" s="19">
        <f>(Table1347456[[#This Row],[lnrr]]/Table1347456[[#This Row],[z_from_p]])^2</f>
        <v>9.4816278284189214E-3</v>
      </c>
      <c r="BL1444" s="16">
        <f>Table1347456[[#This Row],[v_from_sd_and_n]]</f>
        <v>2.0112954724528991E-2</v>
      </c>
      <c r="BM1444" s="20">
        <f>SQRT(Table1347456[[#This Row],[v]])</f>
        <v>0.14182014921910424</v>
      </c>
      <c r="BN1444" s="20">
        <f>Table1347456[[#This Row],[lnrr]]-(1.96*Table1347456[[#This Row],[se]])</f>
        <v>-5.9713926449426524E-2</v>
      </c>
      <c r="BO1444" s="20">
        <f>Table1347456[[#This Row],[lnrr]]+(1.96 * Table1347456[[#This Row],[se]])</f>
        <v>0.49622105848946207</v>
      </c>
    </row>
    <row r="1445" spans="1:67">
      <c r="A1445" s="13" t="s">
        <v>437</v>
      </c>
      <c r="B1445" s="13" t="s">
        <v>438</v>
      </c>
      <c r="C1445" s="13" t="s">
        <v>43</v>
      </c>
      <c r="D1445" s="13" t="s">
        <v>439</v>
      </c>
      <c r="E1445" s="13" t="s">
        <v>91</v>
      </c>
      <c r="F1445" s="13" t="s">
        <v>587</v>
      </c>
      <c r="G1445" s="13" t="s">
        <v>46</v>
      </c>
      <c r="H1445" s="13">
        <v>17</v>
      </c>
      <c r="I1445" s="13">
        <v>1422.4</v>
      </c>
      <c r="K1445" s="13" t="s">
        <v>955</v>
      </c>
      <c r="L1445" s="13" t="s">
        <v>956</v>
      </c>
      <c r="N1445" s="13" t="s">
        <v>623</v>
      </c>
      <c r="O1445" s="13" t="s">
        <v>54</v>
      </c>
      <c r="P1445" s="13" t="s">
        <v>85</v>
      </c>
      <c r="Q1445" s="13" t="s">
        <v>48</v>
      </c>
      <c r="R1445" s="4">
        <v>3</v>
      </c>
      <c r="S1445" s="13" t="s">
        <v>594</v>
      </c>
      <c r="T1445" s="13">
        <v>150</v>
      </c>
      <c r="U1445" s="4" t="s">
        <v>200</v>
      </c>
      <c r="V1445" s="4">
        <v>550</v>
      </c>
      <c r="W1445" s="4" t="s">
        <v>601</v>
      </c>
      <c r="X1445" s="4">
        <v>467.2</v>
      </c>
      <c r="Y1445" s="4">
        <v>30</v>
      </c>
      <c r="AA1445" s="4" t="s">
        <v>50</v>
      </c>
      <c r="AB1445" s="4">
        <v>375</v>
      </c>
      <c r="AC1445" s="4" t="s">
        <v>49</v>
      </c>
      <c r="AD1445" s="4">
        <v>0</v>
      </c>
      <c r="AE1445" s="4" t="s">
        <v>49</v>
      </c>
      <c r="AF1445" s="4">
        <v>0</v>
      </c>
      <c r="AG1445" s="4" t="s">
        <v>705</v>
      </c>
      <c r="AH1445" s="4" t="s">
        <v>767</v>
      </c>
      <c r="AI1445" s="4" t="s">
        <v>52</v>
      </c>
      <c r="AJ1445" s="13">
        <v>0</v>
      </c>
      <c r="AK1445" s="13">
        <v>17</v>
      </c>
      <c r="AM1445" s="13" t="s">
        <v>571</v>
      </c>
      <c r="AP1445" s="13" t="s">
        <v>50</v>
      </c>
      <c r="AQ1445" s="13" t="s">
        <v>49</v>
      </c>
      <c r="AR1445" s="13" t="s">
        <v>50</v>
      </c>
      <c r="AS1445" s="13" t="s">
        <v>49</v>
      </c>
      <c r="AT1445" s="13" t="s">
        <v>992</v>
      </c>
      <c r="AU1445" s="4" t="s">
        <v>1000</v>
      </c>
      <c r="AV1445" s="14">
        <f>3.96/1000</f>
        <v>3.96E-3</v>
      </c>
      <c r="AW1445" s="14">
        <f>2.87/1000</f>
        <v>2.8700000000000002E-3</v>
      </c>
      <c r="AX1445" s="14">
        <f>Table1347456[[#This Row],[treatment_mean]]/Table1347456[[#This Row],[control_mean]]</f>
        <v>1.3797909407665505</v>
      </c>
      <c r="AY1445" s="14">
        <f>LN(Table1347456[[#This Row],[rr]])</f>
        <v>0.3219319954948594</v>
      </c>
      <c r="AZ1445" s="13">
        <v>3</v>
      </c>
      <c r="BA1445" s="13">
        <v>3</v>
      </c>
      <c r="BB1445" s="14">
        <f>Table1347456[[#This Row],[treatment_sd]]/SQRT(Table1347456[[#This Row],[treatment_n]])</f>
        <v>1.2701705922171769E-4</v>
      </c>
      <c r="BC1445" s="14">
        <f>Table1347456[[#This Row],[control_sd]]/SQRT(Table1347456[[#This Row],[control_n]])</f>
        <v>3.4063665882187917E-4</v>
      </c>
      <c r="BD1445" s="15">
        <f>0.22/1000</f>
        <v>2.2000000000000001E-4</v>
      </c>
      <c r="BE1445" s="14">
        <f>0.59/1000</f>
        <v>5.8999999999999992E-4</v>
      </c>
      <c r="BF144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1.5115821521211355E-2</v>
      </c>
      <c r="BG1445" s="17">
        <f>SQRT(Table1347456[[#This Row],[v_from_sd_and_n]])</f>
        <v>0.12294641727684201</v>
      </c>
      <c r="BH1445" s="13" t="s">
        <v>50</v>
      </c>
      <c r="BI1445" s="13">
        <v>2.5000000000000001E-2</v>
      </c>
      <c r="BJ1445" s="18">
        <f>ABS(_xlfn.NORM.S.INV(Table1347456[[#This Row],[p_value]]/2))</f>
        <v>2.2414027276049446</v>
      </c>
      <c r="BK1445" s="19">
        <f>(Table1347456[[#This Row],[lnrr]]/Table1347456[[#This Row],[z_from_p]])^2</f>
        <v>2.0629489972322546E-2</v>
      </c>
      <c r="BL1445" s="16">
        <f>Table1347456[[#This Row],[v_from_sd_and_n]]</f>
        <v>1.5115821521211355E-2</v>
      </c>
      <c r="BM1445" s="20">
        <f>SQRT(Table1347456[[#This Row],[v]])</f>
        <v>0.12294641727684201</v>
      </c>
      <c r="BN1445" s="20">
        <f>Table1347456[[#This Row],[lnrr]]-(1.96*Table1347456[[#This Row],[se]])</f>
        <v>8.0957017632249079E-2</v>
      </c>
      <c r="BO1445" s="20">
        <f>Table1347456[[#This Row],[lnrr]]+(1.96 * Table1347456[[#This Row],[se]])</f>
        <v>0.56290697335746975</v>
      </c>
    </row>
    <row r="1446" spans="1:67">
      <c r="A1446" s="13" t="s">
        <v>437</v>
      </c>
      <c r="B1446" s="13" t="s">
        <v>438</v>
      </c>
      <c r="C1446" s="13" t="s">
        <v>43</v>
      </c>
      <c r="D1446" s="13" t="s">
        <v>439</v>
      </c>
      <c r="E1446" s="13" t="s">
        <v>91</v>
      </c>
      <c r="F1446" s="13" t="s">
        <v>587</v>
      </c>
      <c r="G1446" s="13" t="s">
        <v>46</v>
      </c>
      <c r="H1446" s="13">
        <v>17</v>
      </c>
      <c r="I1446" s="13">
        <v>1422.4</v>
      </c>
      <c r="K1446" s="13" t="s">
        <v>955</v>
      </c>
      <c r="L1446" s="13" t="s">
        <v>956</v>
      </c>
      <c r="N1446" s="13" t="s">
        <v>623</v>
      </c>
      <c r="O1446" s="13" t="s">
        <v>54</v>
      </c>
      <c r="P1446" s="13" t="s">
        <v>85</v>
      </c>
      <c r="Q1446" s="13" t="s">
        <v>48</v>
      </c>
      <c r="R1446" s="4">
        <v>3</v>
      </c>
      <c r="S1446" s="13" t="s">
        <v>594</v>
      </c>
      <c r="T1446" s="13">
        <v>150</v>
      </c>
      <c r="U1446" s="4" t="s">
        <v>200</v>
      </c>
      <c r="V1446" s="4">
        <v>550</v>
      </c>
      <c r="W1446" s="4" t="s">
        <v>601</v>
      </c>
      <c r="X1446" s="4">
        <v>467.2</v>
      </c>
      <c r="Y1446" s="4">
        <v>40</v>
      </c>
      <c r="AA1446" s="4" t="s">
        <v>50</v>
      </c>
      <c r="AB1446" s="4">
        <v>375</v>
      </c>
      <c r="AC1446" s="4" t="s">
        <v>49</v>
      </c>
      <c r="AD1446" s="4">
        <v>0</v>
      </c>
      <c r="AE1446" s="4" t="s">
        <v>49</v>
      </c>
      <c r="AF1446" s="4">
        <v>0</v>
      </c>
      <c r="AG1446" s="4" t="s">
        <v>705</v>
      </c>
      <c r="AH1446" s="4" t="s">
        <v>767</v>
      </c>
      <c r="AI1446" s="4" t="s">
        <v>52</v>
      </c>
      <c r="AJ1446" s="13">
        <v>0</v>
      </c>
      <c r="AK1446" s="13">
        <v>17</v>
      </c>
      <c r="AM1446" s="13" t="s">
        <v>571</v>
      </c>
      <c r="AP1446" s="13" t="s">
        <v>50</v>
      </c>
      <c r="AQ1446" s="13" t="s">
        <v>49</v>
      </c>
      <c r="AR1446" s="13" t="s">
        <v>50</v>
      </c>
      <c r="AS1446" s="13" t="s">
        <v>49</v>
      </c>
      <c r="AT1446" s="13" t="s">
        <v>992</v>
      </c>
      <c r="AU1446" s="4" t="s">
        <v>1000</v>
      </c>
      <c r="AV1446" s="14">
        <f>5.36/1000</f>
        <v>5.3600000000000002E-3</v>
      </c>
      <c r="AW1446" s="14">
        <f>2.87/1000</f>
        <v>2.8700000000000002E-3</v>
      </c>
      <c r="AX1446" s="14">
        <f>Table1347456[[#This Row],[treatment_mean]]/Table1347456[[#This Row],[control_mean]]</f>
        <v>1.867595818815331</v>
      </c>
      <c r="AY1446" s="14">
        <f>LN(Table1347456[[#This Row],[rr]])</f>
        <v>0.62465194531118085</v>
      </c>
      <c r="AZ1446" s="13">
        <v>3</v>
      </c>
      <c r="BA1446" s="13">
        <v>3</v>
      </c>
      <c r="BB1446" s="14">
        <f>Table1347456[[#This Row],[treatment_sd]]/SQRT(Table1347456[[#This Row],[treatment_n]])</f>
        <v>9.8149545762236387E-5</v>
      </c>
      <c r="BC1446" s="14">
        <f>Table1347456[[#This Row],[control_sd]]/SQRT(Table1347456[[#This Row],[control_n]])</f>
        <v>3.4063665882187917E-4</v>
      </c>
      <c r="BD1446" s="15">
        <f>0.17/1000</f>
        <v>1.7000000000000001E-4</v>
      </c>
      <c r="BE1446" s="14">
        <f>0.59/1000</f>
        <v>5.8999999999999992E-4</v>
      </c>
      <c r="BF144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1.4422325325205938E-2</v>
      </c>
      <c r="BG1446" s="17">
        <f>SQRT(Table1347456[[#This Row],[v_from_sd_and_n]])</f>
        <v>0.12009298616158205</v>
      </c>
      <c r="BH1446" s="13" t="s">
        <v>50</v>
      </c>
      <c r="BI1446" s="13">
        <v>2.5000000000000001E-2</v>
      </c>
      <c r="BJ1446" s="18">
        <f>ABS(_xlfn.NORM.S.INV(Table1347456[[#This Row],[p_value]]/2))</f>
        <v>2.2414027276049446</v>
      </c>
      <c r="BK1446" s="19">
        <f>(Table1347456[[#This Row],[lnrr]]/Table1347456[[#This Row],[z_from_p]])^2</f>
        <v>7.7666976964218856E-2</v>
      </c>
      <c r="BL1446" s="16">
        <f>Table1347456[[#This Row],[v_from_sd_and_n]]</f>
        <v>1.4422325325205938E-2</v>
      </c>
      <c r="BM1446" s="20">
        <f>SQRT(Table1347456[[#This Row],[v]])</f>
        <v>0.12009298616158205</v>
      </c>
      <c r="BN1446" s="20">
        <f>Table1347456[[#This Row],[lnrr]]-(1.96*Table1347456[[#This Row],[se]])</f>
        <v>0.38926969243448006</v>
      </c>
      <c r="BO1446" s="20">
        <f>Table1347456[[#This Row],[lnrr]]+(1.96 * Table1347456[[#This Row],[se]])</f>
        <v>0.86003419818788163</v>
      </c>
    </row>
    <row r="1447" spans="1:67">
      <c r="A1447" s="13" t="s">
        <v>437</v>
      </c>
      <c r="B1447" s="13" t="s">
        <v>438</v>
      </c>
      <c r="C1447" s="13" t="s">
        <v>43</v>
      </c>
      <c r="D1447" s="13" t="s">
        <v>439</v>
      </c>
      <c r="E1447" s="13" t="s">
        <v>91</v>
      </c>
      <c r="F1447" s="13" t="s">
        <v>587</v>
      </c>
      <c r="G1447" s="13" t="s">
        <v>46</v>
      </c>
      <c r="H1447" s="13">
        <v>17</v>
      </c>
      <c r="I1447" s="13">
        <v>1422.4</v>
      </c>
      <c r="J1447" s="13" t="s">
        <v>664</v>
      </c>
      <c r="K1447" s="13" t="s">
        <v>955</v>
      </c>
      <c r="L1447" s="13" t="s">
        <v>956</v>
      </c>
      <c r="M1447" s="13" t="s">
        <v>672</v>
      </c>
      <c r="N1447" s="13" t="s">
        <v>317</v>
      </c>
      <c r="O1447" s="13" t="s">
        <v>644</v>
      </c>
      <c r="P1447" s="13" t="s">
        <v>85</v>
      </c>
      <c r="Q1447" s="13" t="s">
        <v>48</v>
      </c>
      <c r="R1447" s="4">
        <v>3</v>
      </c>
      <c r="S1447" s="13" t="s">
        <v>594</v>
      </c>
      <c r="T1447" s="13">
        <v>150</v>
      </c>
      <c r="U1447" s="4" t="s">
        <v>200</v>
      </c>
      <c r="V1447" s="4">
        <v>550</v>
      </c>
      <c r="W1447" s="4" t="s">
        <v>601</v>
      </c>
      <c r="X1447" s="4">
        <v>467.2</v>
      </c>
      <c r="Y1447" s="4">
        <v>10</v>
      </c>
      <c r="AA1447" s="4" t="s">
        <v>50</v>
      </c>
      <c r="AB1447" s="4">
        <v>375</v>
      </c>
      <c r="AC1447" s="4" t="s">
        <v>49</v>
      </c>
      <c r="AD1447" s="4">
        <v>0</v>
      </c>
      <c r="AE1447" s="4" t="s">
        <v>49</v>
      </c>
      <c r="AF1447" s="4">
        <v>0</v>
      </c>
      <c r="AG1447" s="4" t="s">
        <v>705</v>
      </c>
      <c r="AH1447" s="4" t="s">
        <v>767</v>
      </c>
      <c r="AI1447" s="4" t="s">
        <v>52</v>
      </c>
      <c r="AJ1447" s="13">
        <v>0</v>
      </c>
      <c r="AK1447" s="13">
        <v>17</v>
      </c>
      <c r="AM1447" s="13" t="s">
        <v>571</v>
      </c>
      <c r="AP1447" s="13" t="s">
        <v>50</v>
      </c>
      <c r="AQ1447" s="13" t="s">
        <v>49</v>
      </c>
      <c r="AR1447" s="13" t="s">
        <v>50</v>
      </c>
      <c r="AS1447" s="13" t="s">
        <v>49</v>
      </c>
      <c r="AT1447" s="13" t="s">
        <v>992</v>
      </c>
      <c r="AU1447" s="4" t="s">
        <v>1000</v>
      </c>
      <c r="AV1447" s="23">
        <f>59.57/1000</f>
        <v>5.9569999999999998E-2</v>
      </c>
      <c r="AW1447" s="23">
        <f>56.22/1000</f>
        <v>5.6219999999999999E-2</v>
      </c>
      <c r="AX1447" s="14">
        <f>Table1347456[[#This Row],[treatment_mean]]/Table1347456[[#This Row],[control_mean]]</f>
        <v>1.0595873354678049</v>
      </c>
      <c r="AY1447" s="14">
        <f>LN(Table1347456[[#This Row],[rr]])</f>
        <v>5.7879526162210135E-2</v>
      </c>
      <c r="AZ1447" s="13">
        <v>3</v>
      </c>
      <c r="BA1447" s="13">
        <v>3</v>
      </c>
      <c r="BB1447" s="14">
        <f>Table1347456[[#This Row],[treatment_sd]]/SQRT(Table1347456[[#This Row],[treatment_n]])</f>
        <v>7.1591433379513596E-4</v>
      </c>
      <c r="BC1447" s="14">
        <f>Table1347456[[#This Row],[control_sd]]/SQRT(Table1347456[[#This Row],[control_n]])</f>
        <v>4.7920072342738944E-4</v>
      </c>
      <c r="BD1447" s="15">
        <f>1.24/1000</f>
        <v>1.24E-3</v>
      </c>
      <c r="BE1447" s="14">
        <f>0.83/1000</f>
        <v>8.3000000000000001E-4</v>
      </c>
      <c r="BF144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2.1708610982461995E-4</v>
      </c>
      <c r="BG1447" s="17">
        <f>SQRT(Table1347456[[#This Row],[v_from_sd_and_n]])</f>
        <v>1.4733842330655637E-2</v>
      </c>
      <c r="BH1447" s="13" t="s">
        <v>50</v>
      </c>
      <c r="BI1447" s="13">
        <v>2.5000000000000001E-2</v>
      </c>
      <c r="BJ1447" s="18">
        <f>ABS(_xlfn.NORM.S.INV(Table1347456[[#This Row],[p_value]]/2))</f>
        <v>2.2414027276049446</v>
      </c>
      <c r="BK1447" s="19">
        <f>(Table1347456[[#This Row],[lnrr]]/Table1347456[[#This Row],[z_from_p]])^2</f>
        <v>6.6682234108341972E-4</v>
      </c>
      <c r="BL1447" s="16">
        <f>Table1347456[[#This Row],[v_from_sd_and_n]]</f>
        <v>2.1708610982461995E-4</v>
      </c>
      <c r="BM1447" s="20">
        <f>SQRT(Table1347456[[#This Row],[v]])</f>
        <v>1.4733842330655637E-2</v>
      </c>
      <c r="BN1447" s="20">
        <f>Table1347456[[#This Row],[lnrr]]-(1.96*Table1347456[[#This Row],[se]])</f>
        <v>2.9001195194125088E-2</v>
      </c>
      <c r="BO1447" s="20">
        <f>Table1347456[[#This Row],[lnrr]]+(1.96 * Table1347456[[#This Row],[se]])</f>
        <v>8.6757857130295185E-2</v>
      </c>
    </row>
    <row r="1448" spans="1:67">
      <c r="A1448" s="13" t="s">
        <v>437</v>
      </c>
      <c r="B1448" s="13" t="s">
        <v>438</v>
      </c>
      <c r="C1448" s="13" t="s">
        <v>43</v>
      </c>
      <c r="D1448" s="13" t="s">
        <v>439</v>
      </c>
      <c r="E1448" s="13" t="s">
        <v>91</v>
      </c>
      <c r="F1448" s="13" t="s">
        <v>587</v>
      </c>
      <c r="G1448" s="13" t="s">
        <v>46</v>
      </c>
      <c r="H1448" s="13">
        <v>17</v>
      </c>
      <c r="I1448" s="13">
        <v>1422.4</v>
      </c>
      <c r="J1448" s="13" t="s">
        <v>664</v>
      </c>
      <c r="K1448" s="13" t="s">
        <v>955</v>
      </c>
      <c r="L1448" s="13" t="s">
        <v>956</v>
      </c>
      <c r="M1448" s="13" t="s">
        <v>672</v>
      </c>
      <c r="N1448" s="13" t="s">
        <v>317</v>
      </c>
      <c r="O1448" s="13" t="s">
        <v>644</v>
      </c>
      <c r="P1448" s="13" t="s">
        <v>85</v>
      </c>
      <c r="Q1448" s="13" t="s">
        <v>48</v>
      </c>
      <c r="R1448" s="4">
        <v>3</v>
      </c>
      <c r="S1448" s="13" t="s">
        <v>594</v>
      </c>
      <c r="T1448" s="13">
        <v>150</v>
      </c>
      <c r="U1448" s="4" t="s">
        <v>200</v>
      </c>
      <c r="V1448" s="4">
        <v>550</v>
      </c>
      <c r="W1448" s="4" t="s">
        <v>601</v>
      </c>
      <c r="X1448" s="4">
        <v>467.2</v>
      </c>
      <c r="Y1448" s="4">
        <v>20</v>
      </c>
      <c r="AA1448" s="4" t="s">
        <v>50</v>
      </c>
      <c r="AB1448" s="4">
        <v>375</v>
      </c>
      <c r="AC1448" s="4" t="s">
        <v>49</v>
      </c>
      <c r="AD1448" s="4">
        <v>0</v>
      </c>
      <c r="AE1448" s="4" t="s">
        <v>49</v>
      </c>
      <c r="AF1448" s="4">
        <v>0</v>
      </c>
      <c r="AG1448" s="4" t="s">
        <v>705</v>
      </c>
      <c r="AH1448" s="4" t="s">
        <v>767</v>
      </c>
      <c r="AI1448" s="4" t="s">
        <v>52</v>
      </c>
      <c r="AJ1448" s="13">
        <v>0</v>
      </c>
      <c r="AK1448" s="13">
        <v>17</v>
      </c>
      <c r="AM1448" s="13" t="s">
        <v>571</v>
      </c>
      <c r="AP1448" s="13" t="s">
        <v>50</v>
      </c>
      <c r="AQ1448" s="13" t="s">
        <v>49</v>
      </c>
      <c r="AR1448" s="13" t="s">
        <v>50</v>
      </c>
      <c r="AS1448" s="13" t="s">
        <v>49</v>
      </c>
      <c r="AT1448" s="13" t="s">
        <v>992</v>
      </c>
      <c r="AU1448" s="4" t="s">
        <v>1000</v>
      </c>
      <c r="AV1448" s="23">
        <f>72.42/1000</f>
        <v>7.2419999999999998E-2</v>
      </c>
      <c r="AW1448" s="23">
        <f>56.22/1000</f>
        <v>5.6219999999999999E-2</v>
      </c>
      <c r="AX1448" s="14">
        <f>Table1347456[[#This Row],[treatment_mean]]/Table1347456[[#This Row],[control_mean]]</f>
        <v>1.288153681963714</v>
      </c>
      <c r="AY1448" s="14">
        <f>LN(Table1347456[[#This Row],[rr]])</f>
        <v>0.25320993885910936</v>
      </c>
      <c r="AZ1448" s="13">
        <v>3</v>
      </c>
      <c r="BA1448" s="13">
        <v>3</v>
      </c>
      <c r="BB1448" s="14">
        <f>Table1347456[[#This Row],[treatment_sd]]/SQRT(Table1347456[[#This Row],[treatment_n]])</f>
        <v>5.9467077726531466E-4</v>
      </c>
      <c r="BC1448" s="14">
        <f>Table1347456[[#This Row],[control_sd]]/SQRT(Table1347456[[#This Row],[control_n]])</f>
        <v>3.4063665882187917E-4</v>
      </c>
      <c r="BD1448" s="15">
        <f>1.03/1000</f>
        <v>1.0300000000000001E-3</v>
      </c>
      <c r="BE1448" s="14">
        <f>0.59/1000</f>
        <v>5.8999999999999992E-4</v>
      </c>
      <c r="BF144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1.0413877142323109E-4</v>
      </c>
      <c r="BG1448" s="17">
        <f>SQRT(Table1347456[[#This Row],[v_from_sd_and_n]])</f>
        <v>1.0204840587840219E-2</v>
      </c>
      <c r="BH1448" s="13" t="s">
        <v>50</v>
      </c>
      <c r="BI1448" s="13">
        <v>2.5000000000000001E-2</v>
      </c>
      <c r="BJ1448" s="18">
        <f>ABS(_xlfn.NORM.S.INV(Table1347456[[#This Row],[p_value]]/2))</f>
        <v>2.2414027276049446</v>
      </c>
      <c r="BK1448" s="19">
        <f>(Table1347456[[#This Row],[lnrr]]/Table1347456[[#This Row],[z_from_p]])^2</f>
        <v>1.276208710677452E-2</v>
      </c>
      <c r="BL1448" s="16">
        <f>Table1347456[[#This Row],[v_from_sd_and_n]]</f>
        <v>1.0413877142323109E-4</v>
      </c>
      <c r="BM1448" s="20">
        <f>SQRT(Table1347456[[#This Row],[v]])</f>
        <v>1.0204840587840219E-2</v>
      </c>
      <c r="BN1448" s="20">
        <f>Table1347456[[#This Row],[lnrr]]-(1.96*Table1347456[[#This Row],[se]])</f>
        <v>0.23320845130694254</v>
      </c>
      <c r="BO1448" s="20">
        <f>Table1347456[[#This Row],[lnrr]]+(1.96 * Table1347456[[#This Row],[se]])</f>
        <v>0.27321142641127621</v>
      </c>
    </row>
    <row r="1449" spans="1:67">
      <c r="A1449" s="13" t="s">
        <v>437</v>
      </c>
      <c r="B1449" s="13" t="s">
        <v>438</v>
      </c>
      <c r="C1449" s="13" t="s">
        <v>43</v>
      </c>
      <c r="D1449" s="13" t="s">
        <v>439</v>
      </c>
      <c r="E1449" s="13" t="s">
        <v>91</v>
      </c>
      <c r="F1449" s="13" t="s">
        <v>587</v>
      </c>
      <c r="G1449" s="13" t="s">
        <v>46</v>
      </c>
      <c r="H1449" s="13">
        <v>17</v>
      </c>
      <c r="I1449" s="13">
        <v>1422.4</v>
      </c>
      <c r="J1449" s="13" t="s">
        <v>664</v>
      </c>
      <c r="K1449" s="13" t="s">
        <v>955</v>
      </c>
      <c r="L1449" s="13" t="s">
        <v>956</v>
      </c>
      <c r="M1449" s="13" t="s">
        <v>672</v>
      </c>
      <c r="N1449" s="13" t="s">
        <v>317</v>
      </c>
      <c r="O1449" s="13" t="s">
        <v>644</v>
      </c>
      <c r="P1449" s="13" t="s">
        <v>85</v>
      </c>
      <c r="Q1449" s="13" t="s">
        <v>48</v>
      </c>
      <c r="R1449" s="4">
        <v>3</v>
      </c>
      <c r="S1449" s="13" t="s">
        <v>594</v>
      </c>
      <c r="T1449" s="13">
        <v>150</v>
      </c>
      <c r="U1449" s="4" t="s">
        <v>200</v>
      </c>
      <c r="V1449" s="4">
        <v>550</v>
      </c>
      <c r="W1449" s="4" t="s">
        <v>601</v>
      </c>
      <c r="X1449" s="4">
        <v>467.2</v>
      </c>
      <c r="Y1449" s="4">
        <v>30</v>
      </c>
      <c r="AA1449" s="4" t="s">
        <v>50</v>
      </c>
      <c r="AB1449" s="4">
        <v>375</v>
      </c>
      <c r="AC1449" s="4" t="s">
        <v>49</v>
      </c>
      <c r="AD1449" s="4">
        <v>0</v>
      </c>
      <c r="AE1449" s="4" t="s">
        <v>49</v>
      </c>
      <c r="AF1449" s="4">
        <v>0</v>
      </c>
      <c r="AG1449" s="4" t="s">
        <v>705</v>
      </c>
      <c r="AH1449" s="4" t="s">
        <v>767</v>
      </c>
      <c r="AI1449" s="4" t="s">
        <v>52</v>
      </c>
      <c r="AJ1449" s="13">
        <v>0</v>
      </c>
      <c r="AK1449" s="13">
        <v>17</v>
      </c>
      <c r="AM1449" s="13" t="s">
        <v>571</v>
      </c>
      <c r="AP1449" s="13" t="s">
        <v>50</v>
      </c>
      <c r="AQ1449" s="13" t="s">
        <v>49</v>
      </c>
      <c r="AR1449" s="13" t="s">
        <v>50</v>
      </c>
      <c r="AS1449" s="13" t="s">
        <v>49</v>
      </c>
      <c r="AT1449" s="13" t="s">
        <v>992</v>
      </c>
      <c r="AU1449" s="4" t="s">
        <v>1000</v>
      </c>
      <c r="AV1449" s="23">
        <f>86.51/1000</f>
        <v>8.6510000000000004E-2</v>
      </c>
      <c r="AW1449" s="23">
        <f>56.22/1000</f>
        <v>5.6219999999999999E-2</v>
      </c>
      <c r="AX1449" s="14">
        <f>Table1347456[[#This Row],[treatment_mean]]/Table1347456[[#This Row],[control_mean]]</f>
        <v>1.5387762362148703</v>
      </c>
      <c r="AY1449" s="14">
        <f>LN(Table1347456[[#This Row],[rr]])</f>
        <v>0.43098744871389716</v>
      </c>
      <c r="AZ1449" s="13">
        <v>3</v>
      </c>
      <c r="BA1449" s="13">
        <v>3</v>
      </c>
      <c r="BB1449" s="14">
        <f>Table1347456[[#This Row],[treatment_sd]]/SQRT(Table1347456[[#This Row],[treatment_n]])</f>
        <v>1.1893415545306293E-3</v>
      </c>
      <c r="BC1449" s="14">
        <f>Table1347456[[#This Row],[control_sd]]/SQRT(Table1347456[[#This Row],[control_n]])</f>
        <v>3.4063665882187917E-4</v>
      </c>
      <c r="BD1449" s="15">
        <f>2.06/1000</f>
        <v>2.0600000000000002E-3</v>
      </c>
      <c r="BE1449" s="14">
        <f>0.59/1000</f>
        <v>5.8999999999999992E-4</v>
      </c>
      <c r="BF144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2.2571957513262657E-4</v>
      </c>
      <c r="BG1449" s="17">
        <f>SQRT(Table1347456[[#This Row],[v_from_sd_and_n]])</f>
        <v>1.5023966691011617E-2</v>
      </c>
      <c r="BH1449" s="13" t="s">
        <v>50</v>
      </c>
      <c r="BI1449" s="13">
        <v>2.5000000000000001E-2</v>
      </c>
      <c r="BJ1449" s="18">
        <f>ABS(_xlfn.NORM.S.INV(Table1347456[[#This Row],[p_value]]/2))</f>
        <v>2.2414027276049446</v>
      </c>
      <c r="BK1449" s="19">
        <f>(Table1347456[[#This Row],[lnrr]]/Table1347456[[#This Row],[z_from_p]])^2</f>
        <v>3.6973405452123097E-2</v>
      </c>
      <c r="BL1449" s="16">
        <f>Table1347456[[#This Row],[v_from_sd_and_n]]</f>
        <v>2.2571957513262657E-4</v>
      </c>
      <c r="BM1449" s="20">
        <f>SQRT(Table1347456[[#This Row],[v]])</f>
        <v>1.5023966691011617E-2</v>
      </c>
      <c r="BN1449" s="20">
        <f>Table1347456[[#This Row],[lnrr]]-(1.96*Table1347456[[#This Row],[se]])</f>
        <v>0.40154047399951437</v>
      </c>
      <c r="BO1449" s="20">
        <f>Table1347456[[#This Row],[lnrr]]+(1.96 * Table1347456[[#This Row],[se]])</f>
        <v>0.46043442342827995</v>
      </c>
    </row>
    <row r="1450" spans="1:67">
      <c r="A1450" s="13" t="s">
        <v>437</v>
      </c>
      <c r="B1450" s="13" t="s">
        <v>438</v>
      </c>
      <c r="C1450" s="13" t="s">
        <v>43</v>
      </c>
      <c r="D1450" s="13" t="s">
        <v>439</v>
      </c>
      <c r="E1450" s="13" t="s">
        <v>91</v>
      </c>
      <c r="F1450" s="13" t="s">
        <v>587</v>
      </c>
      <c r="G1450" s="13" t="s">
        <v>46</v>
      </c>
      <c r="H1450" s="13">
        <v>17</v>
      </c>
      <c r="I1450" s="13">
        <v>1422.4</v>
      </c>
      <c r="J1450" s="13" t="s">
        <v>664</v>
      </c>
      <c r="K1450" s="13" t="s">
        <v>955</v>
      </c>
      <c r="L1450" s="13" t="s">
        <v>956</v>
      </c>
      <c r="M1450" s="13" t="s">
        <v>672</v>
      </c>
      <c r="N1450" s="13" t="s">
        <v>317</v>
      </c>
      <c r="O1450" s="13" t="s">
        <v>644</v>
      </c>
      <c r="P1450" s="13" t="s">
        <v>85</v>
      </c>
      <c r="Q1450" s="13" t="s">
        <v>48</v>
      </c>
      <c r="R1450" s="4">
        <v>3</v>
      </c>
      <c r="S1450" s="13" t="s">
        <v>594</v>
      </c>
      <c r="T1450" s="13">
        <v>150</v>
      </c>
      <c r="U1450" s="4" t="s">
        <v>200</v>
      </c>
      <c r="V1450" s="4">
        <v>550</v>
      </c>
      <c r="W1450" s="4" t="s">
        <v>601</v>
      </c>
      <c r="X1450" s="4">
        <v>467.2</v>
      </c>
      <c r="Y1450" s="4">
        <v>40</v>
      </c>
      <c r="AA1450" s="4" t="s">
        <v>50</v>
      </c>
      <c r="AB1450" s="4">
        <v>375</v>
      </c>
      <c r="AC1450" s="4" t="s">
        <v>49</v>
      </c>
      <c r="AD1450" s="4">
        <v>0</v>
      </c>
      <c r="AE1450" s="4" t="s">
        <v>49</v>
      </c>
      <c r="AF1450" s="4">
        <v>0</v>
      </c>
      <c r="AG1450" s="4" t="s">
        <v>705</v>
      </c>
      <c r="AH1450" s="4" t="s">
        <v>767</v>
      </c>
      <c r="AI1450" s="4" t="s">
        <v>52</v>
      </c>
      <c r="AJ1450" s="13">
        <v>0</v>
      </c>
      <c r="AK1450" s="13">
        <v>17</v>
      </c>
      <c r="AM1450" s="13" t="s">
        <v>571</v>
      </c>
      <c r="AP1450" s="13" t="s">
        <v>50</v>
      </c>
      <c r="AQ1450" s="13" t="s">
        <v>49</v>
      </c>
      <c r="AR1450" s="13" t="s">
        <v>50</v>
      </c>
      <c r="AS1450" s="13" t="s">
        <v>49</v>
      </c>
      <c r="AT1450" s="13" t="s">
        <v>992</v>
      </c>
      <c r="AU1450" s="4" t="s">
        <v>1000</v>
      </c>
      <c r="AV1450" s="23">
        <f>87.79/1000</f>
        <v>8.7790000000000007E-2</v>
      </c>
      <c r="AW1450" s="23">
        <f>56.22/1000</f>
        <v>5.6219999999999999E-2</v>
      </c>
      <c r="AX1450" s="14">
        <f>Table1347456[[#This Row],[treatment_mean]]/Table1347456[[#This Row],[control_mean]]</f>
        <v>1.5615439345428674</v>
      </c>
      <c r="AY1450" s="14">
        <f>LN(Table1347456[[#This Row],[rr]])</f>
        <v>0.44567503345973164</v>
      </c>
      <c r="AZ1450" s="13">
        <v>3</v>
      </c>
      <c r="BA1450" s="13">
        <v>3</v>
      </c>
      <c r="BB1450" s="14">
        <f>Table1347456[[#This Row],[treatment_sd]]/SQRT(Table1347456[[#This Row],[treatment_n]])</f>
        <v>9.5262794416288259E-4</v>
      </c>
      <c r="BC1450" s="14">
        <f>Table1347456[[#This Row],[control_sd]]/SQRT(Table1347456[[#This Row],[control_n]])</f>
        <v>3.4063665882187917E-4</v>
      </c>
      <c r="BD1450" s="15">
        <f>1.65/1000</f>
        <v>1.65E-3</v>
      </c>
      <c r="BE1450" s="14">
        <f>0.59/1000</f>
        <v>5.8999999999999992E-4</v>
      </c>
      <c r="BF145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1.5446022419186183E-4</v>
      </c>
      <c r="BG1450" s="17">
        <f>SQRT(Table1347456[[#This Row],[v_from_sd_and_n]])</f>
        <v>1.2428202774008069E-2</v>
      </c>
      <c r="BH1450" s="13" t="s">
        <v>50</v>
      </c>
      <c r="BI1450" s="13">
        <v>2.5000000000000001E-2</v>
      </c>
      <c r="BJ1450" s="18">
        <f>ABS(_xlfn.NORM.S.INV(Table1347456[[#This Row],[p_value]]/2))</f>
        <v>2.2414027276049446</v>
      </c>
      <c r="BK1450" s="19">
        <f>(Table1347456[[#This Row],[lnrr]]/Table1347456[[#This Row],[z_from_p]])^2</f>
        <v>3.9536372450247048E-2</v>
      </c>
      <c r="BL1450" s="16">
        <f>Table1347456[[#This Row],[v_from_sd_and_n]]</f>
        <v>1.5446022419186183E-4</v>
      </c>
      <c r="BM1450" s="20">
        <f>SQRT(Table1347456[[#This Row],[v]])</f>
        <v>1.2428202774008069E-2</v>
      </c>
      <c r="BN1450" s="20">
        <f>Table1347456[[#This Row],[lnrr]]-(1.96*Table1347456[[#This Row],[se]])</f>
        <v>0.42131575602267585</v>
      </c>
      <c r="BO1450" s="20">
        <f>Table1347456[[#This Row],[lnrr]]+(1.96 * Table1347456[[#This Row],[se]])</f>
        <v>0.47003431089678743</v>
      </c>
    </row>
    <row r="1451" spans="1:67">
      <c r="A1451" s="13" t="s">
        <v>440</v>
      </c>
      <c r="B1451" s="13" t="s">
        <v>665</v>
      </c>
      <c r="C1451" s="13" t="s">
        <v>43</v>
      </c>
      <c r="D1451" s="13" t="s">
        <v>442</v>
      </c>
      <c r="E1451" s="13" t="s">
        <v>44</v>
      </c>
      <c r="F1451" s="13" t="s">
        <v>591</v>
      </c>
      <c r="G1451" s="13" t="s">
        <v>46</v>
      </c>
      <c r="H1451" s="13">
        <v>10</v>
      </c>
      <c r="I1451" s="13">
        <v>700</v>
      </c>
      <c r="K1451" s="13" t="s">
        <v>957</v>
      </c>
      <c r="L1451" s="13" t="s">
        <v>958</v>
      </c>
      <c r="N1451" s="13" t="s">
        <v>122</v>
      </c>
      <c r="O1451" s="13" t="s">
        <v>645</v>
      </c>
      <c r="P1451" s="13" t="s">
        <v>85</v>
      </c>
      <c r="Q1451" s="13" t="s">
        <v>48</v>
      </c>
      <c r="R1451" s="4">
        <v>3</v>
      </c>
      <c r="S1451" s="13" t="s">
        <v>594</v>
      </c>
      <c r="T1451" s="13">
        <v>150</v>
      </c>
      <c r="U1451" s="4" t="s">
        <v>51</v>
      </c>
      <c r="V1451" s="4">
        <v>500</v>
      </c>
      <c r="W1451" s="4" t="s">
        <v>601</v>
      </c>
      <c r="X1451" s="4">
        <v>695</v>
      </c>
      <c r="Y1451" s="4">
        <v>20</v>
      </c>
      <c r="AA1451" s="4" t="s">
        <v>49</v>
      </c>
      <c r="AB1451" s="4">
        <v>0</v>
      </c>
      <c r="AC1451" s="4" t="s">
        <v>49</v>
      </c>
      <c r="AD1451" s="4">
        <v>0</v>
      </c>
      <c r="AE1451" s="4" t="s">
        <v>49</v>
      </c>
      <c r="AF1451" s="4">
        <v>0</v>
      </c>
      <c r="AG1451" s="4" t="s">
        <v>46</v>
      </c>
      <c r="AH1451" s="4" t="s">
        <v>690</v>
      </c>
      <c r="AI1451" s="4" t="s">
        <v>78</v>
      </c>
      <c r="AJ1451" s="13">
        <v>0</v>
      </c>
      <c r="AK1451" s="13">
        <v>15</v>
      </c>
      <c r="AM1451" s="13" t="s">
        <v>572</v>
      </c>
      <c r="AP1451" s="13" t="s">
        <v>50</v>
      </c>
      <c r="AQ1451" s="13" t="s">
        <v>49</v>
      </c>
      <c r="AR1451" s="13" t="s">
        <v>49</v>
      </c>
      <c r="AS1451" s="13" t="s">
        <v>49</v>
      </c>
      <c r="AT1451" s="13" t="s">
        <v>990</v>
      </c>
      <c r="AU1451" s="13" t="s">
        <v>998</v>
      </c>
      <c r="AV1451" s="14">
        <f>41800/1000</f>
        <v>41.8</v>
      </c>
      <c r="AW1451" s="14">
        <f>37300/1000</f>
        <v>37.299999999999997</v>
      </c>
      <c r="AX1451" s="14">
        <f>Table1347456[[#This Row],[treatment_mean]]/Table1347456[[#This Row],[control_mean]]</f>
        <v>1.1206434316353888</v>
      </c>
      <c r="AY1451" s="14">
        <f>LN(Table1347456[[#This Row],[rr]])</f>
        <v>0.11390301288094085</v>
      </c>
      <c r="AZ1451" s="13">
        <v>3</v>
      </c>
      <c r="BA1451" s="13">
        <v>3</v>
      </c>
      <c r="BB1451" s="14">
        <f>1689/1000</f>
        <v>1.6890000000000001</v>
      </c>
      <c r="BC1451" s="14">
        <f>1058/1000</f>
        <v>1.0580000000000001</v>
      </c>
      <c r="BD1451" s="15">
        <f>Table1347456[[#This Row],[treatment_se]]*SQRT(Table1347456[[#This Row],[treatment_n]])</f>
        <v>2.9254338139838336</v>
      </c>
      <c r="BE1451" s="14">
        <f>Table1347456[[#This Row],[control_se]]*SQRT(Table1347456[[#This Row],[control_n]])</f>
        <v>1.8325097544078721</v>
      </c>
      <c r="BF145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2.4372524608238669E-3</v>
      </c>
      <c r="BG1451" s="17">
        <f>SQRT(Table1347456[[#This Row],[v_from_sd_and_n]])</f>
        <v>4.9368537154992419E-2</v>
      </c>
      <c r="BH1451" s="13" t="s">
        <v>49</v>
      </c>
      <c r="BI1451" s="13">
        <v>0.05</v>
      </c>
      <c r="BJ1451" s="18">
        <f>ABS(_xlfn.NORM.S.INV(Table1347456[[#This Row],[p_value]]/2))</f>
        <v>1.9599639845400538</v>
      </c>
      <c r="BK1451" s="19">
        <f>(Table1347456[[#This Row],[lnrr]]/Table1347456[[#This Row],[z_from_p]])^2</f>
        <v>3.377335785422134E-3</v>
      </c>
      <c r="BL1451" s="16">
        <f>Table1347456[[#This Row],[v_from_sd_and_n]]</f>
        <v>2.4372524608238669E-3</v>
      </c>
      <c r="BM1451" s="20">
        <f>SQRT(Table1347456[[#This Row],[v]])</f>
        <v>4.9368537154992419E-2</v>
      </c>
      <c r="BN1451" s="20">
        <f>Table1347456[[#This Row],[lnrr]]-(1.96*Table1347456[[#This Row],[se]])</f>
        <v>1.7140680057155702E-2</v>
      </c>
      <c r="BO1451" s="20">
        <f>Table1347456[[#This Row],[lnrr]]+(1.96 * Table1347456[[#This Row],[se]])</f>
        <v>0.210665345704726</v>
      </c>
    </row>
    <row r="1452" spans="1:67">
      <c r="A1452" s="13" t="s">
        <v>440</v>
      </c>
      <c r="B1452" s="13" t="s">
        <v>441</v>
      </c>
      <c r="C1452" s="13" t="s">
        <v>43</v>
      </c>
      <c r="D1452" s="13" t="s">
        <v>442</v>
      </c>
      <c r="E1452" s="13" t="s">
        <v>44</v>
      </c>
      <c r="F1452" s="13" t="s">
        <v>591</v>
      </c>
      <c r="G1452" s="13" t="s">
        <v>46</v>
      </c>
      <c r="H1452" s="13">
        <v>10</v>
      </c>
      <c r="I1452" s="13">
        <v>700</v>
      </c>
      <c r="K1452" s="13" t="s">
        <v>957</v>
      </c>
      <c r="L1452" s="13" t="s">
        <v>958</v>
      </c>
      <c r="N1452" s="13" t="s">
        <v>122</v>
      </c>
      <c r="O1452" s="13" t="s">
        <v>645</v>
      </c>
      <c r="P1452" s="13" t="s">
        <v>85</v>
      </c>
      <c r="Q1452" s="13" t="s">
        <v>48</v>
      </c>
      <c r="R1452" s="4">
        <v>3</v>
      </c>
      <c r="S1452" s="13" t="s">
        <v>594</v>
      </c>
      <c r="T1452" s="13">
        <v>150</v>
      </c>
      <c r="U1452" s="4" t="s">
        <v>51</v>
      </c>
      <c r="V1452" s="4">
        <v>500</v>
      </c>
      <c r="W1452" s="4" t="s">
        <v>601</v>
      </c>
      <c r="X1452" s="4">
        <v>695</v>
      </c>
      <c r="Y1452" s="4">
        <v>20</v>
      </c>
      <c r="AA1452" s="4" t="s">
        <v>49</v>
      </c>
      <c r="AB1452" s="4">
        <v>0</v>
      </c>
      <c r="AC1452" s="4" t="s">
        <v>50</v>
      </c>
      <c r="AD1452" s="4">
        <v>70</v>
      </c>
      <c r="AE1452" s="4" t="s">
        <v>49</v>
      </c>
      <c r="AF1452" s="4">
        <v>0</v>
      </c>
      <c r="AG1452" s="4" t="s">
        <v>46</v>
      </c>
      <c r="AH1452" s="4" t="s">
        <v>690</v>
      </c>
      <c r="AI1452" s="4" t="s">
        <v>78</v>
      </c>
      <c r="AJ1452" s="13">
        <v>0</v>
      </c>
      <c r="AK1452" s="13">
        <v>15</v>
      </c>
      <c r="AM1452" s="13" t="s">
        <v>572</v>
      </c>
      <c r="AP1452" s="13" t="s">
        <v>50</v>
      </c>
      <c r="AQ1452" s="13" t="s">
        <v>49</v>
      </c>
      <c r="AR1452" s="13" t="s">
        <v>49</v>
      </c>
      <c r="AS1452" s="13" t="s">
        <v>49</v>
      </c>
      <c r="AT1452" s="13" t="s">
        <v>990</v>
      </c>
      <c r="AU1452" s="13" t="s">
        <v>998</v>
      </c>
      <c r="AV1452" s="14">
        <f>45400/1000</f>
        <v>45.4</v>
      </c>
      <c r="AW1452" s="14">
        <f>44700/1000</f>
        <v>44.7</v>
      </c>
      <c r="AX1452" s="14">
        <f>Table1347456[[#This Row],[treatment_mean]]/Table1347456[[#This Row],[control_mean]]</f>
        <v>1.0156599552572707</v>
      </c>
      <c r="AY1452" s="14">
        <f>LN(Table1347456[[#This Row],[rr]])</f>
        <v>1.5538603427779166E-2</v>
      </c>
      <c r="AZ1452" s="13">
        <v>3</v>
      </c>
      <c r="BA1452" s="13">
        <v>3</v>
      </c>
      <c r="BB1452" s="14">
        <f>2346/1000</f>
        <v>2.3460000000000001</v>
      </c>
      <c r="BC1452" s="14">
        <f>1465/1000</f>
        <v>1.4650000000000001</v>
      </c>
      <c r="BD1452" s="15">
        <f>Table1347456[[#This Row],[treatment_se]]*SQRT(Table1347456[[#This Row],[treatment_n]])</f>
        <v>4.0633911945565862</v>
      </c>
      <c r="BE1452" s="14">
        <f>Table1347456[[#This Row],[control_se]]*SQRT(Table1347456[[#This Row],[control_n]])</f>
        <v>2.537454433088405</v>
      </c>
      <c r="BF145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3.7443414886336283E-3</v>
      </c>
      <c r="BG1452" s="17">
        <f>SQRT(Table1347456[[#This Row],[v_from_sd_and_n]])</f>
        <v>6.1191024575779317E-2</v>
      </c>
      <c r="BH1452" s="13" t="s">
        <v>49</v>
      </c>
      <c r="BI1452" s="13">
        <v>0.05</v>
      </c>
      <c r="BJ1452" s="18">
        <f>ABS(_xlfn.NORM.S.INV(Table1347456[[#This Row],[p_value]]/2))</f>
        <v>1.9599639845400538</v>
      </c>
      <c r="BK1452" s="19">
        <f>(Table1347456[[#This Row],[lnrr]]/Table1347456[[#This Row],[z_from_p]])^2</f>
        <v>6.2853256472540419E-5</v>
      </c>
      <c r="BL1452" s="16">
        <f>Table1347456[[#This Row],[v_from_sd_and_n]]</f>
        <v>3.7443414886336283E-3</v>
      </c>
      <c r="BM1452" s="20">
        <f>SQRT(Table1347456[[#This Row],[v]])</f>
        <v>6.1191024575779317E-2</v>
      </c>
      <c r="BN1452" s="20">
        <f>Table1347456[[#This Row],[lnrr]]-(1.96*Table1347456[[#This Row],[se]])</f>
        <v>-0.10439580474074829</v>
      </c>
      <c r="BO1452" s="20">
        <f>Table1347456[[#This Row],[lnrr]]+(1.96 * Table1347456[[#This Row],[se]])</f>
        <v>0.13547301159630662</v>
      </c>
    </row>
    <row r="1453" spans="1:67">
      <c r="A1453" s="13" t="s">
        <v>440</v>
      </c>
      <c r="B1453" s="13" t="s">
        <v>665</v>
      </c>
      <c r="C1453" s="13" t="s">
        <v>43</v>
      </c>
      <c r="D1453" s="13" t="s">
        <v>442</v>
      </c>
      <c r="E1453" s="13" t="s">
        <v>44</v>
      </c>
      <c r="F1453" s="13" t="s">
        <v>591</v>
      </c>
      <c r="G1453" s="13" t="s">
        <v>46</v>
      </c>
      <c r="H1453" s="13">
        <v>10</v>
      </c>
      <c r="I1453" s="13">
        <v>700</v>
      </c>
      <c r="J1453" s="13" t="s">
        <v>666</v>
      </c>
      <c r="K1453" s="13" t="s">
        <v>957</v>
      </c>
      <c r="L1453" s="13" t="s">
        <v>958</v>
      </c>
      <c r="M1453" s="13" t="s">
        <v>799</v>
      </c>
      <c r="N1453" s="13" t="s">
        <v>119</v>
      </c>
      <c r="O1453" s="13" t="s">
        <v>645</v>
      </c>
      <c r="P1453" s="13" t="s">
        <v>85</v>
      </c>
      <c r="Q1453" s="13" t="s">
        <v>48</v>
      </c>
      <c r="R1453" s="4">
        <v>3</v>
      </c>
      <c r="S1453" s="13" t="s">
        <v>594</v>
      </c>
      <c r="T1453" s="13">
        <v>150</v>
      </c>
      <c r="U1453" s="4" t="s">
        <v>51</v>
      </c>
      <c r="V1453" s="4">
        <v>500</v>
      </c>
      <c r="W1453" s="4" t="s">
        <v>601</v>
      </c>
      <c r="X1453" s="4">
        <v>695</v>
      </c>
      <c r="Y1453" s="4">
        <v>20</v>
      </c>
      <c r="AA1453" s="4" t="s">
        <v>49</v>
      </c>
      <c r="AB1453" s="4">
        <v>0</v>
      </c>
      <c r="AC1453" s="4" t="s">
        <v>49</v>
      </c>
      <c r="AD1453" s="4">
        <v>0</v>
      </c>
      <c r="AE1453" s="4" t="s">
        <v>49</v>
      </c>
      <c r="AF1453" s="4">
        <v>0</v>
      </c>
      <c r="AG1453" s="4" t="s">
        <v>46</v>
      </c>
      <c r="AH1453" s="4" t="s">
        <v>690</v>
      </c>
      <c r="AI1453" s="4" t="s">
        <v>78</v>
      </c>
      <c r="AJ1453" s="13">
        <v>0</v>
      </c>
      <c r="AK1453" s="13">
        <v>15</v>
      </c>
      <c r="AM1453" s="13" t="s">
        <v>572</v>
      </c>
      <c r="AP1453" s="13" t="s">
        <v>50</v>
      </c>
      <c r="AQ1453" s="13" t="s">
        <v>49</v>
      </c>
      <c r="AR1453" s="13" t="s">
        <v>49</v>
      </c>
      <c r="AS1453" s="13" t="s">
        <v>49</v>
      </c>
      <c r="AT1453" s="13" t="s">
        <v>990</v>
      </c>
      <c r="AU1453" s="13" t="s">
        <v>998</v>
      </c>
      <c r="AV1453" s="23">
        <f>6977.8/1000</f>
        <v>6.9778000000000002</v>
      </c>
      <c r="AW1453" s="23">
        <f>5628.2/1000</f>
        <v>5.6281999999999996</v>
      </c>
      <c r="AX1453" s="14">
        <f>Table1347456[[#This Row],[treatment_mean]]/Table1347456[[#This Row],[control_mean]]</f>
        <v>1.2397924736150103</v>
      </c>
      <c r="AY1453" s="14">
        <f>LN(Table1347456[[#This Row],[rr]])</f>
        <v>0.21494400562280508</v>
      </c>
      <c r="AZ1453" s="13">
        <v>3</v>
      </c>
      <c r="BA1453" s="13">
        <v>3</v>
      </c>
      <c r="BB1453" s="14">
        <f>409/1000</f>
        <v>0.40899999999999997</v>
      </c>
      <c r="BC1453" s="14">
        <f>399.6/1000</f>
        <v>0.39960000000000001</v>
      </c>
      <c r="BD1453" s="15">
        <f>Table1347456[[#This Row],[treatment_se]]*SQRT(Table1347456[[#This Row],[treatment_n]])</f>
        <v>0.70840878029567078</v>
      </c>
      <c r="BE1453" s="14">
        <f>Table1347456[[#This Row],[control_se]]*SQRT(Table1347456[[#This Row],[control_n]])</f>
        <v>0.69212750270452339</v>
      </c>
      <c r="BF145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8.4765997680507476E-3</v>
      </c>
      <c r="BG1453" s="17">
        <f>SQRT(Table1347456[[#This Row],[v_from_sd_and_n]])</f>
        <v>9.2068451534989701E-2</v>
      </c>
      <c r="BH1453" s="13" t="s">
        <v>49</v>
      </c>
      <c r="BI1453" s="13">
        <v>0.05</v>
      </c>
      <c r="BJ1453" s="18">
        <f>ABS(_xlfn.NORM.S.INV(Table1347456[[#This Row],[p_value]]/2))</f>
        <v>1.9599639845400538</v>
      </c>
      <c r="BK1453" s="19">
        <f>(Table1347456[[#This Row],[lnrr]]/Table1347456[[#This Row],[z_from_p]])^2</f>
        <v>1.2026921987108086E-2</v>
      </c>
      <c r="BL1453" s="16">
        <f>Table1347456[[#This Row],[v_from_sd_and_n]]</f>
        <v>8.4765997680507476E-3</v>
      </c>
      <c r="BM1453" s="20">
        <f>SQRT(Table1347456[[#This Row],[v]])</f>
        <v>9.2068451534989701E-2</v>
      </c>
      <c r="BN1453" s="20">
        <f>Table1347456[[#This Row],[lnrr]]-(1.96*Table1347456[[#This Row],[se]])</f>
        <v>3.4489840614225276E-2</v>
      </c>
      <c r="BO1453" s="20">
        <f>Table1347456[[#This Row],[lnrr]]+(1.96 * Table1347456[[#This Row],[se]])</f>
        <v>0.39539817063138488</v>
      </c>
    </row>
    <row r="1454" spans="1:67">
      <c r="A1454" s="13" t="s">
        <v>440</v>
      </c>
      <c r="B1454" s="13" t="s">
        <v>441</v>
      </c>
      <c r="C1454" s="13" t="s">
        <v>43</v>
      </c>
      <c r="D1454" s="13" t="s">
        <v>442</v>
      </c>
      <c r="E1454" s="13" t="s">
        <v>44</v>
      </c>
      <c r="F1454" s="13" t="s">
        <v>591</v>
      </c>
      <c r="G1454" s="13" t="s">
        <v>46</v>
      </c>
      <c r="H1454" s="13">
        <v>10</v>
      </c>
      <c r="I1454" s="13">
        <v>700</v>
      </c>
      <c r="J1454" s="13" t="s">
        <v>666</v>
      </c>
      <c r="K1454" s="13" t="s">
        <v>957</v>
      </c>
      <c r="L1454" s="13" t="s">
        <v>958</v>
      </c>
      <c r="M1454" s="13" t="s">
        <v>799</v>
      </c>
      <c r="N1454" s="13" t="s">
        <v>119</v>
      </c>
      <c r="O1454" s="13" t="s">
        <v>645</v>
      </c>
      <c r="P1454" s="13" t="s">
        <v>85</v>
      </c>
      <c r="Q1454" s="13" t="s">
        <v>48</v>
      </c>
      <c r="R1454" s="4">
        <v>3</v>
      </c>
      <c r="S1454" s="13" t="s">
        <v>594</v>
      </c>
      <c r="T1454" s="13">
        <v>150</v>
      </c>
      <c r="U1454" s="4" t="s">
        <v>51</v>
      </c>
      <c r="V1454" s="4">
        <v>500</v>
      </c>
      <c r="W1454" s="4" t="s">
        <v>601</v>
      </c>
      <c r="X1454" s="4">
        <v>695</v>
      </c>
      <c r="Y1454" s="4">
        <v>20</v>
      </c>
      <c r="AA1454" s="4" t="s">
        <v>49</v>
      </c>
      <c r="AB1454" s="4">
        <v>0</v>
      </c>
      <c r="AC1454" s="4" t="s">
        <v>50</v>
      </c>
      <c r="AD1454" s="4">
        <v>70</v>
      </c>
      <c r="AE1454" s="4" t="s">
        <v>49</v>
      </c>
      <c r="AF1454" s="4">
        <v>0</v>
      </c>
      <c r="AG1454" s="4" t="s">
        <v>46</v>
      </c>
      <c r="AH1454" s="4" t="s">
        <v>690</v>
      </c>
      <c r="AI1454" s="4" t="s">
        <v>78</v>
      </c>
      <c r="AJ1454" s="13">
        <v>0</v>
      </c>
      <c r="AK1454" s="13">
        <v>15</v>
      </c>
      <c r="AM1454" s="13" t="s">
        <v>572</v>
      </c>
      <c r="AP1454" s="13" t="s">
        <v>50</v>
      </c>
      <c r="AQ1454" s="13" t="s">
        <v>49</v>
      </c>
      <c r="AR1454" s="13" t="s">
        <v>49</v>
      </c>
      <c r="AS1454" s="13" t="s">
        <v>49</v>
      </c>
      <c r="AT1454" s="13" t="s">
        <v>990</v>
      </c>
      <c r="AU1454" s="13" t="s">
        <v>998</v>
      </c>
      <c r="AV1454" s="23">
        <f>7259.3/1000</f>
        <v>7.2593000000000005</v>
      </c>
      <c r="AW1454" s="23">
        <f>6765.9/1000</f>
        <v>6.7658999999999994</v>
      </c>
      <c r="AX1454" s="14">
        <f>Table1347456[[#This Row],[treatment_mean]]/Table1347456[[#This Row],[control_mean]]</f>
        <v>1.0729245185415097</v>
      </c>
      <c r="AY1454" s="14">
        <f>LN(Table1347456[[#This Row],[rr]])</f>
        <v>7.0388114987302158E-2</v>
      </c>
      <c r="AZ1454" s="13">
        <v>3</v>
      </c>
      <c r="BA1454" s="13">
        <v>3</v>
      </c>
      <c r="BB1454" s="14">
        <f>646/1000</f>
        <v>0.64600000000000002</v>
      </c>
      <c r="BC1454" s="14">
        <f>204.1/1000</f>
        <v>0.2041</v>
      </c>
      <c r="BD1454" s="15">
        <f>Table1347456[[#This Row],[treatment_se]]*SQRT(Table1347456[[#This Row],[treatment_n]])</f>
        <v>1.1189048216894948</v>
      </c>
      <c r="BE1454" s="14">
        <f>Table1347456[[#This Row],[control_se]]*SQRT(Table1347456[[#This Row],[control_n]])</f>
        <v>0.35351156982480786</v>
      </c>
      <c r="BF145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8.8290812025044046E-3</v>
      </c>
      <c r="BG1454" s="17">
        <f>SQRT(Table1347456[[#This Row],[v_from_sd_and_n]])</f>
        <v>9.3963190678607783E-2</v>
      </c>
      <c r="BH1454" s="13" t="s">
        <v>49</v>
      </c>
      <c r="BI1454" s="13">
        <v>0.05</v>
      </c>
      <c r="BJ1454" s="18">
        <f>ABS(_xlfn.NORM.S.INV(Table1347456[[#This Row],[p_value]]/2))</f>
        <v>1.9599639845400538</v>
      </c>
      <c r="BK1454" s="19">
        <f>(Table1347456[[#This Row],[lnrr]]/Table1347456[[#This Row],[z_from_p]])^2</f>
        <v>1.2897409454907106E-3</v>
      </c>
      <c r="BL1454" s="16">
        <f>Table1347456[[#This Row],[v_from_sd_and_n]]</f>
        <v>8.8290812025044046E-3</v>
      </c>
      <c r="BM1454" s="20">
        <f>SQRT(Table1347456[[#This Row],[v]])</f>
        <v>9.3963190678607783E-2</v>
      </c>
      <c r="BN1454" s="20">
        <f>Table1347456[[#This Row],[lnrr]]-(1.96*Table1347456[[#This Row],[se]])</f>
        <v>-0.11377973874276909</v>
      </c>
      <c r="BO1454" s="20">
        <f>Table1347456[[#This Row],[lnrr]]+(1.96 * Table1347456[[#This Row],[se]])</f>
        <v>0.2545559687173734</v>
      </c>
    </row>
    <row r="1455" spans="1:67">
      <c r="A1455" s="13" t="s">
        <v>440</v>
      </c>
      <c r="B1455" s="13" t="s">
        <v>441</v>
      </c>
      <c r="C1455" s="13" t="s">
        <v>43</v>
      </c>
      <c r="D1455" s="13" t="s">
        <v>442</v>
      </c>
      <c r="E1455" s="13" t="s">
        <v>44</v>
      </c>
      <c r="F1455" s="13" t="s">
        <v>591</v>
      </c>
      <c r="G1455" s="13" t="s">
        <v>46</v>
      </c>
      <c r="H1455" s="13">
        <v>10</v>
      </c>
      <c r="I1455" s="13">
        <v>700</v>
      </c>
      <c r="K1455" s="13" t="s">
        <v>957</v>
      </c>
      <c r="L1455" s="13" t="s">
        <v>958</v>
      </c>
      <c r="N1455" s="13" t="s">
        <v>121</v>
      </c>
      <c r="O1455" s="13" t="s">
        <v>645</v>
      </c>
      <c r="P1455" s="13" t="s">
        <v>85</v>
      </c>
      <c r="Q1455" s="13" t="s">
        <v>48</v>
      </c>
      <c r="R1455" s="4">
        <v>3</v>
      </c>
      <c r="S1455" s="13" t="s">
        <v>594</v>
      </c>
      <c r="T1455" s="13">
        <v>150</v>
      </c>
      <c r="U1455" s="4" t="s">
        <v>51</v>
      </c>
      <c r="V1455" s="4">
        <v>500</v>
      </c>
      <c r="W1455" s="4" t="s">
        <v>601</v>
      </c>
      <c r="X1455" s="4">
        <v>695</v>
      </c>
      <c r="Y1455" s="4">
        <v>20</v>
      </c>
      <c r="AA1455" s="4" t="s">
        <v>49</v>
      </c>
      <c r="AB1455" s="4">
        <v>0</v>
      </c>
      <c r="AC1455" s="4" t="s">
        <v>49</v>
      </c>
      <c r="AD1455" s="4">
        <v>0</v>
      </c>
      <c r="AE1455" s="4" t="s">
        <v>49</v>
      </c>
      <c r="AF1455" s="4">
        <v>0</v>
      </c>
      <c r="AG1455" s="4" t="s">
        <v>46</v>
      </c>
      <c r="AH1455" s="4" t="s">
        <v>690</v>
      </c>
      <c r="AI1455" s="4" t="s">
        <v>78</v>
      </c>
      <c r="AJ1455" s="13">
        <v>0</v>
      </c>
      <c r="AK1455" s="13">
        <v>15</v>
      </c>
      <c r="AM1455" s="13" t="s">
        <v>572</v>
      </c>
      <c r="AP1455" s="13" t="s">
        <v>50</v>
      </c>
      <c r="AQ1455" s="13" t="s">
        <v>49</v>
      </c>
      <c r="AR1455" s="13" t="s">
        <v>49</v>
      </c>
      <c r="AS1455" s="13" t="s">
        <v>49</v>
      </c>
      <c r="AT1455" s="13" t="s">
        <v>990</v>
      </c>
      <c r="AU1455" s="13" t="s">
        <v>998</v>
      </c>
      <c r="AV1455" s="14">
        <f>20941/1000</f>
        <v>20.940999999999999</v>
      </c>
      <c r="AW1455" s="14">
        <f>15481/1000</f>
        <v>15.481</v>
      </c>
      <c r="AX1455" s="14">
        <f>Table1347456[[#This Row],[treatment_mean]]/Table1347456[[#This Row],[control_mean]]</f>
        <v>1.3526903946773463</v>
      </c>
      <c r="AY1455" s="14">
        <f>LN(Table1347456[[#This Row],[rr]])</f>
        <v>0.30209549423568666</v>
      </c>
      <c r="AZ1455" s="13">
        <v>3</v>
      </c>
      <c r="BA1455" s="13">
        <v>3</v>
      </c>
      <c r="BB1455" s="14">
        <f>790/1000</f>
        <v>0.79</v>
      </c>
      <c r="BC1455" s="14">
        <f>1006/1000</f>
        <v>1.006</v>
      </c>
      <c r="BD1455" s="15">
        <f>Table1347456[[#This Row],[treatment_se]]*SQRT(Table1347456[[#This Row],[treatment_n]])</f>
        <v>1.368320137979413</v>
      </c>
      <c r="BE1455" s="14">
        <f>Table1347456[[#This Row],[control_se]]*SQRT(Table1347456[[#This Row],[control_n]])</f>
        <v>1.7424431124142905</v>
      </c>
      <c r="BF145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5.6459534018857213E-3</v>
      </c>
      <c r="BG1455" s="17">
        <f>SQRT(Table1347456[[#This Row],[v_from_sd_and_n]])</f>
        <v>7.5139559500210812E-2</v>
      </c>
      <c r="BH1455" s="13" t="s">
        <v>49</v>
      </c>
      <c r="BI1455" s="13">
        <v>0.05</v>
      </c>
      <c r="BJ1455" s="18">
        <f>ABS(_xlfn.NORM.S.INV(Table1347456[[#This Row],[p_value]]/2))</f>
        <v>1.9599639845400538</v>
      </c>
      <c r="BK1455" s="19">
        <f>(Table1347456[[#This Row],[lnrr]]/Table1347456[[#This Row],[z_from_p]])^2</f>
        <v>2.3757039160714845E-2</v>
      </c>
      <c r="BL1455" s="16">
        <f>Table1347456[[#This Row],[v_from_sd_and_n]]</f>
        <v>5.6459534018857213E-3</v>
      </c>
      <c r="BM1455" s="20">
        <f>SQRT(Table1347456[[#This Row],[v]])</f>
        <v>7.5139559500210812E-2</v>
      </c>
      <c r="BN1455" s="20">
        <f>Table1347456[[#This Row],[lnrr]]-(1.96*Table1347456[[#This Row],[se]])</f>
        <v>0.15482195761527348</v>
      </c>
      <c r="BO1455" s="20">
        <f>Table1347456[[#This Row],[lnrr]]+(1.96 * Table1347456[[#This Row],[se]])</f>
        <v>0.4493690308560998</v>
      </c>
    </row>
    <row r="1456" spans="1:67">
      <c r="A1456" s="13" t="s">
        <v>440</v>
      </c>
      <c r="B1456" s="13" t="s">
        <v>441</v>
      </c>
      <c r="C1456" s="13" t="s">
        <v>43</v>
      </c>
      <c r="D1456" s="13" t="s">
        <v>442</v>
      </c>
      <c r="E1456" s="13" t="s">
        <v>44</v>
      </c>
      <c r="F1456" s="13" t="s">
        <v>591</v>
      </c>
      <c r="G1456" s="13" t="s">
        <v>46</v>
      </c>
      <c r="H1456" s="13">
        <v>10</v>
      </c>
      <c r="I1456" s="13">
        <v>700</v>
      </c>
      <c r="K1456" s="13" t="s">
        <v>957</v>
      </c>
      <c r="L1456" s="13" t="s">
        <v>958</v>
      </c>
      <c r="N1456" s="13" t="s">
        <v>121</v>
      </c>
      <c r="O1456" s="13" t="s">
        <v>645</v>
      </c>
      <c r="P1456" s="13" t="s">
        <v>85</v>
      </c>
      <c r="Q1456" s="13" t="s">
        <v>48</v>
      </c>
      <c r="R1456" s="4">
        <v>3</v>
      </c>
      <c r="S1456" s="13" t="s">
        <v>594</v>
      </c>
      <c r="T1456" s="13">
        <v>150</v>
      </c>
      <c r="U1456" s="4" t="s">
        <v>51</v>
      </c>
      <c r="V1456" s="4">
        <v>500</v>
      </c>
      <c r="W1456" s="4" t="s">
        <v>601</v>
      </c>
      <c r="X1456" s="4">
        <v>695</v>
      </c>
      <c r="Y1456" s="4">
        <v>20</v>
      </c>
      <c r="AA1456" s="4" t="s">
        <v>49</v>
      </c>
      <c r="AB1456" s="4">
        <v>0</v>
      </c>
      <c r="AC1456" s="4" t="s">
        <v>50</v>
      </c>
      <c r="AD1456" s="4">
        <v>70</v>
      </c>
      <c r="AE1456" s="4" t="s">
        <v>49</v>
      </c>
      <c r="AF1456" s="4">
        <v>0</v>
      </c>
      <c r="AG1456" s="4" t="s">
        <v>46</v>
      </c>
      <c r="AH1456" s="4" t="s">
        <v>690</v>
      </c>
      <c r="AI1456" s="4" t="s">
        <v>78</v>
      </c>
      <c r="AJ1456" s="13">
        <v>0</v>
      </c>
      <c r="AK1456" s="13">
        <v>15</v>
      </c>
      <c r="AM1456" s="13" t="s">
        <v>572</v>
      </c>
      <c r="AP1456" s="13" t="s">
        <v>50</v>
      </c>
      <c r="AQ1456" s="13" t="s">
        <v>49</v>
      </c>
      <c r="AR1456" s="13" t="s">
        <v>49</v>
      </c>
      <c r="AS1456" s="13" t="s">
        <v>49</v>
      </c>
      <c r="AT1456" s="13" t="s">
        <v>990</v>
      </c>
      <c r="AU1456" s="13" t="s">
        <v>998</v>
      </c>
      <c r="AV1456" s="14">
        <f>17987/1000</f>
        <v>17.986999999999998</v>
      </c>
      <c r="AW1456" s="14">
        <f>22848/1000</f>
        <v>22.847999999999999</v>
      </c>
      <c r="AX1456" s="14">
        <f>Table1347456[[#This Row],[treatment_mean]]/Table1347456[[#This Row],[control_mean]]</f>
        <v>0.78724614845938368</v>
      </c>
      <c r="AY1456" s="14">
        <f>LN(Table1347456[[#This Row],[rr]])</f>
        <v>-0.23921431141134025</v>
      </c>
      <c r="AZ1456" s="13">
        <v>3</v>
      </c>
      <c r="BA1456" s="13">
        <v>3</v>
      </c>
      <c r="BB1456" s="14">
        <f>879/1000</f>
        <v>0.879</v>
      </c>
      <c r="BC1456" s="14">
        <f>1806/1000</f>
        <v>1.806</v>
      </c>
      <c r="BD1456" s="15">
        <f>Table1347456[[#This Row],[treatment_se]]*SQRT(Table1347456[[#This Row],[treatment_n]])</f>
        <v>1.5224726598530431</v>
      </c>
      <c r="BE1456" s="14">
        <f>Table1347456[[#This Row],[control_se]]*SQRT(Table1347456[[#This Row],[control_n]])</f>
        <v>3.1280837584693924</v>
      </c>
      <c r="BF145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8.6361152728903368E-3</v>
      </c>
      <c r="BG1456" s="17">
        <f>SQRT(Table1347456[[#This Row],[v_from_sd_and_n]])</f>
        <v>9.2930701454849343E-2</v>
      </c>
      <c r="BH1456" s="13" t="s">
        <v>49</v>
      </c>
      <c r="BI1456" s="13">
        <v>0.05</v>
      </c>
      <c r="BJ1456" s="18">
        <f>ABS(_xlfn.NORM.S.INV(Table1347456[[#This Row],[p_value]]/2))</f>
        <v>1.9599639845400538</v>
      </c>
      <c r="BK1456" s="19">
        <f>(Table1347456[[#This Row],[lnrr]]/Table1347456[[#This Row],[z_from_p]])^2</f>
        <v>1.4896290564338732E-2</v>
      </c>
      <c r="BL1456" s="16">
        <f>Table1347456[[#This Row],[v_from_sd_and_n]]</f>
        <v>8.6361152728903368E-3</v>
      </c>
      <c r="BM1456" s="20">
        <f>SQRT(Table1347456[[#This Row],[v]])</f>
        <v>9.2930701454849343E-2</v>
      </c>
      <c r="BN1456" s="20">
        <f>Table1347456[[#This Row],[lnrr]]-(1.96*Table1347456[[#This Row],[se]])</f>
        <v>-0.421358486262845</v>
      </c>
      <c r="BO1456" s="20">
        <f>Table1347456[[#This Row],[lnrr]]+(1.96 * Table1347456[[#This Row],[se]])</f>
        <v>-5.7070136559835533E-2</v>
      </c>
    </row>
    <row r="1457" spans="1:67">
      <c r="A1457" s="13" t="s">
        <v>443</v>
      </c>
      <c r="B1457" s="13" t="s">
        <v>444</v>
      </c>
      <c r="C1457" s="13" t="s">
        <v>445</v>
      </c>
      <c r="D1457" s="13" t="s">
        <v>446</v>
      </c>
      <c r="E1457" s="13" t="s">
        <v>447</v>
      </c>
      <c r="F1457" s="13" t="s">
        <v>591</v>
      </c>
      <c r="G1457" s="13" t="s">
        <v>448</v>
      </c>
      <c r="H1457" s="13">
        <v>11.5</v>
      </c>
      <c r="I1457" s="13">
        <v>1250</v>
      </c>
      <c r="K1457" s="13" t="s">
        <v>959</v>
      </c>
      <c r="L1457" s="13" t="s">
        <v>960</v>
      </c>
      <c r="N1457" s="13" t="s">
        <v>122</v>
      </c>
      <c r="O1457" s="13" t="s">
        <v>645</v>
      </c>
      <c r="P1457" s="13" t="s">
        <v>422</v>
      </c>
      <c r="Q1457" s="13" t="s">
        <v>48</v>
      </c>
      <c r="R1457" s="4">
        <v>3</v>
      </c>
      <c r="S1457" s="13" t="s">
        <v>594</v>
      </c>
      <c r="T1457" s="13">
        <v>125</v>
      </c>
      <c r="U1457" s="4" t="s">
        <v>449</v>
      </c>
      <c r="V1457" s="4">
        <v>575</v>
      </c>
      <c r="W1457" s="4" t="s">
        <v>601</v>
      </c>
      <c r="X1457" s="4">
        <v>88.6</v>
      </c>
      <c r="Y1457" s="4">
        <v>10</v>
      </c>
      <c r="AA1457" s="4" t="s">
        <v>49</v>
      </c>
      <c r="AB1457" s="4">
        <v>0</v>
      </c>
      <c r="AC1457" s="4" t="s">
        <v>49</v>
      </c>
      <c r="AD1457" s="4">
        <v>0</v>
      </c>
      <c r="AE1457" s="4" t="s">
        <v>49</v>
      </c>
      <c r="AF1457" s="4">
        <v>0</v>
      </c>
      <c r="AG1457" s="4" t="s">
        <v>691</v>
      </c>
      <c r="AH1457" s="4" t="s">
        <v>756</v>
      </c>
      <c r="AI1457" s="4" t="s">
        <v>297</v>
      </c>
      <c r="AJ1457" s="13">
        <v>0</v>
      </c>
      <c r="AK1457" s="13">
        <v>15</v>
      </c>
      <c r="AP1457" s="13" t="s">
        <v>49</v>
      </c>
      <c r="AQ1457" s="13" t="s">
        <v>49</v>
      </c>
      <c r="AR1457" s="13" t="s">
        <v>50</v>
      </c>
      <c r="AS1457" s="13" t="s">
        <v>49</v>
      </c>
      <c r="AT1457" s="13" t="s">
        <v>990</v>
      </c>
      <c r="AU1457" s="13" t="s">
        <v>998</v>
      </c>
      <c r="AV1457" s="14">
        <f>3.95*10</f>
        <v>39.5</v>
      </c>
      <c r="AW1457" s="14">
        <f>4.1*10</f>
        <v>41</v>
      </c>
      <c r="AX1457" s="14">
        <f>Table1347456[[#This Row],[treatment_mean]]/Table1347456[[#This Row],[control_mean]]</f>
        <v>0.96341463414634143</v>
      </c>
      <c r="AY1457" s="14">
        <f>LN(Table1347456[[#This Row],[rr]])</f>
        <v>-3.7271394797231655E-2</v>
      </c>
      <c r="AZ1457" s="13">
        <v>3</v>
      </c>
      <c r="BA1457" s="13">
        <v>3</v>
      </c>
      <c r="BB1457" s="14">
        <f>Table1347456[[#This Row],[treatment_sd]]/SQRT(Table1347456[[#This Row],[treatment_n]])</f>
        <v>1.3279056191361396</v>
      </c>
      <c r="BC1457" s="14">
        <f>Table1347456[[#This Row],[control_sd]]/SQRT(Table1347456[[#This Row],[control_n]])</f>
        <v>1.7320508075688774</v>
      </c>
      <c r="BD1457" s="15">
        <f>0.23*10</f>
        <v>2.3000000000000003</v>
      </c>
      <c r="BE1457" s="14">
        <f>0.3*10</f>
        <v>3</v>
      </c>
      <c r="BF145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2.9148127576960874E-3</v>
      </c>
      <c r="BG1457" s="17">
        <f>SQRT(Table1347456[[#This Row],[v_from_sd_and_n]])</f>
        <v>5.3989005896534964E-2</v>
      </c>
      <c r="BH1457" s="13" t="s">
        <v>49</v>
      </c>
      <c r="BI1457" s="13">
        <v>0.05</v>
      </c>
      <c r="BJ1457" s="18">
        <f>ABS(_xlfn.NORM.S.INV(Table1347456[[#This Row],[p_value]]/2))</f>
        <v>1.9599639845400538</v>
      </c>
      <c r="BK1457" s="19">
        <f>(Table1347456[[#This Row],[lnrr]]/Table1347456[[#This Row],[z_from_p]])^2</f>
        <v>3.6162222087287563E-4</v>
      </c>
      <c r="BL1457" s="16">
        <f>Table1347456[[#This Row],[v_from_sd_and_n]]</f>
        <v>2.9148127576960874E-3</v>
      </c>
      <c r="BM1457" s="20">
        <f>SQRT(Table1347456[[#This Row],[v]])</f>
        <v>5.3989005896534964E-2</v>
      </c>
      <c r="BN1457" s="20">
        <f>Table1347456[[#This Row],[lnrr]]-(1.96*Table1347456[[#This Row],[se]])</f>
        <v>-0.14308984635444016</v>
      </c>
      <c r="BO1457" s="20">
        <f>Table1347456[[#This Row],[lnrr]]+(1.96 * Table1347456[[#This Row],[se]])</f>
        <v>6.8547056759976868E-2</v>
      </c>
    </row>
    <row r="1458" spans="1:67">
      <c r="A1458" s="13" t="s">
        <v>443</v>
      </c>
      <c r="B1458" s="13" t="s">
        <v>444</v>
      </c>
      <c r="C1458" s="13" t="s">
        <v>445</v>
      </c>
      <c r="D1458" s="13" t="s">
        <v>446</v>
      </c>
      <c r="E1458" s="13" t="s">
        <v>447</v>
      </c>
      <c r="F1458" s="13" t="s">
        <v>591</v>
      </c>
      <c r="G1458" s="13" t="s">
        <v>448</v>
      </c>
      <c r="H1458" s="13">
        <v>11.5</v>
      </c>
      <c r="I1458" s="13">
        <v>1250</v>
      </c>
      <c r="K1458" s="13" t="s">
        <v>959</v>
      </c>
      <c r="L1458" s="13" t="s">
        <v>960</v>
      </c>
      <c r="N1458" s="13" t="s">
        <v>122</v>
      </c>
      <c r="O1458" s="13" t="s">
        <v>645</v>
      </c>
      <c r="P1458" s="13" t="s">
        <v>422</v>
      </c>
      <c r="Q1458" s="13" t="s">
        <v>48</v>
      </c>
      <c r="R1458" s="4">
        <v>3</v>
      </c>
      <c r="S1458" s="13" t="s">
        <v>594</v>
      </c>
      <c r="T1458" s="13">
        <v>125</v>
      </c>
      <c r="U1458" s="4" t="s">
        <v>449</v>
      </c>
      <c r="V1458" s="4">
        <v>575</v>
      </c>
      <c r="W1458" s="4" t="s">
        <v>601</v>
      </c>
      <c r="X1458" s="4">
        <v>88.6</v>
      </c>
      <c r="Y1458" s="4">
        <v>10</v>
      </c>
      <c r="AA1458" s="4" t="s">
        <v>49</v>
      </c>
      <c r="AB1458" s="4">
        <v>0</v>
      </c>
      <c r="AC1458" s="4" t="s">
        <v>49</v>
      </c>
      <c r="AD1458" s="4">
        <v>0</v>
      </c>
      <c r="AE1458" s="4" t="s">
        <v>50</v>
      </c>
      <c r="AF1458" s="4">
        <v>28.8</v>
      </c>
      <c r="AG1458" s="4" t="s">
        <v>691</v>
      </c>
      <c r="AH1458" s="4" t="s">
        <v>756</v>
      </c>
      <c r="AI1458" s="4" t="s">
        <v>297</v>
      </c>
      <c r="AJ1458" s="13">
        <v>0</v>
      </c>
      <c r="AK1458" s="13">
        <v>15</v>
      </c>
      <c r="AP1458" s="13" t="s">
        <v>49</v>
      </c>
      <c r="AQ1458" s="13" t="s">
        <v>49</v>
      </c>
      <c r="AR1458" s="13" t="s">
        <v>50</v>
      </c>
      <c r="AS1458" s="13" t="s">
        <v>49</v>
      </c>
      <c r="AT1458" s="13" t="s">
        <v>995</v>
      </c>
      <c r="AU1458" s="13" t="s">
        <v>1002</v>
      </c>
      <c r="AV1458" s="14">
        <f>4.24*10</f>
        <v>42.400000000000006</v>
      </c>
      <c r="AW1458" s="14">
        <f>4.13*10</f>
        <v>41.3</v>
      </c>
      <c r="AX1458" s="14">
        <f>Table1347456[[#This Row],[treatment_mean]]/Table1347456[[#This Row],[control_mean]]</f>
        <v>1.0266343825665862</v>
      </c>
      <c r="AY1458" s="14">
        <f>LN(Table1347456[[#This Row],[rr]])</f>
        <v>2.6285862270925279E-2</v>
      </c>
      <c r="AZ1458" s="13">
        <v>3</v>
      </c>
      <c r="BA1458" s="13">
        <v>3</v>
      </c>
      <c r="BB1458" s="14">
        <v>0.2</v>
      </c>
      <c r="BC1458" s="14">
        <v>0.32</v>
      </c>
      <c r="BD1458" s="15">
        <f>0.23*10</f>
        <v>2.3000000000000003</v>
      </c>
      <c r="BE1458" s="14">
        <f>0.3*10</f>
        <v>3</v>
      </c>
      <c r="BF145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2.7396692549266637E-3</v>
      </c>
      <c r="BG1458" s="17">
        <f>SQRT(Table1347456[[#This Row],[v_from_sd_and_n]])</f>
        <v>5.2341849937947965E-2</v>
      </c>
      <c r="BH1458" s="13" t="s">
        <v>49</v>
      </c>
      <c r="BI1458" s="13">
        <v>0.05</v>
      </c>
      <c r="BJ1458" s="18">
        <f>ABS(_xlfn.NORM.S.INV(Table1347456[[#This Row],[p_value]]/2))</f>
        <v>1.9599639845400538</v>
      </c>
      <c r="BK1458" s="19">
        <f>(Table1347456[[#This Row],[lnrr]]/Table1347456[[#This Row],[z_from_p]])^2</f>
        <v>1.7986566759583376E-4</v>
      </c>
      <c r="BL1458" s="16">
        <f>Table1347456[[#This Row],[v_from_sd_and_n]]</f>
        <v>2.7396692549266637E-3</v>
      </c>
      <c r="BM1458" s="20">
        <f>SQRT(Table1347456[[#This Row],[v]])</f>
        <v>5.2341849937947965E-2</v>
      </c>
      <c r="BN1458" s="20">
        <f>Table1347456[[#This Row],[lnrr]]-(1.96*Table1347456[[#This Row],[se]])</f>
        <v>-7.6304163607452735E-2</v>
      </c>
      <c r="BO1458" s="20">
        <f>Table1347456[[#This Row],[lnrr]]+(1.96 * Table1347456[[#This Row],[se]])</f>
        <v>0.12887588814930329</v>
      </c>
    </row>
    <row r="1459" spans="1:67">
      <c r="A1459" s="13" t="s">
        <v>443</v>
      </c>
      <c r="B1459" s="13" t="s">
        <v>444</v>
      </c>
      <c r="C1459" s="13" t="s">
        <v>445</v>
      </c>
      <c r="D1459" s="13" t="s">
        <v>446</v>
      </c>
      <c r="E1459" s="13" t="s">
        <v>447</v>
      </c>
      <c r="F1459" s="13" t="s">
        <v>591</v>
      </c>
      <c r="G1459" s="13" t="s">
        <v>448</v>
      </c>
      <c r="H1459" s="13">
        <v>11.5</v>
      </c>
      <c r="I1459" s="13">
        <v>1250</v>
      </c>
      <c r="J1459" s="13" t="s">
        <v>666</v>
      </c>
      <c r="K1459" s="13" t="s">
        <v>959</v>
      </c>
      <c r="L1459" s="13" t="s">
        <v>960</v>
      </c>
      <c r="M1459" s="13" t="s">
        <v>799</v>
      </c>
      <c r="N1459" s="13" t="s">
        <v>119</v>
      </c>
      <c r="O1459" s="13" t="s">
        <v>645</v>
      </c>
      <c r="P1459" s="13" t="s">
        <v>422</v>
      </c>
      <c r="Q1459" s="13" t="s">
        <v>48</v>
      </c>
      <c r="R1459" s="4">
        <v>3</v>
      </c>
      <c r="S1459" s="13" t="s">
        <v>594</v>
      </c>
      <c r="T1459" s="13">
        <v>125</v>
      </c>
      <c r="U1459" s="4" t="s">
        <v>449</v>
      </c>
      <c r="V1459" s="4">
        <v>575</v>
      </c>
      <c r="W1459" s="4" t="s">
        <v>601</v>
      </c>
      <c r="X1459" s="4">
        <v>88.6</v>
      </c>
      <c r="Y1459" s="4">
        <v>10</v>
      </c>
      <c r="AA1459" s="4" t="s">
        <v>49</v>
      </c>
      <c r="AB1459" s="4">
        <v>0</v>
      </c>
      <c r="AC1459" s="4" t="s">
        <v>49</v>
      </c>
      <c r="AD1459" s="4">
        <v>0</v>
      </c>
      <c r="AE1459" s="4" t="s">
        <v>49</v>
      </c>
      <c r="AF1459" s="4">
        <v>0</v>
      </c>
      <c r="AG1459" s="4" t="s">
        <v>691</v>
      </c>
      <c r="AH1459" s="4" t="s">
        <v>756</v>
      </c>
      <c r="AI1459" s="4" t="s">
        <v>297</v>
      </c>
      <c r="AJ1459" s="13">
        <v>0</v>
      </c>
      <c r="AK1459" s="13">
        <v>15</v>
      </c>
      <c r="AP1459" s="13" t="s">
        <v>49</v>
      </c>
      <c r="AQ1459" s="13" t="s">
        <v>49</v>
      </c>
      <c r="AR1459" s="13" t="s">
        <v>50</v>
      </c>
      <c r="AS1459" s="13" t="s">
        <v>49</v>
      </c>
      <c r="AT1459" s="13" t="s">
        <v>990</v>
      </c>
      <c r="AU1459" s="13" t="s">
        <v>998</v>
      </c>
      <c r="AV1459" s="23">
        <f>0.44*10</f>
        <v>4.4000000000000004</v>
      </c>
      <c r="AW1459" s="23">
        <f>0.37*10</f>
        <v>3.7</v>
      </c>
      <c r="AX1459" s="14">
        <f>Table1347456[[#This Row],[treatment_mean]]/Table1347456[[#This Row],[control_mean]]</f>
        <v>1.1891891891891893</v>
      </c>
      <c r="AY1459" s="14">
        <f>LN(Table1347456[[#This Row],[rr]])</f>
        <v>0.17327172127403678</v>
      </c>
      <c r="AZ1459" s="13">
        <v>3</v>
      </c>
      <c r="BA1459" s="13">
        <v>3</v>
      </c>
      <c r="BB1459" s="14">
        <f>Table1347456[[#This Row],[treatment_sd]]/SQRT(Table1347456[[#This Row],[treatment_n]])</f>
        <v>0.23094010767585033</v>
      </c>
      <c r="BC1459" s="14">
        <f>Table1347456[[#This Row],[control_sd]]/SQRT(Table1347456[[#This Row],[control_n]])</f>
        <v>0.23094010767585033</v>
      </c>
      <c r="BD1459" s="15">
        <f>0.04*10</f>
        <v>0.4</v>
      </c>
      <c r="BE1459" s="14">
        <f>0.04*10</f>
        <v>0.4</v>
      </c>
      <c r="BF145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6.6506086162105814E-3</v>
      </c>
      <c r="BG1459" s="17">
        <f>SQRT(Table1347456[[#This Row],[v_from_sd_and_n]])</f>
        <v>8.1551263731536261E-2</v>
      </c>
      <c r="BH1459" s="13" t="s">
        <v>49</v>
      </c>
      <c r="BI1459" s="13">
        <v>0.05</v>
      </c>
      <c r="BJ1459" s="18">
        <f>ABS(_xlfn.NORM.S.INV(Table1347456[[#This Row],[p_value]]/2))</f>
        <v>1.9599639845400538</v>
      </c>
      <c r="BK1459" s="19">
        <f>(Table1347456[[#This Row],[lnrr]]/Table1347456[[#This Row],[z_from_p]])^2</f>
        <v>7.8155437282137873E-3</v>
      </c>
      <c r="BL1459" s="16">
        <f>Table1347456[[#This Row],[v_from_sd_and_n]]</f>
        <v>6.6506086162105814E-3</v>
      </c>
      <c r="BM1459" s="20">
        <f>SQRT(Table1347456[[#This Row],[v]])</f>
        <v>8.1551263731536261E-2</v>
      </c>
      <c r="BN1459" s="20">
        <f>Table1347456[[#This Row],[lnrr]]-(1.96*Table1347456[[#This Row],[se]])</f>
        <v>1.3431244360225719E-2</v>
      </c>
      <c r="BO1459" s="20">
        <f>Table1347456[[#This Row],[lnrr]]+(1.96 * Table1347456[[#This Row],[se]])</f>
        <v>0.33311219818784787</v>
      </c>
    </row>
    <row r="1460" spans="1:67">
      <c r="A1460" s="13" t="s">
        <v>443</v>
      </c>
      <c r="B1460" s="13" t="s">
        <v>444</v>
      </c>
      <c r="C1460" s="13" t="s">
        <v>445</v>
      </c>
      <c r="D1460" s="13" t="s">
        <v>446</v>
      </c>
      <c r="E1460" s="13" t="s">
        <v>447</v>
      </c>
      <c r="F1460" s="13" t="s">
        <v>591</v>
      </c>
      <c r="G1460" s="13" t="s">
        <v>448</v>
      </c>
      <c r="H1460" s="13">
        <v>11.5</v>
      </c>
      <c r="I1460" s="13">
        <v>1250</v>
      </c>
      <c r="J1460" s="13" t="s">
        <v>666</v>
      </c>
      <c r="K1460" s="13" t="s">
        <v>959</v>
      </c>
      <c r="L1460" s="13" t="s">
        <v>960</v>
      </c>
      <c r="M1460" s="13" t="s">
        <v>799</v>
      </c>
      <c r="N1460" s="13" t="s">
        <v>119</v>
      </c>
      <c r="O1460" s="13" t="s">
        <v>645</v>
      </c>
      <c r="P1460" s="13" t="s">
        <v>422</v>
      </c>
      <c r="Q1460" s="13" t="s">
        <v>48</v>
      </c>
      <c r="R1460" s="4">
        <v>3</v>
      </c>
      <c r="S1460" s="13" t="s">
        <v>594</v>
      </c>
      <c r="T1460" s="13">
        <v>125</v>
      </c>
      <c r="U1460" s="4" t="s">
        <v>449</v>
      </c>
      <c r="V1460" s="4">
        <v>575</v>
      </c>
      <c r="W1460" s="4" t="s">
        <v>601</v>
      </c>
      <c r="X1460" s="4">
        <v>88.6</v>
      </c>
      <c r="Y1460" s="4">
        <v>10</v>
      </c>
      <c r="AA1460" s="4" t="s">
        <v>49</v>
      </c>
      <c r="AB1460" s="4">
        <v>0</v>
      </c>
      <c r="AC1460" s="4" t="s">
        <v>49</v>
      </c>
      <c r="AD1460" s="4">
        <v>0</v>
      </c>
      <c r="AE1460" s="4" t="s">
        <v>50</v>
      </c>
      <c r="AF1460" s="4">
        <v>28.8</v>
      </c>
      <c r="AG1460" s="4" t="s">
        <v>691</v>
      </c>
      <c r="AH1460" s="4" t="s">
        <v>756</v>
      </c>
      <c r="AI1460" s="4" t="s">
        <v>297</v>
      </c>
      <c r="AJ1460" s="13">
        <v>0</v>
      </c>
      <c r="AK1460" s="13">
        <v>15</v>
      </c>
      <c r="AP1460" s="13" t="s">
        <v>49</v>
      </c>
      <c r="AQ1460" s="13" t="s">
        <v>49</v>
      </c>
      <c r="AR1460" s="13" t="s">
        <v>50</v>
      </c>
      <c r="AS1460" s="13" t="s">
        <v>49</v>
      </c>
      <c r="AT1460" s="13" t="s">
        <v>995</v>
      </c>
      <c r="AU1460" s="13" t="s">
        <v>1002</v>
      </c>
      <c r="AV1460" s="23">
        <f>0.43*10</f>
        <v>4.3</v>
      </c>
      <c r="AW1460" s="23">
        <f>0.43*10</f>
        <v>4.3</v>
      </c>
      <c r="AX1460" s="14">
        <f>Table1347456[[#This Row],[treatment_mean]]/Table1347456[[#This Row],[control_mean]]</f>
        <v>1</v>
      </c>
      <c r="AY1460" s="14">
        <f>LN(Table1347456[[#This Row],[rr]])</f>
        <v>0</v>
      </c>
      <c r="AZ1460" s="13">
        <v>3</v>
      </c>
      <c r="BA1460" s="13">
        <v>3</v>
      </c>
      <c r="BB1460" s="14">
        <v>0.2</v>
      </c>
      <c r="BC1460" s="14">
        <v>0.32</v>
      </c>
      <c r="BD1460" s="15">
        <f>0.03*10</f>
        <v>0.3</v>
      </c>
      <c r="BE1460" s="14">
        <f>0.06*10</f>
        <v>0.6</v>
      </c>
      <c r="BF146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8.1124932395889669E-3</v>
      </c>
      <c r="BG1460" s="17">
        <f>SQRT(Table1347456[[#This Row],[v_from_sd_and_n]])</f>
        <v>9.006938014435853E-2</v>
      </c>
      <c r="BH1460" s="13" t="s">
        <v>49</v>
      </c>
      <c r="BI1460" s="13">
        <v>0.05</v>
      </c>
      <c r="BJ1460" s="18">
        <f>ABS(_xlfn.NORM.S.INV(Table1347456[[#This Row],[p_value]]/2))</f>
        <v>1.9599639845400538</v>
      </c>
      <c r="BK1460" s="19">
        <f>(Table1347456[[#This Row],[lnrr]]/Table1347456[[#This Row],[z_from_p]])^2</f>
        <v>0</v>
      </c>
      <c r="BL1460" s="16">
        <f>Table1347456[[#This Row],[v_from_sd_and_n]]</f>
        <v>8.1124932395889669E-3</v>
      </c>
      <c r="BM1460" s="20">
        <f>SQRT(Table1347456[[#This Row],[v]])</f>
        <v>9.006938014435853E-2</v>
      </c>
      <c r="BN1460" s="20">
        <f>Table1347456[[#This Row],[lnrr]]-(1.96*Table1347456[[#This Row],[se]])</f>
        <v>-0.17653598508294271</v>
      </c>
      <c r="BO1460" s="20">
        <f>Table1347456[[#This Row],[lnrr]]+(1.96 * Table1347456[[#This Row],[se]])</f>
        <v>0.17653598508294271</v>
      </c>
    </row>
    <row r="1461" spans="1:67">
      <c r="A1461" s="13" t="s">
        <v>443</v>
      </c>
      <c r="B1461" s="13" t="s">
        <v>444</v>
      </c>
      <c r="C1461" s="13" t="s">
        <v>445</v>
      </c>
      <c r="D1461" s="13" t="s">
        <v>446</v>
      </c>
      <c r="E1461" s="13" t="s">
        <v>447</v>
      </c>
      <c r="F1461" s="13" t="s">
        <v>591</v>
      </c>
      <c r="G1461" s="13" t="s">
        <v>448</v>
      </c>
      <c r="H1461" s="13">
        <v>11.5</v>
      </c>
      <c r="I1461" s="13">
        <v>1250</v>
      </c>
      <c r="K1461" s="13" t="s">
        <v>959</v>
      </c>
      <c r="L1461" s="13" t="s">
        <v>960</v>
      </c>
      <c r="N1461" s="13" t="s">
        <v>121</v>
      </c>
      <c r="O1461" s="13" t="s">
        <v>645</v>
      </c>
      <c r="P1461" s="13" t="s">
        <v>422</v>
      </c>
      <c r="Q1461" s="13" t="s">
        <v>48</v>
      </c>
      <c r="R1461" s="4">
        <v>3</v>
      </c>
      <c r="S1461" s="13" t="s">
        <v>594</v>
      </c>
      <c r="T1461" s="13">
        <v>125</v>
      </c>
      <c r="U1461" s="4" t="s">
        <v>449</v>
      </c>
      <c r="V1461" s="4">
        <v>575</v>
      </c>
      <c r="W1461" s="4" t="s">
        <v>601</v>
      </c>
      <c r="X1461" s="4">
        <v>88.6</v>
      </c>
      <c r="Y1461" s="4">
        <v>10</v>
      </c>
      <c r="AA1461" s="4" t="s">
        <v>49</v>
      </c>
      <c r="AB1461" s="4">
        <v>0</v>
      </c>
      <c r="AC1461" s="4" t="s">
        <v>49</v>
      </c>
      <c r="AD1461" s="4">
        <v>0</v>
      </c>
      <c r="AE1461" s="4" t="s">
        <v>49</v>
      </c>
      <c r="AF1461" s="4">
        <v>0</v>
      </c>
      <c r="AG1461" s="4" t="s">
        <v>691</v>
      </c>
      <c r="AH1461" s="4" t="s">
        <v>756</v>
      </c>
      <c r="AI1461" s="4" t="s">
        <v>297</v>
      </c>
      <c r="AJ1461" s="13">
        <v>0</v>
      </c>
      <c r="AK1461" s="13">
        <v>15</v>
      </c>
      <c r="AP1461" s="13" t="s">
        <v>49</v>
      </c>
      <c r="AQ1461" s="13" t="s">
        <v>49</v>
      </c>
      <c r="AR1461" s="13" t="s">
        <v>50</v>
      </c>
      <c r="AS1461" s="13" t="s">
        <v>49</v>
      </c>
      <c r="AT1461" s="13" t="s">
        <v>990</v>
      </c>
      <c r="AU1461" s="13" t="s">
        <v>998</v>
      </c>
      <c r="AV1461" s="14">
        <f>4.35*10</f>
        <v>43.5</v>
      </c>
      <c r="AW1461" s="14">
        <f>4.6*10</f>
        <v>46</v>
      </c>
      <c r="AX1461" s="14">
        <f>Table1347456[[#This Row],[treatment_mean]]/Table1347456[[#This Row],[control_mean]]</f>
        <v>0.94565217391304346</v>
      </c>
      <c r="AY1461" s="14">
        <f>LN(Table1347456[[#This Row],[rr]])</f>
        <v>-5.5880458394456614E-2</v>
      </c>
      <c r="AZ1461" s="13">
        <v>3</v>
      </c>
      <c r="BA1461" s="13">
        <v>3</v>
      </c>
      <c r="BB1461" s="14">
        <f>Table1347456[[#This Row],[treatment_sd]]/SQRT(Table1347456[[#This Row],[treatment_n]])</f>
        <v>1.2124355652982142</v>
      </c>
      <c r="BC1461" s="14">
        <f>Table1347456[[#This Row],[control_sd]]/SQRT(Table1347456[[#This Row],[control_n]])</f>
        <v>3.925981830489456</v>
      </c>
      <c r="BD1461" s="15">
        <f>0.21*10</f>
        <v>2.1</v>
      </c>
      <c r="BE1461" s="14">
        <f>0.68*10</f>
        <v>6.8000000000000007</v>
      </c>
      <c r="BF146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8.0610369477929714E-3</v>
      </c>
      <c r="BG1461" s="17">
        <f>SQRT(Table1347456[[#This Row],[v_from_sd_and_n]])</f>
        <v>8.9783277662340732E-2</v>
      </c>
      <c r="BH1461" s="13" t="s">
        <v>49</v>
      </c>
      <c r="BI1461" s="13">
        <v>0.05</v>
      </c>
      <c r="BJ1461" s="18">
        <f>ABS(_xlfn.NORM.S.INV(Table1347456[[#This Row],[p_value]]/2))</f>
        <v>1.9599639845400538</v>
      </c>
      <c r="BK1461" s="19">
        <f>(Table1347456[[#This Row],[lnrr]]/Table1347456[[#This Row],[z_from_p]])^2</f>
        <v>8.1287494572448917E-4</v>
      </c>
      <c r="BL1461" s="16">
        <f>Table1347456[[#This Row],[v_from_sd_and_n]]</f>
        <v>8.0610369477929714E-3</v>
      </c>
      <c r="BM1461" s="20">
        <f>SQRT(Table1347456[[#This Row],[v]])</f>
        <v>8.9783277662340732E-2</v>
      </c>
      <c r="BN1461" s="20">
        <f>Table1347456[[#This Row],[lnrr]]-(1.96*Table1347456[[#This Row],[se]])</f>
        <v>-0.23185568261264444</v>
      </c>
      <c r="BO1461" s="20">
        <f>Table1347456[[#This Row],[lnrr]]+(1.96 * Table1347456[[#This Row],[se]])</f>
        <v>0.12009476582373123</v>
      </c>
    </row>
    <row r="1462" spans="1:67">
      <c r="A1462" s="13" t="s">
        <v>443</v>
      </c>
      <c r="B1462" s="13" t="s">
        <v>444</v>
      </c>
      <c r="C1462" s="13" t="s">
        <v>445</v>
      </c>
      <c r="D1462" s="13" t="s">
        <v>446</v>
      </c>
      <c r="E1462" s="13" t="s">
        <v>447</v>
      </c>
      <c r="F1462" s="13" t="s">
        <v>591</v>
      </c>
      <c r="G1462" s="13" t="s">
        <v>448</v>
      </c>
      <c r="H1462" s="13">
        <v>11.5</v>
      </c>
      <c r="I1462" s="13">
        <v>1250</v>
      </c>
      <c r="K1462" s="13" t="s">
        <v>959</v>
      </c>
      <c r="L1462" s="13" t="s">
        <v>960</v>
      </c>
      <c r="N1462" s="13" t="s">
        <v>121</v>
      </c>
      <c r="O1462" s="13" t="s">
        <v>645</v>
      </c>
      <c r="P1462" s="13" t="s">
        <v>422</v>
      </c>
      <c r="Q1462" s="13" t="s">
        <v>48</v>
      </c>
      <c r="R1462" s="4">
        <v>3</v>
      </c>
      <c r="S1462" s="13" t="s">
        <v>594</v>
      </c>
      <c r="T1462" s="13">
        <v>125</v>
      </c>
      <c r="U1462" s="4" t="s">
        <v>449</v>
      </c>
      <c r="V1462" s="4">
        <v>575</v>
      </c>
      <c r="W1462" s="4" t="s">
        <v>601</v>
      </c>
      <c r="X1462" s="4">
        <v>88.6</v>
      </c>
      <c r="Y1462" s="4">
        <v>10</v>
      </c>
      <c r="AA1462" s="4" t="s">
        <v>49</v>
      </c>
      <c r="AB1462" s="4">
        <v>0</v>
      </c>
      <c r="AC1462" s="4" t="s">
        <v>49</v>
      </c>
      <c r="AD1462" s="4">
        <v>0</v>
      </c>
      <c r="AE1462" s="4" t="s">
        <v>50</v>
      </c>
      <c r="AF1462" s="4">
        <v>28.8</v>
      </c>
      <c r="AG1462" s="4" t="s">
        <v>691</v>
      </c>
      <c r="AH1462" s="4" t="s">
        <v>756</v>
      </c>
      <c r="AI1462" s="4" t="s">
        <v>297</v>
      </c>
      <c r="AJ1462" s="13">
        <v>0</v>
      </c>
      <c r="AK1462" s="13">
        <v>15</v>
      </c>
      <c r="AP1462" s="13" t="s">
        <v>49</v>
      </c>
      <c r="AQ1462" s="13" t="s">
        <v>49</v>
      </c>
      <c r="AR1462" s="13" t="s">
        <v>50</v>
      </c>
      <c r="AS1462" s="13" t="s">
        <v>49</v>
      </c>
      <c r="AT1462" s="13" t="s">
        <v>995</v>
      </c>
      <c r="AU1462" s="13" t="s">
        <v>1002</v>
      </c>
      <c r="AV1462" s="14">
        <f>4.63*10</f>
        <v>46.3</v>
      </c>
      <c r="AW1462" s="14">
        <f>4.27*10</f>
        <v>42.699999999999996</v>
      </c>
      <c r="AX1462" s="14">
        <f>Table1347456[[#This Row],[treatment_mean]]/Table1347456[[#This Row],[control_mean]]</f>
        <v>1.0843091334894615</v>
      </c>
      <c r="AY1462" s="14">
        <f>LN(Table1347456[[#This Row],[rr]])</f>
        <v>8.0943040857609602E-2</v>
      </c>
      <c r="AZ1462" s="13">
        <v>3</v>
      </c>
      <c r="BA1462" s="13">
        <v>3</v>
      </c>
      <c r="BB1462" s="14">
        <v>0.2</v>
      </c>
      <c r="BC1462" s="14">
        <v>0.32</v>
      </c>
      <c r="BD1462" s="15">
        <f>0.77*10</f>
        <v>7.7</v>
      </c>
      <c r="BE1462" s="14">
        <f>0.21*10</f>
        <v>2.1</v>
      </c>
      <c r="BF146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1.0025540535188053E-2</v>
      </c>
      <c r="BG1462" s="17">
        <f>SQRT(Table1347456[[#This Row],[v_from_sd_and_n]])</f>
        <v>0.10012762124003573</v>
      </c>
      <c r="BH1462" s="13" t="s">
        <v>49</v>
      </c>
      <c r="BI1462" s="13">
        <v>0.05</v>
      </c>
      <c r="BJ1462" s="18">
        <f>ABS(_xlfn.NORM.S.INV(Table1347456[[#This Row],[p_value]]/2))</f>
        <v>1.9599639845400538</v>
      </c>
      <c r="BK1462" s="19">
        <f>(Table1347456[[#This Row],[lnrr]]/Table1347456[[#This Row],[z_from_p]])^2</f>
        <v>1.7055436929277817E-3</v>
      </c>
      <c r="BL1462" s="16">
        <f>Table1347456[[#This Row],[v_from_sd_and_n]]</f>
        <v>1.0025540535188053E-2</v>
      </c>
      <c r="BM1462" s="20">
        <f>SQRT(Table1347456[[#This Row],[v]])</f>
        <v>0.10012762124003573</v>
      </c>
      <c r="BN1462" s="20">
        <f>Table1347456[[#This Row],[lnrr]]-(1.96*Table1347456[[#This Row],[se]])</f>
        <v>-0.11530709677286043</v>
      </c>
      <c r="BO1462" s="20">
        <f>Table1347456[[#This Row],[lnrr]]+(1.96 * Table1347456[[#This Row],[se]])</f>
        <v>0.27719317848807962</v>
      </c>
    </row>
    <row r="1463" spans="1:67">
      <c r="A1463" s="13" t="s">
        <v>443</v>
      </c>
      <c r="B1463" s="13" t="s">
        <v>444</v>
      </c>
      <c r="C1463" s="13" t="s">
        <v>445</v>
      </c>
      <c r="D1463" s="13" t="s">
        <v>446</v>
      </c>
      <c r="E1463" s="13" t="s">
        <v>447</v>
      </c>
      <c r="F1463" s="13" t="s">
        <v>591</v>
      </c>
      <c r="G1463" s="13" t="s">
        <v>448</v>
      </c>
      <c r="H1463" s="13">
        <v>11.5</v>
      </c>
      <c r="I1463" s="13">
        <v>1250</v>
      </c>
      <c r="K1463" s="13" t="s">
        <v>959</v>
      </c>
      <c r="L1463" s="13" t="s">
        <v>960</v>
      </c>
      <c r="N1463" s="13" t="s">
        <v>668</v>
      </c>
      <c r="O1463" s="13" t="s">
        <v>668</v>
      </c>
      <c r="P1463" s="13" t="s">
        <v>87</v>
      </c>
      <c r="Q1463" s="13" t="s">
        <v>87</v>
      </c>
      <c r="R1463" s="4">
        <v>3</v>
      </c>
      <c r="S1463" s="13" t="s">
        <v>594</v>
      </c>
      <c r="T1463" s="13">
        <v>125</v>
      </c>
      <c r="U1463" s="4" t="s">
        <v>449</v>
      </c>
      <c r="V1463" s="4">
        <v>575</v>
      </c>
      <c r="W1463" s="4" t="s">
        <v>601</v>
      </c>
      <c r="X1463" s="4">
        <v>88.6</v>
      </c>
      <c r="Y1463" s="4">
        <v>10</v>
      </c>
      <c r="AA1463" s="4" t="s">
        <v>49</v>
      </c>
      <c r="AB1463" s="4">
        <v>0</v>
      </c>
      <c r="AC1463" s="4" t="s">
        <v>49</v>
      </c>
      <c r="AD1463" s="4">
        <v>0</v>
      </c>
      <c r="AE1463" s="4" t="s">
        <v>49</v>
      </c>
      <c r="AF1463" s="4">
        <v>0</v>
      </c>
      <c r="AG1463" s="4" t="s">
        <v>691</v>
      </c>
      <c r="AH1463" s="4" t="s">
        <v>756</v>
      </c>
      <c r="AI1463" s="4" t="s">
        <v>297</v>
      </c>
      <c r="AJ1463" s="13">
        <v>0</v>
      </c>
      <c r="AK1463" s="13">
        <v>15</v>
      </c>
      <c r="AP1463" s="13" t="s">
        <v>49</v>
      </c>
      <c r="AQ1463" s="13" t="s">
        <v>49</v>
      </c>
      <c r="AR1463" s="13" t="s">
        <v>50</v>
      </c>
      <c r="AS1463" s="13" t="s">
        <v>49</v>
      </c>
      <c r="AT1463" s="13" t="s">
        <v>990</v>
      </c>
      <c r="AU1463" s="13" t="s">
        <v>998</v>
      </c>
      <c r="AV1463" s="14">
        <v>16.14</v>
      </c>
      <c r="AW1463" s="14">
        <v>16.3</v>
      </c>
      <c r="AX1463" s="14">
        <f>Table1347456[[#This Row],[treatment_mean]]/Table1347456[[#This Row],[control_mean]]</f>
        <v>0.99018404907975455</v>
      </c>
      <c r="AY1463" s="14">
        <f>LN(Table1347456[[#This Row],[rr]])</f>
        <v>-9.8644449709139655E-3</v>
      </c>
      <c r="AZ1463" s="13">
        <v>3</v>
      </c>
      <c r="BA1463" s="13">
        <v>3</v>
      </c>
      <c r="BB1463" s="14">
        <f>Table1347456[[#This Row],[treatment_sd]]/SQRT(Table1347456[[#This Row],[treatment_n]])</f>
        <v>0.59467077726531459</v>
      </c>
      <c r="BC1463" s="14">
        <f>Table1347456[[#This Row],[control_sd]]/SQRT(Table1347456[[#This Row],[control_n]])</f>
        <v>1.7262773048769813</v>
      </c>
      <c r="BD1463" s="15">
        <v>1.03</v>
      </c>
      <c r="BE1463" s="14">
        <v>2.99</v>
      </c>
      <c r="BF146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1.2573724027279107E-2</v>
      </c>
      <c r="BG1463" s="17">
        <f>SQRT(Table1347456[[#This Row],[v_from_sd_and_n]])</f>
        <v>0.11213261803453582</v>
      </c>
      <c r="BH1463" s="13" t="s">
        <v>49</v>
      </c>
      <c r="BI1463" s="13">
        <v>0.05</v>
      </c>
      <c r="BJ1463" s="18">
        <f>ABS(_xlfn.NORM.S.INV(Table1347456[[#This Row],[p_value]]/2))</f>
        <v>1.9599639845400538</v>
      </c>
      <c r="BK1463" s="19">
        <f>(Table1347456[[#This Row],[lnrr]]/Table1347456[[#This Row],[z_from_p]])^2</f>
        <v>2.5330812882853474E-5</v>
      </c>
      <c r="BL1463" s="16">
        <f>Table1347456[[#This Row],[v_from_sd_and_n]]</f>
        <v>1.2573724027279107E-2</v>
      </c>
      <c r="BM1463" s="20">
        <f>SQRT(Table1347456[[#This Row],[v]])</f>
        <v>0.11213261803453582</v>
      </c>
      <c r="BN1463" s="20">
        <f>Table1347456[[#This Row],[lnrr]]-(1.96*Table1347456[[#This Row],[se]])</f>
        <v>-0.22964437631860415</v>
      </c>
      <c r="BO1463" s="20">
        <f>Table1347456[[#This Row],[lnrr]]+(1.96 * Table1347456[[#This Row],[se]])</f>
        <v>0.20991548637677623</v>
      </c>
    </row>
    <row r="1464" spans="1:67">
      <c r="A1464" s="13" t="s">
        <v>443</v>
      </c>
      <c r="B1464" s="13" t="s">
        <v>444</v>
      </c>
      <c r="C1464" s="13" t="s">
        <v>445</v>
      </c>
      <c r="D1464" s="13" t="s">
        <v>446</v>
      </c>
      <c r="E1464" s="13" t="s">
        <v>447</v>
      </c>
      <c r="F1464" s="13" t="s">
        <v>591</v>
      </c>
      <c r="G1464" s="13" t="s">
        <v>448</v>
      </c>
      <c r="H1464" s="13">
        <v>11.5</v>
      </c>
      <c r="I1464" s="13">
        <v>1250</v>
      </c>
      <c r="K1464" s="13" t="s">
        <v>959</v>
      </c>
      <c r="L1464" s="13" t="s">
        <v>960</v>
      </c>
      <c r="N1464" s="13" t="s">
        <v>668</v>
      </c>
      <c r="O1464" s="13" t="s">
        <v>668</v>
      </c>
      <c r="P1464" s="13" t="s">
        <v>87</v>
      </c>
      <c r="Q1464" s="13" t="s">
        <v>87</v>
      </c>
      <c r="R1464" s="4">
        <v>3</v>
      </c>
      <c r="S1464" s="13" t="s">
        <v>594</v>
      </c>
      <c r="T1464" s="13">
        <v>125</v>
      </c>
      <c r="U1464" s="4" t="s">
        <v>449</v>
      </c>
      <c r="V1464" s="4">
        <v>575</v>
      </c>
      <c r="W1464" s="4" t="s">
        <v>601</v>
      </c>
      <c r="X1464" s="4">
        <v>88.6</v>
      </c>
      <c r="Y1464" s="4">
        <v>10</v>
      </c>
      <c r="AA1464" s="4" t="s">
        <v>49</v>
      </c>
      <c r="AB1464" s="4">
        <v>0</v>
      </c>
      <c r="AC1464" s="4" t="s">
        <v>49</v>
      </c>
      <c r="AD1464" s="4">
        <v>0</v>
      </c>
      <c r="AE1464" s="4" t="s">
        <v>50</v>
      </c>
      <c r="AF1464" s="4">
        <v>28.8</v>
      </c>
      <c r="AG1464" s="4" t="s">
        <v>691</v>
      </c>
      <c r="AH1464" s="4" t="s">
        <v>756</v>
      </c>
      <c r="AI1464" s="4" t="s">
        <v>297</v>
      </c>
      <c r="AJ1464" s="13">
        <v>0</v>
      </c>
      <c r="AK1464" s="13">
        <v>15</v>
      </c>
      <c r="AP1464" s="13" t="s">
        <v>49</v>
      </c>
      <c r="AQ1464" s="13" t="s">
        <v>49</v>
      </c>
      <c r="AR1464" s="13" t="s">
        <v>50</v>
      </c>
      <c r="AS1464" s="13" t="s">
        <v>49</v>
      </c>
      <c r="AT1464" s="13" t="s">
        <v>995</v>
      </c>
      <c r="AU1464" s="13" t="s">
        <v>1002</v>
      </c>
      <c r="AV1464" s="14">
        <v>16.96</v>
      </c>
      <c r="AW1464" s="14">
        <v>15.92</v>
      </c>
      <c r="AX1464" s="14">
        <f>Table1347456[[#This Row],[treatment_mean]]/Table1347456[[#This Row],[control_mean]]</f>
        <v>1.0653266331658291</v>
      </c>
      <c r="AY1464" s="14">
        <f>LN(Table1347456[[#This Row],[rr]])</f>
        <v>6.328144994752001E-2</v>
      </c>
      <c r="AZ1464" s="13">
        <v>3</v>
      </c>
      <c r="BA1464" s="13">
        <v>3</v>
      </c>
      <c r="BB1464" s="14">
        <v>0.2</v>
      </c>
      <c r="BC1464" s="14">
        <v>0.32</v>
      </c>
      <c r="BD1464" s="15">
        <v>0.92</v>
      </c>
      <c r="BE1464" s="14">
        <v>0.38</v>
      </c>
      <c r="BF146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1.170765481096388E-3</v>
      </c>
      <c r="BG1464" s="17">
        <f>SQRT(Table1347456[[#This Row],[v_from_sd_and_n]])</f>
        <v>3.4216450445602745E-2</v>
      </c>
      <c r="BH1464" s="13" t="s">
        <v>49</v>
      </c>
      <c r="BI1464" s="13">
        <v>0.05</v>
      </c>
      <c r="BJ1464" s="18">
        <f>ABS(_xlfn.NORM.S.INV(Table1347456[[#This Row],[p_value]]/2))</f>
        <v>1.9599639845400538</v>
      </c>
      <c r="BK1464" s="19">
        <f>(Table1347456[[#This Row],[lnrr]]/Table1347456[[#This Row],[z_from_p]])^2</f>
        <v>1.0424534257370715E-3</v>
      </c>
      <c r="BL1464" s="16">
        <f>Table1347456[[#This Row],[v_from_sd_and_n]]</f>
        <v>1.170765481096388E-3</v>
      </c>
      <c r="BM1464" s="20">
        <f>SQRT(Table1347456[[#This Row],[v]])</f>
        <v>3.4216450445602745E-2</v>
      </c>
      <c r="BN1464" s="20">
        <f>Table1347456[[#This Row],[lnrr]]-(1.96*Table1347456[[#This Row],[se]])</f>
        <v>-3.7827929258613668E-3</v>
      </c>
      <c r="BO1464" s="20">
        <f>Table1347456[[#This Row],[lnrr]]+(1.96 * Table1347456[[#This Row],[se]])</f>
        <v>0.13034569282090139</v>
      </c>
    </row>
    <row r="1465" spans="1:67">
      <c r="A1465" s="13" t="s">
        <v>443</v>
      </c>
      <c r="B1465" s="13" t="s">
        <v>444</v>
      </c>
      <c r="C1465" s="13" t="s">
        <v>445</v>
      </c>
      <c r="D1465" s="13" t="s">
        <v>446</v>
      </c>
      <c r="E1465" s="13" t="s">
        <v>447</v>
      </c>
      <c r="F1465" s="13" t="s">
        <v>591</v>
      </c>
      <c r="G1465" s="13" t="s">
        <v>448</v>
      </c>
      <c r="H1465" s="13">
        <v>11.5</v>
      </c>
      <c r="I1465" s="13">
        <v>1250</v>
      </c>
      <c r="K1465" s="13" t="s">
        <v>959</v>
      </c>
      <c r="L1465" s="13" t="s">
        <v>960</v>
      </c>
      <c r="N1465" s="13" t="s">
        <v>47</v>
      </c>
      <c r="O1465" s="13" t="s">
        <v>645</v>
      </c>
      <c r="P1465" s="13" t="s">
        <v>422</v>
      </c>
      <c r="Q1465" s="13" t="s">
        <v>48</v>
      </c>
      <c r="R1465" s="4">
        <v>3</v>
      </c>
      <c r="S1465" s="13" t="s">
        <v>594</v>
      </c>
      <c r="T1465" s="13">
        <v>125</v>
      </c>
      <c r="U1465" s="4" t="s">
        <v>449</v>
      </c>
      <c r="V1465" s="4">
        <v>575</v>
      </c>
      <c r="W1465" s="4" t="s">
        <v>601</v>
      </c>
      <c r="X1465" s="4">
        <v>88.6</v>
      </c>
      <c r="Y1465" s="4">
        <v>10</v>
      </c>
      <c r="AA1465" s="4" t="s">
        <v>49</v>
      </c>
      <c r="AB1465" s="4">
        <v>0</v>
      </c>
      <c r="AC1465" s="4" t="s">
        <v>49</v>
      </c>
      <c r="AD1465" s="4">
        <v>0</v>
      </c>
      <c r="AE1465" s="4" t="s">
        <v>49</v>
      </c>
      <c r="AF1465" s="4">
        <v>0</v>
      </c>
      <c r="AG1465" s="4" t="s">
        <v>691</v>
      </c>
      <c r="AH1465" s="4" t="s">
        <v>756</v>
      </c>
      <c r="AI1465" s="4" t="s">
        <v>297</v>
      </c>
      <c r="AJ1465" s="13">
        <v>0</v>
      </c>
      <c r="AK1465" s="13">
        <v>15</v>
      </c>
      <c r="AP1465" s="13" t="s">
        <v>49</v>
      </c>
      <c r="AQ1465" s="13" t="s">
        <v>49</v>
      </c>
      <c r="AR1465" s="13" t="s">
        <v>50</v>
      </c>
      <c r="AS1465" s="13" t="s">
        <v>49</v>
      </c>
      <c r="AT1465" s="13" t="s">
        <v>990</v>
      </c>
      <c r="AU1465" s="13" t="s">
        <v>998</v>
      </c>
      <c r="AV1465" s="14">
        <f>0.3*10</f>
        <v>3</v>
      </c>
      <c r="AW1465" s="14">
        <f>0.3*10</f>
        <v>3</v>
      </c>
      <c r="AX1465" s="14">
        <f>Table1347456[[#This Row],[treatment_mean]]/Table1347456[[#This Row],[control_mean]]</f>
        <v>1</v>
      </c>
      <c r="AY1465" s="14">
        <f>LN(Table1347456[[#This Row],[rr]])</f>
        <v>0</v>
      </c>
      <c r="AZ1465" s="13">
        <v>3</v>
      </c>
      <c r="BA1465" s="13">
        <v>3</v>
      </c>
      <c r="BB1465" s="14">
        <f>Table1347456[[#This Row],[treatment_sd]]/SQRT(Table1347456[[#This Row],[treatment_n]])</f>
        <v>0.11547005383792516</v>
      </c>
      <c r="BC1465" s="14">
        <f>Table1347456[[#This Row],[control_sd]]/SQRT(Table1347456[[#This Row],[control_n]])</f>
        <v>5.7735026918962581E-2</v>
      </c>
      <c r="BD1465" s="15">
        <f>0.02*10</f>
        <v>0.2</v>
      </c>
      <c r="BE1465" s="14">
        <f>0.01*10</f>
        <v>0.1</v>
      </c>
      <c r="BF146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1.8518518518518524E-3</v>
      </c>
      <c r="BG1465" s="17">
        <f>SQRT(Table1347456[[#This Row],[v_from_sd_and_n]])</f>
        <v>4.3033148291193528E-2</v>
      </c>
      <c r="BH1465" s="13" t="s">
        <v>49</v>
      </c>
      <c r="BI1465" s="13">
        <v>0.05</v>
      </c>
      <c r="BJ1465" s="18">
        <f>ABS(_xlfn.NORM.S.INV(Table1347456[[#This Row],[p_value]]/2))</f>
        <v>1.9599639845400538</v>
      </c>
      <c r="BK1465" s="19">
        <f>(Table1347456[[#This Row],[lnrr]]/Table1347456[[#This Row],[z_from_p]])^2</f>
        <v>0</v>
      </c>
      <c r="BL1465" s="16">
        <f>Table1347456[[#This Row],[v_from_sd_and_n]]</f>
        <v>1.8518518518518524E-3</v>
      </c>
      <c r="BM1465" s="20">
        <f>SQRT(Table1347456[[#This Row],[v]])</f>
        <v>4.3033148291193528E-2</v>
      </c>
      <c r="BN1465" s="20">
        <f>Table1347456[[#This Row],[lnrr]]-(1.96*Table1347456[[#This Row],[se]])</f>
        <v>-8.4344970650739315E-2</v>
      </c>
      <c r="BO1465" s="20">
        <f>Table1347456[[#This Row],[lnrr]]+(1.96 * Table1347456[[#This Row],[se]])</f>
        <v>8.4344970650739315E-2</v>
      </c>
    </row>
    <row r="1466" spans="1:67">
      <c r="A1466" s="13" t="s">
        <v>443</v>
      </c>
      <c r="B1466" s="13" t="s">
        <v>444</v>
      </c>
      <c r="C1466" s="13" t="s">
        <v>445</v>
      </c>
      <c r="D1466" s="13" t="s">
        <v>446</v>
      </c>
      <c r="E1466" s="13" t="s">
        <v>447</v>
      </c>
      <c r="F1466" s="13" t="s">
        <v>591</v>
      </c>
      <c r="G1466" s="13" t="s">
        <v>448</v>
      </c>
      <c r="H1466" s="13">
        <v>11.5</v>
      </c>
      <c r="I1466" s="13">
        <v>1250</v>
      </c>
      <c r="K1466" s="13" t="s">
        <v>959</v>
      </c>
      <c r="L1466" s="13" t="s">
        <v>960</v>
      </c>
      <c r="N1466" s="13" t="s">
        <v>47</v>
      </c>
      <c r="O1466" s="13" t="s">
        <v>645</v>
      </c>
      <c r="P1466" s="13" t="s">
        <v>422</v>
      </c>
      <c r="Q1466" s="13" t="s">
        <v>48</v>
      </c>
      <c r="R1466" s="4">
        <v>3</v>
      </c>
      <c r="S1466" s="13" t="s">
        <v>594</v>
      </c>
      <c r="T1466" s="13">
        <v>125</v>
      </c>
      <c r="U1466" s="4" t="s">
        <v>449</v>
      </c>
      <c r="V1466" s="4">
        <v>575</v>
      </c>
      <c r="W1466" s="4" t="s">
        <v>601</v>
      </c>
      <c r="X1466" s="4">
        <v>88.6</v>
      </c>
      <c r="Y1466" s="4">
        <v>10</v>
      </c>
      <c r="AA1466" s="4" t="s">
        <v>49</v>
      </c>
      <c r="AB1466" s="4">
        <v>0</v>
      </c>
      <c r="AC1466" s="4" t="s">
        <v>49</v>
      </c>
      <c r="AD1466" s="4">
        <v>0</v>
      </c>
      <c r="AE1466" s="4" t="s">
        <v>50</v>
      </c>
      <c r="AF1466" s="4">
        <v>28.8</v>
      </c>
      <c r="AG1466" s="4" t="s">
        <v>691</v>
      </c>
      <c r="AH1466" s="4" t="s">
        <v>756</v>
      </c>
      <c r="AI1466" s="4" t="s">
        <v>297</v>
      </c>
      <c r="AJ1466" s="13">
        <v>0</v>
      </c>
      <c r="AK1466" s="13">
        <v>15</v>
      </c>
      <c r="AP1466" s="13" t="s">
        <v>49</v>
      </c>
      <c r="AQ1466" s="13" t="s">
        <v>49</v>
      </c>
      <c r="AR1466" s="13" t="s">
        <v>50</v>
      </c>
      <c r="AS1466" s="13" t="s">
        <v>49</v>
      </c>
      <c r="AT1466" s="13" t="s">
        <v>995</v>
      </c>
      <c r="AU1466" s="13" t="s">
        <v>1002</v>
      </c>
      <c r="AV1466" s="14">
        <f>0.3*10</f>
        <v>3</v>
      </c>
      <c r="AW1466" s="14">
        <f>0.31*10</f>
        <v>3.1</v>
      </c>
      <c r="AX1466" s="14">
        <f>Table1347456[[#This Row],[treatment_mean]]/Table1347456[[#This Row],[control_mean]]</f>
        <v>0.96774193548387089</v>
      </c>
      <c r="AY1466" s="14">
        <f>LN(Table1347456[[#This Row],[rr]])</f>
        <v>-3.2789822822990956E-2</v>
      </c>
      <c r="AZ1466" s="13">
        <v>3</v>
      </c>
      <c r="BA1466" s="13">
        <v>3</v>
      </c>
      <c r="BB1466" s="14">
        <v>0.2</v>
      </c>
      <c r="BC1466" s="14">
        <v>0.32</v>
      </c>
      <c r="BD1466" s="15">
        <f>0.02*10</f>
        <v>0.2</v>
      </c>
      <c r="BE1466" s="14">
        <f>0.04*10</f>
        <v>0.4</v>
      </c>
      <c r="BF146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7.0312560218907779E-3</v>
      </c>
      <c r="BG1466" s="17">
        <f>SQRT(Table1347456[[#This Row],[v_from_sd_and_n]])</f>
        <v>8.3852585063853444E-2</v>
      </c>
      <c r="BH1466" s="13" t="s">
        <v>49</v>
      </c>
      <c r="BI1466" s="13">
        <v>0.05</v>
      </c>
      <c r="BJ1466" s="18">
        <f>ABS(_xlfn.NORM.S.INV(Table1347456[[#This Row],[p_value]]/2))</f>
        <v>1.9599639845400538</v>
      </c>
      <c r="BK1466" s="19">
        <f>(Table1347456[[#This Row],[lnrr]]/Table1347456[[#This Row],[z_from_p]])^2</f>
        <v>2.7988650430693998E-4</v>
      </c>
      <c r="BL1466" s="16">
        <f>Table1347456[[#This Row],[v_from_sd_and_n]]</f>
        <v>7.0312560218907779E-3</v>
      </c>
      <c r="BM1466" s="20">
        <f>SQRT(Table1347456[[#This Row],[v]])</f>
        <v>8.3852585063853444E-2</v>
      </c>
      <c r="BN1466" s="20">
        <f>Table1347456[[#This Row],[lnrr]]-(1.96*Table1347456[[#This Row],[se]])</f>
        <v>-0.19714088954814368</v>
      </c>
      <c r="BO1466" s="20">
        <f>Table1347456[[#This Row],[lnrr]]+(1.96 * Table1347456[[#This Row],[se]])</f>
        <v>0.13156124390216178</v>
      </c>
    </row>
    <row r="1467" spans="1:67">
      <c r="A1467" s="13" t="s">
        <v>443</v>
      </c>
      <c r="B1467" s="13" t="s">
        <v>444</v>
      </c>
      <c r="C1467" s="13" t="s">
        <v>445</v>
      </c>
      <c r="D1467" s="13" t="s">
        <v>446</v>
      </c>
      <c r="E1467" s="13" t="s">
        <v>447</v>
      </c>
      <c r="F1467" s="13" t="s">
        <v>591</v>
      </c>
      <c r="G1467" s="13" t="s">
        <v>448</v>
      </c>
      <c r="H1467" s="13">
        <v>11.5</v>
      </c>
      <c r="I1467" s="13">
        <v>1250</v>
      </c>
      <c r="K1467" s="13" t="s">
        <v>959</v>
      </c>
      <c r="L1467" s="13" t="s">
        <v>960</v>
      </c>
      <c r="N1467" s="13" t="s">
        <v>66</v>
      </c>
      <c r="O1467" s="13" t="s">
        <v>67</v>
      </c>
      <c r="P1467" s="13" t="s">
        <v>83</v>
      </c>
      <c r="Q1467" s="13" t="s">
        <v>48</v>
      </c>
      <c r="R1467" s="4">
        <v>3</v>
      </c>
      <c r="S1467" s="13" t="s">
        <v>594</v>
      </c>
      <c r="T1467" s="13">
        <v>125</v>
      </c>
      <c r="U1467" s="4" t="s">
        <v>449</v>
      </c>
      <c r="V1467" s="4">
        <v>575</v>
      </c>
      <c r="W1467" s="4" t="s">
        <v>601</v>
      </c>
      <c r="X1467" s="4">
        <v>88.6</v>
      </c>
      <c r="Y1467" s="4">
        <v>10</v>
      </c>
      <c r="AA1467" s="4" t="s">
        <v>49</v>
      </c>
      <c r="AB1467" s="4">
        <v>0</v>
      </c>
      <c r="AC1467" s="4" t="s">
        <v>49</v>
      </c>
      <c r="AD1467" s="4">
        <v>0</v>
      </c>
      <c r="AE1467" s="4" t="s">
        <v>49</v>
      </c>
      <c r="AF1467" s="4">
        <v>0</v>
      </c>
      <c r="AG1467" s="4" t="s">
        <v>691</v>
      </c>
      <c r="AH1467" s="4" t="s">
        <v>756</v>
      </c>
      <c r="AI1467" s="4" t="s">
        <v>297</v>
      </c>
      <c r="AJ1467" s="13">
        <v>0</v>
      </c>
      <c r="AK1467" s="13">
        <v>15</v>
      </c>
      <c r="AP1467" s="13" t="s">
        <v>49</v>
      </c>
      <c r="AQ1467" s="13" t="s">
        <v>49</v>
      </c>
      <c r="AR1467" s="13" t="s">
        <v>50</v>
      </c>
      <c r="AS1467" s="13" t="s">
        <v>49</v>
      </c>
      <c r="AT1467" s="13" t="s">
        <v>990</v>
      </c>
      <c r="AU1467" s="13" t="s">
        <v>998</v>
      </c>
      <c r="AV1467" s="14">
        <f>(79.03*1.5)/1.6</f>
        <v>74.090625000000003</v>
      </c>
      <c r="AW1467" s="14">
        <f>(73.41*1.5)/1.6</f>
        <v>68.821874999999991</v>
      </c>
      <c r="AX1467" s="14">
        <f>Table1347456[[#This Row],[treatment_mean]]/Table1347456[[#This Row],[control_mean]]</f>
        <v>1.076556327475821</v>
      </c>
      <c r="AY1467" s="14">
        <f>LN(Table1347456[[#This Row],[rr]])</f>
        <v>7.3767361094194198E-2</v>
      </c>
      <c r="AZ1467" s="13">
        <v>3</v>
      </c>
      <c r="BA1467" s="13">
        <v>3</v>
      </c>
      <c r="BB1467" s="14">
        <f>Table1347456[[#This Row],[treatment_sd]]/SQRT(Table1347456[[#This Row],[treatment_n]])</f>
        <v>11.723818903731837</v>
      </c>
      <c r="BC1467" s="14">
        <f>Table1347456[[#This Row],[control_sd]]/SQRT(Table1347456[[#This Row],[control_n]])</f>
        <v>4.5574586874156084</v>
      </c>
      <c r="BD1467" s="15">
        <f>(21.66*1.5)/1.6</f>
        <v>20.306249999999999</v>
      </c>
      <c r="BE1467" s="14">
        <f>(8.42*1.5)/1.6</f>
        <v>7.8937499999999989</v>
      </c>
      <c r="BF146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2.9423925815050846E-2</v>
      </c>
      <c r="BG1467" s="17">
        <f>SQRT(Table1347456[[#This Row],[v_from_sd_and_n]])</f>
        <v>0.17153403689953445</v>
      </c>
      <c r="BH1467" s="13" t="s">
        <v>49</v>
      </c>
      <c r="BI1467" s="13">
        <v>0.05</v>
      </c>
      <c r="BJ1467" s="18">
        <f>ABS(_xlfn.NORM.S.INV(Table1347456[[#This Row],[p_value]]/2))</f>
        <v>1.9599639845400538</v>
      </c>
      <c r="BK1467" s="19">
        <f>(Table1347456[[#This Row],[lnrr]]/Table1347456[[#This Row],[z_from_p]])^2</f>
        <v>1.4165513199014257E-3</v>
      </c>
      <c r="BL1467" s="16">
        <f>Table1347456[[#This Row],[v_from_sd_and_n]]</f>
        <v>2.9423925815050846E-2</v>
      </c>
      <c r="BM1467" s="20">
        <f>SQRT(Table1347456[[#This Row],[v]])</f>
        <v>0.17153403689953445</v>
      </c>
      <c r="BN1467" s="20">
        <f>Table1347456[[#This Row],[lnrr]]-(1.96*Table1347456[[#This Row],[se]])</f>
        <v>-0.26243935122889334</v>
      </c>
      <c r="BO1467" s="20">
        <f>Table1347456[[#This Row],[lnrr]]+(1.96 * Table1347456[[#This Row],[se]])</f>
        <v>0.4099740734172817</v>
      </c>
    </row>
    <row r="1468" spans="1:67">
      <c r="A1468" s="13" t="s">
        <v>443</v>
      </c>
      <c r="B1468" s="13" t="s">
        <v>444</v>
      </c>
      <c r="C1468" s="13" t="s">
        <v>445</v>
      </c>
      <c r="D1468" s="13" t="s">
        <v>446</v>
      </c>
      <c r="E1468" s="13" t="s">
        <v>447</v>
      </c>
      <c r="F1468" s="13" t="s">
        <v>591</v>
      </c>
      <c r="G1468" s="13" t="s">
        <v>448</v>
      </c>
      <c r="H1468" s="13">
        <v>11.5</v>
      </c>
      <c r="I1468" s="13">
        <v>1250</v>
      </c>
      <c r="K1468" s="13" t="s">
        <v>959</v>
      </c>
      <c r="L1468" s="13" t="s">
        <v>960</v>
      </c>
      <c r="N1468" s="13" t="s">
        <v>66</v>
      </c>
      <c r="O1468" s="13" t="s">
        <v>67</v>
      </c>
      <c r="P1468" s="13" t="s">
        <v>83</v>
      </c>
      <c r="Q1468" s="13" t="s">
        <v>48</v>
      </c>
      <c r="R1468" s="4">
        <v>3</v>
      </c>
      <c r="S1468" s="13" t="s">
        <v>594</v>
      </c>
      <c r="T1468" s="13">
        <v>125</v>
      </c>
      <c r="U1468" s="4" t="s">
        <v>449</v>
      </c>
      <c r="V1468" s="4">
        <v>575</v>
      </c>
      <c r="W1468" s="4" t="s">
        <v>601</v>
      </c>
      <c r="X1468" s="4">
        <v>88.6</v>
      </c>
      <c r="Y1468" s="4">
        <v>10</v>
      </c>
      <c r="AA1468" s="4" t="s">
        <v>49</v>
      </c>
      <c r="AB1468" s="4">
        <v>0</v>
      </c>
      <c r="AC1468" s="4" t="s">
        <v>49</v>
      </c>
      <c r="AD1468" s="4">
        <v>0</v>
      </c>
      <c r="AE1468" s="4" t="s">
        <v>50</v>
      </c>
      <c r="AF1468" s="4">
        <v>28.8</v>
      </c>
      <c r="AG1468" s="4" t="s">
        <v>691</v>
      </c>
      <c r="AH1468" s="4" t="s">
        <v>756</v>
      </c>
      <c r="AI1468" s="4" t="s">
        <v>297</v>
      </c>
      <c r="AJ1468" s="13">
        <v>0</v>
      </c>
      <c r="AK1468" s="13">
        <v>15</v>
      </c>
      <c r="AP1468" s="13" t="s">
        <v>49</v>
      </c>
      <c r="AQ1468" s="13" t="s">
        <v>49</v>
      </c>
      <c r="AR1468" s="13" t="s">
        <v>50</v>
      </c>
      <c r="AS1468" s="13" t="s">
        <v>49</v>
      </c>
      <c r="AT1468" s="13" t="s">
        <v>995</v>
      </c>
      <c r="AU1468" s="13" t="s">
        <v>1002</v>
      </c>
      <c r="AV1468" s="14">
        <f>(98.28*1.5)/1.6</f>
        <v>92.137500000000003</v>
      </c>
      <c r="AW1468" s="14">
        <f>(101.49*1.5)/1.6</f>
        <v>95.14687499999998</v>
      </c>
      <c r="AX1468" s="14">
        <f>Table1347456[[#This Row],[treatment_mean]]/Table1347456[[#This Row],[control_mean]]</f>
        <v>0.96837126810523233</v>
      </c>
      <c r="AY1468" s="14">
        <f>LN(Table1347456[[#This Row],[rr]])</f>
        <v>-3.2139723807748134E-2</v>
      </c>
      <c r="AZ1468" s="13">
        <v>3</v>
      </c>
      <c r="BA1468" s="13">
        <v>3</v>
      </c>
      <c r="BB1468" s="14">
        <v>0.2</v>
      </c>
      <c r="BC1468" s="14">
        <v>0.32</v>
      </c>
      <c r="BD1468" s="15">
        <f>(5.62*1.5)/1.6</f>
        <v>5.2687499999999998</v>
      </c>
      <c r="BE1468" s="14">
        <f>(14.84*1.5)/1.6</f>
        <v>13.912499999999998</v>
      </c>
      <c r="BF146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8.2168761812291668E-3</v>
      </c>
      <c r="BG1468" s="17">
        <f>SQRT(Table1347456[[#This Row],[v_from_sd_and_n]])</f>
        <v>9.0646986608652169E-2</v>
      </c>
      <c r="BH1468" s="13" t="s">
        <v>49</v>
      </c>
      <c r="BI1468" s="13">
        <v>0.05</v>
      </c>
      <c r="BJ1468" s="18">
        <f>ABS(_xlfn.NORM.S.INV(Table1347456[[#This Row],[p_value]]/2))</f>
        <v>1.9599639845400538</v>
      </c>
      <c r="BK1468" s="19">
        <f>(Table1347456[[#This Row],[lnrr]]/Table1347456[[#This Row],[z_from_p]])^2</f>
        <v>2.6889832604054401E-4</v>
      </c>
      <c r="BL1468" s="16">
        <f>Table1347456[[#This Row],[v_from_sd_and_n]]</f>
        <v>8.2168761812291668E-3</v>
      </c>
      <c r="BM1468" s="20">
        <f>SQRT(Table1347456[[#This Row],[v]])</f>
        <v>9.0646986608652169E-2</v>
      </c>
      <c r="BN1468" s="20">
        <f>Table1347456[[#This Row],[lnrr]]-(1.96*Table1347456[[#This Row],[se]])</f>
        <v>-0.20980781756070638</v>
      </c>
      <c r="BO1468" s="20">
        <f>Table1347456[[#This Row],[lnrr]]+(1.96 * Table1347456[[#This Row],[se]])</f>
        <v>0.14552836994521012</v>
      </c>
    </row>
    <row r="1469" spans="1:67">
      <c r="A1469" s="13" t="s">
        <v>308</v>
      </c>
      <c r="B1469" s="13" t="s">
        <v>450</v>
      </c>
      <c r="C1469" s="13" t="s">
        <v>43</v>
      </c>
      <c r="D1469" s="13" t="s">
        <v>451</v>
      </c>
      <c r="E1469" s="13" t="s">
        <v>91</v>
      </c>
      <c r="F1469" s="13" t="s">
        <v>587</v>
      </c>
      <c r="G1469" s="13" t="s">
        <v>325</v>
      </c>
      <c r="H1469" s="13">
        <v>16.3</v>
      </c>
      <c r="I1469" s="13">
        <v>890</v>
      </c>
      <c r="K1469" s="13" t="s">
        <v>984</v>
      </c>
      <c r="L1469" s="13" t="s">
        <v>985</v>
      </c>
      <c r="N1469" s="13" t="s">
        <v>122</v>
      </c>
      <c r="O1469" s="13" t="s">
        <v>645</v>
      </c>
      <c r="P1469" s="13" t="s">
        <v>48</v>
      </c>
      <c r="Q1469" s="13" t="s">
        <v>48</v>
      </c>
      <c r="R1469" s="4">
        <v>3</v>
      </c>
      <c r="S1469" s="13" t="s">
        <v>594</v>
      </c>
      <c r="T1469" s="13">
        <v>2190</v>
      </c>
      <c r="U1469" s="4" t="s">
        <v>200</v>
      </c>
      <c r="V1469" s="4">
        <v>550</v>
      </c>
      <c r="W1469" s="4" t="s">
        <v>601</v>
      </c>
      <c r="X1469" s="4">
        <v>470</v>
      </c>
      <c r="Y1469" s="4">
        <v>20</v>
      </c>
      <c r="AA1469" s="4" t="s">
        <v>49</v>
      </c>
      <c r="AB1469" s="4">
        <v>0</v>
      </c>
      <c r="AC1469" s="4" t="s">
        <v>49</v>
      </c>
      <c r="AD1469" s="4">
        <v>0</v>
      </c>
      <c r="AE1469" s="4" t="s">
        <v>49</v>
      </c>
      <c r="AF1469" s="4">
        <v>0</v>
      </c>
      <c r="AG1469" s="4" t="s">
        <v>705</v>
      </c>
      <c r="AH1469" s="4" t="s">
        <v>727</v>
      </c>
      <c r="AI1469" s="4" t="s">
        <v>64</v>
      </c>
      <c r="AJ1469" s="13">
        <v>0</v>
      </c>
      <c r="AK1469" s="13">
        <v>15</v>
      </c>
      <c r="AP1469" s="13" t="s">
        <v>50</v>
      </c>
      <c r="AQ1469" s="13" t="s">
        <v>49</v>
      </c>
      <c r="AR1469" s="13" t="s">
        <v>50</v>
      </c>
      <c r="AS1469" s="13" t="s">
        <v>50</v>
      </c>
      <c r="AT1469" s="13" t="s">
        <v>990</v>
      </c>
      <c r="AU1469" s="13" t="s">
        <v>998</v>
      </c>
      <c r="AV1469" s="14">
        <v>25.6</v>
      </c>
      <c r="AW1469" s="14">
        <v>25.23</v>
      </c>
      <c r="AX1469" s="14">
        <f>Table1347456[[#This Row],[treatment_mean]]/Table1347456[[#This Row],[control_mean]]</f>
        <v>1.0146650812524773</v>
      </c>
      <c r="AY1469" s="14">
        <f>LN(Table1347456[[#This Row],[rr]])</f>
        <v>1.4558588832550543E-2</v>
      </c>
      <c r="AZ1469" s="13">
        <v>3</v>
      </c>
      <c r="BA1469" s="13">
        <v>3</v>
      </c>
      <c r="BB1469" s="14">
        <v>0</v>
      </c>
      <c r="BC1469" s="14">
        <v>0</v>
      </c>
      <c r="BD1469" s="15">
        <f>Table1347456[[#This Row],[treatment_se]]*SQRT(Table1347456[[#This Row],[treatment_n]])</f>
        <v>0</v>
      </c>
      <c r="BE1469" s="14">
        <f>Table1347456[[#This Row],[control_se]]*SQRT(Table1347456[[#This Row],[control_n]])</f>
        <v>0</v>
      </c>
      <c r="BF146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69" s="17">
        <f>SQRT(Table1347456[[#This Row],[v_from_sd_and_n]])</f>
        <v>0</v>
      </c>
      <c r="BH1469" s="13" t="s">
        <v>50</v>
      </c>
      <c r="BI1469" s="13">
        <v>2.5000000000000001E-2</v>
      </c>
      <c r="BJ1469" s="18">
        <f>ABS(_xlfn.NORM.S.INV(Table1347456[[#This Row],[p_value]]/2))</f>
        <v>2.2414027276049446</v>
      </c>
      <c r="BK1469" s="19">
        <f>(Table1347456[[#This Row],[lnrr]]/Table1347456[[#This Row],[z_from_p]])^2</f>
        <v>4.2188955102214917E-5</v>
      </c>
      <c r="BL1469" s="16">
        <f>(Table1347456[[#This Row],[lnrr]]/Table1347456[[#This Row],[z_from_p]])^2</f>
        <v>4.2188955102214917E-5</v>
      </c>
      <c r="BM1469" s="20">
        <f>SQRT(Table1347456[[#This Row],[v]])</f>
        <v>6.4953025412381616E-3</v>
      </c>
      <c r="BN1469" s="20">
        <f>Table1347456[[#This Row],[lnrr]]-(1.96*Table1347456[[#This Row],[se]])</f>
        <v>1.8277958517237472E-3</v>
      </c>
      <c r="BO1469" s="20">
        <f>Table1347456[[#This Row],[lnrr]]+(1.96 * Table1347456[[#This Row],[se]])</f>
        <v>2.7289381813377339E-2</v>
      </c>
    </row>
    <row r="1470" spans="1:67">
      <c r="A1470" s="13" t="s">
        <v>308</v>
      </c>
      <c r="B1470" s="13" t="s">
        <v>450</v>
      </c>
      <c r="C1470" s="13" t="s">
        <v>43</v>
      </c>
      <c r="D1470" s="13" t="s">
        <v>451</v>
      </c>
      <c r="E1470" s="13" t="s">
        <v>91</v>
      </c>
      <c r="F1470" s="13" t="s">
        <v>587</v>
      </c>
      <c r="G1470" s="13" t="s">
        <v>325</v>
      </c>
      <c r="H1470" s="13">
        <v>16.3</v>
      </c>
      <c r="I1470" s="13">
        <v>890</v>
      </c>
      <c r="K1470" s="13" t="s">
        <v>984</v>
      </c>
      <c r="L1470" s="13" t="s">
        <v>985</v>
      </c>
      <c r="N1470" s="13" t="s">
        <v>122</v>
      </c>
      <c r="O1470" s="13" t="s">
        <v>645</v>
      </c>
      <c r="P1470" s="13" t="s">
        <v>48</v>
      </c>
      <c r="Q1470" s="13" t="s">
        <v>48</v>
      </c>
      <c r="R1470" s="4">
        <v>3</v>
      </c>
      <c r="S1470" s="13" t="s">
        <v>594</v>
      </c>
      <c r="T1470" s="13">
        <v>2190</v>
      </c>
      <c r="U1470" s="4" t="s">
        <v>200</v>
      </c>
      <c r="V1470" s="4">
        <v>550</v>
      </c>
      <c r="W1470" s="4" t="s">
        <v>601</v>
      </c>
      <c r="X1470" s="4">
        <v>470</v>
      </c>
      <c r="Y1470" s="4">
        <v>40</v>
      </c>
      <c r="AA1470" s="4" t="s">
        <v>49</v>
      </c>
      <c r="AB1470" s="4">
        <v>0</v>
      </c>
      <c r="AC1470" s="4" t="s">
        <v>49</v>
      </c>
      <c r="AD1470" s="4">
        <v>0</v>
      </c>
      <c r="AE1470" s="4" t="s">
        <v>49</v>
      </c>
      <c r="AF1470" s="4">
        <v>0</v>
      </c>
      <c r="AG1470" s="4" t="s">
        <v>705</v>
      </c>
      <c r="AH1470" s="4" t="s">
        <v>727</v>
      </c>
      <c r="AI1470" s="4" t="s">
        <v>64</v>
      </c>
      <c r="AJ1470" s="13">
        <v>0</v>
      </c>
      <c r="AK1470" s="13">
        <v>15</v>
      </c>
      <c r="AP1470" s="13" t="s">
        <v>50</v>
      </c>
      <c r="AQ1470" s="13" t="s">
        <v>49</v>
      </c>
      <c r="AR1470" s="13" t="s">
        <v>50</v>
      </c>
      <c r="AS1470" s="13" t="s">
        <v>50</v>
      </c>
      <c r="AT1470" s="13" t="s">
        <v>990</v>
      </c>
      <c r="AU1470" s="13" t="s">
        <v>998</v>
      </c>
      <c r="AV1470" s="14">
        <v>24.73</v>
      </c>
      <c r="AW1470" s="14">
        <v>25.23</v>
      </c>
      <c r="AX1470" s="14">
        <f>Table1347456[[#This Row],[treatment_mean]]/Table1347456[[#This Row],[control_mean]]</f>
        <v>0.98018232263178751</v>
      </c>
      <c r="AY1470" s="14">
        <f>LN(Table1347456[[#This Row],[rr]])</f>
        <v>-2.001668111964159E-2</v>
      </c>
      <c r="AZ1470" s="13">
        <v>3</v>
      </c>
      <c r="BA1470" s="13">
        <v>3</v>
      </c>
      <c r="BB1470" s="14">
        <v>0</v>
      </c>
      <c r="BC1470" s="14">
        <v>0</v>
      </c>
      <c r="BD1470" s="15">
        <f>Table1347456[[#This Row],[treatment_se]]*SQRT(Table1347456[[#This Row],[treatment_n]])</f>
        <v>0</v>
      </c>
      <c r="BE1470" s="14">
        <f>Table1347456[[#This Row],[control_se]]*SQRT(Table1347456[[#This Row],[control_n]])</f>
        <v>0</v>
      </c>
      <c r="BF147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70" s="17">
        <f>SQRT(Table1347456[[#This Row],[v_from_sd_and_n]])</f>
        <v>0</v>
      </c>
      <c r="BH1470" s="13" t="s">
        <v>50</v>
      </c>
      <c r="BI1470" s="13">
        <v>2.5000000000000001E-2</v>
      </c>
      <c r="BJ1470" s="18">
        <f>ABS(_xlfn.NORM.S.INV(Table1347456[[#This Row],[p_value]]/2))</f>
        <v>2.2414027276049446</v>
      </c>
      <c r="BK1470" s="19">
        <f>(Table1347456[[#This Row],[lnrr]]/Table1347456[[#This Row],[z_from_p]])^2</f>
        <v>7.975250794038404E-5</v>
      </c>
      <c r="BL1470" s="16">
        <f>(Table1347456[[#This Row],[lnrr]]/Table1347456[[#This Row],[z_from_p]])^2</f>
        <v>7.975250794038404E-5</v>
      </c>
      <c r="BM1470" s="20">
        <f>SQRT(Table1347456[[#This Row],[v]])</f>
        <v>8.9304259663458407E-3</v>
      </c>
      <c r="BN1470" s="20">
        <f>Table1347456[[#This Row],[lnrr]]-(1.96*Table1347456[[#This Row],[se]])</f>
        <v>-3.7520316013679438E-2</v>
      </c>
      <c r="BO1470" s="20">
        <f>Table1347456[[#This Row],[lnrr]]+(1.96 * Table1347456[[#This Row],[se]])</f>
        <v>-2.513046225603742E-3</v>
      </c>
    </row>
    <row r="1471" spans="1:67">
      <c r="A1471" s="13" t="s">
        <v>308</v>
      </c>
      <c r="B1471" s="13" t="s">
        <v>450</v>
      </c>
      <c r="C1471" s="13" t="s">
        <v>43</v>
      </c>
      <c r="D1471" s="13" t="s">
        <v>451</v>
      </c>
      <c r="E1471" s="13" t="s">
        <v>91</v>
      </c>
      <c r="F1471" s="13" t="s">
        <v>587</v>
      </c>
      <c r="G1471" s="13" t="s">
        <v>325</v>
      </c>
      <c r="H1471" s="13">
        <v>16.3</v>
      </c>
      <c r="I1471" s="13">
        <v>890</v>
      </c>
      <c r="K1471" s="13" t="s">
        <v>984</v>
      </c>
      <c r="L1471" s="13" t="s">
        <v>985</v>
      </c>
      <c r="N1471" s="13" t="s">
        <v>122</v>
      </c>
      <c r="O1471" s="13" t="s">
        <v>645</v>
      </c>
      <c r="P1471" s="13" t="s">
        <v>48</v>
      </c>
      <c r="Q1471" s="13" t="s">
        <v>48</v>
      </c>
      <c r="R1471" s="4">
        <v>3</v>
      </c>
      <c r="S1471" s="13" t="s">
        <v>594</v>
      </c>
      <c r="T1471" s="13">
        <v>2190</v>
      </c>
      <c r="U1471" s="4" t="s">
        <v>200</v>
      </c>
      <c r="V1471" s="4">
        <v>550</v>
      </c>
      <c r="W1471" s="4" t="s">
        <v>601</v>
      </c>
      <c r="X1471" s="4">
        <v>470</v>
      </c>
      <c r="Y1471" s="4">
        <v>20</v>
      </c>
      <c r="AA1471" s="4" t="s">
        <v>50</v>
      </c>
      <c r="AB1471" s="4">
        <v>150</v>
      </c>
      <c r="AC1471" s="4" t="s">
        <v>49</v>
      </c>
      <c r="AD1471" s="4">
        <v>0</v>
      </c>
      <c r="AE1471" s="4" t="s">
        <v>49</v>
      </c>
      <c r="AF1471" s="4">
        <v>0</v>
      </c>
      <c r="AG1471" s="4" t="s">
        <v>705</v>
      </c>
      <c r="AH1471" s="4" t="s">
        <v>727</v>
      </c>
      <c r="AI1471" s="4" t="s">
        <v>64</v>
      </c>
      <c r="AJ1471" s="13">
        <v>0</v>
      </c>
      <c r="AK1471" s="13">
        <v>15</v>
      </c>
      <c r="AP1471" s="13" t="s">
        <v>50</v>
      </c>
      <c r="AQ1471" s="13" t="s">
        <v>49</v>
      </c>
      <c r="AR1471" s="13" t="s">
        <v>50</v>
      </c>
      <c r="AS1471" s="13" t="s">
        <v>50</v>
      </c>
      <c r="AT1471" s="13" t="s">
        <v>992</v>
      </c>
      <c r="AU1471" s="4" t="s">
        <v>1000</v>
      </c>
      <c r="AV1471" s="14">
        <v>32.049999999999997</v>
      </c>
      <c r="AW1471" s="14">
        <v>32.11</v>
      </c>
      <c r="AX1471" s="14">
        <f>Table1347456[[#This Row],[treatment_mean]]/Table1347456[[#This Row],[control_mean]]</f>
        <v>0.9981314232326377</v>
      </c>
      <c r="AY1471" s="14">
        <f>LN(Table1347456[[#This Row],[rr]])</f>
        <v>-1.870324734743621E-3</v>
      </c>
      <c r="AZ1471" s="13">
        <v>3</v>
      </c>
      <c r="BA1471" s="13">
        <v>3</v>
      </c>
      <c r="BB1471" s="14">
        <v>0</v>
      </c>
      <c r="BC1471" s="14">
        <v>0</v>
      </c>
      <c r="BD1471" s="15">
        <f>Table1347456[[#This Row],[treatment_se]]*SQRT(Table1347456[[#This Row],[treatment_n]])</f>
        <v>0</v>
      </c>
      <c r="BE1471" s="14">
        <f>Table1347456[[#This Row],[control_se]]*SQRT(Table1347456[[#This Row],[control_n]])</f>
        <v>0</v>
      </c>
      <c r="BF147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71" s="17">
        <f>SQRT(Table1347456[[#This Row],[v_from_sd_and_n]])</f>
        <v>0</v>
      </c>
      <c r="BH1471" s="13" t="s">
        <v>50</v>
      </c>
      <c r="BI1471" s="13">
        <v>2.5000000000000001E-2</v>
      </c>
      <c r="BJ1471" s="18">
        <f>ABS(_xlfn.NORM.S.INV(Table1347456[[#This Row],[p_value]]/2))</f>
        <v>2.2414027276049446</v>
      </c>
      <c r="BK1471" s="19">
        <f>(Table1347456[[#This Row],[lnrr]]/Table1347456[[#This Row],[z_from_p]])^2</f>
        <v>6.9629654872086832E-7</v>
      </c>
      <c r="BL1471" s="16">
        <f>(Table1347456[[#This Row],[lnrr]]/Table1347456[[#This Row],[z_from_p]])^2</f>
        <v>6.9629654872086832E-7</v>
      </c>
      <c r="BM1471" s="20">
        <f>SQRT(Table1347456[[#This Row],[v]])</f>
        <v>8.3444385594290784E-4</v>
      </c>
      <c r="BN1471" s="20">
        <f>Table1347456[[#This Row],[lnrr]]-(1.96*Table1347456[[#This Row],[se]])</f>
        <v>-3.5058346923917206E-3</v>
      </c>
      <c r="BO1471" s="20">
        <f>Table1347456[[#This Row],[lnrr]]+(1.96 * Table1347456[[#This Row],[se]])</f>
        <v>-2.3481477709552168E-4</v>
      </c>
    </row>
    <row r="1472" spans="1:67">
      <c r="A1472" s="13" t="s">
        <v>308</v>
      </c>
      <c r="B1472" s="13" t="s">
        <v>450</v>
      </c>
      <c r="C1472" s="13" t="s">
        <v>43</v>
      </c>
      <c r="D1472" s="13" t="s">
        <v>451</v>
      </c>
      <c r="E1472" s="13" t="s">
        <v>91</v>
      </c>
      <c r="F1472" s="13" t="s">
        <v>587</v>
      </c>
      <c r="G1472" s="13" t="s">
        <v>325</v>
      </c>
      <c r="H1472" s="13">
        <v>16.3</v>
      </c>
      <c r="I1472" s="13">
        <v>890</v>
      </c>
      <c r="K1472" s="13" t="s">
        <v>984</v>
      </c>
      <c r="L1472" s="13" t="s">
        <v>985</v>
      </c>
      <c r="N1472" s="13" t="s">
        <v>122</v>
      </c>
      <c r="O1472" s="13" t="s">
        <v>645</v>
      </c>
      <c r="P1472" s="13" t="s">
        <v>48</v>
      </c>
      <c r="Q1472" s="13" t="s">
        <v>48</v>
      </c>
      <c r="R1472" s="4">
        <v>3</v>
      </c>
      <c r="S1472" s="13" t="s">
        <v>594</v>
      </c>
      <c r="T1472" s="13">
        <v>2190</v>
      </c>
      <c r="U1472" s="4" t="s">
        <v>200</v>
      </c>
      <c r="V1472" s="4">
        <v>550</v>
      </c>
      <c r="W1472" s="4" t="s">
        <v>601</v>
      </c>
      <c r="X1472" s="4">
        <v>470</v>
      </c>
      <c r="Y1472" s="4">
        <v>40</v>
      </c>
      <c r="AA1472" s="4" t="s">
        <v>50</v>
      </c>
      <c r="AB1472" s="4">
        <v>150</v>
      </c>
      <c r="AC1472" s="4" t="s">
        <v>49</v>
      </c>
      <c r="AD1472" s="4">
        <v>0</v>
      </c>
      <c r="AE1472" s="4" t="s">
        <v>49</v>
      </c>
      <c r="AF1472" s="4">
        <v>0</v>
      </c>
      <c r="AG1472" s="4" t="s">
        <v>705</v>
      </c>
      <c r="AH1472" s="4" t="s">
        <v>727</v>
      </c>
      <c r="AI1472" s="4" t="s">
        <v>64</v>
      </c>
      <c r="AJ1472" s="13">
        <v>0</v>
      </c>
      <c r="AK1472" s="13">
        <v>15</v>
      </c>
      <c r="AP1472" s="13" t="s">
        <v>50</v>
      </c>
      <c r="AQ1472" s="13" t="s">
        <v>49</v>
      </c>
      <c r="AR1472" s="13" t="s">
        <v>50</v>
      </c>
      <c r="AS1472" s="13" t="s">
        <v>50</v>
      </c>
      <c r="AT1472" s="13" t="s">
        <v>992</v>
      </c>
      <c r="AU1472" s="4" t="s">
        <v>1000</v>
      </c>
      <c r="AV1472" s="14">
        <v>32.36</v>
      </c>
      <c r="AW1472" s="14">
        <v>32.11</v>
      </c>
      <c r="AX1472" s="14">
        <f>Table1347456[[#This Row],[treatment_mean]]/Table1347456[[#This Row],[control_mean]]</f>
        <v>1.0077857365306757</v>
      </c>
      <c r="AY1472" s="14">
        <f>LN(Table1347456[[#This Row],[rr]])</f>
        <v>7.755584088868288E-3</v>
      </c>
      <c r="AZ1472" s="13">
        <v>3</v>
      </c>
      <c r="BA1472" s="13">
        <v>3</v>
      </c>
      <c r="BB1472" s="14">
        <v>0</v>
      </c>
      <c r="BC1472" s="14">
        <v>0</v>
      </c>
      <c r="BD1472" s="15">
        <f>Table1347456[[#This Row],[treatment_se]]*SQRT(Table1347456[[#This Row],[treatment_n]])</f>
        <v>0</v>
      </c>
      <c r="BE1472" s="14">
        <f>Table1347456[[#This Row],[control_se]]*SQRT(Table1347456[[#This Row],[control_n]])</f>
        <v>0</v>
      </c>
      <c r="BF147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72" s="17">
        <f>SQRT(Table1347456[[#This Row],[v_from_sd_and_n]])</f>
        <v>0</v>
      </c>
      <c r="BH1472" s="13" t="s">
        <v>50</v>
      </c>
      <c r="BI1472" s="13">
        <v>2.5000000000000001E-2</v>
      </c>
      <c r="BJ1472" s="18">
        <f>ABS(_xlfn.NORM.S.INV(Table1347456[[#This Row],[p_value]]/2))</f>
        <v>2.2414027276049446</v>
      </c>
      <c r="BK1472" s="19">
        <f>(Table1347456[[#This Row],[lnrr]]/Table1347456[[#This Row],[z_from_p]])^2</f>
        <v>1.1972620859003738E-5</v>
      </c>
      <c r="BL1472" s="16">
        <f>(Table1347456[[#This Row],[lnrr]]/Table1347456[[#This Row],[z_from_p]])^2</f>
        <v>1.1972620859003738E-5</v>
      </c>
      <c r="BM1472" s="20">
        <f>SQRT(Table1347456[[#This Row],[v]])</f>
        <v>3.4601475198326064E-3</v>
      </c>
      <c r="BN1472" s="20">
        <f>Table1347456[[#This Row],[lnrr]]-(1.96*Table1347456[[#This Row],[se]])</f>
        <v>9.7369494999637908E-4</v>
      </c>
      <c r="BO1472" s="20">
        <f>Table1347456[[#This Row],[lnrr]]+(1.96 * Table1347456[[#This Row],[se]])</f>
        <v>1.4537473227740197E-2</v>
      </c>
    </row>
    <row r="1473" spans="1:67">
      <c r="A1473" s="13" t="s">
        <v>308</v>
      </c>
      <c r="B1473" s="13" t="s">
        <v>450</v>
      </c>
      <c r="C1473" s="13" t="s">
        <v>43</v>
      </c>
      <c r="D1473" s="13" t="s">
        <v>451</v>
      </c>
      <c r="E1473" s="13" t="s">
        <v>91</v>
      </c>
      <c r="F1473" s="13" t="s">
        <v>587</v>
      </c>
      <c r="G1473" s="13" t="s">
        <v>325</v>
      </c>
      <c r="H1473" s="13">
        <v>16.3</v>
      </c>
      <c r="I1473" s="13">
        <v>890</v>
      </c>
      <c r="K1473" s="13" t="s">
        <v>984</v>
      </c>
      <c r="L1473" s="13" t="s">
        <v>985</v>
      </c>
      <c r="N1473" s="13" t="s">
        <v>122</v>
      </c>
      <c r="O1473" s="13" t="s">
        <v>645</v>
      </c>
      <c r="P1473" s="13" t="s">
        <v>48</v>
      </c>
      <c r="Q1473" s="13" t="s">
        <v>48</v>
      </c>
      <c r="R1473" s="4">
        <v>3</v>
      </c>
      <c r="S1473" s="13" t="s">
        <v>594</v>
      </c>
      <c r="T1473" s="13">
        <v>2190</v>
      </c>
      <c r="U1473" s="4" t="s">
        <v>200</v>
      </c>
      <c r="V1473" s="4">
        <v>550</v>
      </c>
      <c r="W1473" s="4" t="s">
        <v>601</v>
      </c>
      <c r="X1473" s="4">
        <v>470</v>
      </c>
      <c r="Y1473" s="4">
        <v>20</v>
      </c>
      <c r="AA1473" s="4" t="s">
        <v>49</v>
      </c>
      <c r="AB1473" s="4">
        <v>0</v>
      </c>
      <c r="AC1473" s="4" t="s">
        <v>49</v>
      </c>
      <c r="AD1473" s="4">
        <v>0</v>
      </c>
      <c r="AE1473" s="4" t="s">
        <v>49</v>
      </c>
      <c r="AF1473" s="4">
        <v>0</v>
      </c>
      <c r="AG1473" s="4" t="s">
        <v>705</v>
      </c>
      <c r="AH1473" s="4" t="s">
        <v>727</v>
      </c>
      <c r="AI1473" s="4" t="s">
        <v>64</v>
      </c>
      <c r="AJ1473" s="13">
        <v>0</v>
      </c>
      <c r="AK1473" s="13">
        <v>15</v>
      </c>
      <c r="AP1473" s="13" t="s">
        <v>50</v>
      </c>
      <c r="AQ1473" s="13" t="s">
        <v>49</v>
      </c>
      <c r="AR1473" s="13" t="s">
        <v>50</v>
      </c>
      <c r="AS1473" s="13" t="s">
        <v>50</v>
      </c>
      <c r="AT1473" s="13" t="s">
        <v>990</v>
      </c>
      <c r="AU1473" s="13" t="s">
        <v>998</v>
      </c>
      <c r="AV1473" s="14">
        <v>7.11</v>
      </c>
      <c r="AW1473" s="14">
        <v>8.09</v>
      </c>
      <c r="AX1473" s="14">
        <f>Table1347456[[#This Row],[treatment_mean]]/Table1347456[[#This Row],[control_mean]]</f>
        <v>0.87886279357231156</v>
      </c>
      <c r="AY1473" s="14">
        <f>LN(Table1347456[[#This Row],[rr]])</f>
        <v>-0.12912648725525075</v>
      </c>
      <c r="AZ1473" s="13">
        <v>3</v>
      </c>
      <c r="BA1473" s="13">
        <v>3</v>
      </c>
      <c r="BB1473" s="14">
        <v>0</v>
      </c>
      <c r="BC1473" s="14">
        <v>0</v>
      </c>
      <c r="BD1473" s="15">
        <f>Table1347456[[#This Row],[treatment_se]]*SQRT(Table1347456[[#This Row],[treatment_n]])</f>
        <v>0</v>
      </c>
      <c r="BE1473" s="14">
        <f>Table1347456[[#This Row],[control_se]]*SQRT(Table1347456[[#This Row],[control_n]])</f>
        <v>0</v>
      </c>
      <c r="BF147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73" s="17">
        <f>SQRT(Table1347456[[#This Row],[v_from_sd_and_n]])</f>
        <v>0</v>
      </c>
      <c r="BH1473" s="13" t="s">
        <v>50</v>
      </c>
      <c r="BI1473" s="13">
        <v>2.5000000000000001E-2</v>
      </c>
      <c r="BJ1473" s="18">
        <f>ABS(_xlfn.NORM.S.INV(Table1347456[[#This Row],[p_value]]/2))</f>
        <v>2.2414027276049446</v>
      </c>
      <c r="BK1473" s="19">
        <f>(Table1347456[[#This Row],[lnrr]]/Table1347456[[#This Row],[z_from_p]])^2</f>
        <v>3.3188748887227463E-3</v>
      </c>
      <c r="BL1473" s="16">
        <f>(Table1347456[[#This Row],[lnrr]]/Table1347456[[#This Row],[z_from_p]])^2</f>
        <v>3.3188748887227463E-3</v>
      </c>
      <c r="BM1473" s="20">
        <f>SQRT(Table1347456[[#This Row],[v]])</f>
        <v>5.7609677040604441E-2</v>
      </c>
      <c r="BN1473" s="20">
        <f>Table1347456[[#This Row],[lnrr]]-(1.96*Table1347456[[#This Row],[se]])</f>
        <v>-0.24204145425483545</v>
      </c>
      <c r="BO1473" s="20">
        <f>Table1347456[[#This Row],[lnrr]]+(1.96 * Table1347456[[#This Row],[se]])</f>
        <v>-1.6211520255666051E-2</v>
      </c>
    </row>
    <row r="1474" spans="1:67">
      <c r="A1474" s="13" t="s">
        <v>308</v>
      </c>
      <c r="B1474" s="13" t="s">
        <v>450</v>
      </c>
      <c r="C1474" s="13" t="s">
        <v>43</v>
      </c>
      <c r="D1474" s="13" t="s">
        <v>451</v>
      </c>
      <c r="E1474" s="13" t="s">
        <v>91</v>
      </c>
      <c r="F1474" s="13" t="s">
        <v>587</v>
      </c>
      <c r="G1474" s="13" t="s">
        <v>325</v>
      </c>
      <c r="H1474" s="13">
        <v>16.3</v>
      </c>
      <c r="I1474" s="13">
        <v>890</v>
      </c>
      <c r="K1474" s="13" t="s">
        <v>984</v>
      </c>
      <c r="L1474" s="13" t="s">
        <v>985</v>
      </c>
      <c r="N1474" s="13" t="s">
        <v>122</v>
      </c>
      <c r="O1474" s="13" t="s">
        <v>645</v>
      </c>
      <c r="P1474" s="13" t="s">
        <v>48</v>
      </c>
      <c r="Q1474" s="13" t="s">
        <v>48</v>
      </c>
      <c r="R1474" s="4">
        <v>3</v>
      </c>
      <c r="S1474" s="13" t="s">
        <v>594</v>
      </c>
      <c r="T1474" s="13">
        <v>2190</v>
      </c>
      <c r="U1474" s="4" t="s">
        <v>200</v>
      </c>
      <c r="V1474" s="4">
        <v>550</v>
      </c>
      <c r="W1474" s="4" t="s">
        <v>601</v>
      </c>
      <c r="X1474" s="4">
        <v>470</v>
      </c>
      <c r="Y1474" s="4">
        <v>40</v>
      </c>
      <c r="AA1474" s="4" t="s">
        <v>49</v>
      </c>
      <c r="AB1474" s="4">
        <v>0</v>
      </c>
      <c r="AC1474" s="4" t="s">
        <v>49</v>
      </c>
      <c r="AD1474" s="4">
        <v>0</v>
      </c>
      <c r="AE1474" s="4" t="s">
        <v>49</v>
      </c>
      <c r="AF1474" s="4">
        <v>0</v>
      </c>
      <c r="AG1474" s="4" t="s">
        <v>705</v>
      </c>
      <c r="AH1474" s="4" t="s">
        <v>727</v>
      </c>
      <c r="AI1474" s="4" t="s">
        <v>64</v>
      </c>
      <c r="AJ1474" s="13">
        <v>0</v>
      </c>
      <c r="AK1474" s="13">
        <v>15</v>
      </c>
      <c r="AP1474" s="13" t="s">
        <v>50</v>
      </c>
      <c r="AQ1474" s="13" t="s">
        <v>49</v>
      </c>
      <c r="AR1474" s="13" t="s">
        <v>50</v>
      </c>
      <c r="AS1474" s="13" t="s">
        <v>50</v>
      </c>
      <c r="AT1474" s="13" t="s">
        <v>990</v>
      </c>
      <c r="AU1474" s="13" t="s">
        <v>998</v>
      </c>
      <c r="AV1474" s="14">
        <v>8.39</v>
      </c>
      <c r="AW1474" s="14">
        <v>8.09</v>
      </c>
      <c r="AX1474" s="14">
        <f>Table1347456[[#This Row],[treatment_mean]]/Table1347456[[#This Row],[control_mean]]</f>
        <v>1.0370828182941905</v>
      </c>
      <c r="AY1474" s="14">
        <f>LN(Table1347456[[#This Row],[rr]])</f>
        <v>3.641178940871459E-2</v>
      </c>
      <c r="AZ1474" s="13">
        <v>3</v>
      </c>
      <c r="BA1474" s="13">
        <v>3</v>
      </c>
      <c r="BB1474" s="14">
        <v>0</v>
      </c>
      <c r="BC1474" s="14">
        <v>0</v>
      </c>
      <c r="BD1474" s="15">
        <f>Table1347456[[#This Row],[treatment_se]]*SQRT(Table1347456[[#This Row],[treatment_n]])</f>
        <v>0</v>
      </c>
      <c r="BE1474" s="14">
        <f>Table1347456[[#This Row],[control_se]]*SQRT(Table1347456[[#This Row],[control_n]])</f>
        <v>0</v>
      </c>
      <c r="BF147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74" s="17">
        <f>SQRT(Table1347456[[#This Row],[v_from_sd_and_n]])</f>
        <v>0</v>
      </c>
      <c r="BH1474" s="13" t="s">
        <v>50</v>
      </c>
      <c r="BI1474" s="13">
        <v>2.5000000000000001E-2</v>
      </c>
      <c r="BJ1474" s="18">
        <f>ABS(_xlfn.NORM.S.INV(Table1347456[[#This Row],[p_value]]/2))</f>
        <v>2.2414027276049446</v>
      </c>
      <c r="BK1474" s="19">
        <f>(Table1347456[[#This Row],[lnrr]]/Table1347456[[#This Row],[z_from_p]])^2</f>
        <v>2.6390295450804985E-4</v>
      </c>
      <c r="BL1474" s="16">
        <f>(Table1347456[[#This Row],[lnrr]]/Table1347456[[#This Row],[z_from_p]])^2</f>
        <v>2.6390295450804985E-4</v>
      </c>
      <c r="BM1474" s="20">
        <f>SQRT(Table1347456[[#This Row],[v]])</f>
        <v>1.6245090166202521E-2</v>
      </c>
      <c r="BN1474" s="20">
        <f>Table1347456[[#This Row],[lnrr]]-(1.96*Table1347456[[#This Row],[se]])</f>
        <v>4.5714126829576526E-3</v>
      </c>
      <c r="BO1474" s="20">
        <f>Table1347456[[#This Row],[lnrr]]+(1.96 * Table1347456[[#This Row],[se]])</f>
        <v>6.825216613447152E-2</v>
      </c>
    </row>
    <row r="1475" spans="1:67">
      <c r="A1475" s="13" t="s">
        <v>308</v>
      </c>
      <c r="B1475" s="13" t="s">
        <v>450</v>
      </c>
      <c r="C1475" s="13" t="s">
        <v>43</v>
      </c>
      <c r="D1475" s="13" t="s">
        <v>451</v>
      </c>
      <c r="E1475" s="13" t="s">
        <v>91</v>
      </c>
      <c r="F1475" s="13" t="s">
        <v>587</v>
      </c>
      <c r="G1475" s="13" t="s">
        <v>325</v>
      </c>
      <c r="H1475" s="13">
        <v>16.3</v>
      </c>
      <c r="I1475" s="13">
        <v>890</v>
      </c>
      <c r="K1475" s="13" t="s">
        <v>984</v>
      </c>
      <c r="L1475" s="13" t="s">
        <v>985</v>
      </c>
      <c r="N1475" s="13" t="s">
        <v>122</v>
      </c>
      <c r="O1475" s="13" t="s">
        <v>645</v>
      </c>
      <c r="P1475" s="13" t="s">
        <v>48</v>
      </c>
      <c r="Q1475" s="13" t="s">
        <v>48</v>
      </c>
      <c r="R1475" s="4">
        <v>3</v>
      </c>
      <c r="S1475" s="13" t="s">
        <v>594</v>
      </c>
      <c r="T1475" s="13">
        <v>2190</v>
      </c>
      <c r="U1475" s="4" t="s">
        <v>200</v>
      </c>
      <c r="V1475" s="4">
        <v>550</v>
      </c>
      <c r="W1475" s="4" t="s">
        <v>601</v>
      </c>
      <c r="X1475" s="4">
        <v>470</v>
      </c>
      <c r="Y1475" s="4">
        <v>20</v>
      </c>
      <c r="AA1475" s="4" t="s">
        <v>50</v>
      </c>
      <c r="AB1475" s="4">
        <v>150</v>
      </c>
      <c r="AC1475" s="4" t="s">
        <v>49</v>
      </c>
      <c r="AD1475" s="4">
        <v>0</v>
      </c>
      <c r="AE1475" s="4" t="s">
        <v>49</v>
      </c>
      <c r="AF1475" s="4">
        <v>0</v>
      </c>
      <c r="AG1475" s="4" t="s">
        <v>705</v>
      </c>
      <c r="AH1475" s="4" t="s">
        <v>727</v>
      </c>
      <c r="AI1475" s="4" t="s">
        <v>64</v>
      </c>
      <c r="AJ1475" s="13">
        <v>0</v>
      </c>
      <c r="AK1475" s="13">
        <v>15</v>
      </c>
      <c r="AP1475" s="13" t="s">
        <v>50</v>
      </c>
      <c r="AQ1475" s="13" t="s">
        <v>49</v>
      </c>
      <c r="AR1475" s="13" t="s">
        <v>50</v>
      </c>
      <c r="AS1475" s="13" t="s">
        <v>50</v>
      </c>
      <c r="AT1475" s="13" t="s">
        <v>992</v>
      </c>
      <c r="AU1475" s="4" t="s">
        <v>1000</v>
      </c>
      <c r="AV1475" s="14">
        <v>8.7899999999999991</v>
      </c>
      <c r="AW1475" s="14">
        <v>8.83</v>
      </c>
      <c r="AX1475" s="14">
        <f>Table1347456[[#This Row],[treatment_mean]]/Table1347456[[#This Row],[control_mean]]</f>
        <v>0.99546998867497161</v>
      </c>
      <c r="AY1475" s="14">
        <f>LN(Table1347456[[#This Row],[rr]])</f>
        <v>-4.5403029187830977E-3</v>
      </c>
      <c r="AZ1475" s="13">
        <v>3</v>
      </c>
      <c r="BA1475" s="13">
        <v>3</v>
      </c>
      <c r="BB1475" s="14">
        <v>0</v>
      </c>
      <c r="BC1475" s="14">
        <v>0</v>
      </c>
      <c r="BD1475" s="15">
        <f>Table1347456[[#This Row],[treatment_se]]*SQRT(Table1347456[[#This Row],[treatment_n]])</f>
        <v>0</v>
      </c>
      <c r="BE1475" s="14">
        <f>Table1347456[[#This Row],[control_se]]*SQRT(Table1347456[[#This Row],[control_n]])</f>
        <v>0</v>
      </c>
      <c r="BF147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75" s="17">
        <f>SQRT(Table1347456[[#This Row],[v_from_sd_and_n]])</f>
        <v>0</v>
      </c>
      <c r="BH1475" s="13" t="s">
        <v>50</v>
      </c>
      <c r="BI1475" s="13">
        <v>2.5000000000000001E-2</v>
      </c>
      <c r="BJ1475" s="18">
        <f>ABS(_xlfn.NORM.S.INV(Table1347456[[#This Row],[p_value]]/2))</f>
        <v>2.2414027276049446</v>
      </c>
      <c r="BK1475" s="19">
        <f>(Table1347456[[#This Row],[lnrr]]/Table1347456[[#This Row],[z_from_p]])^2</f>
        <v>4.1032678340446363E-6</v>
      </c>
      <c r="BL1475" s="16">
        <f>(Table1347456[[#This Row],[lnrr]]/Table1347456[[#This Row],[z_from_p]])^2</f>
        <v>4.1032678340446363E-6</v>
      </c>
      <c r="BM1475" s="20">
        <f>SQRT(Table1347456[[#This Row],[v]])</f>
        <v>2.0256524465081952E-3</v>
      </c>
      <c r="BN1475" s="20">
        <f>Table1347456[[#This Row],[lnrr]]-(1.96*Table1347456[[#This Row],[se]])</f>
        <v>-8.510581713939161E-3</v>
      </c>
      <c r="BO1475" s="20">
        <f>Table1347456[[#This Row],[lnrr]]+(1.96 * Table1347456[[#This Row],[se]])</f>
        <v>-5.700241236270354E-4</v>
      </c>
    </row>
    <row r="1476" spans="1:67">
      <c r="A1476" s="13" t="s">
        <v>308</v>
      </c>
      <c r="B1476" s="13" t="s">
        <v>450</v>
      </c>
      <c r="C1476" s="13" t="s">
        <v>43</v>
      </c>
      <c r="D1476" s="13" t="s">
        <v>451</v>
      </c>
      <c r="E1476" s="13" t="s">
        <v>91</v>
      </c>
      <c r="F1476" s="13" t="s">
        <v>587</v>
      </c>
      <c r="G1476" s="13" t="s">
        <v>325</v>
      </c>
      <c r="H1476" s="13">
        <v>16.3</v>
      </c>
      <c r="I1476" s="13">
        <v>890</v>
      </c>
      <c r="K1476" s="13" t="s">
        <v>984</v>
      </c>
      <c r="L1476" s="13" t="s">
        <v>985</v>
      </c>
      <c r="N1476" s="13" t="s">
        <v>122</v>
      </c>
      <c r="O1476" s="13" t="s">
        <v>645</v>
      </c>
      <c r="P1476" s="13" t="s">
        <v>48</v>
      </c>
      <c r="Q1476" s="13" t="s">
        <v>48</v>
      </c>
      <c r="R1476" s="4">
        <v>3</v>
      </c>
      <c r="S1476" s="13" t="s">
        <v>594</v>
      </c>
      <c r="T1476" s="13">
        <v>2190</v>
      </c>
      <c r="U1476" s="4" t="s">
        <v>200</v>
      </c>
      <c r="V1476" s="4">
        <v>550</v>
      </c>
      <c r="W1476" s="4" t="s">
        <v>601</v>
      </c>
      <c r="X1476" s="4">
        <v>470</v>
      </c>
      <c r="Y1476" s="4">
        <v>40</v>
      </c>
      <c r="AA1476" s="4" t="s">
        <v>50</v>
      </c>
      <c r="AB1476" s="4">
        <v>150</v>
      </c>
      <c r="AC1476" s="4" t="s">
        <v>49</v>
      </c>
      <c r="AD1476" s="4">
        <v>0</v>
      </c>
      <c r="AE1476" s="4" t="s">
        <v>49</v>
      </c>
      <c r="AF1476" s="4">
        <v>0</v>
      </c>
      <c r="AG1476" s="4" t="s">
        <v>705</v>
      </c>
      <c r="AH1476" s="4" t="s">
        <v>727</v>
      </c>
      <c r="AI1476" s="4" t="s">
        <v>64</v>
      </c>
      <c r="AJ1476" s="13">
        <v>0</v>
      </c>
      <c r="AK1476" s="13">
        <v>15</v>
      </c>
      <c r="AP1476" s="13" t="s">
        <v>50</v>
      </c>
      <c r="AQ1476" s="13" t="s">
        <v>49</v>
      </c>
      <c r="AR1476" s="13" t="s">
        <v>50</v>
      </c>
      <c r="AS1476" s="13" t="s">
        <v>50</v>
      </c>
      <c r="AT1476" s="13" t="s">
        <v>992</v>
      </c>
      <c r="AU1476" s="4" t="s">
        <v>1000</v>
      </c>
      <c r="AV1476" s="14">
        <v>8.85</v>
      </c>
      <c r="AW1476" s="14">
        <v>8.83</v>
      </c>
      <c r="AX1476" s="14">
        <f>Table1347456[[#This Row],[treatment_mean]]/Table1347456[[#This Row],[control_mean]]</f>
        <v>1.0022650056625142</v>
      </c>
      <c r="AY1476" s="14">
        <f>LN(Table1347456[[#This Row],[rr]])</f>
        <v>2.2624444039695433E-3</v>
      </c>
      <c r="AZ1476" s="13">
        <v>3</v>
      </c>
      <c r="BA1476" s="13">
        <v>3</v>
      </c>
      <c r="BB1476" s="14">
        <v>0</v>
      </c>
      <c r="BC1476" s="14">
        <v>0</v>
      </c>
      <c r="BD1476" s="15">
        <f>Table1347456[[#This Row],[treatment_se]]*SQRT(Table1347456[[#This Row],[treatment_n]])</f>
        <v>0</v>
      </c>
      <c r="BE1476" s="14">
        <f>Table1347456[[#This Row],[control_se]]*SQRT(Table1347456[[#This Row],[control_n]])</f>
        <v>0</v>
      </c>
      <c r="BF147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76" s="17">
        <f>SQRT(Table1347456[[#This Row],[v_from_sd_and_n]])</f>
        <v>0</v>
      </c>
      <c r="BH1476" s="13" t="s">
        <v>50</v>
      </c>
      <c r="BI1476" s="13">
        <v>2.5000000000000001E-2</v>
      </c>
      <c r="BJ1476" s="18">
        <f>ABS(_xlfn.NORM.S.INV(Table1347456[[#This Row],[p_value]]/2))</f>
        <v>2.2414027276049446</v>
      </c>
      <c r="BK1476" s="19">
        <f>(Table1347456[[#This Row],[lnrr]]/Table1347456[[#This Row],[z_from_p]])^2</f>
        <v>1.018863582932572E-6</v>
      </c>
      <c r="BL1476" s="16">
        <f>(Table1347456[[#This Row],[lnrr]]/Table1347456[[#This Row],[z_from_p]])^2</f>
        <v>1.018863582932572E-6</v>
      </c>
      <c r="BM1476" s="20">
        <f>SQRT(Table1347456[[#This Row],[v]])</f>
        <v>1.0093877267594311E-3</v>
      </c>
      <c r="BN1476" s="20">
        <f>Table1347456[[#This Row],[lnrr]]-(1.96*Table1347456[[#This Row],[se]])</f>
        <v>2.8404445952105858E-4</v>
      </c>
      <c r="BO1476" s="20">
        <f>Table1347456[[#This Row],[lnrr]]+(1.96 * Table1347456[[#This Row],[se]])</f>
        <v>4.2408443484180276E-3</v>
      </c>
    </row>
    <row r="1477" spans="1:67">
      <c r="A1477" s="13" t="s">
        <v>308</v>
      </c>
      <c r="B1477" s="13" t="s">
        <v>450</v>
      </c>
      <c r="C1477" s="13" t="s">
        <v>43</v>
      </c>
      <c r="D1477" s="13" t="s">
        <v>451</v>
      </c>
      <c r="E1477" s="13" t="s">
        <v>91</v>
      </c>
      <c r="F1477" s="13" t="s">
        <v>587</v>
      </c>
      <c r="G1477" s="13" t="s">
        <v>325</v>
      </c>
      <c r="H1477" s="13">
        <v>16.3</v>
      </c>
      <c r="I1477" s="13">
        <v>890</v>
      </c>
      <c r="K1477" s="13" t="s">
        <v>984</v>
      </c>
      <c r="L1477" s="13" t="s">
        <v>985</v>
      </c>
      <c r="N1477" s="13" t="s">
        <v>122</v>
      </c>
      <c r="O1477" s="13" t="s">
        <v>645</v>
      </c>
      <c r="P1477" s="13" t="s">
        <v>48</v>
      </c>
      <c r="Q1477" s="13" t="s">
        <v>48</v>
      </c>
      <c r="R1477" s="4">
        <v>3</v>
      </c>
      <c r="S1477" s="13" t="s">
        <v>594</v>
      </c>
      <c r="T1477" s="13">
        <v>2190</v>
      </c>
      <c r="U1477" s="4" t="s">
        <v>200</v>
      </c>
      <c r="V1477" s="4">
        <v>550</v>
      </c>
      <c r="W1477" s="4" t="s">
        <v>601</v>
      </c>
      <c r="X1477" s="4">
        <v>470</v>
      </c>
      <c r="Y1477" s="4">
        <v>20</v>
      </c>
      <c r="AA1477" s="4" t="s">
        <v>49</v>
      </c>
      <c r="AB1477" s="4">
        <v>0</v>
      </c>
      <c r="AC1477" s="4" t="s">
        <v>49</v>
      </c>
      <c r="AD1477" s="4">
        <v>0</v>
      </c>
      <c r="AE1477" s="4" t="s">
        <v>49</v>
      </c>
      <c r="AF1477" s="4">
        <v>0</v>
      </c>
      <c r="AG1477" s="4" t="s">
        <v>705</v>
      </c>
      <c r="AH1477" s="4" t="s">
        <v>727</v>
      </c>
      <c r="AI1477" s="4" t="s">
        <v>64</v>
      </c>
      <c r="AJ1477" s="13">
        <v>0</v>
      </c>
      <c r="AK1477" s="13">
        <v>15</v>
      </c>
      <c r="AP1477" s="13" t="s">
        <v>50</v>
      </c>
      <c r="AQ1477" s="13" t="s">
        <v>49</v>
      </c>
      <c r="AR1477" s="13" t="s">
        <v>50</v>
      </c>
      <c r="AS1477" s="13" t="s">
        <v>50</v>
      </c>
      <c r="AT1477" s="13" t="s">
        <v>990</v>
      </c>
      <c r="AU1477" s="13" t="s">
        <v>998</v>
      </c>
      <c r="AV1477" s="14">
        <v>3.89</v>
      </c>
      <c r="AW1477" s="14">
        <v>3.87</v>
      </c>
      <c r="AX1477" s="14">
        <f>Table1347456[[#This Row],[treatment_mean]]/Table1347456[[#This Row],[control_mean]]</f>
        <v>1.0051679586563307</v>
      </c>
      <c r="AY1477" s="14">
        <f>LN(Table1347456[[#This Row],[rr]])</f>
        <v>5.1546505886644221E-3</v>
      </c>
      <c r="AZ1477" s="13">
        <v>3</v>
      </c>
      <c r="BA1477" s="13">
        <v>3</v>
      </c>
      <c r="BB1477" s="14">
        <v>0</v>
      </c>
      <c r="BC1477" s="14">
        <v>0</v>
      </c>
      <c r="BD1477" s="15">
        <f>Table1347456[[#This Row],[treatment_se]]*SQRT(Table1347456[[#This Row],[treatment_n]])</f>
        <v>0</v>
      </c>
      <c r="BE1477" s="14">
        <f>Table1347456[[#This Row],[control_se]]*SQRT(Table1347456[[#This Row],[control_n]])</f>
        <v>0</v>
      </c>
      <c r="BF147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77" s="17">
        <f>SQRT(Table1347456[[#This Row],[v_from_sd_and_n]])</f>
        <v>0</v>
      </c>
      <c r="BH1477" s="13" t="s">
        <v>50</v>
      </c>
      <c r="BI1477" s="13">
        <v>2.5000000000000001E-2</v>
      </c>
      <c r="BJ1477" s="18">
        <f>ABS(_xlfn.NORM.S.INV(Table1347456[[#This Row],[p_value]]/2))</f>
        <v>2.2414027276049446</v>
      </c>
      <c r="BK1477" s="19">
        <f>(Table1347456[[#This Row],[lnrr]]/Table1347456[[#This Row],[z_from_p]])^2</f>
        <v>5.2888185959124111E-6</v>
      </c>
      <c r="BL1477" s="16">
        <f>(Table1347456[[#This Row],[lnrr]]/Table1347456[[#This Row],[z_from_p]])^2</f>
        <v>5.2888185959124111E-6</v>
      </c>
      <c r="BM1477" s="20">
        <f>SQRT(Table1347456[[#This Row],[v]])</f>
        <v>2.2997431586836846E-3</v>
      </c>
      <c r="BN1477" s="20">
        <f>Table1347456[[#This Row],[lnrr]]-(1.96*Table1347456[[#This Row],[se]])</f>
        <v>6.4715399764440039E-4</v>
      </c>
      <c r="BO1477" s="20">
        <f>Table1347456[[#This Row],[lnrr]]+(1.96 * Table1347456[[#This Row],[se]])</f>
        <v>9.6621471796844438E-3</v>
      </c>
    </row>
    <row r="1478" spans="1:67">
      <c r="A1478" s="13" t="s">
        <v>308</v>
      </c>
      <c r="B1478" s="13" t="s">
        <v>450</v>
      </c>
      <c r="C1478" s="13" t="s">
        <v>43</v>
      </c>
      <c r="D1478" s="13" t="s">
        <v>451</v>
      </c>
      <c r="E1478" s="13" t="s">
        <v>91</v>
      </c>
      <c r="F1478" s="13" t="s">
        <v>587</v>
      </c>
      <c r="G1478" s="13" t="s">
        <v>325</v>
      </c>
      <c r="H1478" s="13">
        <v>16.3</v>
      </c>
      <c r="I1478" s="13">
        <v>890</v>
      </c>
      <c r="K1478" s="13" t="s">
        <v>984</v>
      </c>
      <c r="L1478" s="13" t="s">
        <v>985</v>
      </c>
      <c r="N1478" s="13" t="s">
        <v>122</v>
      </c>
      <c r="O1478" s="13" t="s">
        <v>645</v>
      </c>
      <c r="P1478" s="13" t="s">
        <v>48</v>
      </c>
      <c r="Q1478" s="13" t="s">
        <v>48</v>
      </c>
      <c r="R1478" s="4">
        <v>3</v>
      </c>
      <c r="S1478" s="13" t="s">
        <v>594</v>
      </c>
      <c r="T1478" s="13">
        <v>2190</v>
      </c>
      <c r="U1478" s="4" t="s">
        <v>200</v>
      </c>
      <c r="V1478" s="4">
        <v>550</v>
      </c>
      <c r="W1478" s="4" t="s">
        <v>601</v>
      </c>
      <c r="X1478" s="4">
        <v>470</v>
      </c>
      <c r="Y1478" s="4">
        <v>40</v>
      </c>
      <c r="AA1478" s="4" t="s">
        <v>49</v>
      </c>
      <c r="AB1478" s="4">
        <v>0</v>
      </c>
      <c r="AC1478" s="4" t="s">
        <v>49</v>
      </c>
      <c r="AD1478" s="4">
        <v>0</v>
      </c>
      <c r="AE1478" s="4" t="s">
        <v>49</v>
      </c>
      <c r="AF1478" s="4">
        <v>0</v>
      </c>
      <c r="AG1478" s="4" t="s">
        <v>705</v>
      </c>
      <c r="AH1478" s="4" t="s">
        <v>727</v>
      </c>
      <c r="AI1478" s="4" t="s">
        <v>64</v>
      </c>
      <c r="AJ1478" s="13">
        <v>0</v>
      </c>
      <c r="AK1478" s="13">
        <v>15</v>
      </c>
      <c r="AP1478" s="13" t="s">
        <v>50</v>
      </c>
      <c r="AQ1478" s="13" t="s">
        <v>49</v>
      </c>
      <c r="AR1478" s="13" t="s">
        <v>50</v>
      </c>
      <c r="AS1478" s="13" t="s">
        <v>50</v>
      </c>
      <c r="AT1478" s="13" t="s">
        <v>990</v>
      </c>
      <c r="AU1478" s="13" t="s">
        <v>998</v>
      </c>
      <c r="AV1478" s="14">
        <v>4.18</v>
      </c>
      <c r="AW1478" s="14">
        <v>3.87</v>
      </c>
      <c r="AX1478" s="14">
        <f>Table1347456[[#This Row],[treatment_mean]]/Table1347456[[#This Row],[control_mean]]</f>
        <v>1.0801033591731266</v>
      </c>
      <c r="AY1478" s="14">
        <f>LN(Table1347456[[#This Row],[rr]])</f>
        <v>7.7056739494974505E-2</v>
      </c>
      <c r="AZ1478" s="13">
        <v>3</v>
      </c>
      <c r="BA1478" s="13">
        <v>3</v>
      </c>
      <c r="BB1478" s="14">
        <v>0</v>
      </c>
      <c r="BC1478" s="14">
        <v>0</v>
      </c>
      <c r="BD1478" s="15">
        <f>Table1347456[[#This Row],[treatment_se]]*SQRT(Table1347456[[#This Row],[treatment_n]])</f>
        <v>0</v>
      </c>
      <c r="BE1478" s="14">
        <f>Table1347456[[#This Row],[control_se]]*SQRT(Table1347456[[#This Row],[control_n]])</f>
        <v>0</v>
      </c>
      <c r="BF147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78" s="17">
        <f>SQRT(Table1347456[[#This Row],[v_from_sd_and_n]])</f>
        <v>0</v>
      </c>
      <c r="BH1478" s="13" t="s">
        <v>50</v>
      </c>
      <c r="BI1478" s="13">
        <v>2.5000000000000001E-2</v>
      </c>
      <c r="BJ1478" s="18">
        <f>ABS(_xlfn.NORM.S.INV(Table1347456[[#This Row],[p_value]]/2))</f>
        <v>2.2414027276049446</v>
      </c>
      <c r="BK1478" s="19">
        <f>(Table1347456[[#This Row],[lnrr]]/Table1347456[[#This Row],[z_from_p]])^2</f>
        <v>1.1819019938367485E-3</v>
      </c>
      <c r="BL1478" s="16">
        <f>(Table1347456[[#This Row],[lnrr]]/Table1347456[[#This Row],[z_from_p]])^2</f>
        <v>1.1819019938367485E-3</v>
      </c>
      <c r="BM1478" s="20">
        <f>SQRT(Table1347456[[#This Row],[v]])</f>
        <v>3.4378801518330282E-2</v>
      </c>
      <c r="BN1478" s="20">
        <f>Table1347456[[#This Row],[lnrr]]-(1.96*Table1347456[[#This Row],[se]])</f>
        <v>9.6742885190471556E-3</v>
      </c>
      <c r="BO1478" s="20">
        <f>Table1347456[[#This Row],[lnrr]]+(1.96 * Table1347456[[#This Row],[se]])</f>
        <v>0.14443919047090187</v>
      </c>
    </row>
    <row r="1479" spans="1:67">
      <c r="A1479" s="13" t="s">
        <v>308</v>
      </c>
      <c r="B1479" s="13" t="s">
        <v>450</v>
      </c>
      <c r="C1479" s="13" t="s">
        <v>43</v>
      </c>
      <c r="D1479" s="13" t="s">
        <v>451</v>
      </c>
      <c r="E1479" s="13" t="s">
        <v>91</v>
      </c>
      <c r="F1479" s="13" t="s">
        <v>587</v>
      </c>
      <c r="G1479" s="13" t="s">
        <v>325</v>
      </c>
      <c r="H1479" s="13">
        <v>16.3</v>
      </c>
      <c r="I1479" s="13">
        <v>890</v>
      </c>
      <c r="K1479" s="13" t="s">
        <v>984</v>
      </c>
      <c r="L1479" s="13" t="s">
        <v>985</v>
      </c>
      <c r="N1479" s="13" t="s">
        <v>122</v>
      </c>
      <c r="O1479" s="13" t="s">
        <v>645</v>
      </c>
      <c r="P1479" s="13" t="s">
        <v>48</v>
      </c>
      <c r="Q1479" s="13" t="s">
        <v>48</v>
      </c>
      <c r="R1479" s="4">
        <v>3</v>
      </c>
      <c r="S1479" s="13" t="s">
        <v>594</v>
      </c>
      <c r="T1479" s="13">
        <v>2190</v>
      </c>
      <c r="U1479" s="4" t="s">
        <v>200</v>
      </c>
      <c r="V1479" s="4">
        <v>550</v>
      </c>
      <c r="W1479" s="4" t="s">
        <v>601</v>
      </c>
      <c r="X1479" s="4">
        <v>470</v>
      </c>
      <c r="Y1479" s="4">
        <v>20</v>
      </c>
      <c r="AA1479" s="4" t="s">
        <v>50</v>
      </c>
      <c r="AB1479" s="4">
        <v>150</v>
      </c>
      <c r="AC1479" s="4" t="s">
        <v>49</v>
      </c>
      <c r="AD1479" s="4">
        <v>0</v>
      </c>
      <c r="AE1479" s="4" t="s">
        <v>49</v>
      </c>
      <c r="AF1479" s="4">
        <v>0</v>
      </c>
      <c r="AG1479" s="4" t="s">
        <v>705</v>
      </c>
      <c r="AH1479" s="4" t="s">
        <v>727</v>
      </c>
      <c r="AI1479" s="4" t="s">
        <v>64</v>
      </c>
      <c r="AJ1479" s="13">
        <v>0</v>
      </c>
      <c r="AK1479" s="13">
        <v>15</v>
      </c>
      <c r="AP1479" s="13" t="s">
        <v>50</v>
      </c>
      <c r="AQ1479" s="13" t="s">
        <v>49</v>
      </c>
      <c r="AR1479" s="13" t="s">
        <v>50</v>
      </c>
      <c r="AS1479" s="13" t="s">
        <v>50</v>
      </c>
      <c r="AT1479" s="13" t="s">
        <v>992</v>
      </c>
      <c r="AU1479" s="4" t="s">
        <v>1000</v>
      </c>
      <c r="AV1479" s="14">
        <v>4.09</v>
      </c>
      <c r="AW1479" s="14">
        <v>3.5</v>
      </c>
      <c r="AX1479" s="14">
        <f>Table1347456[[#This Row],[treatment_mean]]/Table1347456[[#This Row],[control_mean]]</f>
        <v>1.1685714285714286</v>
      </c>
      <c r="AY1479" s="14">
        <f>LN(Table1347456[[#This Row],[rr]])</f>
        <v>0.15578200155934241</v>
      </c>
      <c r="AZ1479" s="13">
        <v>3</v>
      </c>
      <c r="BA1479" s="13">
        <v>3</v>
      </c>
      <c r="BB1479" s="14">
        <v>0</v>
      </c>
      <c r="BC1479" s="14">
        <v>0</v>
      </c>
      <c r="BD1479" s="15">
        <f>Table1347456[[#This Row],[treatment_se]]*SQRT(Table1347456[[#This Row],[treatment_n]])</f>
        <v>0</v>
      </c>
      <c r="BE1479" s="14">
        <f>Table1347456[[#This Row],[control_se]]*SQRT(Table1347456[[#This Row],[control_n]])</f>
        <v>0</v>
      </c>
      <c r="BF147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79" s="17">
        <f>SQRT(Table1347456[[#This Row],[v_from_sd_and_n]])</f>
        <v>0</v>
      </c>
      <c r="BH1479" s="13" t="s">
        <v>50</v>
      </c>
      <c r="BI1479" s="13">
        <v>2.5000000000000001E-2</v>
      </c>
      <c r="BJ1479" s="18">
        <f>ABS(_xlfn.NORM.S.INV(Table1347456[[#This Row],[p_value]]/2))</f>
        <v>2.2414027276049446</v>
      </c>
      <c r="BK1479" s="19">
        <f>(Table1347456[[#This Row],[lnrr]]/Table1347456[[#This Row],[z_from_p]])^2</f>
        <v>4.830529813973649E-3</v>
      </c>
      <c r="BL1479" s="16">
        <f>(Table1347456[[#This Row],[lnrr]]/Table1347456[[#This Row],[z_from_p]])^2</f>
        <v>4.830529813973649E-3</v>
      </c>
      <c r="BM1479" s="20">
        <f>SQRT(Table1347456[[#This Row],[v]])</f>
        <v>6.9502013021017231E-2</v>
      </c>
      <c r="BN1479" s="20">
        <f>Table1347456[[#This Row],[lnrr]]-(1.96*Table1347456[[#This Row],[se]])</f>
        <v>1.9558056038148641E-2</v>
      </c>
      <c r="BO1479" s="20">
        <f>Table1347456[[#This Row],[lnrr]]+(1.96 * Table1347456[[#This Row],[se]])</f>
        <v>0.29200594708053618</v>
      </c>
    </row>
    <row r="1480" spans="1:67">
      <c r="A1480" s="13" t="s">
        <v>308</v>
      </c>
      <c r="B1480" s="13" t="s">
        <v>450</v>
      </c>
      <c r="C1480" s="13" t="s">
        <v>43</v>
      </c>
      <c r="D1480" s="13" t="s">
        <v>451</v>
      </c>
      <c r="E1480" s="13" t="s">
        <v>91</v>
      </c>
      <c r="F1480" s="13" t="s">
        <v>587</v>
      </c>
      <c r="G1480" s="13" t="s">
        <v>325</v>
      </c>
      <c r="H1480" s="13">
        <v>16.3</v>
      </c>
      <c r="I1480" s="13">
        <v>890</v>
      </c>
      <c r="K1480" s="13" t="s">
        <v>984</v>
      </c>
      <c r="L1480" s="13" t="s">
        <v>985</v>
      </c>
      <c r="N1480" s="13" t="s">
        <v>122</v>
      </c>
      <c r="O1480" s="13" t="s">
        <v>645</v>
      </c>
      <c r="P1480" s="13" t="s">
        <v>48</v>
      </c>
      <c r="Q1480" s="13" t="s">
        <v>48</v>
      </c>
      <c r="R1480" s="4">
        <v>3</v>
      </c>
      <c r="S1480" s="13" t="s">
        <v>594</v>
      </c>
      <c r="T1480" s="13">
        <v>2190</v>
      </c>
      <c r="U1480" s="4" t="s">
        <v>200</v>
      </c>
      <c r="V1480" s="4">
        <v>550</v>
      </c>
      <c r="W1480" s="4" t="s">
        <v>601</v>
      </c>
      <c r="X1480" s="4">
        <v>470</v>
      </c>
      <c r="Y1480" s="4">
        <v>40</v>
      </c>
      <c r="AA1480" s="4" t="s">
        <v>50</v>
      </c>
      <c r="AB1480" s="4">
        <v>150</v>
      </c>
      <c r="AC1480" s="4" t="s">
        <v>49</v>
      </c>
      <c r="AD1480" s="4">
        <v>0</v>
      </c>
      <c r="AE1480" s="4" t="s">
        <v>49</v>
      </c>
      <c r="AF1480" s="4">
        <v>0</v>
      </c>
      <c r="AG1480" s="4" t="s">
        <v>705</v>
      </c>
      <c r="AH1480" s="4" t="s">
        <v>727</v>
      </c>
      <c r="AI1480" s="4" t="s">
        <v>64</v>
      </c>
      <c r="AJ1480" s="13">
        <v>0</v>
      </c>
      <c r="AK1480" s="13">
        <v>15</v>
      </c>
      <c r="AP1480" s="13" t="s">
        <v>50</v>
      </c>
      <c r="AQ1480" s="13" t="s">
        <v>49</v>
      </c>
      <c r="AR1480" s="13" t="s">
        <v>50</v>
      </c>
      <c r="AS1480" s="13" t="s">
        <v>50</v>
      </c>
      <c r="AT1480" s="13" t="s">
        <v>992</v>
      </c>
      <c r="AU1480" s="4" t="s">
        <v>1000</v>
      </c>
      <c r="AV1480" s="14">
        <v>3.94</v>
      </c>
      <c r="AW1480" s="14">
        <v>3.5</v>
      </c>
      <c r="AX1480" s="14">
        <f>Table1347456[[#This Row],[treatment_mean]]/Table1347456[[#This Row],[control_mean]]</f>
        <v>1.1257142857142857</v>
      </c>
      <c r="AY1480" s="14">
        <f>LN(Table1347456[[#This Row],[rr]])</f>
        <v>0.1184177548144744</v>
      </c>
      <c r="AZ1480" s="13">
        <v>3</v>
      </c>
      <c r="BA1480" s="13">
        <v>3</v>
      </c>
      <c r="BB1480" s="14">
        <v>0</v>
      </c>
      <c r="BC1480" s="14">
        <v>0</v>
      </c>
      <c r="BD1480" s="15">
        <f>Table1347456[[#This Row],[treatment_se]]*SQRT(Table1347456[[#This Row],[treatment_n]])</f>
        <v>0</v>
      </c>
      <c r="BE1480" s="14">
        <f>Table1347456[[#This Row],[control_se]]*SQRT(Table1347456[[#This Row],[control_n]])</f>
        <v>0</v>
      </c>
      <c r="BF148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80" s="17">
        <f>SQRT(Table1347456[[#This Row],[v_from_sd_and_n]])</f>
        <v>0</v>
      </c>
      <c r="BH1480" s="13" t="s">
        <v>50</v>
      </c>
      <c r="BI1480" s="13">
        <v>2.5000000000000001E-2</v>
      </c>
      <c r="BJ1480" s="18">
        <f>ABS(_xlfn.NORM.S.INV(Table1347456[[#This Row],[p_value]]/2))</f>
        <v>2.2414027276049446</v>
      </c>
      <c r="BK1480" s="19">
        <f>(Table1347456[[#This Row],[lnrr]]/Table1347456[[#This Row],[z_from_p]])^2</f>
        <v>2.791218616916104E-3</v>
      </c>
      <c r="BL1480" s="16">
        <f>(Table1347456[[#This Row],[lnrr]]/Table1347456[[#This Row],[z_from_p]])^2</f>
        <v>2.791218616916104E-3</v>
      </c>
      <c r="BM1480" s="20">
        <f>SQRT(Table1347456[[#This Row],[v]])</f>
        <v>5.2831984790618118E-2</v>
      </c>
      <c r="BN1480" s="20">
        <f>Table1347456[[#This Row],[lnrr]]-(1.96*Table1347456[[#This Row],[se]])</f>
        <v>1.4867064624862897E-2</v>
      </c>
      <c r="BO1480" s="20">
        <f>Table1347456[[#This Row],[lnrr]]+(1.96 * Table1347456[[#This Row],[se]])</f>
        <v>0.22196844500408591</v>
      </c>
    </row>
    <row r="1481" spans="1:67">
      <c r="A1481" s="13" t="s">
        <v>308</v>
      </c>
      <c r="B1481" s="13" t="s">
        <v>450</v>
      </c>
      <c r="C1481" s="13" t="s">
        <v>43</v>
      </c>
      <c r="D1481" s="13" t="s">
        <v>451</v>
      </c>
      <c r="E1481" s="13" t="s">
        <v>91</v>
      </c>
      <c r="F1481" s="13" t="s">
        <v>587</v>
      </c>
      <c r="G1481" s="13" t="s">
        <v>325</v>
      </c>
      <c r="H1481" s="13">
        <v>16.3</v>
      </c>
      <c r="I1481" s="13">
        <v>890</v>
      </c>
      <c r="K1481" s="13" t="s">
        <v>984</v>
      </c>
      <c r="L1481" s="13" t="s">
        <v>985</v>
      </c>
      <c r="N1481" s="13" t="s">
        <v>47</v>
      </c>
      <c r="O1481" s="13" t="s">
        <v>645</v>
      </c>
      <c r="P1481" s="13" t="s">
        <v>48</v>
      </c>
      <c r="Q1481" s="13" t="s">
        <v>48</v>
      </c>
      <c r="R1481" s="4">
        <v>3</v>
      </c>
      <c r="S1481" s="13" t="s">
        <v>594</v>
      </c>
      <c r="T1481" s="13">
        <v>2190</v>
      </c>
      <c r="U1481" s="4" t="s">
        <v>200</v>
      </c>
      <c r="V1481" s="4">
        <v>550</v>
      </c>
      <c r="W1481" s="4" t="s">
        <v>601</v>
      </c>
      <c r="X1481" s="4">
        <v>470</v>
      </c>
      <c r="Y1481" s="4">
        <v>20</v>
      </c>
      <c r="AA1481" s="4" t="s">
        <v>49</v>
      </c>
      <c r="AB1481" s="4">
        <v>0</v>
      </c>
      <c r="AC1481" s="4" t="s">
        <v>49</v>
      </c>
      <c r="AD1481" s="4">
        <v>0</v>
      </c>
      <c r="AE1481" s="4" t="s">
        <v>49</v>
      </c>
      <c r="AF1481" s="4">
        <v>0</v>
      </c>
      <c r="AG1481" s="4" t="s">
        <v>705</v>
      </c>
      <c r="AH1481" s="4" t="s">
        <v>727</v>
      </c>
      <c r="AI1481" s="4" t="s">
        <v>64</v>
      </c>
      <c r="AJ1481" s="13">
        <v>0</v>
      </c>
      <c r="AK1481" s="13">
        <v>15</v>
      </c>
      <c r="AP1481" s="13" t="s">
        <v>50</v>
      </c>
      <c r="AQ1481" s="13" t="s">
        <v>49</v>
      </c>
      <c r="AR1481" s="13" t="s">
        <v>50</v>
      </c>
      <c r="AS1481" s="13" t="s">
        <v>50</v>
      </c>
      <c r="AT1481" s="13" t="s">
        <v>990</v>
      </c>
      <c r="AU1481" s="13" t="s">
        <v>998</v>
      </c>
      <c r="AV1481" s="14">
        <v>6.49</v>
      </c>
      <c r="AW1481" s="14">
        <v>5.09</v>
      </c>
      <c r="AX1481" s="14">
        <f>Table1347456[[#This Row],[treatment_mean]]/Table1347456[[#This Row],[control_mean]]</f>
        <v>1.275049115913556</v>
      </c>
      <c r="AY1481" s="14">
        <f>LN(Table1347456[[#This Row],[rr]])</f>
        <v>0.24298470015356724</v>
      </c>
      <c r="AZ1481" s="13">
        <v>3</v>
      </c>
      <c r="BA1481" s="13">
        <v>3</v>
      </c>
      <c r="BB1481" s="14">
        <v>0</v>
      </c>
      <c r="BC1481" s="14">
        <v>0</v>
      </c>
      <c r="BD1481" s="15">
        <f>Table1347456[[#This Row],[treatment_se]]*SQRT(Table1347456[[#This Row],[treatment_n]])</f>
        <v>0</v>
      </c>
      <c r="BE1481" s="14">
        <f>Table1347456[[#This Row],[control_se]]*SQRT(Table1347456[[#This Row],[control_n]])</f>
        <v>0</v>
      </c>
      <c r="BF148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81" s="17">
        <f>SQRT(Table1347456[[#This Row],[v_from_sd_and_n]])</f>
        <v>0</v>
      </c>
      <c r="BH1481" s="13" t="s">
        <v>50</v>
      </c>
      <c r="BI1481" s="13">
        <v>2.5000000000000001E-2</v>
      </c>
      <c r="BJ1481" s="18">
        <f>ABS(_xlfn.NORM.S.INV(Table1347456[[#This Row],[p_value]]/2))</f>
        <v>2.2414027276049446</v>
      </c>
      <c r="BK1481" s="19">
        <f>(Table1347456[[#This Row],[lnrr]]/Table1347456[[#This Row],[z_from_p]])^2</f>
        <v>1.1752169994972536E-2</v>
      </c>
      <c r="BL1481" s="16">
        <f>(Table1347456[[#This Row],[lnrr]]/Table1347456[[#This Row],[z_from_p]])^2</f>
        <v>1.1752169994972536E-2</v>
      </c>
      <c r="BM1481" s="20">
        <f>SQRT(Table1347456[[#This Row],[v]])</f>
        <v>0.1084074259217169</v>
      </c>
      <c r="BN1481" s="20">
        <f>Table1347456[[#This Row],[lnrr]]-(1.96*Table1347456[[#This Row],[se]])</f>
        <v>3.0506145347002134E-2</v>
      </c>
      <c r="BO1481" s="20">
        <f>Table1347456[[#This Row],[lnrr]]+(1.96 * Table1347456[[#This Row],[se]])</f>
        <v>0.45546325496013235</v>
      </c>
    </row>
    <row r="1482" spans="1:67">
      <c r="A1482" s="13" t="s">
        <v>308</v>
      </c>
      <c r="B1482" s="13" t="s">
        <v>450</v>
      </c>
      <c r="C1482" s="13" t="s">
        <v>43</v>
      </c>
      <c r="D1482" s="13" t="s">
        <v>451</v>
      </c>
      <c r="E1482" s="13" t="s">
        <v>91</v>
      </c>
      <c r="F1482" s="13" t="s">
        <v>587</v>
      </c>
      <c r="G1482" s="13" t="s">
        <v>325</v>
      </c>
      <c r="H1482" s="13">
        <v>16.3</v>
      </c>
      <c r="I1482" s="13">
        <v>890</v>
      </c>
      <c r="K1482" s="13" t="s">
        <v>984</v>
      </c>
      <c r="L1482" s="13" t="s">
        <v>985</v>
      </c>
      <c r="N1482" s="13" t="s">
        <v>47</v>
      </c>
      <c r="O1482" s="13" t="s">
        <v>645</v>
      </c>
      <c r="P1482" s="13" t="s">
        <v>48</v>
      </c>
      <c r="Q1482" s="13" t="s">
        <v>48</v>
      </c>
      <c r="R1482" s="4">
        <v>3</v>
      </c>
      <c r="S1482" s="13" t="s">
        <v>594</v>
      </c>
      <c r="T1482" s="13">
        <v>2190</v>
      </c>
      <c r="U1482" s="4" t="s">
        <v>200</v>
      </c>
      <c r="V1482" s="4">
        <v>550</v>
      </c>
      <c r="W1482" s="4" t="s">
        <v>601</v>
      </c>
      <c r="X1482" s="4">
        <v>470</v>
      </c>
      <c r="Y1482" s="4">
        <v>40</v>
      </c>
      <c r="AA1482" s="4" t="s">
        <v>49</v>
      </c>
      <c r="AB1482" s="4">
        <v>0</v>
      </c>
      <c r="AC1482" s="4" t="s">
        <v>49</v>
      </c>
      <c r="AD1482" s="4">
        <v>0</v>
      </c>
      <c r="AE1482" s="4" t="s">
        <v>49</v>
      </c>
      <c r="AF1482" s="4">
        <v>0</v>
      </c>
      <c r="AG1482" s="4" t="s">
        <v>705</v>
      </c>
      <c r="AH1482" s="4" t="s">
        <v>727</v>
      </c>
      <c r="AI1482" s="4" t="s">
        <v>64</v>
      </c>
      <c r="AJ1482" s="13">
        <v>0</v>
      </c>
      <c r="AK1482" s="13">
        <v>15</v>
      </c>
      <c r="AP1482" s="13" t="s">
        <v>50</v>
      </c>
      <c r="AQ1482" s="13" t="s">
        <v>49</v>
      </c>
      <c r="AR1482" s="13" t="s">
        <v>50</v>
      </c>
      <c r="AS1482" s="13" t="s">
        <v>50</v>
      </c>
      <c r="AT1482" s="13" t="s">
        <v>990</v>
      </c>
      <c r="AU1482" s="13" t="s">
        <v>998</v>
      </c>
      <c r="AV1482" s="14">
        <v>7.12</v>
      </c>
      <c r="AW1482" s="14">
        <v>5.09</v>
      </c>
      <c r="AX1482" s="14">
        <f>Table1347456[[#This Row],[treatment_mean]]/Table1347456[[#This Row],[control_mean]]</f>
        <v>1.3988212180746562</v>
      </c>
      <c r="AY1482" s="14">
        <f>LN(Table1347456[[#This Row],[rr]])</f>
        <v>0.33562989486145306</v>
      </c>
      <c r="AZ1482" s="13">
        <v>3</v>
      </c>
      <c r="BA1482" s="13">
        <v>3</v>
      </c>
      <c r="BB1482" s="14">
        <v>0</v>
      </c>
      <c r="BC1482" s="14">
        <v>0</v>
      </c>
      <c r="BD1482" s="15">
        <f>Table1347456[[#This Row],[treatment_se]]*SQRT(Table1347456[[#This Row],[treatment_n]])</f>
        <v>0</v>
      </c>
      <c r="BE1482" s="14">
        <f>Table1347456[[#This Row],[control_se]]*SQRT(Table1347456[[#This Row],[control_n]])</f>
        <v>0</v>
      </c>
      <c r="BF148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82" s="17">
        <f>SQRT(Table1347456[[#This Row],[v_from_sd_and_n]])</f>
        <v>0</v>
      </c>
      <c r="BH1482" s="13" t="s">
        <v>50</v>
      </c>
      <c r="BI1482" s="13">
        <v>2.5000000000000001E-2</v>
      </c>
      <c r="BJ1482" s="18">
        <f>ABS(_xlfn.NORM.S.INV(Table1347456[[#This Row],[p_value]]/2))</f>
        <v>2.2414027276049446</v>
      </c>
      <c r="BK1482" s="19">
        <f>(Table1347456[[#This Row],[lnrr]]/Table1347456[[#This Row],[z_from_p]])^2</f>
        <v>2.2422368287151957E-2</v>
      </c>
      <c r="BL1482" s="16">
        <f>(Table1347456[[#This Row],[lnrr]]/Table1347456[[#This Row],[z_from_p]])^2</f>
        <v>2.2422368287151957E-2</v>
      </c>
      <c r="BM1482" s="20">
        <f>SQRT(Table1347456[[#This Row],[v]])</f>
        <v>0.14974100402746054</v>
      </c>
      <c r="BN1482" s="20">
        <f>Table1347456[[#This Row],[lnrr]]-(1.96*Table1347456[[#This Row],[se]])</f>
        <v>4.2137526967630401E-2</v>
      </c>
      <c r="BO1482" s="20">
        <f>Table1347456[[#This Row],[lnrr]]+(1.96 * Table1347456[[#This Row],[se]])</f>
        <v>0.62912226275527572</v>
      </c>
    </row>
    <row r="1483" spans="1:67">
      <c r="A1483" s="13" t="s">
        <v>308</v>
      </c>
      <c r="B1483" s="13" t="s">
        <v>450</v>
      </c>
      <c r="C1483" s="13" t="s">
        <v>43</v>
      </c>
      <c r="D1483" s="13" t="s">
        <v>451</v>
      </c>
      <c r="E1483" s="13" t="s">
        <v>91</v>
      </c>
      <c r="F1483" s="13" t="s">
        <v>587</v>
      </c>
      <c r="G1483" s="13" t="s">
        <v>325</v>
      </c>
      <c r="H1483" s="13">
        <v>16.3</v>
      </c>
      <c r="I1483" s="13">
        <v>890</v>
      </c>
      <c r="K1483" s="13" t="s">
        <v>984</v>
      </c>
      <c r="L1483" s="13" t="s">
        <v>985</v>
      </c>
      <c r="N1483" s="13" t="s">
        <v>47</v>
      </c>
      <c r="O1483" s="13" t="s">
        <v>645</v>
      </c>
      <c r="P1483" s="13" t="s">
        <v>48</v>
      </c>
      <c r="Q1483" s="13" t="s">
        <v>48</v>
      </c>
      <c r="R1483" s="4">
        <v>3</v>
      </c>
      <c r="S1483" s="13" t="s">
        <v>594</v>
      </c>
      <c r="T1483" s="13">
        <v>2190</v>
      </c>
      <c r="U1483" s="4" t="s">
        <v>200</v>
      </c>
      <c r="V1483" s="4">
        <v>550</v>
      </c>
      <c r="W1483" s="4" t="s">
        <v>601</v>
      </c>
      <c r="X1483" s="4">
        <v>470</v>
      </c>
      <c r="Y1483" s="4">
        <v>20</v>
      </c>
      <c r="AA1483" s="4" t="s">
        <v>50</v>
      </c>
      <c r="AB1483" s="4">
        <v>150</v>
      </c>
      <c r="AC1483" s="4" t="s">
        <v>49</v>
      </c>
      <c r="AD1483" s="4">
        <v>0</v>
      </c>
      <c r="AE1483" s="4" t="s">
        <v>49</v>
      </c>
      <c r="AF1483" s="4">
        <v>0</v>
      </c>
      <c r="AG1483" s="4" t="s">
        <v>705</v>
      </c>
      <c r="AH1483" s="4" t="s">
        <v>727</v>
      </c>
      <c r="AI1483" s="4" t="s">
        <v>64</v>
      </c>
      <c r="AJ1483" s="13">
        <v>0</v>
      </c>
      <c r="AK1483" s="13">
        <v>15</v>
      </c>
      <c r="AP1483" s="13" t="s">
        <v>50</v>
      </c>
      <c r="AQ1483" s="13" t="s">
        <v>49</v>
      </c>
      <c r="AR1483" s="13" t="s">
        <v>50</v>
      </c>
      <c r="AS1483" s="13" t="s">
        <v>50</v>
      </c>
      <c r="AT1483" s="13" t="s">
        <v>992</v>
      </c>
      <c r="AU1483" s="4" t="s">
        <v>1000</v>
      </c>
      <c r="AV1483" s="14">
        <v>6.49</v>
      </c>
      <c r="AW1483" s="14">
        <v>5.5</v>
      </c>
      <c r="AX1483" s="14">
        <f>Table1347456[[#This Row],[treatment_mean]]/Table1347456[[#This Row],[control_mean]]</f>
        <v>1.18</v>
      </c>
      <c r="AY1483" s="14">
        <f>LN(Table1347456[[#This Row],[rr]])</f>
        <v>0.16551443847757333</v>
      </c>
      <c r="AZ1483" s="13">
        <v>3</v>
      </c>
      <c r="BA1483" s="13">
        <v>3</v>
      </c>
      <c r="BB1483" s="14">
        <v>0</v>
      </c>
      <c r="BC1483" s="14">
        <v>0</v>
      </c>
      <c r="BD1483" s="15">
        <f>Table1347456[[#This Row],[treatment_se]]*SQRT(Table1347456[[#This Row],[treatment_n]])</f>
        <v>0</v>
      </c>
      <c r="BE1483" s="14">
        <f>Table1347456[[#This Row],[control_se]]*SQRT(Table1347456[[#This Row],[control_n]])</f>
        <v>0</v>
      </c>
      <c r="BF148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83" s="17">
        <f>SQRT(Table1347456[[#This Row],[v_from_sd_and_n]])</f>
        <v>0</v>
      </c>
      <c r="BH1483" s="13" t="s">
        <v>50</v>
      </c>
      <c r="BI1483" s="13">
        <v>2.5000000000000001E-2</v>
      </c>
      <c r="BJ1483" s="18">
        <f>ABS(_xlfn.NORM.S.INV(Table1347456[[#This Row],[p_value]]/2))</f>
        <v>2.2414027276049446</v>
      </c>
      <c r="BK1483" s="19">
        <f>(Table1347456[[#This Row],[lnrr]]/Table1347456[[#This Row],[z_from_p]])^2</f>
        <v>5.4529558041576994E-3</v>
      </c>
      <c r="BL1483" s="16">
        <f>(Table1347456[[#This Row],[lnrr]]/Table1347456[[#This Row],[z_from_p]])^2</f>
        <v>5.4529558041576994E-3</v>
      </c>
      <c r="BM1483" s="20">
        <f>SQRT(Table1347456[[#This Row],[v]])</f>
        <v>7.384413181937817E-2</v>
      </c>
      <c r="BN1483" s="20">
        <f>Table1347456[[#This Row],[lnrr]]-(1.96*Table1347456[[#This Row],[se]])</f>
        <v>2.0779940111592121E-2</v>
      </c>
      <c r="BO1483" s="20">
        <f>Table1347456[[#This Row],[lnrr]]+(1.96 * Table1347456[[#This Row],[se]])</f>
        <v>0.31024893684355453</v>
      </c>
    </row>
    <row r="1484" spans="1:67">
      <c r="A1484" s="13" t="s">
        <v>308</v>
      </c>
      <c r="B1484" s="13" t="s">
        <v>450</v>
      </c>
      <c r="C1484" s="13" t="s">
        <v>43</v>
      </c>
      <c r="D1484" s="13" t="s">
        <v>451</v>
      </c>
      <c r="E1484" s="13" t="s">
        <v>91</v>
      </c>
      <c r="F1484" s="13" t="s">
        <v>587</v>
      </c>
      <c r="G1484" s="13" t="s">
        <v>325</v>
      </c>
      <c r="H1484" s="13">
        <v>16.3</v>
      </c>
      <c r="I1484" s="13">
        <v>890</v>
      </c>
      <c r="K1484" s="13" t="s">
        <v>984</v>
      </c>
      <c r="L1484" s="13" t="s">
        <v>985</v>
      </c>
      <c r="N1484" s="13" t="s">
        <v>47</v>
      </c>
      <c r="O1484" s="13" t="s">
        <v>645</v>
      </c>
      <c r="P1484" s="13" t="s">
        <v>48</v>
      </c>
      <c r="Q1484" s="13" t="s">
        <v>48</v>
      </c>
      <c r="R1484" s="4">
        <v>3</v>
      </c>
      <c r="S1484" s="13" t="s">
        <v>594</v>
      </c>
      <c r="T1484" s="13">
        <v>2190</v>
      </c>
      <c r="U1484" s="4" t="s">
        <v>200</v>
      </c>
      <c r="V1484" s="4">
        <v>550</v>
      </c>
      <c r="W1484" s="4" t="s">
        <v>601</v>
      </c>
      <c r="X1484" s="4">
        <v>470</v>
      </c>
      <c r="Y1484" s="4">
        <v>40</v>
      </c>
      <c r="AA1484" s="4" t="s">
        <v>50</v>
      </c>
      <c r="AB1484" s="4">
        <v>150</v>
      </c>
      <c r="AC1484" s="4" t="s">
        <v>49</v>
      </c>
      <c r="AD1484" s="4">
        <v>0</v>
      </c>
      <c r="AE1484" s="4" t="s">
        <v>49</v>
      </c>
      <c r="AF1484" s="4">
        <v>0</v>
      </c>
      <c r="AG1484" s="4" t="s">
        <v>705</v>
      </c>
      <c r="AH1484" s="4" t="s">
        <v>727</v>
      </c>
      <c r="AI1484" s="4" t="s">
        <v>64</v>
      </c>
      <c r="AJ1484" s="13">
        <v>0</v>
      </c>
      <c r="AK1484" s="13">
        <v>15</v>
      </c>
      <c r="AP1484" s="13" t="s">
        <v>50</v>
      </c>
      <c r="AQ1484" s="13" t="s">
        <v>49</v>
      </c>
      <c r="AR1484" s="13" t="s">
        <v>50</v>
      </c>
      <c r="AS1484" s="13" t="s">
        <v>50</v>
      </c>
      <c r="AT1484" s="13" t="s">
        <v>992</v>
      </c>
      <c r="AU1484" s="4" t="s">
        <v>1000</v>
      </c>
      <c r="AV1484" s="14">
        <v>7.84</v>
      </c>
      <c r="AW1484" s="14">
        <v>5.5</v>
      </c>
      <c r="AX1484" s="14">
        <f>Table1347456[[#This Row],[treatment_mean]]/Table1347456[[#This Row],[control_mean]]</f>
        <v>1.4254545454545455</v>
      </c>
      <c r="AY1484" s="14">
        <f>LN(Table1347456[[#This Row],[rr]])</f>
        <v>0.35449074212389131</v>
      </c>
      <c r="AZ1484" s="13">
        <v>3</v>
      </c>
      <c r="BA1484" s="13">
        <v>3</v>
      </c>
      <c r="BB1484" s="14">
        <v>0</v>
      </c>
      <c r="BC1484" s="14">
        <v>0</v>
      </c>
      <c r="BD1484" s="15">
        <f>Table1347456[[#This Row],[treatment_se]]*SQRT(Table1347456[[#This Row],[treatment_n]])</f>
        <v>0</v>
      </c>
      <c r="BE1484" s="14">
        <f>Table1347456[[#This Row],[control_se]]*SQRT(Table1347456[[#This Row],[control_n]])</f>
        <v>0</v>
      </c>
      <c r="BF148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84" s="17">
        <f>SQRT(Table1347456[[#This Row],[v_from_sd_and_n]])</f>
        <v>0</v>
      </c>
      <c r="BH1484" s="13" t="s">
        <v>50</v>
      </c>
      <c r="BI1484" s="13">
        <v>2.5000000000000001E-2</v>
      </c>
      <c r="BJ1484" s="18">
        <f>ABS(_xlfn.NORM.S.INV(Table1347456[[#This Row],[p_value]]/2))</f>
        <v>2.2414027276049446</v>
      </c>
      <c r="BK1484" s="19">
        <f>(Table1347456[[#This Row],[lnrr]]/Table1347456[[#This Row],[z_from_p]])^2</f>
        <v>2.5013243048547368E-2</v>
      </c>
      <c r="BL1484" s="16">
        <f>(Table1347456[[#This Row],[lnrr]]/Table1347456[[#This Row],[z_from_p]])^2</f>
        <v>2.5013243048547368E-2</v>
      </c>
      <c r="BM1484" s="20">
        <f>SQRT(Table1347456[[#This Row],[v]])</f>
        <v>0.15815575566051135</v>
      </c>
      <c r="BN1484" s="20">
        <f>Table1347456[[#This Row],[lnrr]]-(1.96*Table1347456[[#This Row],[se]])</f>
        <v>4.4505461029289095E-2</v>
      </c>
      <c r="BO1484" s="20">
        <f>Table1347456[[#This Row],[lnrr]]+(1.96 * Table1347456[[#This Row],[se]])</f>
        <v>0.66447602321849353</v>
      </c>
    </row>
    <row r="1485" spans="1:67">
      <c r="A1485" s="13" t="s">
        <v>308</v>
      </c>
      <c r="B1485" s="13" t="s">
        <v>450</v>
      </c>
      <c r="C1485" s="13" t="s">
        <v>43</v>
      </c>
      <c r="D1485" s="13" t="s">
        <v>451</v>
      </c>
      <c r="E1485" s="13" t="s">
        <v>91</v>
      </c>
      <c r="F1485" s="13" t="s">
        <v>587</v>
      </c>
      <c r="G1485" s="13" t="s">
        <v>325</v>
      </c>
      <c r="H1485" s="13">
        <v>16.3</v>
      </c>
      <c r="I1485" s="13">
        <v>890</v>
      </c>
      <c r="J1485" s="13" t="s">
        <v>651</v>
      </c>
      <c r="K1485" s="13" t="s">
        <v>984</v>
      </c>
      <c r="L1485" s="13" t="s">
        <v>985</v>
      </c>
      <c r="M1485" s="13" t="s">
        <v>659</v>
      </c>
      <c r="N1485" s="13" t="s">
        <v>317</v>
      </c>
      <c r="O1485" s="13" t="s">
        <v>644</v>
      </c>
      <c r="P1485" s="13" t="s">
        <v>85</v>
      </c>
      <c r="Q1485" s="13" t="s">
        <v>48</v>
      </c>
      <c r="R1485" s="4">
        <v>3</v>
      </c>
      <c r="S1485" s="13" t="s">
        <v>594</v>
      </c>
      <c r="T1485" s="13">
        <v>2190</v>
      </c>
      <c r="U1485" s="4" t="s">
        <v>200</v>
      </c>
      <c r="V1485" s="4">
        <v>550</v>
      </c>
      <c r="W1485" s="4" t="s">
        <v>601</v>
      </c>
      <c r="X1485" s="4">
        <v>470</v>
      </c>
      <c r="Y1485" s="4">
        <v>20</v>
      </c>
      <c r="AA1485" s="4" t="s">
        <v>49</v>
      </c>
      <c r="AB1485" s="4">
        <v>0</v>
      </c>
      <c r="AC1485" s="4" t="s">
        <v>49</v>
      </c>
      <c r="AD1485" s="4">
        <v>0</v>
      </c>
      <c r="AE1485" s="4" t="s">
        <v>49</v>
      </c>
      <c r="AF1485" s="4">
        <v>0</v>
      </c>
      <c r="AG1485" s="4" t="s">
        <v>705</v>
      </c>
      <c r="AH1485" s="4" t="s">
        <v>727</v>
      </c>
      <c r="AI1485" s="4" t="s">
        <v>64</v>
      </c>
      <c r="AJ1485" s="13">
        <v>0</v>
      </c>
      <c r="AK1485" s="13">
        <v>15</v>
      </c>
      <c r="AP1485" s="13" t="s">
        <v>50</v>
      </c>
      <c r="AQ1485" s="13" t="s">
        <v>49</v>
      </c>
      <c r="AR1485" s="13" t="s">
        <v>50</v>
      </c>
      <c r="AS1485" s="13" t="s">
        <v>50</v>
      </c>
      <c r="AT1485" s="13" t="s">
        <v>990</v>
      </c>
      <c r="AU1485" s="13" t="s">
        <v>998</v>
      </c>
      <c r="AV1485" s="23">
        <f>70.96/1000</f>
        <v>7.0959999999999995E-2</v>
      </c>
      <c r="AW1485" s="23">
        <f>47.86/1000</f>
        <v>4.786E-2</v>
      </c>
      <c r="AX1485" s="14">
        <f>Table1347456[[#This Row],[treatment_mean]]/Table1347456[[#This Row],[control_mean]]</f>
        <v>1.4826577517760133</v>
      </c>
      <c r="AY1485" s="14">
        <f>LN(Table1347456[[#This Row],[rr]])</f>
        <v>0.39383625552109675</v>
      </c>
      <c r="AZ1485" s="13">
        <v>3</v>
      </c>
      <c r="BA1485" s="13">
        <v>3</v>
      </c>
      <c r="BB1485" s="14">
        <v>0</v>
      </c>
      <c r="BC1485" s="14">
        <v>0</v>
      </c>
      <c r="BD1485" s="15">
        <f>Table1347456[[#This Row],[treatment_se]]*SQRT(Table1347456[[#This Row],[treatment_n]])</f>
        <v>0</v>
      </c>
      <c r="BE1485" s="14">
        <f>Table1347456[[#This Row],[control_se]]*SQRT(Table1347456[[#This Row],[control_n]])</f>
        <v>0</v>
      </c>
      <c r="BF148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85" s="17">
        <f>SQRT(Table1347456[[#This Row],[v_from_sd_and_n]])</f>
        <v>0</v>
      </c>
      <c r="BH1485" s="13" t="s">
        <v>50</v>
      </c>
      <c r="BI1485" s="13">
        <v>2.5000000000000001E-2</v>
      </c>
      <c r="BJ1485" s="18">
        <f>ABS(_xlfn.NORM.S.INV(Table1347456[[#This Row],[p_value]]/2))</f>
        <v>2.2414027276049446</v>
      </c>
      <c r="BK1485" s="19">
        <f>(Table1347456[[#This Row],[lnrr]]/Table1347456[[#This Row],[z_from_p]])^2</f>
        <v>3.0873907246250453E-2</v>
      </c>
      <c r="BL1485" s="16">
        <f>(Table1347456[[#This Row],[lnrr]]/Table1347456[[#This Row],[z_from_p]])^2</f>
        <v>3.0873907246250453E-2</v>
      </c>
      <c r="BM1485" s="20">
        <f>SQRT(Table1347456[[#This Row],[v]])</f>
        <v>0.1757097243929614</v>
      </c>
      <c r="BN1485" s="20">
        <f>Table1347456[[#This Row],[lnrr]]-(1.96*Table1347456[[#This Row],[se]])</f>
        <v>4.9445195710892398E-2</v>
      </c>
      <c r="BO1485" s="20">
        <f>Table1347456[[#This Row],[lnrr]]+(1.96 * Table1347456[[#This Row],[se]])</f>
        <v>0.73822731533130104</v>
      </c>
    </row>
    <row r="1486" spans="1:67">
      <c r="A1486" s="13" t="s">
        <v>308</v>
      </c>
      <c r="B1486" s="13" t="s">
        <v>450</v>
      </c>
      <c r="C1486" s="13" t="s">
        <v>43</v>
      </c>
      <c r="D1486" s="13" t="s">
        <v>451</v>
      </c>
      <c r="E1486" s="13" t="s">
        <v>91</v>
      </c>
      <c r="F1486" s="13" t="s">
        <v>587</v>
      </c>
      <c r="G1486" s="13" t="s">
        <v>325</v>
      </c>
      <c r="H1486" s="13">
        <v>16.3</v>
      </c>
      <c r="I1486" s="13">
        <v>890</v>
      </c>
      <c r="J1486" s="13" t="s">
        <v>651</v>
      </c>
      <c r="K1486" s="13" t="s">
        <v>984</v>
      </c>
      <c r="L1486" s="13" t="s">
        <v>985</v>
      </c>
      <c r="M1486" s="13" t="s">
        <v>659</v>
      </c>
      <c r="N1486" s="13" t="s">
        <v>317</v>
      </c>
      <c r="O1486" s="13" t="s">
        <v>644</v>
      </c>
      <c r="P1486" s="13" t="s">
        <v>85</v>
      </c>
      <c r="Q1486" s="13" t="s">
        <v>48</v>
      </c>
      <c r="R1486" s="4">
        <v>3</v>
      </c>
      <c r="S1486" s="13" t="s">
        <v>594</v>
      </c>
      <c r="T1486" s="13">
        <v>2190</v>
      </c>
      <c r="U1486" s="4" t="s">
        <v>200</v>
      </c>
      <c r="V1486" s="4">
        <v>550</v>
      </c>
      <c r="W1486" s="4" t="s">
        <v>601</v>
      </c>
      <c r="X1486" s="4">
        <v>470</v>
      </c>
      <c r="Y1486" s="4">
        <v>40</v>
      </c>
      <c r="AA1486" s="4" t="s">
        <v>49</v>
      </c>
      <c r="AB1486" s="4">
        <v>0</v>
      </c>
      <c r="AC1486" s="4" t="s">
        <v>49</v>
      </c>
      <c r="AD1486" s="4">
        <v>0</v>
      </c>
      <c r="AE1486" s="4" t="s">
        <v>49</v>
      </c>
      <c r="AF1486" s="4">
        <v>0</v>
      </c>
      <c r="AG1486" s="4" t="s">
        <v>705</v>
      </c>
      <c r="AH1486" s="4" t="s">
        <v>727</v>
      </c>
      <c r="AI1486" s="4" t="s">
        <v>64</v>
      </c>
      <c r="AJ1486" s="13">
        <v>0</v>
      </c>
      <c r="AK1486" s="13">
        <v>15</v>
      </c>
      <c r="AP1486" s="13" t="s">
        <v>50</v>
      </c>
      <c r="AQ1486" s="13" t="s">
        <v>49</v>
      </c>
      <c r="AR1486" s="13" t="s">
        <v>50</v>
      </c>
      <c r="AS1486" s="13" t="s">
        <v>50</v>
      </c>
      <c r="AT1486" s="13" t="s">
        <v>990</v>
      </c>
      <c r="AU1486" s="13" t="s">
        <v>998</v>
      </c>
      <c r="AV1486" s="23">
        <f>71.29/1000</f>
        <v>7.1290000000000006E-2</v>
      </c>
      <c r="AW1486" s="23">
        <f>47.86/1000</f>
        <v>4.786E-2</v>
      </c>
      <c r="AX1486" s="14">
        <f>Table1347456[[#This Row],[treatment_mean]]/Table1347456[[#This Row],[control_mean]]</f>
        <v>1.4895528625156709</v>
      </c>
      <c r="AY1486" s="14">
        <f>LN(Table1347456[[#This Row],[rr]])</f>
        <v>0.39847598264930995</v>
      </c>
      <c r="AZ1486" s="13">
        <v>3</v>
      </c>
      <c r="BA1486" s="13">
        <v>3</v>
      </c>
      <c r="BB1486" s="14">
        <v>0</v>
      </c>
      <c r="BC1486" s="14">
        <v>0</v>
      </c>
      <c r="BD1486" s="15">
        <f>Table1347456[[#This Row],[treatment_se]]*SQRT(Table1347456[[#This Row],[treatment_n]])</f>
        <v>0</v>
      </c>
      <c r="BE1486" s="14">
        <f>Table1347456[[#This Row],[control_se]]*SQRT(Table1347456[[#This Row],[control_n]])</f>
        <v>0</v>
      </c>
      <c r="BF148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86" s="17">
        <f>SQRT(Table1347456[[#This Row],[v_from_sd_and_n]])</f>
        <v>0</v>
      </c>
      <c r="BH1486" s="13" t="s">
        <v>50</v>
      </c>
      <c r="BI1486" s="13">
        <v>2.5000000000000001E-2</v>
      </c>
      <c r="BJ1486" s="18">
        <f>ABS(_xlfn.NORM.S.INV(Table1347456[[#This Row],[p_value]]/2))</f>
        <v>2.2414027276049446</v>
      </c>
      <c r="BK1486" s="19">
        <f>(Table1347456[[#This Row],[lnrr]]/Table1347456[[#This Row],[z_from_p]])^2</f>
        <v>3.1605634130258416E-2</v>
      </c>
      <c r="BL1486" s="16">
        <f>(Table1347456[[#This Row],[lnrr]]/Table1347456[[#This Row],[z_from_p]])^2</f>
        <v>3.1605634130258416E-2</v>
      </c>
      <c r="BM1486" s="20">
        <f>SQRT(Table1347456[[#This Row],[v]])</f>
        <v>0.17777973486946821</v>
      </c>
      <c r="BN1486" s="20">
        <f>Table1347456[[#This Row],[lnrr]]-(1.96*Table1347456[[#This Row],[se]])</f>
        <v>5.0027702305152244E-2</v>
      </c>
      <c r="BO1486" s="20">
        <f>Table1347456[[#This Row],[lnrr]]+(1.96 * Table1347456[[#This Row],[se]])</f>
        <v>0.74692426299346759</v>
      </c>
    </row>
    <row r="1487" spans="1:67">
      <c r="A1487" s="13" t="s">
        <v>308</v>
      </c>
      <c r="B1487" s="13" t="s">
        <v>450</v>
      </c>
      <c r="C1487" s="13" t="s">
        <v>43</v>
      </c>
      <c r="D1487" s="13" t="s">
        <v>451</v>
      </c>
      <c r="E1487" s="13" t="s">
        <v>91</v>
      </c>
      <c r="F1487" s="13" t="s">
        <v>587</v>
      </c>
      <c r="G1487" s="13" t="s">
        <v>325</v>
      </c>
      <c r="H1487" s="13">
        <v>16.3</v>
      </c>
      <c r="I1487" s="13">
        <v>890</v>
      </c>
      <c r="J1487" s="13" t="s">
        <v>651</v>
      </c>
      <c r="K1487" s="13" t="s">
        <v>984</v>
      </c>
      <c r="L1487" s="13" t="s">
        <v>985</v>
      </c>
      <c r="M1487" s="13" t="s">
        <v>659</v>
      </c>
      <c r="N1487" s="13" t="s">
        <v>317</v>
      </c>
      <c r="O1487" s="13" t="s">
        <v>644</v>
      </c>
      <c r="P1487" s="13" t="s">
        <v>85</v>
      </c>
      <c r="Q1487" s="13" t="s">
        <v>48</v>
      </c>
      <c r="R1487" s="4">
        <v>3</v>
      </c>
      <c r="S1487" s="13" t="s">
        <v>594</v>
      </c>
      <c r="T1487" s="13">
        <v>2190</v>
      </c>
      <c r="U1487" s="4" t="s">
        <v>200</v>
      </c>
      <c r="V1487" s="4">
        <v>550</v>
      </c>
      <c r="W1487" s="4" t="s">
        <v>601</v>
      </c>
      <c r="X1487" s="4">
        <v>470</v>
      </c>
      <c r="Y1487" s="4">
        <v>20</v>
      </c>
      <c r="AA1487" s="4" t="s">
        <v>50</v>
      </c>
      <c r="AB1487" s="4">
        <v>150</v>
      </c>
      <c r="AC1487" s="4" t="s">
        <v>49</v>
      </c>
      <c r="AD1487" s="4">
        <v>0</v>
      </c>
      <c r="AE1487" s="4" t="s">
        <v>49</v>
      </c>
      <c r="AF1487" s="4">
        <v>0</v>
      </c>
      <c r="AG1487" s="4" t="s">
        <v>705</v>
      </c>
      <c r="AH1487" s="4" t="s">
        <v>727</v>
      </c>
      <c r="AI1487" s="4" t="s">
        <v>64</v>
      </c>
      <c r="AJ1487" s="13">
        <v>0</v>
      </c>
      <c r="AK1487" s="13">
        <v>15</v>
      </c>
      <c r="AP1487" s="13" t="s">
        <v>50</v>
      </c>
      <c r="AQ1487" s="13" t="s">
        <v>49</v>
      </c>
      <c r="AR1487" s="13" t="s">
        <v>50</v>
      </c>
      <c r="AS1487" s="13" t="s">
        <v>50</v>
      </c>
      <c r="AT1487" s="13" t="s">
        <v>992</v>
      </c>
      <c r="AU1487" s="4" t="s">
        <v>1000</v>
      </c>
      <c r="AV1487" s="23">
        <f>43.68/1000</f>
        <v>4.3679999999999997E-2</v>
      </c>
      <c r="AW1487" s="23">
        <f>51.56/1000</f>
        <v>5.1560000000000002E-2</v>
      </c>
      <c r="AX1487" s="14">
        <f>Table1347456[[#This Row],[treatment_mean]]/Table1347456[[#This Row],[control_mean]]</f>
        <v>0.84716834755624504</v>
      </c>
      <c r="AY1487" s="14">
        <f>LN(Table1347456[[#This Row],[rr]])</f>
        <v>-0.16585584663433717</v>
      </c>
      <c r="AZ1487" s="13">
        <v>3</v>
      </c>
      <c r="BA1487" s="13">
        <v>3</v>
      </c>
      <c r="BB1487" s="14">
        <v>0</v>
      </c>
      <c r="BC1487" s="14">
        <v>0</v>
      </c>
      <c r="BD1487" s="15">
        <f>Table1347456[[#This Row],[treatment_se]]*SQRT(Table1347456[[#This Row],[treatment_n]])</f>
        <v>0</v>
      </c>
      <c r="BE1487" s="14">
        <f>Table1347456[[#This Row],[control_se]]*SQRT(Table1347456[[#This Row],[control_n]])</f>
        <v>0</v>
      </c>
      <c r="BF148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87" s="17">
        <f>SQRT(Table1347456[[#This Row],[v_from_sd_and_n]])</f>
        <v>0</v>
      </c>
      <c r="BH1487" s="13" t="s">
        <v>50</v>
      </c>
      <c r="BI1487" s="13">
        <v>2.5000000000000001E-2</v>
      </c>
      <c r="BJ1487" s="18">
        <f>ABS(_xlfn.NORM.S.INV(Table1347456[[#This Row],[p_value]]/2))</f>
        <v>2.2414027276049446</v>
      </c>
      <c r="BK1487" s="19">
        <f>(Table1347456[[#This Row],[lnrr]]/Table1347456[[#This Row],[z_from_p]])^2</f>
        <v>5.4754747295529486E-3</v>
      </c>
      <c r="BL1487" s="16">
        <f>(Table1347456[[#This Row],[lnrr]]/Table1347456[[#This Row],[z_from_p]])^2</f>
        <v>5.4754747295529486E-3</v>
      </c>
      <c r="BM1487" s="20">
        <f>SQRT(Table1347456[[#This Row],[v]])</f>
        <v>7.399645079024364E-2</v>
      </c>
      <c r="BN1487" s="20">
        <f>Table1347456[[#This Row],[lnrr]]-(1.96*Table1347456[[#This Row],[se]])</f>
        <v>-0.31088889018321469</v>
      </c>
      <c r="BO1487" s="20">
        <f>Table1347456[[#This Row],[lnrr]]+(1.96 * Table1347456[[#This Row],[se]])</f>
        <v>-2.082280308545964E-2</v>
      </c>
    </row>
    <row r="1488" spans="1:67">
      <c r="A1488" s="13" t="s">
        <v>308</v>
      </c>
      <c r="B1488" s="13" t="s">
        <v>450</v>
      </c>
      <c r="C1488" s="13" t="s">
        <v>43</v>
      </c>
      <c r="D1488" s="13" t="s">
        <v>451</v>
      </c>
      <c r="E1488" s="13" t="s">
        <v>91</v>
      </c>
      <c r="F1488" s="13" t="s">
        <v>587</v>
      </c>
      <c r="G1488" s="13" t="s">
        <v>325</v>
      </c>
      <c r="H1488" s="13">
        <v>16.3</v>
      </c>
      <c r="I1488" s="13">
        <v>890</v>
      </c>
      <c r="J1488" s="13" t="s">
        <v>651</v>
      </c>
      <c r="K1488" s="13" t="s">
        <v>984</v>
      </c>
      <c r="L1488" s="13" t="s">
        <v>985</v>
      </c>
      <c r="M1488" s="13" t="s">
        <v>659</v>
      </c>
      <c r="N1488" s="13" t="s">
        <v>317</v>
      </c>
      <c r="O1488" s="13" t="s">
        <v>644</v>
      </c>
      <c r="P1488" s="13" t="s">
        <v>85</v>
      </c>
      <c r="Q1488" s="13" t="s">
        <v>48</v>
      </c>
      <c r="R1488" s="4">
        <v>3</v>
      </c>
      <c r="S1488" s="13" t="s">
        <v>594</v>
      </c>
      <c r="T1488" s="13">
        <v>2190</v>
      </c>
      <c r="U1488" s="4" t="s">
        <v>200</v>
      </c>
      <c r="V1488" s="4">
        <v>550</v>
      </c>
      <c r="W1488" s="4" t="s">
        <v>601</v>
      </c>
      <c r="X1488" s="4">
        <v>470</v>
      </c>
      <c r="Y1488" s="4">
        <v>40</v>
      </c>
      <c r="AA1488" s="4" t="s">
        <v>50</v>
      </c>
      <c r="AB1488" s="4">
        <v>150</v>
      </c>
      <c r="AC1488" s="4" t="s">
        <v>49</v>
      </c>
      <c r="AD1488" s="4">
        <v>0</v>
      </c>
      <c r="AE1488" s="4" t="s">
        <v>49</v>
      </c>
      <c r="AF1488" s="4">
        <v>0</v>
      </c>
      <c r="AG1488" s="4" t="s">
        <v>705</v>
      </c>
      <c r="AH1488" s="4" t="s">
        <v>727</v>
      </c>
      <c r="AI1488" s="4" t="s">
        <v>64</v>
      </c>
      <c r="AJ1488" s="13">
        <v>0</v>
      </c>
      <c r="AK1488" s="13">
        <v>15</v>
      </c>
      <c r="AP1488" s="13" t="s">
        <v>50</v>
      </c>
      <c r="AQ1488" s="13" t="s">
        <v>49</v>
      </c>
      <c r="AR1488" s="13" t="s">
        <v>50</v>
      </c>
      <c r="AS1488" s="13" t="s">
        <v>50</v>
      </c>
      <c r="AT1488" s="13" t="s">
        <v>992</v>
      </c>
      <c r="AU1488" s="4" t="s">
        <v>1000</v>
      </c>
      <c r="AV1488" s="23">
        <f>53.56/1000</f>
        <v>5.3560000000000003E-2</v>
      </c>
      <c r="AW1488" s="23">
        <f>51.56/1000</f>
        <v>5.1560000000000002E-2</v>
      </c>
      <c r="AX1488" s="14">
        <f>Table1347456[[#This Row],[treatment_mean]]/Table1347456[[#This Row],[control_mean]]</f>
        <v>1.0387897595034912</v>
      </c>
      <c r="AY1488" s="14">
        <f>LN(Table1347456[[#This Row],[rr]])</f>
        <v>3.805634275198521E-2</v>
      </c>
      <c r="AZ1488" s="13">
        <v>3</v>
      </c>
      <c r="BA1488" s="13">
        <v>3</v>
      </c>
      <c r="BB1488" s="14">
        <v>0</v>
      </c>
      <c r="BC1488" s="14">
        <v>0</v>
      </c>
      <c r="BD1488" s="15">
        <f>Table1347456[[#This Row],[treatment_se]]*SQRT(Table1347456[[#This Row],[treatment_n]])</f>
        <v>0</v>
      </c>
      <c r="BE1488" s="14">
        <f>Table1347456[[#This Row],[control_se]]*SQRT(Table1347456[[#This Row],[control_n]])</f>
        <v>0</v>
      </c>
      <c r="BF148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88" s="17">
        <f>SQRT(Table1347456[[#This Row],[v_from_sd_and_n]])</f>
        <v>0</v>
      </c>
      <c r="BH1488" s="13" t="s">
        <v>50</v>
      </c>
      <c r="BI1488" s="13">
        <v>2.5000000000000001E-2</v>
      </c>
      <c r="BJ1488" s="18">
        <f>ABS(_xlfn.NORM.S.INV(Table1347456[[#This Row],[p_value]]/2))</f>
        <v>2.2414027276049446</v>
      </c>
      <c r="BK1488" s="19">
        <f>(Table1347456[[#This Row],[lnrr]]/Table1347456[[#This Row],[z_from_p]])^2</f>
        <v>2.8827986336821086E-4</v>
      </c>
      <c r="BL1488" s="16">
        <f>(Table1347456[[#This Row],[lnrr]]/Table1347456[[#This Row],[z_from_p]])^2</f>
        <v>2.8827986336821086E-4</v>
      </c>
      <c r="BM1488" s="20">
        <f>SQRT(Table1347456[[#This Row],[v]])</f>
        <v>1.6978806299861333E-2</v>
      </c>
      <c r="BN1488" s="20">
        <f>Table1347456[[#This Row],[lnrr]]-(1.96*Table1347456[[#This Row],[se]])</f>
        <v>4.7778824042570001E-3</v>
      </c>
      <c r="BO1488" s="20">
        <f>Table1347456[[#This Row],[lnrr]]+(1.96 * Table1347456[[#This Row],[se]])</f>
        <v>7.133480309971342E-2</v>
      </c>
    </row>
    <row r="1489" spans="1:67">
      <c r="A1489" s="13" t="s">
        <v>308</v>
      </c>
      <c r="B1489" s="13" t="s">
        <v>450</v>
      </c>
      <c r="C1489" s="13" t="s">
        <v>43</v>
      </c>
      <c r="D1489" s="13" t="s">
        <v>451</v>
      </c>
      <c r="E1489" s="13" t="s">
        <v>91</v>
      </c>
      <c r="F1489" s="13" t="s">
        <v>587</v>
      </c>
      <c r="G1489" s="13" t="s">
        <v>325</v>
      </c>
      <c r="H1489" s="13">
        <v>16.3</v>
      </c>
      <c r="I1489" s="13">
        <v>890</v>
      </c>
      <c r="K1489" s="13" t="s">
        <v>984</v>
      </c>
      <c r="L1489" s="13" t="s">
        <v>985</v>
      </c>
      <c r="N1489" s="13" t="s">
        <v>400</v>
      </c>
      <c r="O1489" s="13" t="s">
        <v>644</v>
      </c>
      <c r="P1489" s="13" t="s">
        <v>85</v>
      </c>
      <c r="Q1489" s="13" t="s">
        <v>48</v>
      </c>
      <c r="R1489" s="4">
        <v>3</v>
      </c>
      <c r="S1489" s="13" t="s">
        <v>594</v>
      </c>
      <c r="T1489" s="13">
        <v>2190</v>
      </c>
      <c r="U1489" s="4" t="s">
        <v>200</v>
      </c>
      <c r="V1489" s="4">
        <v>550</v>
      </c>
      <c r="W1489" s="4" t="s">
        <v>601</v>
      </c>
      <c r="X1489" s="4">
        <v>470</v>
      </c>
      <c r="Y1489" s="4">
        <v>20</v>
      </c>
      <c r="AA1489" s="4" t="s">
        <v>49</v>
      </c>
      <c r="AB1489" s="4">
        <v>0</v>
      </c>
      <c r="AC1489" s="4" t="s">
        <v>49</v>
      </c>
      <c r="AD1489" s="4">
        <v>0</v>
      </c>
      <c r="AE1489" s="4" t="s">
        <v>49</v>
      </c>
      <c r="AF1489" s="4">
        <v>0</v>
      </c>
      <c r="AG1489" s="4" t="s">
        <v>705</v>
      </c>
      <c r="AH1489" s="4" t="s">
        <v>727</v>
      </c>
      <c r="AI1489" s="4" t="s">
        <v>64</v>
      </c>
      <c r="AJ1489" s="13">
        <v>0</v>
      </c>
      <c r="AK1489" s="13">
        <v>15</v>
      </c>
      <c r="AP1489" s="13" t="s">
        <v>50</v>
      </c>
      <c r="AQ1489" s="13" t="s">
        <v>49</v>
      </c>
      <c r="AR1489" s="13" t="s">
        <v>50</v>
      </c>
      <c r="AS1489" s="13" t="s">
        <v>50</v>
      </c>
      <c r="AT1489" s="13" t="s">
        <v>990</v>
      </c>
      <c r="AU1489" s="13" t="s">
        <v>998</v>
      </c>
      <c r="AV1489" s="14">
        <f>765.57/1000</f>
        <v>0.76557000000000008</v>
      </c>
      <c r="AW1489" s="14">
        <f>468.88/1000</f>
        <v>0.46888000000000002</v>
      </c>
      <c r="AX1489" s="14">
        <f>Table1347456[[#This Row],[treatment_mean]]/Table1347456[[#This Row],[control_mean]]</f>
        <v>1.6327631803446512</v>
      </c>
      <c r="AY1489" s="14">
        <f>LN(Table1347456[[#This Row],[rr]])</f>
        <v>0.49027378224984242</v>
      </c>
      <c r="AZ1489" s="13">
        <v>3</v>
      </c>
      <c r="BA1489" s="13">
        <v>3</v>
      </c>
      <c r="BB1489" s="14">
        <v>0</v>
      </c>
      <c r="BC1489" s="14">
        <v>0</v>
      </c>
      <c r="BD1489" s="15">
        <f>Table1347456[[#This Row],[treatment_se]]*SQRT(Table1347456[[#This Row],[treatment_n]])</f>
        <v>0</v>
      </c>
      <c r="BE1489" s="14">
        <f>Table1347456[[#This Row],[control_se]]*SQRT(Table1347456[[#This Row],[control_n]])</f>
        <v>0</v>
      </c>
      <c r="BF148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89" s="17">
        <f>SQRT(Table1347456[[#This Row],[v_from_sd_and_n]])</f>
        <v>0</v>
      </c>
      <c r="BH1489" s="13" t="s">
        <v>50</v>
      </c>
      <c r="BI1489" s="13">
        <v>2.5000000000000001E-2</v>
      </c>
      <c r="BJ1489" s="18">
        <f>ABS(_xlfn.NORM.S.INV(Table1347456[[#This Row],[p_value]]/2))</f>
        <v>2.2414027276049446</v>
      </c>
      <c r="BK1489" s="19">
        <f>(Table1347456[[#This Row],[lnrr]]/Table1347456[[#This Row],[z_from_p]])^2</f>
        <v>4.7845108865819171E-2</v>
      </c>
      <c r="BL1489" s="16">
        <f>(Table1347456[[#This Row],[lnrr]]/Table1347456[[#This Row],[z_from_p]])^2</f>
        <v>4.7845108865819171E-2</v>
      </c>
      <c r="BM1489" s="20">
        <f>SQRT(Table1347456[[#This Row],[v]])</f>
        <v>0.21873524833876037</v>
      </c>
      <c r="BN1489" s="20">
        <f>Table1347456[[#This Row],[lnrr]]-(1.96*Table1347456[[#This Row],[se]])</f>
        <v>6.1552695505872113E-2</v>
      </c>
      <c r="BO1489" s="20">
        <f>Table1347456[[#This Row],[lnrr]]+(1.96 * Table1347456[[#This Row],[se]])</f>
        <v>0.91899486899381277</v>
      </c>
    </row>
    <row r="1490" spans="1:67">
      <c r="A1490" s="13" t="s">
        <v>308</v>
      </c>
      <c r="B1490" s="13" t="s">
        <v>450</v>
      </c>
      <c r="C1490" s="13" t="s">
        <v>43</v>
      </c>
      <c r="D1490" s="13" t="s">
        <v>451</v>
      </c>
      <c r="E1490" s="13" t="s">
        <v>91</v>
      </c>
      <c r="F1490" s="13" t="s">
        <v>587</v>
      </c>
      <c r="G1490" s="13" t="s">
        <v>325</v>
      </c>
      <c r="H1490" s="13">
        <v>16.3</v>
      </c>
      <c r="I1490" s="13">
        <v>890</v>
      </c>
      <c r="K1490" s="13" t="s">
        <v>984</v>
      </c>
      <c r="L1490" s="13" t="s">
        <v>985</v>
      </c>
      <c r="N1490" s="13" t="s">
        <v>400</v>
      </c>
      <c r="O1490" s="13" t="s">
        <v>644</v>
      </c>
      <c r="P1490" s="13" t="s">
        <v>85</v>
      </c>
      <c r="Q1490" s="13" t="s">
        <v>48</v>
      </c>
      <c r="R1490" s="4">
        <v>3</v>
      </c>
      <c r="S1490" s="13" t="s">
        <v>594</v>
      </c>
      <c r="T1490" s="13">
        <v>2190</v>
      </c>
      <c r="U1490" s="4" t="s">
        <v>200</v>
      </c>
      <c r="V1490" s="4">
        <v>550</v>
      </c>
      <c r="W1490" s="4" t="s">
        <v>601</v>
      </c>
      <c r="X1490" s="4">
        <v>470</v>
      </c>
      <c r="Y1490" s="4">
        <v>40</v>
      </c>
      <c r="AA1490" s="4" t="s">
        <v>49</v>
      </c>
      <c r="AB1490" s="4">
        <v>0</v>
      </c>
      <c r="AC1490" s="4" t="s">
        <v>49</v>
      </c>
      <c r="AD1490" s="4">
        <v>0</v>
      </c>
      <c r="AE1490" s="4" t="s">
        <v>49</v>
      </c>
      <c r="AF1490" s="4">
        <v>0</v>
      </c>
      <c r="AG1490" s="4" t="s">
        <v>705</v>
      </c>
      <c r="AH1490" s="4" t="s">
        <v>727</v>
      </c>
      <c r="AI1490" s="4" t="s">
        <v>64</v>
      </c>
      <c r="AJ1490" s="13">
        <v>0</v>
      </c>
      <c r="AK1490" s="13">
        <v>15</v>
      </c>
      <c r="AP1490" s="13" t="s">
        <v>50</v>
      </c>
      <c r="AQ1490" s="13" t="s">
        <v>49</v>
      </c>
      <c r="AR1490" s="13" t="s">
        <v>50</v>
      </c>
      <c r="AS1490" s="13" t="s">
        <v>50</v>
      </c>
      <c r="AT1490" s="13" t="s">
        <v>990</v>
      </c>
      <c r="AU1490" s="13" t="s">
        <v>998</v>
      </c>
      <c r="AV1490" s="14">
        <f>1012.45/1000</f>
        <v>1.0124500000000001</v>
      </c>
      <c r="AW1490" s="14">
        <f>468.88/1000</f>
        <v>0.46888000000000002</v>
      </c>
      <c r="AX1490" s="14">
        <f>Table1347456[[#This Row],[treatment_mean]]/Table1347456[[#This Row],[control_mean]]</f>
        <v>2.1592944889950521</v>
      </c>
      <c r="AY1490" s="14">
        <f>LN(Table1347456[[#This Row],[rr]])</f>
        <v>0.76978154287710454</v>
      </c>
      <c r="AZ1490" s="13">
        <v>3</v>
      </c>
      <c r="BA1490" s="13">
        <v>3</v>
      </c>
      <c r="BB1490" s="14">
        <v>0</v>
      </c>
      <c r="BC1490" s="14">
        <v>0</v>
      </c>
      <c r="BD1490" s="15">
        <f>Table1347456[[#This Row],[treatment_se]]*SQRT(Table1347456[[#This Row],[treatment_n]])</f>
        <v>0</v>
      </c>
      <c r="BE1490" s="14">
        <f>Table1347456[[#This Row],[control_se]]*SQRT(Table1347456[[#This Row],[control_n]])</f>
        <v>0</v>
      </c>
      <c r="BF149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90" s="17">
        <f>SQRT(Table1347456[[#This Row],[v_from_sd_and_n]])</f>
        <v>0</v>
      </c>
      <c r="BH1490" s="13" t="s">
        <v>50</v>
      </c>
      <c r="BI1490" s="13">
        <v>2.5000000000000001E-2</v>
      </c>
      <c r="BJ1490" s="18">
        <f>ABS(_xlfn.NORM.S.INV(Table1347456[[#This Row],[p_value]]/2))</f>
        <v>2.2414027276049446</v>
      </c>
      <c r="BK1490" s="19">
        <f>(Table1347456[[#This Row],[lnrr]]/Table1347456[[#This Row],[z_from_p]])^2</f>
        <v>0.11794925315992535</v>
      </c>
      <c r="BL1490" s="16">
        <f>(Table1347456[[#This Row],[lnrr]]/Table1347456[[#This Row],[z_from_p]])^2</f>
        <v>0.11794925315992535</v>
      </c>
      <c r="BM1490" s="20">
        <f>SQRT(Table1347456[[#This Row],[v]])</f>
        <v>0.34343740792162603</v>
      </c>
      <c r="BN1490" s="20">
        <f>Table1347456[[#This Row],[lnrr]]-(1.96*Table1347456[[#This Row],[se]])</f>
        <v>9.664422335071754E-2</v>
      </c>
      <c r="BO1490" s="20">
        <f>Table1347456[[#This Row],[lnrr]]+(1.96 * Table1347456[[#This Row],[se]])</f>
        <v>1.4429188624034914</v>
      </c>
    </row>
    <row r="1491" spans="1:67">
      <c r="A1491" s="13" t="s">
        <v>308</v>
      </c>
      <c r="B1491" s="13" t="s">
        <v>450</v>
      </c>
      <c r="C1491" s="13" t="s">
        <v>43</v>
      </c>
      <c r="D1491" s="13" t="s">
        <v>451</v>
      </c>
      <c r="E1491" s="13" t="s">
        <v>91</v>
      </c>
      <c r="F1491" s="13" t="s">
        <v>587</v>
      </c>
      <c r="G1491" s="13" t="s">
        <v>325</v>
      </c>
      <c r="H1491" s="13">
        <v>16.3</v>
      </c>
      <c r="I1491" s="13">
        <v>890</v>
      </c>
      <c r="K1491" s="13" t="s">
        <v>984</v>
      </c>
      <c r="L1491" s="13" t="s">
        <v>985</v>
      </c>
      <c r="N1491" s="13" t="s">
        <v>400</v>
      </c>
      <c r="O1491" s="13" t="s">
        <v>644</v>
      </c>
      <c r="P1491" s="13" t="s">
        <v>85</v>
      </c>
      <c r="Q1491" s="13" t="s">
        <v>48</v>
      </c>
      <c r="R1491" s="4">
        <v>3</v>
      </c>
      <c r="S1491" s="13" t="s">
        <v>594</v>
      </c>
      <c r="T1491" s="13">
        <v>2190</v>
      </c>
      <c r="U1491" s="4" t="s">
        <v>200</v>
      </c>
      <c r="V1491" s="4">
        <v>550</v>
      </c>
      <c r="W1491" s="4" t="s">
        <v>601</v>
      </c>
      <c r="X1491" s="4">
        <v>470</v>
      </c>
      <c r="Y1491" s="4">
        <v>20</v>
      </c>
      <c r="AA1491" s="4" t="s">
        <v>50</v>
      </c>
      <c r="AB1491" s="4">
        <v>150</v>
      </c>
      <c r="AC1491" s="4" t="s">
        <v>49</v>
      </c>
      <c r="AD1491" s="4">
        <v>0</v>
      </c>
      <c r="AE1491" s="4" t="s">
        <v>49</v>
      </c>
      <c r="AF1491" s="4">
        <v>0</v>
      </c>
      <c r="AG1491" s="4" t="s">
        <v>705</v>
      </c>
      <c r="AH1491" s="4" t="s">
        <v>727</v>
      </c>
      <c r="AI1491" s="4" t="s">
        <v>64</v>
      </c>
      <c r="AJ1491" s="13">
        <v>0</v>
      </c>
      <c r="AK1491" s="13">
        <v>15</v>
      </c>
      <c r="AP1491" s="13" t="s">
        <v>50</v>
      </c>
      <c r="AQ1491" s="13" t="s">
        <v>49</v>
      </c>
      <c r="AR1491" s="13" t="s">
        <v>50</v>
      </c>
      <c r="AS1491" s="13" t="s">
        <v>50</v>
      </c>
      <c r="AT1491" s="13" t="s">
        <v>992</v>
      </c>
      <c r="AU1491" s="4" t="s">
        <v>1000</v>
      </c>
      <c r="AV1491" s="14">
        <f>433.62/1000</f>
        <v>0.43362000000000001</v>
      </c>
      <c r="AW1491" s="14">
        <f>296.68/1000</f>
        <v>0.29668</v>
      </c>
      <c r="AX1491" s="14">
        <f>Table1347456[[#This Row],[treatment_mean]]/Table1347456[[#This Row],[control_mean]]</f>
        <v>1.461574760684913</v>
      </c>
      <c r="AY1491" s="14">
        <f>LN(Table1347456[[#This Row],[rr]])</f>
        <v>0.37951445765458736</v>
      </c>
      <c r="AZ1491" s="13">
        <v>3</v>
      </c>
      <c r="BA1491" s="13">
        <v>3</v>
      </c>
      <c r="BB1491" s="14">
        <v>0</v>
      </c>
      <c r="BC1491" s="14">
        <v>0</v>
      </c>
      <c r="BD1491" s="15">
        <f>Table1347456[[#This Row],[treatment_se]]*SQRT(Table1347456[[#This Row],[treatment_n]])</f>
        <v>0</v>
      </c>
      <c r="BE1491" s="14">
        <f>Table1347456[[#This Row],[control_se]]*SQRT(Table1347456[[#This Row],[control_n]])</f>
        <v>0</v>
      </c>
      <c r="BF149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91" s="17">
        <f>SQRT(Table1347456[[#This Row],[v_from_sd_and_n]])</f>
        <v>0</v>
      </c>
      <c r="BH1491" s="13" t="s">
        <v>50</v>
      </c>
      <c r="BI1491" s="13">
        <v>2.5000000000000001E-2</v>
      </c>
      <c r="BJ1491" s="18">
        <f>ABS(_xlfn.NORM.S.INV(Table1347456[[#This Row],[p_value]]/2))</f>
        <v>2.2414027276049446</v>
      </c>
      <c r="BK1491" s="19">
        <f>(Table1347456[[#This Row],[lnrr]]/Table1347456[[#This Row],[z_from_p]])^2</f>
        <v>2.8669284732709258E-2</v>
      </c>
      <c r="BL1491" s="16">
        <f>(Table1347456[[#This Row],[lnrr]]/Table1347456[[#This Row],[z_from_p]])^2</f>
        <v>2.8669284732709258E-2</v>
      </c>
      <c r="BM1491" s="20">
        <f>SQRT(Table1347456[[#This Row],[v]])</f>
        <v>0.16932006594821908</v>
      </c>
      <c r="BN1491" s="20">
        <f>Table1347456[[#This Row],[lnrr]]-(1.96*Table1347456[[#This Row],[se]])</f>
        <v>4.7647128396077987E-2</v>
      </c>
      <c r="BO1491" s="20">
        <f>Table1347456[[#This Row],[lnrr]]+(1.96 * Table1347456[[#This Row],[se]])</f>
        <v>0.71138178691309673</v>
      </c>
    </row>
    <row r="1492" spans="1:67">
      <c r="A1492" s="13" t="s">
        <v>308</v>
      </c>
      <c r="B1492" s="13" t="s">
        <v>450</v>
      </c>
      <c r="C1492" s="13" t="s">
        <v>43</v>
      </c>
      <c r="D1492" s="13" t="s">
        <v>451</v>
      </c>
      <c r="E1492" s="13" t="s">
        <v>91</v>
      </c>
      <c r="F1492" s="13" t="s">
        <v>587</v>
      </c>
      <c r="G1492" s="13" t="s">
        <v>325</v>
      </c>
      <c r="H1492" s="13">
        <v>16.3</v>
      </c>
      <c r="I1492" s="13">
        <v>890</v>
      </c>
      <c r="K1492" s="13" t="s">
        <v>984</v>
      </c>
      <c r="L1492" s="13" t="s">
        <v>985</v>
      </c>
      <c r="N1492" s="13" t="s">
        <v>400</v>
      </c>
      <c r="O1492" s="13" t="s">
        <v>644</v>
      </c>
      <c r="P1492" s="13" t="s">
        <v>85</v>
      </c>
      <c r="Q1492" s="13" t="s">
        <v>48</v>
      </c>
      <c r="R1492" s="4">
        <v>3</v>
      </c>
      <c r="S1492" s="13" t="s">
        <v>594</v>
      </c>
      <c r="T1492" s="13">
        <v>2190</v>
      </c>
      <c r="U1492" s="4" t="s">
        <v>200</v>
      </c>
      <c r="V1492" s="4">
        <v>550</v>
      </c>
      <c r="W1492" s="4" t="s">
        <v>601</v>
      </c>
      <c r="X1492" s="4">
        <v>470</v>
      </c>
      <c r="Y1492" s="4">
        <v>40</v>
      </c>
      <c r="AA1492" s="4" t="s">
        <v>50</v>
      </c>
      <c r="AB1492" s="4">
        <v>150</v>
      </c>
      <c r="AC1492" s="4" t="s">
        <v>49</v>
      </c>
      <c r="AD1492" s="4">
        <v>0</v>
      </c>
      <c r="AE1492" s="4" t="s">
        <v>49</v>
      </c>
      <c r="AF1492" s="4">
        <v>0</v>
      </c>
      <c r="AG1492" s="4" t="s">
        <v>705</v>
      </c>
      <c r="AH1492" s="4" t="s">
        <v>727</v>
      </c>
      <c r="AI1492" s="4" t="s">
        <v>64</v>
      </c>
      <c r="AJ1492" s="13">
        <v>0</v>
      </c>
      <c r="AK1492" s="13">
        <v>15</v>
      </c>
      <c r="AP1492" s="13" t="s">
        <v>50</v>
      </c>
      <c r="AQ1492" s="13" t="s">
        <v>49</v>
      </c>
      <c r="AR1492" s="13" t="s">
        <v>50</v>
      </c>
      <c r="AS1492" s="13" t="s">
        <v>50</v>
      </c>
      <c r="AT1492" s="13" t="s">
        <v>992</v>
      </c>
      <c r="AU1492" s="4" t="s">
        <v>1000</v>
      </c>
      <c r="AV1492" s="14">
        <f>765.4/1000</f>
        <v>0.76539999999999997</v>
      </c>
      <c r="AW1492" s="14">
        <f>296.68/1000</f>
        <v>0.29668</v>
      </c>
      <c r="AX1492" s="14">
        <f>Table1347456[[#This Row],[treatment_mean]]/Table1347456[[#This Row],[control_mean]]</f>
        <v>2.5798840501550493</v>
      </c>
      <c r="AY1492" s="14">
        <f>LN(Table1347456[[#This Row],[rr]])</f>
        <v>0.94774445612324465</v>
      </c>
      <c r="AZ1492" s="13">
        <v>3</v>
      </c>
      <c r="BA1492" s="13">
        <v>3</v>
      </c>
      <c r="BB1492" s="14">
        <v>0</v>
      </c>
      <c r="BC1492" s="14">
        <v>0</v>
      </c>
      <c r="BD1492" s="15">
        <f>Table1347456[[#This Row],[treatment_se]]*SQRT(Table1347456[[#This Row],[treatment_n]])</f>
        <v>0</v>
      </c>
      <c r="BE1492" s="14">
        <f>Table1347456[[#This Row],[control_se]]*SQRT(Table1347456[[#This Row],[control_n]])</f>
        <v>0</v>
      </c>
      <c r="BF149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92" s="17">
        <f>SQRT(Table1347456[[#This Row],[v_from_sd_and_n]])</f>
        <v>0</v>
      </c>
      <c r="BH1492" s="13" t="s">
        <v>50</v>
      </c>
      <c r="BI1492" s="13">
        <v>2.5000000000000001E-2</v>
      </c>
      <c r="BJ1492" s="18">
        <f>ABS(_xlfn.NORM.S.INV(Table1347456[[#This Row],[p_value]]/2))</f>
        <v>2.2414027276049446</v>
      </c>
      <c r="BK1492" s="19">
        <f>(Table1347456[[#This Row],[lnrr]]/Table1347456[[#This Row],[z_from_p]])^2</f>
        <v>0.17878978954187175</v>
      </c>
      <c r="BL1492" s="16">
        <f>(Table1347456[[#This Row],[lnrr]]/Table1347456[[#This Row],[z_from_p]])^2</f>
        <v>0.17878978954187175</v>
      </c>
      <c r="BM1492" s="20">
        <f>SQRT(Table1347456[[#This Row],[v]])</f>
        <v>0.42283541661250629</v>
      </c>
      <c r="BN1492" s="20">
        <f>Table1347456[[#This Row],[lnrr]]-(1.96*Table1347456[[#This Row],[se]])</f>
        <v>0.11898703956273238</v>
      </c>
      <c r="BO1492" s="20">
        <f>Table1347456[[#This Row],[lnrr]]+(1.96 * Table1347456[[#This Row],[se]])</f>
        <v>1.7765018726837569</v>
      </c>
    </row>
    <row r="1493" spans="1:67">
      <c r="A1493" s="13" t="s">
        <v>308</v>
      </c>
      <c r="B1493" s="13" t="s">
        <v>450</v>
      </c>
      <c r="C1493" s="13" t="s">
        <v>43</v>
      </c>
      <c r="D1493" s="13" t="s">
        <v>451</v>
      </c>
      <c r="E1493" s="13" t="s">
        <v>91</v>
      </c>
      <c r="F1493" s="13" t="s">
        <v>587</v>
      </c>
      <c r="G1493" s="13" t="s">
        <v>325</v>
      </c>
      <c r="H1493" s="13">
        <v>16.3</v>
      </c>
      <c r="I1493" s="13">
        <v>890</v>
      </c>
      <c r="K1493" s="13" t="s">
        <v>984</v>
      </c>
      <c r="L1493" s="13" t="s">
        <v>985</v>
      </c>
      <c r="N1493" s="13" t="s">
        <v>381</v>
      </c>
      <c r="O1493" s="13" t="s">
        <v>70</v>
      </c>
      <c r="P1493" s="13" t="s">
        <v>71</v>
      </c>
      <c r="Q1493" s="13" t="s">
        <v>71</v>
      </c>
      <c r="R1493" s="4">
        <v>3</v>
      </c>
      <c r="S1493" s="13" t="s">
        <v>594</v>
      </c>
      <c r="T1493" s="13">
        <v>2190</v>
      </c>
      <c r="U1493" s="4" t="s">
        <v>200</v>
      </c>
      <c r="V1493" s="4">
        <v>550</v>
      </c>
      <c r="W1493" s="4" t="s">
        <v>601</v>
      </c>
      <c r="X1493" s="4">
        <v>470</v>
      </c>
      <c r="Y1493" s="4">
        <v>20</v>
      </c>
      <c r="AA1493" s="4" t="s">
        <v>49</v>
      </c>
      <c r="AB1493" s="4">
        <v>0</v>
      </c>
      <c r="AC1493" s="4" t="s">
        <v>49</v>
      </c>
      <c r="AD1493" s="4">
        <v>0</v>
      </c>
      <c r="AE1493" s="4" t="s">
        <v>49</v>
      </c>
      <c r="AF1493" s="4">
        <v>0</v>
      </c>
      <c r="AG1493" s="4" t="s">
        <v>705</v>
      </c>
      <c r="AH1493" s="4" t="s">
        <v>727</v>
      </c>
      <c r="AI1493" s="4" t="s">
        <v>64</v>
      </c>
      <c r="AJ1493" s="13">
        <v>0</v>
      </c>
      <c r="AK1493" s="13">
        <v>15</v>
      </c>
      <c r="AP1493" s="13" t="s">
        <v>50</v>
      </c>
      <c r="AQ1493" s="13" t="s">
        <v>49</v>
      </c>
      <c r="AR1493" s="13" t="s">
        <v>50</v>
      </c>
      <c r="AS1493" s="13" t="s">
        <v>50</v>
      </c>
      <c r="AT1493" s="13" t="s">
        <v>990</v>
      </c>
      <c r="AU1493" s="13" t="s">
        <v>998</v>
      </c>
      <c r="AV1493" s="14">
        <v>1.5</v>
      </c>
      <c r="AW1493" s="14">
        <v>4.33</v>
      </c>
      <c r="AX1493" s="14">
        <f>Table1347456[[#This Row],[treatment_mean]]/Table1347456[[#This Row],[control_mean]]</f>
        <v>0.3464203233256351</v>
      </c>
      <c r="AY1493" s="14">
        <f>LN(Table1347456[[#This Row],[rr]])</f>
        <v>-1.0601024339062342</v>
      </c>
      <c r="AZ1493" s="13">
        <v>3</v>
      </c>
      <c r="BA1493" s="13">
        <v>3</v>
      </c>
      <c r="BB1493" s="14">
        <v>0</v>
      </c>
      <c r="BC1493" s="14">
        <v>0</v>
      </c>
      <c r="BD1493" s="15">
        <f>Table1347456[[#This Row],[treatment_se]]*SQRT(Table1347456[[#This Row],[treatment_n]])</f>
        <v>0</v>
      </c>
      <c r="BE1493" s="14">
        <f>Table1347456[[#This Row],[control_se]]*SQRT(Table1347456[[#This Row],[control_n]])</f>
        <v>0</v>
      </c>
      <c r="BF149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93" s="17">
        <f>SQRT(Table1347456[[#This Row],[v_from_sd_and_n]])</f>
        <v>0</v>
      </c>
      <c r="BH1493" s="13" t="s">
        <v>50</v>
      </c>
      <c r="BI1493" s="13">
        <v>2.5000000000000001E-2</v>
      </c>
      <c r="BJ1493" s="18">
        <f>ABS(_xlfn.NORM.S.INV(Table1347456[[#This Row],[p_value]]/2))</f>
        <v>2.2414027276049446</v>
      </c>
      <c r="BK1493" s="19">
        <f>(Table1347456[[#This Row],[lnrr]]/Table1347456[[#This Row],[z_from_p]])^2</f>
        <v>0.22369479093923655</v>
      </c>
      <c r="BL1493" s="16">
        <f>(Table1347456[[#This Row],[lnrr]]/Table1347456[[#This Row],[z_from_p]])^2</f>
        <v>0.22369479093923655</v>
      </c>
      <c r="BM1493" s="20">
        <f>SQRT(Table1347456[[#This Row],[v]])</f>
        <v>0.47296383681972615</v>
      </c>
      <c r="BN1493" s="20">
        <f>Table1347456[[#This Row],[lnrr]]-(1.96*Table1347456[[#This Row],[se]])</f>
        <v>-1.9871115540728974</v>
      </c>
      <c r="BO1493" s="20">
        <f>Table1347456[[#This Row],[lnrr]]+(1.96 * Table1347456[[#This Row],[se]])</f>
        <v>-0.1330933137395709</v>
      </c>
    </row>
    <row r="1494" spans="1:67">
      <c r="A1494" s="13" t="s">
        <v>308</v>
      </c>
      <c r="B1494" s="13" t="s">
        <v>450</v>
      </c>
      <c r="C1494" s="13" t="s">
        <v>43</v>
      </c>
      <c r="D1494" s="13" t="s">
        <v>451</v>
      </c>
      <c r="E1494" s="13" t="s">
        <v>91</v>
      </c>
      <c r="F1494" s="13" t="s">
        <v>587</v>
      </c>
      <c r="G1494" s="13" t="s">
        <v>325</v>
      </c>
      <c r="H1494" s="13">
        <v>16.3</v>
      </c>
      <c r="I1494" s="13">
        <v>890</v>
      </c>
      <c r="K1494" s="13" t="s">
        <v>984</v>
      </c>
      <c r="L1494" s="13" t="s">
        <v>985</v>
      </c>
      <c r="N1494" s="13" t="s">
        <v>381</v>
      </c>
      <c r="O1494" s="13" t="s">
        <v>70</v>
      </c>
      <c r="P1494" s="13" t="s">
        <v>71</v>
      </c>
      <c r="Q1494" s="13" t="s">
        <v>71</v>
      </c>
      <c r="R1494" s="4">
        <v>3</v>
      </c>
      <c r="S1494" s="13" t="s">
        <v>594</v>
      </c>
      <c r="T1494" s="13">
        <v>2190</v>
      </c>
      <c r="U1494" s="4" t="s">
        <v>200</v>
      </c>
      <c r="V1494" s="4">
        <v>550</v>
      </c>
      <c r="W1494" s="4" t="s">
        <v>601</v>
      </c>
      <c r="X1494" s="4">
        <v>470</v>
      </c>
      <c r="Y1494" s="4">
        <v>40</v>
      </c>
      <c r="AA1494" s="4" t="s">
        <v>49</v>
      </c>
      <c r="AB1494" s="4">
        <v>0</v>
      </c>
      <c r="AC1494" s="4" t="s">
        <v>49</v>
      </c>
      <c r="AD1494" s="4">
        <v>0</v>
      </c>
      <c r="AE1494" s="4" t="s">
        <v>49</v>
      </c>
      <c r="AF1494" s="4">
        <v>0</v>
      </c>
      <c r="AG1494" s="4" t="s">
        <v>705</v>
      </c>
      <c r="AH1494" s="4" t="s">
        <v>727</v>
      </c>
      <c r="AI1494" s="4" t="s">
        <v>64</v>
      </c>
      <c r="AJ1494" s="13">
        <v>0</v>
      </c>
      <c r="AK1494" s="13">
        <v>15</v>
      </c>
      <c r="AP1494" s="13" t="s">
        <v>50</v>
      </c>
      <c r="AQ1494" s="13" t="s">
        <v>49</v>
      </c>
      <c r="AR1494" s="13" t="s">
        <v>50</v>
      </c>
      <c r="AS1494" s="13" t="s">
        <v>50</v>
      </c>
      <c r="AT1494" s="13" t="s">
        <v>990</v>
      </c>
      <c r="AU1494" s="13" t="s">
        <v>998</v>
      </c>
      <c r="AV1494" s="14">
        <v>1.4</v>
      </c>
      <c r="AW1494" s="14">
        <v>4.33</v>
      </c>
      <c r="AX1494" s="14">
        <f>Table1347456[[#This Row],[treatment_mean]]/Table1347456[[#This Row],[control_mean]]</f>
        <v>0.32332563510392609</v>
      </c>
      <c r="AY1494" s="14">
        <f>LN(Table1347456[[#This Row],[rr]])</f>
        <v>-1.1290953053931856</v>
      </c>
      <c r="AZ1494" s="13">
        <v>3</v>
      </c>
      <c r="BA1494" s="13">
        <v>3</v>
      </c>
      <c r="BB1494" s="14">
        <v>0</v>
      </c>
      <c r="BC1494" s="14">
        <v>0</v>
      </c>
      <c r="BD1494" s="15">
        <f>Table1347456[[#This Row],[treatment_se]]*SQRT(Table1347456[[#This Row],[treatment_n]])</f>
        <v>0</v>
      </c>
      <c r="BE1494" s="14">
        <f>Table1347456[[#This Row],[control_se]]*SQRT(Table1347456[[#This Row],[control_n]])</f>
        <v>0</v>
      </c>
      <c r="BF149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94" s="17">
        <f>SQRT(Table1347456[[#This Row],[v_from_sd_and_n]])</f>
        <v>0</v>
      </c>
      <c r="BH1494" s="13" t="s">
        <v>50</v>
      </c>
      <c r="BI1494" s="13">
        <v>2.5000000000000001E-2</v>
      </c>
      <c r="BJ1494" s="18">
        <f>ABS(_xlfn.NORM.S.INV(Table1347456[[#This Row],[p_value]]/2))</f>
        <v>2.2414027276049446</v>
      </c>
      <c r="BK1494" s="19">
        <f>(Table1347456[[#This Row],[lnrr]]/Table1347456[[#This Row],[z_from_p]])^2</f>
        <v>0.25375897485096155</v>
      </c>
      <c r="BL1494" s="16">
        <f>(Table1347456[[#This Row],[lnrr]]/Table1347456[[#This Row],[z_from_p]])^2</f>
        <v>0.25375897485096155</v>
      </c>
      <c r="BM1494" s="20">
        <f>SQRT(Table1347456[[#This Row],[v]])</f>
        <v>0.50374495019896881</v>
      </c>
      <c r="BN1494" s="20">
        <f>Table1347456[[#This Row],[lnrr]]-(1.96*Table1347456[[#This Row],[se]])</f>
        <v>-2.1164354077831646</v>
      </c>
      <c r="BO1494" s="20">
        <f>Table1347456[[#This Row],[lnrr]]+(1.96 * Table1347456[[#This Row],[se]])</f>
        <v>-0.14175520300320676</v>
      </c>
    </row>
    <row r="1495" spans="1:67">
      <c r="A1495" s="13" t="s">
        <v>308</v>
      </c>
      <c r="B1495" s="13" t="s">
        <v>450</v>
      </c>
      <c r="C1495" s="13" t="s">
        <v>43</v>
      </c>
      <c r="D1495" s="13" t="s">
        <v>451</v>
      </c>
      <c r="E1495" s="13" t="s">
        <v>91</v>
      </c>
      <c r="F1495" s="13" t="s">
        <v>587</v>
      </c>
      <c r="G1495" s="13" t="s">
        <v>325</v>
      </c>
      <c r="H1495" s="13">
        <v>16.3</v>
      </c>
      <c r="I1495" s="13">
        <v>890</v>
      </c>
      <c r="K1495" s="13" t="s">
        <v>984</v>
      </c>
      <c r="L1495" s="13" t="s">
        <v>985</v>
      </c>
      <c r="N1495" s="13" t="s">
        <v>381</v>
      </c>
      <c r="O1495" s="13" t="s">
        <v>70</v>
      </c>
      <c r="P1495" s="13" t="s">
        <v>71</v>
      </c>
      <c r="Q1495" s="13" t="s">
        <v>71</v>
      </c>
      <c r="R1495" s="4">
        <v>3</v>
      </c>
      <c r="S1495" s="13" t="s">
        <v>594</v>
      </c>
      <c r="T1495" s="13">
        <v>2190</v>
      </c>
      <c r="U1495" s="4" t="s">
        <v>200</v>
      </c>
      <c r="V1495" s="4">
        <v>550</v>
      </c>
      <c r="W1495" s="4" t="s">
        <v>601</v>
      </c>
      <c r="X1495" s="4">
        <v>470</v>
      </c>
      <c r="Y1495" s="4">
        <v>20</v>
      </c>
      <c r="AA1495" s="4" t="s">
        <v>50</v>
      </c>
      <c r="AB1495" s="4">
        <v>150</v>
      </c>
      <c r="AC1495" s="4" t="s">
        <v>49</v>
      </c>
      <c r="AD1495" s="4">
        <v>0</v>
      </c>
      <c r="AE1495" s="4" t="s">
        <v>49</v>
      </c>
      <c r="AF1495" s="4">
        <v>0</v>
      </c>
      <c r="AG1495" s="4" t="s">
        <v>705</v>
      </c>
      <c r="AH1495" s="4" t="s">
        <v>727</v>
      </c>
      <c r="AI1495" s="4" t="s">
        <v>64</v>
      </c>
      <c r="AJ1495" s="13">
        <v>0</v>
      </c>
      <c r="AK1495" s="13">
        <v>15</v>
      </c>
      <c r="AP1495" s="13" t="s">
        <v>50</v>
      </c>
      <c r="AQ1495" s="13" t="s">
        <v>49</v>
      </c>
      <c r="AR1495" s="13" t="s">
        <v>50</v>
      </c>
      <c r="AS1495" s="13" t="s">
        <v>50</v>
      </c>
      <c r="AT1495" s="13" t="s">
        <v>992</v>
      </c>
      <c r="AU1495" s="4" t="s">
        <v>1000</v>
      </c>
      <c r="AV1495" s="14">
        <v>8.6</v>
      </c>
      <c r="AW1495" s="14">
        <v>11.5</v>
      </c>
      <c r="AX1495" s="14">
        <f>Table1347456[[#This Row],[treatment_mean]]/Table1347456[[#This Row],[control_mean]]</f>
        <v>0.74782608695652175</v>
      </c>
      <c r="AY1495" s="14">
        <f>LN(Table1347456[[#This Row],[rr]])</f>
        <v>-0.29058483210974234</v>
      </c>
      <c r="AZ1495" s="13">
        <v>3</v>
      </c>
      <c r="BA1495" s="13">
        <v>3</v>
      </c>
      <c r="BB1495" s="14">
        <v>0</v>
      </c>
      <c r="BC1495" s="14">
        <v>0</v>
      </c>
      <c r="BD1495" s="15">
        <f>Table1347456[[#This Row],[treatment_se]]*SQRT(Table1347456[[#This Row],[treatment_n]])</f>
        <v>0</v>
      </c>
      <c r="BE1495" s="14">
        <f>Table1347456[[#This Row],[control_se]]*SQRT(Table1347456[[#This Row],[control_n]])</f>
        <v>0</v>
      </c>
      <c r="BF149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95" s="17">
        <f>SQRT(Table1347456[[#This Row],[v_from_sd_and_n]])</f>
        <v>0</v>
      </c>
      <c r="BH1495" s="13" t="s">
        <v>50</v>
      </c>
      <c r="BI1495" s="13">
        <v>2.5000000000000001E-2</v>
      </c>
      <c r="BJ1495" s="18">
        <f>ABS(_xlfn.NORM.S.INV(Table1347456[[#This Row],[p_value]]/2))</f>
        <v>2.2414027276049446</v>
      </c>
      <c r="BK1495" s="19">
        <f>(Table1347456[[#This Row],[lnrr]]/Table1347456[[#This Row],[z_from_p]])^2</f>
        <v>1.6807614962586866E-2</v>
      </c>
      <c r="BL1495" s="16">
        <f>(Table1347456[[#This Row],[lnrr]]/Table1347456[[#This Row],[z_from_p]])^2</f>
        <v>1.6807614962586866E-2</v>
      </c>
      <c r="BM1495" s="20">
        <f>SQRT(Table1347456[[#This Row],[v]])</f>
        <v>0.12964418599608263</v>
      </c>
      <c r="BN1495" s="20">
        <f>Table1347456[[#This Row],[lnrr]]-(1.96*Table1347456[[#This Row],[se]])</f>
        <v>-0.54468743666206421</v>
      </c>
      <c r="BO1495" s="20">
        <f>Table1347456[[#This Row],[lnrr]]+(1.96 * Table1347456[[#This Row],[se]])</f>
        <v>-3.6482227557420421E-2</v>
      </c>
    </row>
    <row r="1496" spans="1:67">
      <c r="A1496" s="13" t="s">
        <v>308</v>
      </c>
      <c r="B1496" s="13" t="s">
        <v>450</v>
      </c>
      <c r="C1496" s="13" t="s">
        <v>43</v>
      </c>
      <c r="D1496" s="13" t="s">
        <v>451</v>
      </c>
      <c r="E1496" s="13" t="s">
        <v>91</v>
      </c>
      <c r="F1496" s="13" t="s">
        <v>587</v>
      </c>
      <c r="G1496" s="13" t="s">
        <v>325</v>
      </c>
      <c r="H1496" s="13">
        <v>16.3</v>
      </c>
      <c r="I1496" s="13">
        <v>890</v>
      </c>
      <c r="K1496" s="13" t="s">
        <v>984</v>
      </c>
      <c r="L1496" s="13" t="s">
        <v>985</v>
      </c>
      <c r="N1496" s="13" t="s">
        <v>381</v>
      </c>
      <c r="O1496" s="13" t="s">
        <v>70</v>
      </c>
      <c r="P1496" s="13" t="s">
        <v>71</v>
      </c>
      <c r="Q1496" s="13" t="s">
        <v>71</v>
      </c>
      <c r="R1496" s="4">
        <v>3</v>
      </c>
      <c r="S1496" s="13" t="s">
        <v>594</v>
      </c>
      <c r="T1496" s="13">
        <v>2190</v>
      </c>
      <c r="U1496" s="4" t="s">
        <v>200</v>
      </c>
      <c r="V1496" s="4">
        <v>550</v>
      </c>
      <c r="W1496" s="4" t="s">
        <v>601</v>
      </c>
      <c r="X1496" s="4">
        <v>470</v>
      </c>
      <c r="Y1496" s="4">
        <v>40</v>
      </c>
      <c r="AA1496" s="4" t="s">
        <v>50</v>
      </c>
      <c r="AB1496" s="4">
        <v>150</v>
      </c>
      <c r="AC1496" s="4" t="s">
        <v>49</v>
      </c>
      <c r="AD1496" s="4">
        <v>0</v>
      </c>
      <c r="AE1496" s="4" t="s">
        <v>49</v>
      </c>
      <c r="AF1496" s="4">
        <v>0</v>
      </c>
      <c r="AG1496" s="4" t="s">
        <v>705</v>
      </c>
      <c r="AH1496" s="4" t="s">
        <v>727</v>
      </c>
      <c r="AI1496" s="4" t="s">
        <v>64</v>
      </c>
      <c r="AJ1496" s="13">
        <v>0</v>
      </c>
      <c r="AK1496" s="13">
        <v>15</v>
      </c>
      <c r="AP1496" s="13" t="s">
        <v>50</v>
      </c>
      <c r="AQ1496" s="13" t="s">
        <v>49</v>
      </c>
      <c r="AR1496" s="13" t="s">
        <v>50</v>
      </c>
      <c r="AS1496" s="13" t="s">
        <v>50</v>
      </c>
      <c r="AT1496" s="13" t="s">
        <v>992</v>
      </c>
      <c r="AU1496" s="4" t="s">
        <v>1000</v>
      </c>
      <c r="AV1496" s="14">
        <v>4.95</v>
      </c>
      <c r="AW1496" s="14">
        <v>11.5</v>
      </c>
      <c r="AX1496" s="14">
        <f>Table1347456[[#This Row],[treatment_mean]]/Table1347456[[#This Row],[control_mean]]</f>
        <v>0.43043478260869567</v>
      </c>
      <c r="AY1496" s="14">
        <f>LN(Table1347456[[#This Row],[rr]])</f>
        <v>-0.84295945878860545</v>
      </c>
      <c r="AZ1496" s="13">
        <v>3</v>
      </c>
      <c r="BA1496" s="13">
        <v>3</v>
      </c>
      <c r="BB1496" s="14">
        <v>0</v>
      </c>
      <c r="BC1496" s="14">
        <v>0</v>
      </c>
      <c r="BD1496" s="15">
        <f>Table1347456[[#This Row],[treatment_se]]*SQRT(Table1347456[[#This Row],[treatment_n]])</f>
        <v>0</v>
      </c>
      <c r="BE1496" s="14">
        <f>Table1347456[[#This Row],[control_se]]*SQRT(Table1347456[[#This Row],[control_n]])</f>
        <v>0</v>
      </c>
      <c r="BF149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96" s="17">
        <f>SQRT(Table1347456[[#This Row],[v_from_sd_and_n]])</f>
        <v>0</v>
      </c>
      <c r="BH1496" s="13" t="s">
        <v>50</v>
      </c>
      <c r="BI1496" s="13">
        <v>2.5000000000000001E-2</v>
      </c>
      <c r="BJ1496" s="18">
        <f>ABS(_xlfn.NORM.S.INV(Table1347456[[#This Row],[p_value]]/2))</f>
        <v>2.2414027276049446</v>
      </c>
      <c r="BK1496" s="19">
        <f>(Table1347456[[#This Row],[lnrr]]/Table1347456[[#This Row],[z_from_p]])^2</f>
        <v>0.14144043528600761</v>
      </c>
      <c r="BL1496" s="16">
        <f>(Table1347456[[#This Row],[lnrr]]/Table1347456[[#This Row],[z_from_p]])^2</f>
        <v>0.14144043528600761</v>
      </c>
      <c r="BM1496" s="20">
        <f>SQRT(Table1347456[[#This Row],[v]])</f>
        <v>0.37608567545973831</v>
      </c>
      <c r="BN1496" s="20">
        <f>Table1347456[[#This Row],[lnrr]]-(1.96*Table1347456[[#This Row],[se]])</f>
        <v>-1.5800873826896926</v>
      </c>
      <c r="BO1496" s="20">
        <f>Table1347456[[#This Row],[lnrr]]+(1.96 * Table1347456[[#This Row],[se]])</f>
        <v>-0.1058315348875184</v>
      </c>
    </row>
    <row r="1497" spans="1:67">
      <c r="A1497" s="13" t="s">
        <v>452</v>
      </c>
      <c r="B1497" s="13" t="s">
        <v>149</v>
      </c>
      <c r="C1497" s="13" t="s">
        <v>43</v>
      </c>
      <c r="D1497" s="13" t="s">
        <v>150</v>
      </c>
      <c r="E1497" s="13" t="s">
        <v>151</v>
      </c>
      <c r="F1497" s="13" t="s">
        <v>587</v>
      </c>
      <c r="G1497" s="13" t="s">
        <v>46</v>
      </c>
      <c r="H1497" s="13">
        <v>27.9</v>
      </c>
      <c r="I1497" s="13">
        <v>935</v>
      </c>
      <c r="K1497" s="13" t="s">
        <v>961</v>
      </c>
      <c r="L1497" s="13" t="s">
        <v>962</v>
      </c>
      <c r="N1497" s="13" t="s">
        <v>316</v>
      </c>
      <c r="O1497" s="13" t="s">
        <v>644</v>
      </c>
      <c r="P1497" s="13" t="s">
        <v>71</v>
      </c>
      <c r="Q1497" s="13" t="s">
        <v>48</v>
      </c>
      <c r="R1497" s="4">
        <v>3</v>
      </c>
      <c r="S1497" s="13" t="s">
        <v>594</v>
      </c>
      <c r="T1497" s="13">
        <v>1095</v>
      </c>
      <c r="U1497" s="4" t="s">
        <v>152</v>
      </c>
      <c r="V1497" s="4">
        <v>400</v>
      </c>
      <c r="W1497" s="4" t="s">
        <v>42</v>
      </c>
      <c r="X1497" s="4">
        <v>598</v>
      </c>
      <c r="Y1497" s="4">
        <v>5</v>
      </c>
      <c r="AA1497" s="4" t="s">
        <v>49</v>
      </c>
      <c r="AB1497" s="4">
        <v>0</v>
      </c>
      <c r="AC1497" s="4" t="s">
        <v>49</v>
      </c>
      <c r="AD1497" s="4">
        <v>0</v>
      </c>
      <c r="AE1497" s="4" t="s">
        <v>49</v>
      </c>
      <c r="AF1497" s="4">
        <v>0</v>
      </c>
      <c r="AG1497" s="4" t="s">
        <v>694</v>
      </c>
      <c r="AH1497" s="4" t="s">
        <v>693</v>
      </c>
      <c r="AI1497" s="4" t="s">
        <v>64</v>
      </c>
      <c r="AJ1497" s="13">
        <v>0</v>
      </c>
      <c r="AK1497" s="13">
        <v>15</v>
      </c>
      <c r="AM1497" s="13" t="s">
        <v>573</v>
      </c>
      <c r="AP1497" s="13" t="s">
        <v>50</v>
      </c>
      <c r="AQ1497" s="13" t="s">
        <v>49</v>
      </c>
      <c r="AR1497" s="13" t="s">
        <v>49</v>
      </c>
      <c r="AS1497" s="13" t="s">
        <v>49</v>
      </c>
      <c r="AT1497" s="13" t="s">
        <v>990</v>
      </c>
      <c r="AU1497" s="13" t="s">
        <v>998</v>
      </c>
      <c r="AV1497" s="14">
        <f>(156*1.5)/1.39/1000</f>
        <v>0.16834532374100722</v>
      </c>
      <c r="AW1497" s="14">
        <f>(140*1.5)/1.39/1000</f>
        <v>0.15107913669064749</v>
      </c>
      <c r="AX1497" s="14">
        <f>Table1347456[[#This Row],[treatment_mean]]/Table1347456[[#This Row],[control_mean]]</f>
        <v>1.1142857142857143</v>
      </c>
      <c r="AY1497" s="14">
        <f>LN(Table1347456[[#This Row],[rr]])</f>
        <v>0.10821358464023279</v>
      </c>
      <c r="AZ1497" s="13">
        <v>3</v>
      </c>
      <c r="BA1497" s="13">
        <v>3</v>
      </c>
      <c r="BB1497" s="14">
        <v>0</v>
      </c>
      <c r="BC1497" s="14">
        <v>0</v>
      </c>
      <c r="BD1497" s="15">
        <f>Table1347456[[#This Row],[treatment_se]]*SQRT(Table1347456[[#This Row],[treatment_n]])</f>
        <v>0</v>
      </c>
      <c r="BE1497" s="14">
        <f>Table1347456[[#This Row],[control_se]]*SQRT(Table1347456[[#This Row],[control_n]])</f>
        <v>0</v>
      </c>
      <c r="BF149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97" s="17">
        <f>SQRT(Table1347456[[#This Row],[v_from_sd_and_n]])</f>
        <v>0</v>
      </c>
      <c r="BH1497" s="13" t="s">
        <v>50</v>
      </c>
      <c r="BI1497" s="13">
        <v>2.5000000000000001E-2</v>
      </c>
      <c r="BJ1497" s="18">
        <f>ABS(_xlfn.NORM.S.INV(Table1347456[[#This Row],[p_value]]/2))</f>
        <v>2.2414027276049446</v>
      </c>
      <c r="BK1497" s="19">
        <f>(Table1347456[[#This Row],[lnrr]]/Table1347456[[#This Row],[z_from_p]])^2</f>
        <v>2.3309007139247239E-3</v>
      </c>
      <c r="BL1497" s="16">
        <f>(Table1347456[[#This Row],[lnrr]]/Table1347456[[#This Row],[z_from_p]])^2</f>
        <v>2.3309007139247239E-3</v>
      </c>
      <c r="BM1497" s="20">
        <f>SQRT(Table1347456[[#This Row],[v]])</f>
        <v>4.8279402584588016E-2</v>
      </c>
      <c r="BN1497" s="20">
        <f>Table1347456[[#This Row],[lnrr]]-(1.96*Table1347456[[#This Row],[se]])</f>
        <v>1.358595557444027E-2</v>
      </c>
      <c r="BO1497" s="20">
        <f>Table1347456[[#This Row],[lnrr]]+(1.96 * Table1347456[[#This Row],[se]])</f>
        <v>0.20284121370602531</v>
      </c>
    </row>
    <row r="1498" spans="1:67">
      <c r="A1498" s="13" t="s">
        <v>452</v>
      </c>
      <c r="B1498" s="13" t="s">
        <v>149</v>
      </c>
      <c r="C1498" s="13" t="s">
        <v>43</v>
      </c>
      <c r="D1498" s="13" t="s">
        <v>150</v>
      </c>
      <c r="E1498" s="13" t="s">
        <v>151</v>
      </c>
      <c r="F1498" s="13" t="s">
        <v>587</v>
      </c>
      <c r="G1498" s="13" t="s">
        <v>46</v>
      </c>
      <c r="H1498" s="13">
        <v>27.9</v>
      </c>
      <c r="I1498" s="13">
        <v>935</v>
      </c>
      <c r="K1498" s="13" t="s">
        <v>961</v>
      </c>
      <c r="L1498" s="13" t="s">
        <v>962</v>
      </c>
      <c r="N1498" s="13" t="s">
        <v>316</v>
      </c>
      <c r="O1498" s="13" t="s">
        <v>644</v>
      </c>
      <c r="P1498" s="13" t="s">
        <v>71</v>
      </c>
      <c r="Q1498" s="13" t="s">
        <v>48</v>
      </c>
      <c r="R1498" s="4">
        <v>3</v>
      </c>
      <c r="S1498" s="13" t="s">
        <v>594</v>
      </c>
      <c r="T1498" s="13">
        <v>1095</v>
      </c>
      <c r="U1498" s="4" t="s">
        <v>51</v>
      </c>
      <c r="V1498" s="4">
        <v>400</v>
      </c>
      <c r="W1498" s="4" t="s">
        <v>42</v>
      </c>
      <c r="X1498" s="4">
        <v>598</v>
      </c>
      <c r="Y1498" s="4">
        <v>5</v>
      </c>
      <c r="AA1498" s="4" t="s">
        <v>49</v>
      </c>
      <c r="AB1498" s="4">
        <v>0</v>
      </c>
      <c r="AC1498" s="4" t="s">
        <v>49</v>
      </c>
      <c r="AD1498" s="4">
        <v>0</v>
      </c>
      <c r="AE1498" s="4" t="s">
        <v>49</v>
      </c>
      <c r="AF1498" s="4">
        <v>0</v>
      </c>
      <c r="AG1498" s="4" t="s">
        <v>46</v>
      </c>
      <c r="AH1498" s="4" t="s">
        <v>693</v>
      </c>
      <c r="AI1498" s="4" t="s">
        <v>64</v>
      </c>
      <c r="AJ1498" s="13">
        <v>0</v>
      </c>
      <c r="AK1498" s="13">
        <v>15</v>
      </c>
      <c r="AM1498" s="13" t="s">
        <v>573</v>
      </c>
      <c r="AP1498" s="13" t="s">
        <v>50</v>
      </c>
      <c r="AQ1498" s="13" t="s">
        <v>49</v>
      </c>
      <c r="AR1498" s="13" t="s">
        <v>49</v>
      </c>
      <c r="AS1498" s="13" t="s">
        <v>49</v>
      </c>
      <c r="AT1498" s="13" t="s">
        <v>990</v>
      </c>
      <c r="AU1498" s="13" t="s">
        <v>998</v>
      </c>
      <c r="AV1498" s="14">
        <f>(154*1.5)/1.39/1000</f>
        <v>0.16618705035971224</v>
      </c>
      <c r="AW1498" s="14">
        <f>(140*1.5)/1.39/1000</f>
        <v>0.15107913669064749</v>
      </c>
      <c r="AX1498" s="14">
        <f>Table1347456[[#This Row],[treatment_mean]]/Table1347456[[#This Row],[control_mean]]</f>
        <v>1.1000000000000001</v>
      </c>
      <c r="AY1498" s="14">
        <f>LN(Table1347456[[#This Row],[rr]])</f>
        <v>9.5310179804324935E-2</v>
      </c>
      <c r="AZ1498" s="13">
        <v>3</v>
      </c>
      <c r="BA1498" s="13">
        <v>3</v>
      </c>
      <c r="BB1498" s="14">
        <v>0</v>
      </c>
      <c r="BC1498" s="14">
        <v>0</v>
      </c>
      <c r="BD1498" s="15">
        <f>Table1347456[[#This Row],[treatment_se]]*SQRT(Table1347456[[#This Row],[treatment_n]])</f>
        <v>0</v>
      </c>
      <c r="BE1498" s="14">
        <f>Table1347456[[#This Row],[control_se]]*SQRT(Table1347456[[#This Row],[control_n]])</f>
        <v>0</v>
      </c>
      <c r="BF149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98" s="17">
        <f>SQRT(Table1347456[[#This Row],[v_from_sd_and_n]])</f>
        <v>0</v>
      </c>
      <c r="BH1498" s="13" t="s">
        <v>50</v>
      </c>
      <c r="BI1498" s="13">
        <v>2.5000000000000001E-2</v>
      </c>
      <c r="BJ1498" s="18">
        <f>ABS(_xlfn.NORM.S.INV(Table1347456[[#This Row],[p_value]]/2))</f>
        <v>2.2414027276049446</v>
      </c>
      <c r="BK1498" s="19">
        <f>(Table1347456[[#This Row],[lnrr]]/Table1347456[[#This Row],[z_from_p]])^2</f>
        <v>1.808168026829423E-3</v>
      </c>
      <c r="BL1498" s="16">
        <f>(Table1347456[[#This Row],[lnrr]]/Table1347456[[#This Row],[z_from_p]])^2</f>
        <v>1.808168026829423E-3</v>
      </c>
      <c r="BM1498" s="20">
        <f>SQRT(Table1347456[[#This Row],[v]])</f>
        <v>4.2522559034345792E-2</v>
      </c>
      <c r="BN1498" s="20">
        <f>Table1347456[[#This Row],[lnrr]]-(1.96*Table1347456[[#This Row],[se]])</f>
        <v>1.196596409700719E-2</v>
      </c>
      <c r="BO1498" s="20">
        <f>Table1347456[[#This Row],[lnrr]]+(1.96 * Table1347456[[#This Row],[se]])</f>
        <v>0.17865439551164269</v>
      </c>
    </row>
    <row r="1499" spans="1:67">
      <c r="A1499" s="13" t="s">
        <v>452</v>
      </c>
      <c r="B1499" s="13" t="s">
        <v>149</v>
      </c>
      <c r="C1499" s="13" t="s">
        <v>43</v>
      </c>
      <c r="D1499" s="13" t="s">
        <v>150</v>
      </c>
      <c r="E1499" s="13" t="s">
        <v>151</v>
      </c>
      <c r="F1499" s="13" t="s">
        <v>587</v>
      </c>
      <c r="G1499" s="13" t="s">
        <v>46</v>
      </c>
      <c r="H1499" s="13">
        <v>27.9</v>
      </c>
      <c r="I1499" s="13">
        <v>935</v>
      </c>
      <c r="J1499" s="13" t="s">
        <v>667</v>
      </c>
      <c r="K1499" s="13" t="s">
        <v>961</v>
      </c>
      <c r="L1499" s="13" t="s">
        <v>962</v>
      </c>
      <c r="M1499" s="13" t="s">
        <v>800</v>
      </c>
      <c r="N1499" s="13" t="s">
        <v>317</v>
      </c>
      <c r="O1499" s="13" t="s">
        <v>644</v>
      </c>
      <c r="P1499" s="13" t="s">
        <v>71</v>
      </c>
      <c r="Q1499" s="13" t="s">
        <v>48</v>
      </c>
      <c r="R1499" s="4">
        <v>3</v>
      </c>
      <c r="S1499" s="13" t="s">
        <v>594</v>
      </c>
      <c r="T1499" s="13">
        <v>1095</v>
      </c>
      <c r="U1499" s="4" t="s">
        <v>152</v>
      </c>
      <c r="V1499" s="4">
        <v>400</v>
      </c>
      <c r="W1499" s="4" t="s">
        <v>42</v>
      </c>
      <c r="X1499" s="4">
        <v>598</v>
      </c>
      <c r="Y1499" s="4">
        <v>5</v>
      </c>
      <c r="AA1499" s="4" t="s">
        <v>49</v>
      </c>
      <c r="AB1499" s="4">
        <v>0</v>
      </c>
      <c r="AC1499" s="4" t="s">
        <v>49</v>
      </c>
      <c r="AD1499" s="4">
        <v>0</v>
      </c>
      <c r="AE1499" s="4" t="s">
        <v>49</v>
      </c>
      <c r="AF1499" s="4">
        <v>0</v>
      </c>
      <c r="AG1499" s="4" t="s">
        <v>694</v>
      </c>
      <c r="AH1499" s="4" t="s">
        <v>693</v>
      </c>
      <c r="AI1499" s="4" t="s">
        <v>64</v>
      </c>
      <c r="AJ1499" s="13">
        <v>0</v>
      </c>
      <c r="AK1499" s="13">
        <v>15</v>
      </c>
      <c r="AM1499" s="13" t="s">
        <v>573</v>
      </c>
      <c r="AP1499" s="13" t="s">
        <v>50</v>
      </c>
      <c r="AQ1499" s="13" t="s">
        <v>49</v>
      </c>
      <c r="AR1499" s="13" t="s">
        <v>49</v>
      </c>
      <c r="AS1499" s="13" t="s">
        <v>49</v>
      </c>
      <c r="AT1499" s="13" t="s">
        <v>990</v>
      </c>
      <c r="AU1499" s="13" t="s">
        <v>998</v>
      </c>
      <c r="AV1499" s="23">
        <f>(29.8*1.5)/1.39/1000</f>
        <v>3.2158273381294969E-2</v>
      </c>
      <c r="AW1499" s="23">
        <f>(24.2*1.5)/1.39/1000</f>
        <v>2.6115107913669063E-2</v>
      </c>
      <c r="AX1499" s="14">
        <f>Table1347456[[#This Row],[treatment_mean]]/Table1347456[[#This Row],[control_mean]]</f>
        <v>1.2314049586776863</v>
      </c>
      <c r="AY1499" s="14">
        <f>LN(Table1347456[[#This Row],[rr]])</f>
        <v>0.20815576034871833</v>
      </c>
      <c r="AZ1499" s="13">
        <v>3</v>
      </c>
      <c r="BA1499" s="13">
        <v>3</v>
      </c>
      <c r="BB1499" s="14">
        <v>0</v>
      </c>
      <c r="BC1499" s="14">
        <v>0</v>
      </c>
      <c r="BD1499" s="15">
        <f>Table1347456[[#This Row],[treatment_se]]*SQRT(Table1347456[[#This Row],[treatment_n]])</f>
        <v>0</v>
      </c>
      <c r="BE1499" s="14">
        <f>Table1347456[[#This Row],[control_se]]*SQRT(Table1347456[[#This Row],[control_n]])</f>
        <v>0</v>
      </c>
      <c r="BF149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499" s="17">
        <f>SQRT(Table1347456[[#This Row],[v_from_sd_and_n]])</f>
        <v>0</v>
      </c>
      <c r="BH1499" s="13" t="s">
        <v>50</v>
      </c>
      <c r="BI1499" s="13">
        <v>2.5000000000000001E-2</v>
      </c>
      <c r="BJ1499" s="18">
        <f>ABS(_xlfn.NORM.S.INV(Table1347456[[#This Row],[p_value]]/2))</f>
        <v>2.2414027276049446</v>
      </c>
      <c r="BK1499" s="19">
        <f>(Table1347456[[#This Row],[lnrr]]/Table1347456[[#This Row],[z_from_p]])^2</f>
        <v>8.6245625300502664E-3</v>
      </c>
      <c r="BL1499" s="16">
        <f>(Table1347456[[#This Row],[lnrr]]/Table1347456[[#This Row],[z_from_p]])^2</f>
        <v>8.6245625300502664E-3</v>
      </c>
      <c r="BM1499" s="20">
        <f>SQRT(Table1347456[[#This Row],[v]])</f>
        <v>9.2868522816131116E-2</v>
      </c>
      <c r="BN1499" s="20">
        <f>Table1347456[[#This Row],[lnrr]]-(1.96*Table1347456[[#This Row],[se]])</f>
        <v>2.6133455629101354E-2</v>
      </c>
      <c r="BO1499" s="20">
        <f>Table1347456[[#This Row],[lnrr]]+(1.96 * Table1347456[[#This Row],[se]])</f>
        <v>0.3901780650683353</v>
      </c>
    </row>
    <row r="1500" spans="1:67">
      <c r="A1500" s="13" t="s">
        <v>452</v>
      </c>
      <c r="B1500" s="13" t="s">
        <v>149</v>
      </c>
      <c r="C1500" s="13" t="s">
        <v>43</v>
      </c>
      <c r="D1500" s="13" t="s">
        <v>150</v>
      </c>
      <c r="E1500" s="13" t="s">
        <v>151</v>
      </c>
      <c r="F1500" s="13" t="s">
        <v>587</v>
      </c>
      <c r="G1500" s="13" t="s">
        <v>46</v>
      </c>
      <c r="H1500" s="13">
        <v>27.9</v>
      </c>
      <c r="I1500" s="13">
        <v>935</v>
      </c>
      <c r="J1500" s="13" t="s">
        <v>667</v>
      </c>
      <c r="K1500" s="13" t="s">
        <v>961</v>
      </c>
      <c r="L1500" s="13" t="s">
        <v>962</v>
      </c>
      <c r="M1500" s="13" t="s">
        <v>800</v>
      </c>
      <c r="N1500" s="13" t="s">
        <v>317</v>
      </c>
      <c r="O1500" s="13" t="s">
        <v>644</v>
      </c>
      <c r="P1500" s="13" t="s">
        <v>71</v>
      </c>
      <c r="Q1500" s="13" t="s">
        <v>48</v>
      </c>
      <c r="R1500" s="4">
        <v>3</v>
      </c>
      <c r="S1500" s="13" t="s">
        <v>594</v>
      </c>
      <c r="T1500" s="13">
        <v>1095</v>
      </c>
      <c r="U1500" s="4" t="s">
        <v>51</v>
      </c>
      <c r="V1500" s="4">
        <v>400</v>
      </c>
      <c r="W1500" s="4" t="s">
        <v>42</v>
      </c>
      <c r="X1500" s="4">
        <v>598</v>
      </c>
      <c r="Y1500" s="4">
        <v>5</v>
      </c>
      <c r="AA1500" s="4" t="s">
        <v>49</v>
      </c>
      <c r="AB1500" s="4">
        <v>0</v>
      </c>
      <c r="AC1500" s="4" t="s">
        <v>49</v>
      </c>
      <c r="AD1500" s="4">
        <v>0</v>
      </c>
      <c r="AE1500" s="4" t="s">
        <v>49</v>
      </c>
      <c r="AF1500" s="4">
        <v>0</v>
      </c>
      <c r="AG1500" s="4" t="s">
        <v>46</v>
      </c>
      <c r="AH1500" s="4" t="s">
        <v>693</v>
      </c>
      <c r="AI1500" s="4" t="s">
        <v>64</v>
      </c>
      <c r="AJ1500" s="13">
        <v>0</v>
      </c>
      <c r="AK1500" s="13">
        <v>15</v>
      </c>
      <c r="AM1500" s="13" t="s">
        <v>573</v>
      </c>
      <c r="AP1500" s="13" t="s">
        <v>50</v>
      </c>
      <c r="AQ1500" s="13" t="s">
        <v>49</v>
      </c>
      <c r="AR1500" s="13" t="s">
        <v>49</v>
      </c>
      <c r="AS1500" s="13" t="s">
        <v>49</v>
      </c>
      <c r="AT1500" s="13" t="s">
        <v>990</v>
      </c>
      <c r="AU1500" s="13" t="s">
        <v>998</v>
      </c>
      <c r="AV1500" s="23">
        <f>(29.3*1.5)/1.39/1000</f>
        <v>3.161870503597123E-2</v>
      </c>
      <c r="AW1500" s="23">
        <f>(24.2*1.5)/1.39/1000</f>
        <v>2.6115107913669063E-2</v>
      </c>
      <c r="AX1500" s="14">
        <f>Table1347456[[#This Row],[treatment_mean]]/Table1347456[[#This Row],[control_mean]]</f>
        <v>1.2107438016528929</v>
      </c>
      <c r="AY1500" s="14">
        <f>LN(Table1347456[[#This Row],[rr]])</f>
        <v>0.19123488286038115</v>
      </c>
      <c r="AZ1500" s="13">
        <v>3</v>
      </c>
      <c r="BA1500" s="13">
        <v>3</v>
      </c>
      <c r="BB1500" s="14">
        <v>0</v>
      </c>
      <c r="BC1500" s="14">
        <v>0</v>
      </c>
      <c r="BD1500" s="15">
        <f>Table1347456[[#This Row],[treatment_se]]*SQRT(Table1347456[[#This Row],[treatment_n]])</f>
        <v>0</v>
      </c>
      <c r="BE1500" s="14">
        <f>Table1347456[[#This Row],[control_se]]*SQRT(Table1347456[[#This Row],[control_n]])</f>
        <v>0</v>
      </c>
      <c r="BF150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00" s="17">
        <f>SQRT(Table1347456[[#This Row],[v_from_sd_and_n]])</f>
        <v>0</v>
      </c>
      <c r="BH1500" s="13" t="s">
        <v>50</v>
      </c>
      <c r="BI1500" s="13">
        <v>2.5000000000000001E-2</v>
      </c>
      <c r="BJ1500" s="18">
        <f>ABS(_xlfn.NORM.S.INV(Table1347456[[#This Row],[p_value]]/2))</f>
        <v>2.2414027276049446</v>
      </c>
      <c r="BK1500" s="19">
        <f>(Table1347456[[#This Row],[lnrr]]/Table1347456[[#This Row],[z_from_p]])^2</f>
        <v>7.2793807540790798E-3</v>
      </c>
      <c r="BL1500" s="16">
        <f>(Table1347456[[#This Row],[lnrr]]/Table1347456[[#This Row],[z_from_p]])^2</f>
        <v>7.2793807540790798E-3</v>
      </c>
      <c r="BM1500" s="20">
        <f>SQRT(Table1347456[[#This Row],[v]])</f>
        <v>8.531928711656632E-2</v>
      </c>
      <c r="BN1500" s="20">
        <f>Table1347456[[#This Row],[lnrr]]-(1.96*Table1347456[[#This Row],[se]])</f>
        <v>2.4009080111911163E-2</v>
      </c>
      <c r="BO1500" s="20">
        <f>Table1347456[[#This Row],[lnrr]]+(1.96 * Table1347456[[#This Row],[se]])</f>
        <v>0.35846068560885114</v>
      </c>
    </row>
    <row r="1501" spans="1:67">
      <c r="A1501" s="13" t="s">
        <v>452</v>
      </c>
      <c r="B1501" s="13" t="s">
        <v>149</v>
      </c>
      <c r="C1501" s="13" t="s">
        <v>43</v>
      </c>
      <c r="D1501" s="13" t="s">
        <v>150</v>
      </c>
      <c r="E1501" s="13" t="s">
        <v>151</v>
      </c>
      <c r="F1501" s="13" t="s">
        <v>587</v>
      </c>
      <c r="G1501" s="13" t="s">
        <v>46</v>
      </c>
      <c r="H1501" s="13">
        <v>27.9</v>
      </c>
      <c r="I1501" s="13">
        <v>935</v>
      </c>
      <c r="K1501" s="13" t="s">
        <v>961</v>
      </c>
      <c r="L1501" s="13" t="s">
        <v>962</v>
      </c>
      <c r="N1501" s="13" t="s">
        <v>400</v>
      </c>
      <c r="O1501" s="13" t="s">
        <v>644</v>
      </c>
      <c r="P1501" s="13" t="s">
        <v>71</v>
      </c>
      <c r="Q1501" s="13" t="s">
        <v>48</v>
      </c>
      <c r="R1501" s="4">
        <v>3</v>
      </c>
      <c r="S1501" s="13" t="s">
        <v>594</v>
      </c>
      <c r="T1501" s="13">
        <v>1095</v>
      </c>
      <c r="U1501" s="4" t="s">
        <v>152</v>
      </c>
      <c r="V1501" s="4">
        <v>400</v>
      </c>
      <c r="W1501" s="4" t="s">
        <v>42</v>
      </c>
      <c r="X1501" s="4">
        <v>598</v>
      </c>
      <c r="Y1501" s="4">
        <v>5</v>
      </c>
      <c r="AA1501" s="4" t="s">
        <v>49</v>
      </c>
      <c r="AB1501" s="4">
        <v>0</v>
      </c>
      <c r="AC1501" s="4" t="s">
        <v>49</v>
      </c>
      <c r="AD1501" s="4">
        <v>0</v>
      </c>
      <c r="AE1501" s="4" t="s">
        <v>49</v>
      </c>
      <c r="AF1501" s="4">
        <v>0</v>
      </c>
      <c r="AG1501" s="4" t="s">
        <v>694</v>
      </c>
      <c r="AH1501" s="4" t="s">
        <v>693</v>
      </c>
      <c r="AI1501" s="4" t="s">
        <v>64</v>
      </c>
      <c r="AJ1501" s="13">
        <v>0</v>
      </c>
      <c r="AK1501" s="13">
        <v>15</v>
      </c>
      <c r="AM1501" s="13" t="s">
        <v>573</v>
      </c>
      <c r="AP1501" s="13" t="s">
        <v>50</v>
      </c>
      <c r="AQ1501" s="13" t="s">
        <v>49</v>
      </c>
      <c r="AR1501" s="13" t="s">
        <v>49</v>
      </c>
      <c r="AS1501" s="13" t="s">
        <v>49</v>
      </c>
      <c r="AT1501" s="13" t="s">
        <v>990</v>
      </c>
      <c r="AU1501" s="13" t="s">
        <v>998</v>
      </c>
      <c r="AV1501" s="14">
        <f>(150*1.5)/1.39/1000</f>
        <v>0.16187050359712229</v>
      </c>
      <c r="AW1501" s="14">
        <f>(141*1.5)/1.39/1000</f>
        <v>0.15215827338129498</v>
      </c>
      <c r="AX1501" s="14">
        <f>Table1347456[[#This Row],[treatment_mean]]/Table1347456[[#This Row],[control_mean]]</f>
        <v>1.0638297872340423</v>
      </c>
      <c r="AY1501" s="14">
        <f>LN(Table1347456[[#This Row],[rr]])</f>
        <v>6.1875403718087245E-2</v>
      </c>
      <c r="AZ1501" s="13">
        <v>3</v>
      </c>
      <c r="BA1501" s="13">
        <v>3</v>
      </c>
      <c r="BB1501" s="14">
        <v>0</v>
      </c>
      <c r="BC1501" s="14">
        <v>0</v>
      </c>
      <c r="BD1501" s="15">
        <f>Table1347456[[#This Row],[treatment_se]]*SQRT(Table1347456[[#This Row],[treatment_n]])</f>
        <v>0</v>
      </c>
      <c r="BE1501" s="14">
        <f>Table1347456[[#This Row],[control_se]]*SQRT(Table1347456[[#This Row],[control_n]])</f>
        <v>0</v>
      </c>
      <c r="BF150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01" s="17">
        <f>SQRT(Table1347456[[#This Row],[v_from_sd_and_n]])</f>
        <v>0</v>
      </c>
      <c r="BH1501" s="13" t="s">
        <v>50</v>
      </c>
      <c r="BI1501" s="13">
        <v>2.5000000000000001E-2</v>
      </c>
      <c r="BJ1501" s="18">
        <f>ABS(_xlfn.NORM.S.INV(Table1347456[[#This Row],[p_value]]/2))</f>
        <v>2.2414027276049446</v>
      </c>
      <c r="BK1501" s="19">
        <f>(Table1347456[[#This Row],[lnrr]]/Table1347456[[#This Row],[z_from_p]])^2</f>
        <v>7.6207251568382694E-4</v>
      </c>
      <c r="BL1501" s="16">
        <f>(Table1347456[[#This Row],[lnrr]]/Table1347456[[#This Row],[z_from_p]])^2</f>
        <v>7.6207251568382694E-4</v>
      </c>
      <c r="BM1501" s="20">
        <f>SQRT(Table1347456[[#This Row],[v]])</f>
        <v>2.7605660935464432E-2</v>
      </c>
      <c r="BN1501" s="20">
        <f>Table1347456[[#This Row],[lnrr]]-(1.96*Table1347456[[#This Row],[se]])</f>
        <v>7.7683082845769608E-3</v>
      </c>
      <c r="BO1501" s="20">
        <f>Table1347456[[#This Row],[lnrr]]+(1.96 * Table1347456[[#This Row],[se]])</f>
        <v>0.11598249915159753</v>
      </c>
    </row>
    <row r="1502" spans="1:67">
      <c r="A1502" s="13" t="s">
        <v>452</v>
      </c>
      <c r="B1502" s="13" t="s">
        <v>149</v>
      </c>
      <c r="C1502" s="13" t="s">
        <v>43</v>
      </c>
      <c r="D1502" s="13" t="s">
        <v>150</v>
      </c>
      <c r="E1502" s="13" t="s">
        <v>151</v>
      </c>
      <c r="F1502" s="13" t="s">
        <v>587</v>
      </c>
      <c r="G1502" s="13" t="s">
        <v>46</v>
      </c>
      <c r="H1502" s="13">
        <v>27.9</v>
      </c>
      <c r="I1502" s="13">
        <v>935</v>
      </c>
      <c r="K1502" s="13" t="s">
        <v>961</v>
      </c>
      <c r="L1502" s="13" t="s">
        <v>962</v>
      </c>
      <c r="N1502" s="13" t="s">
        <v>400</v>
      </c>
      <c r="O1502" s="13" t="s">
        <v>644</v>
      </c>
      <c r="P1502" s="13" t="s">
        <v>71</v>
      </c>
      <c r="Q1502" s="13" t="s">
        <v>48</v>
      </c>
      <c r="R1502" s="4">
        <v>3</v>
      </c>
      <c r="S1502" s="13" t="s">
        <v>594</v>
      </c>
      <c r="T1502" s="13">
        <v>1095</v>
      </c>
      <c r="U1502" s="4" t="s">
        <v>51</v>
      </c>
      <c r="V1502" s="4">
        <v>400</v>
      </c>
      <c r="W1502" s="4" t="s">
        <v>42</v>
      </c>
      <c r="X1502" s="4">
        <v>598</v>
      </c>
      <c r="Y1502" s="4">
        <v>5</v>
      </c>
      <c r="AA1502" s="4" t="s">
        <v>49</v>
      </c>
      <c r="AB1502" s="4">
        <v>0</v>
      </c>
      <c r="AC1502" s="4" t="s">
        <v>49</v>
      </c>
      <c r="AD1502" s="4">
        <v>0</v>
      </c>
      <c r="AE1502" s="4" t="s">
        <v>49</v>
      </c>
      <c r="AF1502" s="4">
        <v>0</v>
      </c>
      <c r="AG1502" s="4" t="s">
        <v>46</v>
      </c>
      <c r="AH1502" s="4" t="s">
        <v>693</v>
      </c>
      <c r="AI1502" s="4" t="s">
        <v>64</v>
      </c>
      <c r="AJ1502" s="13">
        <v>0</v>
      </c>
      <c r="AK1502" s="13">
        <v>15</v>
      </c>
      <c r="AM1502" s="13" t="s">
        <v>573</v>
      </c>
      <c r="AP1502" s="13" t="s">
        <v>50</v>
      </c>
      <c r="AQ1502" s="13" t="s">
        <v>49</v>
      </c>
      <c r="AR1502" s="13" t="s">
        <v>49</v>
      </c>
      <c r="AS1502" s="13" t="s">
        <v>49</v>
      </c>
      <c r="AT1502" s="13" t="s">
        <v>990</v>
      </c>
      <c r="AU1502" s="13" t="s">
        <v>998</v>
      </c>
      <c r="AV1502" s="14">
        <f>(148*1.5)/1.39/1000</f>
        <v>0.15971223021582737</v>
      </c>
      <c r="AW1502" s="14">
        <f>(141*1.5)/1.39/1000</f>
        <v>0.15215827338129498</v>
      </c>
      <c r="AX1502" s="14">
        <f>Table1347456[[#This Row],[treatment_mean]]/Table1347456[[#This Row],[control_mean]]</f>
        <v>1.0496453900709222</v>
      </c>
      <c r="AY1502" s="14">
        <f>LN(Table1347456[[#This Row],[rr]])</f>
        <v>4.8452383385946957E-2</v>
      </c>
      <c r="AZ1502" s="13">
        <v>3</v>
      </c>
      <c r="BA1502" s="13">
        <v>3</v>
      </c>
      <c r="BB1502" s="14">
        <v>0</v>
      </c>
      <c r="BC1502" s="14">
        <v>0</v>
      </c>
      <c r="BD1502" s="15">
        <f>Table1347456[[#This Row],[treatment_se]]*SQRT(Table1347456[[#This Row],[treatment_n]])</f>
        <v>0</v>
      </c>
      <c r="BE1502" s="14">
        <f>Table1347456[[#This Row],[control_se]]*SQRT(Table1347456[[#This Row],[control_n]])</f>
        <v>0</v>
      </c>
      <c r="BF150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02" s="17">
        <f>SQRT(Table1347456[[#This Row],[v_from_sd_and_n]])</f>
        <v>0</v>
      </c>
      <c r="BH1502" s="13" t="s">
        <v>50</v>
      </c>
      <c r="BI1502" s="13">
        <v>2.5000000000000001E-2</v>
      </c>
      <c r="BJ1502" s="18">
        <f>ABS(_xlfn.NORM.S.INV(Table1347456[[#This Row],[p_value]]/2))</f>
        <v>2.2414027276049446</v>
      </c>
      <c r="BK1502" s="19">
        <f>(Table1347456[[#This Row],[lnrr]]/Table1347456[[#This Row],[z_from_p]])^2</f>
        <v>4.6729431524672476E-4</v>
      </c>
      <c r="BL1502" s="16">
        <f>(Table1347456[[#This Row],[lnrr]]/Table1347456[[#This Row],[z_from_p]])^2</f>
        <v>4.6729431524672476E-4</v>
      </c>
      <c r="BM1502" s="20">
        <f>SQRT(Table1347456[[#This Row],[v]])</f>
        <v>2.1616991355105936E-2</v>
      </c>
      <c r="BN1502" s="20">
        <f>Table1347456[[#This Row],[lnrr]]-(1.96*Table1347456[[#This Row],[se]])</f>
        <v>6.0830803299393235E-3</v>
      </c>
      <c r="BO1502" s="20">
        <f>Table1347456[[#This Row],[lnrr]]+(1.96 * Table1347456[[#This Row],[se]])</f>
        <v>9.0821686441954597E-2</v>
      </c>
    </row>
    <row r="1503" spans="1:67">
      <c r="A1503" s="13" t="s">
        <v>452</v>
      </c>
      <c r="B1503" s="13" t="s">
        <v>149</v>
      </c>
      <c r="C1503" s="13" t="s">
        <v>43</v>
      </c>
      <c r="D1503" s="13" t="s">
        <v>150</v>
      </c>
      <c r="E1503" s="13" t="s">
        <v>151</v>
      </c>
      <c r="F1503" s="13" t="s">
        <v>587</v>
      </c>
      <c r="G1503" s="13" t="s">
        <v>46</v>
      </c>
      <c r="H1503" s="13">
        <v>27.9</v>
      </c>
      <c r="I1503" s="13">
        <v>935</v>
      </c>
      <c r="K1503" s="13" t="s">
        <v>961</v>
      </c>
      <c r="L1503" s="13" t="s">
        <v>962</v>
      </c>
      <c r="N1503" s="13" t="s">
        <v>61</v>
      </c>
      <c r="O1503" s="13" t="s">
        <v>642</v>
      </c>
      <c r="P1503" s="13" t="s">
        <v>71</v>
      </c>
      <c r="Q1503" s="13" t="s">
        <v>48</v>
      </c>
      <c r="R1503" s="4">
        <v>3</v>
      </c>
      <c r="S1503" s="13" t="s">
        <v>594</v>
      </c>
      <c r="T1503" s="13">
        <v>1095</v>
      </c>
      <c r="U1503" s="4" t="s">
        <v>152</v>
      </c>
      <c r="V1503" s="4">
        <v>400</v>
      </c>
      <c r="W1503" s="4" t="s">
        <v>42</v>
      </c>
      <c r="X1503" s="4">
        <v>598</v>
      </c>
      <c r="Y1503" s="4">
        <v>5</v>
      </c>
      <c r="AA1503" s="4" t="s">
        <v>49</v>
      </c>
      <c r="AB1503" s="4">
        <v>0</v>
      </c>
      <c r="AC1503" s="4" t="s">
        <v>49</v>
      </c>
      <c r="AD1503" s="4">
        <v>0</v>
      </c>
      <c r="AE1503" s="4" t="s">
        <v>49</v>
      </c>
      <c r="AF1503" s="4">
        <v>0</v>
      </c>
      <c r="AG1503" s="4" t="s">
        <v>694</v>
      </c>
      <c r="AH1503" s="4" t="s">
        <v>693</v>
      </c>
      <c r="AI1503" s="4" t="s">
        <v>64</v>
      </c>
      <c r="AJ1503" s="13">
        <v>0</v>
      </c>
      <c r="AK1503" s="13">
        <v>15</v>
      </c>
      <c r="AM1503" s="13" t="s">
        <v>573</v>
      </c>
      <c r="AP1503" s="13" t="s">
        <v>50</v>
      </c>
      <c r="AQ1503" s="13" t="s">
        <v>49</v>
      </c>
      <c r="AR1503" s="13" t="s">
        <v>49</v>
      </c>
      <c r="AS1503" s="13" t="s">
        <v>49</v>
      </c>
      <c r="AT1503" s="13" t="s">
        <v>990</v>
      </c>
      <c r="AU1503" s="13" t="s">
        <v>998</v>
      </c>
      <c r="AV1503" s="14">
        <f>(13.5*1.5)/1.39/1000</f>
        <v>1.4568345323741008E-2</v>
      </c>
      <c r="AW1503" s="14">
        <f>(9.2*1.5)/1.39/1000</f>
        <v>9.9280575539568358E-3</v>
      </c>
      <c r="AX1503" s="14">
        <f>Table1347456[[#This Row],[treatment_mean]]/Table1347456[[#This Row],[control_mean]]</f>
        <v>1.4673913043478259</v>
      </c>
      <c r="AY1503" s="14">
        <f>LN(Table1347456[[#This Row],[rr]])</f>
        <v>0.38348620138938905</v>
      </c>
      <c r="AZ1503" s="13">
        <v>3</v>
      </c>
      <c r="BA1503" s="13">
        <v>3</v>
      </c>
      <c r="BB1503" s="14">
        <v>0</v>
      </c>
      <c r="BC1503" s="14">
        <v>0</v>
      </c>
      <c r="BD1503" s="15">
        <f>Table1347456[[#This Row],[treatment_se]]*SQRT(Table1347456[[#This Row],[treatment_n]])</f>
        <v>0</v>
      </c>
      <c r="BE1503" s="14">
        <f>Table1347456[[#This Row],[control_se]]*SQRT(Table1347456[[#This Row],[control_n]])</f>
        <v>0</v>
      </c>
      <c r="BF150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03" s="17">
        <f>SQRT(Table1347456[[#This Row],[v_from_sd_and_n]])</f>
        <v>0</v>
      </c>
      <c r="BH1503" s="13" t="s">
        <v>50</v>
      </c>
      <c r="BI1503" s="13">
        <v>2.5000000000000001E-2</v>
      </c>
      <c r="BJ1503" s="18">
        <f>ABS(_xlfn.NORM.S.INV(Table1347456[[#This Row],[p_value]]/2))</f>
        <v>2.2414027276049446</v>
      </c>
      <c r="BK1503" s="19">
        <f>(Table1347456[[#This Row],[lnrr]]/Table1347456[[#This Row],[z_from_p]])^2</f>
        <v>2.9272491687289407E-2</v>
      </c>
      <c r="BL1503" s="16">
        <f>(Table1347456[[#This Row],[lnrr]]/Table1347456[[#This Row],[z_from_p]])^2</f>
        <v>2.9272491687289407E-2</v>
      </c>
      <c r="BM1503" s="20">
        <f>SQRT(Table1347456[[#This Row],[v]])</f>
        <v>0.1710920561782148</v>
      </c>
      <c r="BN1503" s="20">
        <f>Table1347456[[#This Row],[lnrr]]-(1.96*Table1347456[[#This Row],[se]])</f>
        <v>4.8145771280088068E-2</v>
      </c>
      <c r="BO1503" s="20">
        <f>Table1347456[[#This Row],[lnrr]]+(1.96 * Table1347456[[#This Row],[se]])</f>
        <v>0.71882663149868997</v>
      </c>
    </row>
    <row r="1504" spans="1:67">
      <c r="A1504" s="13" t="s">
        <v>452</v>
      </c>
      <c r="B1504" s="13" t="s">
        <v>149</v>
      </c>
      <c r="C1504" s="13" t="s">
        <v>43</v>
      </c>
      <c r="D1504" s="13" t="s">
        <v>150</v>
      </c>
      <c r="E1504" s="13" t="s">
        <v>151</v>
      </c>
      <c r="F1504" s="13" t="s">
        <v>587</v>
      </c>
      <c r="G1504" s="13" t="s">
        <v>46</v>
      </c>
      <c r="H1504" s="13">
        <v>27.9</v>
      </c>
      <c r="I1504" s="13">
        <v>935</v>
      </c>
      <c r="K1504" s="13" t="s">
        <v>961</v>
      </c>
      <c r="L1504" s="13" t="s">
        <v>962</v>
      </c>
      <c r="N1504" s="13" t="s">
        <v>61</v>
      </c>
      <c r="O1504" s="13" t="s">
        <v>642</v>
      </c>
      <c r="P1504" s="13" t="s">
        <v>71</v>
      </c>
      <c r="Q1504" s="13" t="s">
        <v>48</v>
      </c>
      <c r="R1504" s="4">
        <v>3</v>
      </c>
      <c r="S1504" s="13" t="s">
        <v>594</v>
      </c>
      <c r="T1504" s="13">
        <v>1095</v>
      </c>
      <c r="U1504" s="4" t="s">
        <v>51</v>
      </c>
      <c r="V1504" s="4">
        <v>400</v>
      </c>
      <c r="W1504" s="4" t="s">
        <v>42</v>
      </c>
      <c r="X1504" s="4">
        <v>598</v>
      </c>
      <c r="Y1504" s="4">
        <v>5</v>
      </c>
      <c r="AA1504" s="4" t="s">
        <v>49</v>
      </c>
      <c r="AB1504" s="4">
        <v>0</v>
      </c>
      <c r="AC1504" s="4" t="s">
        <v>49</v>
      </c>
      <c r="AD1504" s="4">
        <v>0</v>
      </c>
      <c r="AE1504" s="4" t="s">
        <v>49</v>
      </c>
      <c r="AF1504" s="4">
        <v>0</v>
      </c>
      <c r="AG1504" s="4" t="s">
        <v>46</v>
      </c>
      <c r="AH1504" s="4" t="s">
        <v>693</v>
      </c>
      <c r="AI1504" s="4" t="s">
        <v>64</v>
      </c>
      <c r="AJ1504" s="13">
        <v>0</v>
      </c>
      <c r="AK1504" s="13">
        <v>15</v>
      </c>
      <c r="AM1504" s="13" t="s">
        <v>573</v>
      </c>
      <c r="AP1504" s="13" t="s">
        <v>50</v>
      </c>
      <c r="AQ1504" s="13" t="s">
        <v>49</v>
      </c>
      <c r="AR1504" s="13" t="s">
        <v>49</v>
      </c>
      <c r="AS1504" s="13" t="s">
        <v>49</v>
      </c>
      <c r="AT1504" s="13" t="s">
        <v>990</v>
      </c>
      <c r="AU1504" s="13" t="s">
        <v>998</v>
      </c>
      <c r="AV1504" s="14">
        <f>(13.1*1.5)/1.39/1000</f>
        <v>1.4136690647482015E-2</v>
      </c>
      <c r="AW1504" s="14">
        <f>(9.2*1.5)/1.39/1000</f>
        <v>9.9280575539568358E-3</v>
      </c>
      <c r="AX1504" s="14">
        <f>Table1347456[[#This Row],[treatment_mean]]/Table1347456[[#This Row],[control_mean]]</f>
        <v>1.4239130434782608</v>
      </c>
      <c r="AY1504" s="14">
        <f>LN(Table1347456[[#This Row],[rr]])</f>
        <v>0.35340874615211115</v>
      </c>
      <c r="AZ1504" s="13">
        <v>3</v>
      </c>
      <c r="BA1504" s="13">
        <v>3</v>
      </c>
      <c r="BB1504" s="14">
        <v>0</v>
      </c>
      <c r="BC1504" s="14">
        <v>0</v>
      </c>
      <c r="BD1504" s="15">
        <f>Table1347456[[#This Row],[treatment_se]]*SQRT(Table1347456[[#This Row],[treatment_n]])</f>
        <v>0</v>
      </c>
      <c r="BE1504" s="14">
        <f>Table1347456[[#This Row],[control_se]]*SQRT(Table1347456[[#This Row],[control_n]])</f>
        <v>0</v>
      </c>
      <c r="BF150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04" s="17">
        <f>SQRT(Table1347456[[#This Row],[v_from_sd_and_n]])</f>
        <v>0</v>
      </c>
      <c r="BH1504" s="13" t="s">
        <v>50</v>
      </c>
      <c r="BI1504" s="13">
        <v>2.5000000000000001E-2</v>
      </c>
      <c r="BJ1504" s="18">
        <f>ABS(_xlfn.NORM.S.INV(Table1347456[[#This Row],[p_value]]/2))</f>
        <v>2.2414027276049446</v>
      </c>
      <c r="BK1504" s="19">
        <f>(Table1347456[[#This Row],[lnrr]]/Table1347456[[#This Row],[z_from_p]])^2</f>
        <v>2.4860782509796737E-2</v>
      </c>
      <c r="BL1504" s="16">
        <f>(Table1347456[[#This Row],[lnrr]]/Table1347456[[#This Row],[z_from_p]])^2</f>
        <v>2.4860782509796737E-2</v>
      </c>
      <c r="BM1504" s="20">
        <f>SQRT(Table1347456[[#This Row],[v]])</f>
        <v>0.15767302403961414</v>
      </c>
      <c r="BN1504" s="20">
        <f>Table1347456[[#This Row],[lnrr]]-(1.96*Table1347456[[#This Row],[se]])</f>
        <v>4.4369619034467456E-2</v>
      </c>
      <c r="BO1504" s="20">
        <f>Table1347456[[#This Row],[lnrr]]+(1.96 * Table1347456[[#This Row],[se]])</f>
        <v>0.66244787326975485</v>
      </c>
    </row>
    <row r="1505" spans="1:67">
      <c r="A1505" s="13" t="s">
        <v>452</v>
      </c>
      <c r="B1505" s="13" t="s">
        <v>149</v>
      </c>
      <c r="C1505" s="13" t="s">
        <v>43</v>
      </c>
      <c r="D1505" s="13" t="s">
        <v>150</v>
      </c>
      <c r="E1505" s="13" t="s">
        <v>151</v>
      </c>
      <c r="F1505" s="13" t="s">
        <v>587</v>
      </c>
      <c r="G1505" s="13" t="s">
        <v>46</v>
      </c>
      <c r="H1505" s="13">
        <v>27.9</v>
      </c>
      <c r="I1505" s="13">
        <v>935</v>
      </c>
      <c r="K1505" s="13" t="s">
        <v>961</v>
      </c>
      <c r="L1505" s="13" t="s">
        <v>962</v>
      </c>
      <c r="N1505" s="13" t="s">
        <v>79</v>
      </c>
      <c r="O1505" s="13" t="s">
        <v>642</v>
      </c>
      <c r="P1505" s="13" t="s">
        <v>71</v>
      </c>
      <c r="Q1505" s="13" t="s">
        <v>48</v>
      </c>
      <c r="R1505" s="4">
        <v>3</v>
      </c>
      <c r="S1505" s="13" t="s">
        <v>594</v>
      </c>
      <c r="T1505" s="13">
        <v>1095</v>
      </c>
      <c r="U1505" s="4" t="s">
        <v>152</v>
      </c>
      <c r="V1505" s="4">
        <v>400</v>
      </c>
      <c r="W1505" s="4" t="s">
        <v>42</v>
      </c>
      <c r="X1505" s="4">
        <v>598</v>
      </c>
      <c r="Y1505" s="4">
        <v>5</v>
      </c>
      <c r="AA1505" s="4" t="s">
        <v>49</v>
      </c>
      <c r="AB1505" s="4">
        <v>0</v>
      </c>
      <c r="AC1505" s="4" t="s">
        <v>49</v>
      </c>
      <c r="AD1505" s="4">
        <v>0</v>
      </c>
      <c r="AE1505" s="4" t="s">
        <v>49</v>
      </c>
      <c r="AF1505" s="4">
        <v>0</v>
      </c>
      <c r="AG1505" s="4" t="s">
        <v>694</v>
      </c>
      <c r="AH1505" s="4" t="s">
        <v>693</v>
      </c>
      <c r="AI1505" s="4" t="s">
        <v>64</v>
      </c>
      <c r="AJ1505" s="13">
        <v>0</v>
      </c>
      <c r="AK1505" s="13">
        <v>15</v>
      </c>
      <c r="AM1505" s="13" t="s">
        <v>573</v>
      </c>
      <c r="AP1505" s="13" t="s">
        <v>50</v>
      </c>
      <c r="AQ1505" s="13" t="s">
        <v>49</v>
      </c>
      <c r="AR1505" s="13" t="s">
        <v>49</v>
      </c>
      <c r="AS1505" s="13" t="s">
        <v>49</v>
      </c>
      <c r="AT1505" s="13" t="s">
        <v>990</v>
      </c>
      <c r="AU1505" s="13" t="s">
        <v>998</v>
      </c>
      <c r="AV1505" s="14">
        <f>(4.2*1.5)/1.39/1000</f>
        <v>4.5323741007194255E-3</v>
      </c>
      <c r="AW1505" s="14">
        <f>(3.1*1.5)/1.39/1000</f>
        <v>3.3453237410071947E-3</v>
      </c>
      <c r="AX1505" s="14">
        <f>Table1347456[[#This Row],[treatment_mean]]/Table1347456[[#This Row],[control_mean]]</f>
        <v>1.3548387096774195</v>
      </c>
      <c r="AY1505" s="14">
        <f>LN(Table1347456[[#This Row],[rr]])</f>
        <v>0.30368241379822214</v>
      </c>
      <c r="AZ1505" s="13">
        <v>3</v>
      </c>
      <c r="BA1505" s="13">
        <v>3</v>
      </c>
      <c r="BB1505" s="14">
        <v>0</v>
      </c>
      <c r="BC1505" s="14">
        <v>0</v>
      </c>
      <c r="BD1505" s="15">
        <f>Table1347456[[#This Row],[treatment_se]]*SQRT(Table1347456[[#This Row],[treatment_n]])</f>
        <v>0</v>
      </c>
      <c r="BE1505" s="14">
        <f>Table1347456[[#This Row],[control_se]]*SQRT(Table1347456[[#This Row],[control_n]])</f>
        <v>0</v>
      </c>
      <c r="BF150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05" s="17">
        <f>SQRT(Table1347456[[#This Row],[v_from_sd_and_n]])</f>
        <v>0</v>
      </c>
      <c r="BH1505" s="13" t="s">
        <v>50</v>
      </c>
      <c r="BI1505" s="13">
        <v>2.5000000000000001E-2</v>
      </c>
      <c r="BJ1505" s="18">
        <f>ABS(_xlfn.NORM.S.INV(Table1347456[[#This Row],[p_value]]/2))</f>
        <v>2.2414027276049446</v>
      </c>
      <c r="BK1505" s="19">
        <f>(Table1347456[[#This Row],[lnrr]]/Table1347456[[#This Row],[z_from_p]])^2</f>
        <v>1.8356906389156286E-2</v>
      </c>
      <c r="BL1505" s="16">
        <f>(Table1347456[[#This Row],[lnrr]]/Table1347456[[#This Row],[z_from_p]])^2</f>
        <v>1.8356906389156286E-2</v>
      </c>
      <c r="BM1505" s="20">
        <f>SQRT(Table1347456[[#This Row],[v]])</f>
        <v>0.13548766139083029</v>
      </c>
      <c r="BN1505" s="20">
        <f>Table1347456[[#This Row],[lnrr]]-(1.96*Table1347456[[#This Row],[se]])</f>
        <v>3.8126597472194768E-2</v>
      </c>
      <c r="BO1505" s="20">
        <f>Table1347456[[#This Row],[lnrr]]+(1.96 * Table1347456[[#This Row],[se]])</f>
        <v>0.56923823012424957</v>
      </c>
    </row>
    <row r="1506" spans="1:67">
      <c r="A1506" s="13" t="s">
        <v>452</v>
      </c>
      <c r="B1506" s="13" t="s">
        <v>149</v>
      </c>
      <c r="C1506" s="13" t="s">
        <v>43</v>
      </c>
      <c r="D1506" s="13" t="s">
        <v>150</v>
      </c>
      <c r="E1506" s="13" t="s">
        <v>151</v>
      </c>
      <c r="F1506" s="13" t="s">
        <v>587</v>
      </c>
      <c r="G1506" s="13" t="s">
        <v>46</v>
      </c>
      <c r="H1506" s="13">
        <v>27.9</v>
      </c>
      <c r="I1506" s="13">
        <v>935</v>
      </c>
      <c r="K1506" s="13" t="s">
        <v>961</v>
      </c>
      <c r="L1506" s="13" t="s">
        <v>962</v>
      </c>
      <c r="N1506" s="13" t="s">
        <v>79</v>
      </c>
      <c r="O1506" s="13" t="s">
        <v>642</v>
      </c>
      <c r="P1506" s="13" t="s">
        <v>71</v>
      </c>
      <c r="Q1506" s="13" t="s">
        <v>48</v>
      </c>
      <c r="R1506" s="4">
        <v>3</v>
      </c>
      <c r="S1506" s="13" t="s">
        <v>594</v>
      </c>
      <c r="T1506" s="13">
        <v>1095</v>
      </c>
      <c r="U1506" s="4" t="s">
        <v>51</v>
      </c>
      <c r="V1506" s="4">
        <v>400</v>
      </c>
      <c r="W1506" s="4" t="s">
        <v>42</v>
      </c>
      <c r="X1506" s="4">
        <v>598</v>
      </c>
      <c r="Y1506" s="4">
        <v>5</v>
      </c>
      <c r="AA1506" s="4" t="s">
        <v>49</v>
      </c>
      <c r="AB1506" s="4">
        <v>0</v>
      </c>
      <c r="AC1506" s="4" t="s">
        <v>49</v>
      </c>
      <c r="AD1506" s="4">
        <v>0</v>
      </c>
      <c r="AE1506" s="4" t="s">
        <v>49</v>
      </c>
      <c r="AF1506" s="4">
        <v>0</v>
      </c>
      <c r="AG1506" s="4" t="s">
        <v>46</v>
      </c>
      <c r="AH1506" s="4" t="s">
        <v>693</v>
      </c>
      <c r="AI1506" s="4" t="s">
        <v>64</v>
      </c>
      <c r="AJ1506" s="13">
        <v>0</v>
      </c>
      <c r="AK1506" s="13">
        <v>15</v>
      </c>
      <c r="AM1506" s="13" t="s">
        <v>573</v>
      </c>
      <c r="AP1506" s="13" t="s">
        <v>50</v>
      </c>
      <c r="AQ1506" s="13" t="s">
        <v>49</v>
      </c>
      <c r="AR1506" s="13" t="s">
        <v>49</v>
      </c>
      <c r="AS1506" s="13" t="s">
        <v>49</v>
      </c>
      <c r="AT1506" s="13" t="s">
        <v>990</v>
      </c>
      <c r="AU1506" s="13" t="s">
        <v>998</v>
      </c>
      <c r="AV1506" s="14">
        <f>(4.2*1.5)/1.39/1000</f>
        <v>4.5323741007194255E-3</v>
      </c>
      <c r="AW1506" s="14">
        <f>(3.1*1.5)/1.39/1000</f>
        <v>3.3453237410071947E-3</v>
      </c>
      <c r="AX1506" s="14">
        <f>Table1347456[[#This Row],[treatment_mean]]/Table1347456[[#This Row],[control_mean]]</f>
        <v>1.3548387096774195</v>
      </c>
      <c r="AY1506" s="14">
        <f>LN(Table1347456[[#This Row],[rr]])</f>
        <v>0.30368241379822214</v>
      </c>
      <c r="AZ1506" s="13">
        <v>3</v>
      </c>
      <c r="BA1506" s="13">
        <v>3</v>
      </c>
      <c r="BB1506" s="14">
        <v>0</v>
      </c>
      <c r="BC1506" s="14">
        <v>0</v>
      </c>
      <c r="BD1506" s="15">
        <f>Table1347456[[#This Row],[treatment_se]]*SQRT(Table1347456[[#This Row],[treatment_n]])</f>
        <v>0</v>
      </c>
      <c r="BE1506" s="14">
        <f>Table1347456[[#This Row],[control_se]]*SQRT(Table1347456[[#This Row],[control_n]])</f>
        <v>0</v>
      </c>
      <c r="BF150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06" s="17">
        <f>SQRT(Table1347456[[#This Row],[v_from_sd_and_n]])</f>
        <v>0</v>
      </c>
      <c r="BH1506" s="13" t="s">
        <v>50</v>
      </c>
      <c r="BI1506" s="13">
        <v>2.5000000000000001E-2</v>
      </c>
      <c r="BJ1506" s="18">
        <f>ABS(_xlfn.NORM.S.INV(Table1347456[[#This Row],[p_value]]/2))</f>
        <v>2.2414027276049446</v>
      </c>
      <c r="BK1506" s="19">
        <f>(Table1347456[[#This Row],[lnrr]]/Table1347456[[#This Row],[z_from_p]])^2</f>
        <v>1.8356906389156286E-2</v>
      </c>
      <c r="BL1506" s="16">
        <f>(Table1347456[[#This Row],[lnrr]]/Table1347456[[#This Row],[z_from_p]])^2</f>
        <v>1.8356906389156286E-2</v>
      </c>
      <c r="BM1506" s="20">
        <f>SQRT(Table1347456[[#This Row],[v]])</f>
        <v>0.13548766139083029</v>
      </c>
      <c r="BN1506" s="20">
        <f>Table1347456[[#This Row],[lnrr]]-(1.96*Table1347456[[#This Row],[se]])</f>
        <v>3.8126597472194768E-2</v>
      </c>
      <c r="BO1506" s="20">
        <f>Table1347456[[#This Row],[lnrr]]+(1.96 * Table1347456[[#This Row],[se]])</f>
        <v>0.56923823012424957</v>
      </c>
    </row>
    <row r="1507" spans="1:67">
      <c r="A1507" s="13" t="s">
        <v>452</v>
      </c>
      <c r="B1507" s="13" t="s">
        <v>149</v>
      </c>
      <c r="C1507" s="13" t="s">
        <v>43</v>
      </c>
      <c r="D1507" s="13" t="s">
        <v>150</v>
      </c>
      <c r="E1507" s="13" t="s">
        <v>151</v>
      </c>
      <c r="F1507" s="13" t="s">
        <v>587</v>
      </c>
      <c r="G1507" s="13" t="s">
        <v>46</v>
      </c>
      <c r="H1507" s="13">
        <v>27.9</v>
      </c>
      <c r="I1507" s="13">
        <v>935</v>
      </c>
      <c r="K1507" s="13" t="s">
        <v>961</v>
      </c>
      <c r="L1507" s="13" t="s">
        <v>962</v>
      </c>
      <c r="N1507" s="13" t="s">
        <v>81</v>
      </c>
      <c r="O1507" s="13" t="s">
        <v>82</v>
      </c>
      <c r="P1507" s="13" t="s">
        <v>71</v>
      </c>
      <c r="Q1507" s="13" t="s">
        <v>83</v>
      </c>
      <c r="R1507" s="4">
        <v>3</v>
      </c>
      <c r="S1507" s="13" t="s">
        <v>594</v>
      </c>
      <c r="T1507" s="13">
        <v>1095</v>
      </c>
      <c r="U1507" s="4" t="s">
        <v>152</v>
      </c>
      <c r="V1507" s="4">
        <v>400</v>
      </c>
      <c r="W1507" s="4" t="s">
        <v>42</v>
      </c>
      <c r="X1507" s="4">
        <v>598</v>
      </c>
      <c r="Y1507" s="4">
        <v>5</v>
      </c>
      <c r="AA1507" s="4" t="s">
        <v>49</v>
      </c>
      <c r="AB1507" s="4">
        <v>0</v>
      </c>
      <c r="AC1507" s="4" t="s">
        <v>49</v>
      </c>
      <c r="AD1507" s="4">
        <v>0</v>
      </c>
      <c r="AE1507" s="4" t="s">
        <v>49</v>
      </c>
      <c r="AF1507" s="4">
        <v>0</v>
      </c>
      <c r="AG1507" s="4" t="s">
        <v>694</v>
      </c>
      <c r="AH1507" s="4" t="s">
        <v>693</v>
      </c>
      <c r="AI1507" s="4" t="s">
        <v>64</v>
      </c>
      <c r="AJ1507" s="13">
        <v>0</v>
      </c>
      <c r="AK1507" s="13">
        <v>15</v>
      </c>
      <c r="AM1507" s="13" t="s">
        <v>573</v>
      </c>
      <c r="AP1507" s="13" t="s">
        <v>50</v>
      </c>
      <c r="AQ1507" s="13" t="s">
        <v>49</v>
      </c>
      <c r="AR1507" s="13" t="s">
        <v>49</v>
      </c>
      <c r="AS1507" s="13" t="s">
        <v>49</v>
      </c>
      <c r="AT1507" s="13" t="s">
        <v>990</v>
      </c>
      <c r="AU1507" s="13" t="s">
        <v>998</v>
      </c>
      <c r="AV1507" s="14">
        <f>245/1000</f>
        <v>0.245</v>
      </c>
      <c r="AW1507" s="14">
        <f>189/1000</f>
        <v>0.189</v>
      </c>
      <c r="AX1507" s="14">
        <f>Table1347456[[#This Row],[treatment_mean]]/Table1347456[[#This Row],[control_mean]]</f>
        <v>1.2962962962962963</v>
      </c>
      <c r="AY1507" s="14">
        <f>LN(Table1347456[[#This Row],[rr]])</f>
        <v>0.25951119548508461</v>
      </c>
      <c r="AZ1507" s="13">
        <v>3</v>
      </c>
      <c r="BA1507" s="13">
        <v>3</v>
      </c>
      <c r="BB1507" s="14">
        <v>0</v>
      </c>
      <c r="BC1507" s="14">
        <v>0</v>
      </c>
      <c r="BD1507" s="15">
        <f>Table1347456[[#This Row],[treatment_se]]*SQRT(Table1347456[[#This Row],[treatment_n]])</f>
        <v>0</v>
      </c>
      <c r="BE1507" s="14">
        <f>Table1347456[[#This Row],[control_se]]*SQRT(Table1347456[[#This Row],[control_n]])</f>
        <v>0</v>
      </c>
      <c r="BF150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07" s="17">
        <f>SQRT(Table1347456[[#This Row],[v_from_sd_and_n]])</f>
        <v>0</v>
      </c>
      <c r="BH1507" s="13" t="s">
        <v>50</v>
      </c>
      <c r="BI1507" s="13">
        <v>2.5000000000000001E-2</v>
      </c>
      <c r="BJ1507" s="18">
        <f>ABS(_xlfn.NORM.S.INV(Table1347456[[#This Row],[p_value]]/2))</f>
        <v>2.2414027276049446</v>
      </c>
      <c r="BK1507" s="19">
        <f>(Table1347456[[#This Row],[lnrr]]/Table1347456[[#This Row],[z_from_p]])^2</f>
        <v>1.3405172424515496E-2</v>
      </c>
      <c r="BL1507" s="16">
        <f>(Table1347456[[#This Row],[lnrr]]/Table1347456[[#This Row],[z_from_p]])^2</f>
        <v>1.3405172424515496E-2</v>
      </c>
      <c r="BM1507" s="20">
        <f>SQRT(Table1347456[[#This Row],[v]])</f>
        <v>0.11578070834346928</v>
      </c>
      <c r="BN1507" s="20">
        <f>Table1347456[[#This Row],[lnrr]]-(1.96*Table1347456[[#This Row],[se]])</f>
        <v>3.2581007131884832E-2</v>
      </c>
      <c r="BO1507" s="20">
        <f>Table1347456[[#This Row],[lnrr]]+(1.96 * Table1347456[[#This Row],[se]])</f>
        <v>0.48644138383828439</v>
      </c>
    </row>
    <row r="1508" spans="1:67">
      <c r="A1508" s="13" t="s">
        <v>452</v>
      </c>
      <c r="B1508" s="13" t="s">
        <v>149</v>
      </c>
      <c r="C1508" s="13" t="s">
        <v>43</v>
      </c>
      <c r="D1508" s="13" t="s">
        <v>150</v>
      </c>
      <c r="E1508" s="13" t="s">
        <v>151</v>
      </c>
      <c r="F1508" s="13" t="s">
        <v>587</v>
      </c>
      <c r="G1508" s="13" t="s">
        <v>46</v>
      </c>
      <c r="H1508" s="13">
        <v>27.9</v>
      </c>
      <c r="I1508" s="13">
        <v>935</v>
      </c>
      <c r="K1508" s="13" t="s">
        <v>961</v>
      </c>
      <c r="L1508" s="13" t="s">
        <v>962</v>
      </c>
      <c r="N1508" s="13" t="s">
        <v>81</v>
      </c>
      <c r="O1508" s="13" t="s">
        <v>82</v>
      </c>
      <c r="P1508" s="13" t="s">
        <v>71</v>
      </c>
      <c r="Q1508" s="13" t="s">
        <v>83</v>
      </c>
      <c r="R1508" s="4">
        <v>3</v>
      </c>
      <c r="S1508" s="13" t="s">
        <v>594</v>
      </c>
      <c r="T1508" s="13">
        <v>1095</v>
      </c>
      <c r="U1508" s="4" t="s">
        <v>51</v>
      </c>
      <c r="V1508" s="4">
        <v>400</v>
      </c>
      <c r="W1508" s="4" t="s">
        <v>42</v>
      </c>
      <c r="X1508" s="4">
        <v>598</v>
      </c>
      <c r="Y1508" s="4">
        <v>5</v>
      </c>
      <c r="AA1508" s="4" t="s">
        <v>49</v>
      </c>
      <c r="AB1508" s="4">
        <v>0</v>
      </c>
      <c r="AC1508" s="4" t="s">
        <v>49</v>
      </c>
      <c r="AD1508" s="4">
        <v>0</v>
      </c>
      <c r="AE1508" s="4" t="s">
        <v>49</v>
      </c>
      <c r="AF1508" s="4">
        <v>0</v>
      </c>
      <c r="AG1508" s="4" t="s">
        <v>46</v>
      </c>
      <c r="AH1508" s="4" t="s">
        <v>693</v>
      </c>
      <c r="AI1508" s="4" t="s">
        <v>64</v>
      </c>
      <c r="AJ1508" s="13">
        <v>0</v>
      </c>
      <c r="AK1508" s="13">
        <v>15</v>
      </c>
      <c r="AM1508" s="13" t="s">
        <v>573</v>
      </c>
      <c r="AP1508" s="13" t="s">
        <v>50</v>
      </c>
      <c r="AQ1508" s="13" t="s">
        <v>49</v>
      </c>
      <c r="AR1508" s="13" t="s">
        <v>49</v>
      </c>
      <c r="AS1508" s="13" t="s">
        <v>49</v>
      </c>
      <c r="AT1508" s="13" t="s">
        <v>990</v>
      </c>
      <c r="AU1508" s="13" t="s">
        <v>998</v>
      </c>
      <c r="AV1508" s="14">
        <f>239/1000</f>
        <v>0.23899999999999999</v>
      </c>
      <c r="AW1508" s="14">
        <f>189/1000</f>
        <v>0.189</v>
      </c>
      <c r="AX1508" s="14">
        <f>Table1347456[[#This Row],[treatment_mean]]/Table1347456[[#This Row],[control_mean]]</f>
        <v>1.2645502645502644</v>
      </c>
      <c r="AY1508" s="14">
        <f>LN(Table1347456[[#This Row],[rr]])</f>
        <v>0.23471653687186819</v>
      </c>
      <c r="AZ1508" s="13">
        <v>3</v>
      </c>
      <c r="BA1508" s="13">
        <v>3</v>
      </c>
      <c r="BB1508" s="14">
        <v>0</v>
      </c>
      <c r="BC1508" s="14">
        <v>0</v>
      </c>
      <c r="BD1508" s="15">
        <f>Table1347456[[#This Row],[treatment_se]]*SQRT(Table1347456[[#This Row],[treatment_n]])</f>
        <v>0</v>
      </c>
      <c r="BE1508" s="14">
        <f>Table1347456[[#This Row],[control_se]]*SQRT(Table1347456[[#This Row],[control_n]])</f>
        <v>0</v>
      </c>
      <c r="BF150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08" s="17">
        <f>SQRT(Table1347456[[#This Row],[v_from_sd_and_n]])</f>
        <v>0</v>
      </c>
      <c r="BH1508" s="13" t="s">
        <v>50</v>
      </c>
      <c r="BI1508" s="13">
        <v>2.5000000000000001E-2</v>
      </c>
      <c r="BJ1508" s="18">
        <f>ABS(_xlfn.NORM.S.INV(Table1347456[[#This Row],[p_value]]/2))</f>
        <v>2.2414027276049446</v>
      </c>
      <c r="BK1508" s="19">
        <f>(Table1347456[[#This Row],[lnrr]]/Table1347456[[#This Row],[z_from_p]])^2</f>
        <v>1.0965983429367452E-2</v>
      </c>
      <c r="BL1508" s="16">
        <f>(Table1347456[[#This Row],[lnrr]]/Table1347456[[#This Row],[z_from_p]])^2</f>
        <v>1.0965983429367452E-2</v>
      </c>
      <c r="BM1508" s="20">
        <f>SQRT(Table1347456[[#This Row],[v]])</f>
        <v>0.10471859161279554</v>
      </c>
      <c r="BN1508" s="20">
        <f>Table1347456[[#This Row],[lnrr]]-(1.96*Table1347456[[#This Row],[se]])</f>
        <v>2.9468097310788949E-2</v>
      </c>
      <c r="BO1508" s="20">
        <f>Table1347456[[#This Row],[lnrr]]+(1.96 * Table1347456[[#This Row],[se]])</f>
        <v>0.43996497643294741</v>
      </c>
    </row>
    <row r="1509" spans="1:67">
      <c r="A1509" s="13" t="s">
        <v>395</v>
      </c>
      <c r="B1509" s="13" t="s">
        <v>453</v>
      </c>
      <c r="C1509" s="13" t="s">
        <v>43</v>
      </c>
      <c r="D1509" s="13" t="s">
        <v>397</v>
      </c>
      <c r="E1509" s="13" t="s">
        <v>454</v>
      </c>
      <c r="F1509" s="13" t="s">
        <v>586</v>
      </c>
      <c r="G1509" s="13" t="s">
        <v>46</v>
      </c>
      <c r="H1509" s="13">
        <v>14.53</v>
      </c>
      <c r="I1509" s="13">
        <v>362</v>
      </c>
      <c r="J1509" s="13" t="s">
        <v>673</v>
      </c>
      <c r="K1509" s="13" t="s">
        <v>986</v>
      </c>
      <c r="L1509" s="13" t="s">
        <v>987</v>
      </c>
      <c r="M1509" s="13" t="s">
        <v>798</v>
      </c>
      <c r="N1509" s="13" t="s">
        <v>317</v>
      </c>
      <c r="O1509" s="13" t="s">
        <v>644</v>
      </c>
      <c r="P1509" s="13" t="s">
        <v>399</v>
      </c>
      <c r="Q1509" s="13" t="s">
        <v>48</v>
      </c>
      <c r="R1509" s="4">
        <v>4</v>
      </c>
      <c r="S1509" s="13" t="s">
        <v>594</v>
      </c>
      <c r="T1509" s="13">
        <v>730</v>
      </c>
      <c r="U1509" s="4" t="s">
        <v>186</v>
      </c>
      <c r="V1509" s="4">
        <v>575</v>
      </c>
      <c r="W1509" s="4" t="s">
        <v>601</v>
      </c>
      <c r="X1509" s="4">
        <v>883</v>
      </c>
      <c r="Y1509" s="4">
        <v>5</v>
      </c>
      <c r="AA1509" s="4" t="s">
        <v>49</v>
      </c>
      <c r="AB1509" s="4">
        <v>0</v>
      </c>
      <c r="AC1509" s="4" t="s">
        <v>49</v>
      </c>
      <c r="AD1509" s="4">
        <v>0</v>
      </c>
      <c r="AE1509" s="4" t="s">
        <v>49</v>
      </c>
      <c r="AF1509" s="4">
        <v>0</v>
      </c>
      <c r="AG1509" s="4" t="s">
        <v>46</v>
      </c>
      <c r="AH1509" s="4" t="s">
        <v>773</v>
      </c>
      <c r="AI1509" s="4" t="s">
        <v>297</v>
      </c>
      <c r="AJ1509" s="13">
        <v>0</v>
      </c>
      <c r="AK1509" s="13">
        <v>20</v>
      </c>
      <c r="AM1509" s="13" t="s">
        <v>574</v>
      </c>
      <c r="AP1509" s="13" t="s">
        <v>50</v>
      </c>
      <c r="AQ1509" s="13" t="s">
        <v>49</v>
      </c>
      <c r="AR1509" s="13" t="s">
        <v>49</v>
      </c>
      <c r="AS1509" s="13" t="s">
        <v>50</v>
      </c>
      <c r="AT1509" s="13" t="s">
        <v>990</v>
      </c>
      <c r="AU1509" s="13" t="s">
        <v>998</v>
      </c>
      <c r="AV1509" s="23">
        <f>(0.8*1.11)/1000</f>
        <v>8.8800000000000012E-4</v>
      </c>
      <c r="AW1509" s="23">
        <f>(1.3*1.11)/1000</f>
        <v>1.4430000000000003E-3</v>
      </c>
      <c r="AX1509" s="14">
        <f>Table1347456[[#This Row],[treatment_mean]]/Table1347456[[#This Row],[control_mean]]</f>
        <v>0.61538461538461531</v>
      </c>
      <c r="AY1509" s="14">
        <f>LN(Table1347456[[#This Row],[rr]])</f>
        <v>-0.48550781578170094</v>
      </c>
      <c r="AZ1509" s="13">
        <v>4</v>
      </c>
      <c r="BA1509" s="13">
        <v>4</v>
      </c>
      <c r="BB1509" s="14">
        <v>0</v>
      </c>
      <c r="BC1509" s="14">
        <v>0</v>
      </c>
      <c r="BD1509" s="15">
        <f>Table1347456[[#This Row],[treatment_se]]*SQRT(Table1347456[[#This Row],[treatment_n]])</f>
        <v>0</v>
      </c>
      <c r="BE1509" s="14">
        <f>Table1347456[[#This Row],[control_se]]*SQRT(Table1347456[[#This Row],[control_n]])</f>
        <v>0</v>
      </c>
      <c r="BF150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09" s="17">
        <f>SQRT(Table1347456[[#This Row],[v_from_sd_and_n]])</f>
        <v>0</v>
      </c>
      <c r="BH1509" s="13" t="s">
        <v>49</v>
      </c>
      <c r="BI1509" s="13">
        <v>0.52500000000000002</v>
      </c>
      <c r="BJ1509" s="18">
        <f>ABS(_xlfn.NORM.S.INV(Table1347456[[#This Row],[p_value]]/2))</f>
        <v>0.63565701369758276</v>
      </c>
      <c r="BK1509" s="19">
        <f>(Table1347456[[#This Row],[lnrr]]/Table1347456[[#This Row],[z_from_p]])^2</f>
        <v>0.58337359073294837</v>
      </c>
      <c r="BL1509" s="16">
        <f>(Table1347456[[#This Row],[lnrr]]/Table1347456[[#This Row],[z_from_p]])^2</f>
        <v>0.58337359073294837</v>
      </c>
      <c r="BM1509" s="20">
        <f>SQRT(Table1347456[[#This Row],[v]])</f>
        <v>0.76378897002571877</v>
      </c>
      <c r="BN1509" s="20">
        <f>Table1347456[[#This Row],[lnrr]]-(1.96*Table1347456[[#This Row],[se]])</f>
        <v>-1.9825341970321098</v>
      </c>
      <c r="BO1509" s="20">
        <f>Table1347456[[#This Row],[lnrr]]+(1.96 * Table1347456[[#This Row],[se]])</f>
        <v>1.0115185654687078</v>
      </c>
    </row>
    <row r="1510" spans="1:67">
      <c r="A1510" s="13" t="s">
        <v>395</v>
      </c>
      <c r="B1510" s="13" t="s">
        <v>453</v>
      </c>
      <c r="C1510" s="13" t="s">
        <v>43</v>
      </c>
      <c r="D1510" s="13" t="s">
        <v>397</v>
      </c>
      <c r="E1510" s="13" t="s">
        <v>454</v>
      </c>
      <c r="F1510" s="13" t="s">
        <v>586</v>
      </c>
      <c r="G1510" s="13" t="s">
        <v>46</v>
      </c>
      <c r="H1510" s="13">
        <v>14.53</v>
      </c>
      <c r="I1510" s="13">
        <v>362</v>
      </c>
      <c r="J1510" s="13" t="s">
        <v>673</v>
      </c>
      <c r="K1510" s="13" t="s">
        <v>986</v>
      </c>
      <c r="L1510" s="13" t="s">
        <v>987</v>
      </c>
      <c r="M1510" s="13" t="s">
        <v>798</v>
      </c>
      <c r="N1510" s="13" t="s">
        <v>317</v>
      </c>
      <c r="O1510" s="13" t="s">
        <v>644</v>
      </c>
      <c r="P1510" s="13" t="s">
        <v>399</v>
      </c>
      <c r="Q1510" s="13" t="s">
        <v>48</v>
      </c>
      <c r="R1510" s="4">
        <v>4</v>
      </c>
      <c r="S1510" s="13" t="s">
        <v>594</v>
      </c>
      <c r="T1510" s="13">
        <v>730</v>
      </c>
      <c r="U1510" s="4" t="s">
        <v>186</v>
      </c>
      <c r="V1510" s="4">
        <v>575</v>
      </c>
      <c r="W1510" s="4" t="s">
        <v>601</v>
      </c>
      <c r="X1510" s="4">
        <v>883</v>
      </c>
      <c r="Y1510" s="4">
        <v>10</v>
      </c>
      <c r="AA1510" s="4" t="s">
        <v>49</v>
      </c>
      <c r="AB1510" s="4">
        <v>0</v>
      </c>
      <c r="AC1510" s="4" t="s">
        <v>49</v>
      </c>
      <c r="AD1510" s="4">
        <v>0</v>
      </c>
      <c r="AE1510" s="4" t="s">
        <v>49</v>
      </c>
      <c r="AF1510" s="4">
        <v>0</v>
      </c>
      <c r="AG1510" s="4" t="s">
        <v>46</v>
      </c>
      <c r="AH1510" s="4" t="s">
        <v>773</v>
      </c>
      <c r="AI1510" s="4" t="s">
        <v>297</v>
      </c>
      <c r="AJ1510" s="13">
        <v>0</v>
      </c>
      <c r="AK1510" s="13">
        <v>20</v>
      </c>
      <c r="AM1510" s="13" t="s">
        <v>574</v>
      </c>
      <c r="AP1510" s="13" t="s">
        <v>50</v>
      </c>
      <c r="AQ1510" s="13" t="s">
        <v>49</v>
      </c>
      <c r="AR1510" s="13" t="s">
        <v>49</v>
      </c>
      <c r="AS1510" s="13" t="s">
        <v>50</v>
      </c>
      <c r="AT1510" s="13" t="s">
        <v>990</v>
      </c>
      <c r="AU1510" s="13" t="s">
        <v>998</v>
      </c>
      <c r="AV1510" s="23">
        <f>(1.4*1.11)/1000</f>
        <v>1.554E-3</v>
      </c>
      <c r="AW1510" s="23">
        <f>(1.3*1.11)/1000</f>
        <v>1.4430000000000003E-3</v>
      </c>
      <c r="AX1510" s="14">
        <f>Table1347456[[#This Row],[treatment_mean]]/Table1347456[[#This Row],[control_mean]]</f>
        <v>1.0769230769230766</v>
      </c>
      <c r="AY1510" s="14">
        <f>LN(Table1347456[[#This Row],[rr]])</f>
        <v>7.4107972153721627E-2</v>
      </c>
      <c r="AZ1510" s="13">
        <v>4</v>
      </c>
      <c r="BA1510" s="13">
        <v>4</v>
      </c>
      <c r="BB1510" s="14">
        <v>0</v>
      </c>
      <c r="BC1510" s="14">
        <v>0</v>
      </c>
      <c r="BD1510" s="15">
        <f>Table1347456[[#This Row],[treatment_se]]*SQRT(Table1347456[[#This Row],[treatment_n]])</f>
        <v>0</v>
      </c>
      <c r="BE1510" s="14">
        <f>Table1347456[[#This Row],[control_se]]*SQRT(Table1347456[[#This Row],[control_n]])</f>
        <v>0</v>
      </c>
      <c r="BF151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10" s="17">
        <f>SQRT(Table1347456[[#This Row],[v_from_sd_and_n]])</f>
        <v>0</v>
      </c>
      <c r="BH1510" s="13" t="s">
        <v>49</v>
      </c>
      <c r="BI1510" s="13">
        <v>0.52500000000000002</v>
      </c>
      <c r="BJ1510" s="18">
        <f>ABS(_xlfn.NORM.S.INV(Table1347456[[#This Row],[p_value]]/2))</f>
        <v>0.63565701369758276</v>
      </c>
      <c r="BK1510" s="19">
        <f>(Table1347456[[#This Row],[lnrr]]/Table1347456[[#This Row],[z_from_p]])^2</f>
        <v>1.3592025254164022E-2</v>
      </c>
      <c r="BL1510" s="16">
        <f>(Table1347456[[#This Row],[lnrr]]/Table1347456[[#This Row],[z_from_p]])^2</f>
        <v>1.3592025254164022E-2</v>
      </c>
      <c r="BM1510" s="20">
        <f>SQRT(Table1347456[[#This Row],[v]])</f>
        <v>0.11658484144246208</v>
      </c>
      <c r="BN1510" s="20">
        <f>Table1347456[[#This Row],[lnrr]]-(1.96*Table1347456[[#This Row],[se]])</f>
        <v>-0.15439831707350404</v>
      </c>
      <c r="BO1510" s="20">
        <f>Table1347456[[#This Row],[lnrr]]+(1.96 * Table1347456[[#This Row],[se]])</f>
        <v>0.30261426138094727</v>
      </c>
    </row>
    <row r="1511" spans="1:67">
      <c r="A1511" s="13" t="s">
        <v>395</v>
      </c>
      <c r="B1511" s="13" t="s">
        <v>453</v>
      </c>
      <c r="C1511" s="13" t="s">
        <v>43</v>
      </c>
      <c r="D1511" s="13" t="s">
        <v>397</v>
      </c>
      <c r="E1511" s="13" t="s">
        <v>454</v>
      </c>
      <c r="F1511" s="13" t="s">
        <v>586</v>
      </c>
      <c r="G1511" s="13" t="s">
        <v>46</v>
      </c>
      <c r="H1511" s="13">
        <v>14.53</v>
      </c>
      <c r="I1511" s="13">
        <v>362</v>
      </c>
      <c r="J1511" s="13" t="s">
        <v>673</v>
      </c>
      <c r="K1511" s="13" t="s">
        <v>986</v>
      </c>
      <c r="L1511" s="13" t="s">
        <v>987</v>
      </c>
      <c r="M1511" s="13" t="s">
        <v>798</v>
      </c>
      <c r="N1511" s="13" t="s">
        <v>317</v>
      </c>
      <c r="O1511" s="13" t="s">
        <v>644</v>
      </c>
      <c r="P1511" s="13" t="s">
        <v>399</v>
      </c>
      <c r="Q1511" s="13" t="s">
        <v>48</v>
      </c>
      <c r="R1511" s="4">
        <v>4</v>
      </c>
      <c r="S1511" s="13" t="s">
        <v>594</v>
      </c>
      <c r="T1511" s="13">
        <v>730</v>
      </c>
      <c r="U1511" s="4" t="s">
        <v>186</v>
      </c>
      <c r="V1511" s="4">
        <v>575</v>
      </c>
      <c r="W1511" s="4" t="s">
        <v>601</v>
      </c>
      <c r="X1511" s="4">
        <v>883</v>
      </c>
      <c r="Y1511" s="4">
        <v>20</v>
      </c>
      <c r="AA1511" s="4" t="s">
        <v>49</v>
      </c>
      <c r="AB1511" s="4">
        <v>0</v>
      </c>
      <c r="AC1511" s="4" t="s">
        <v>49</v>
      </c>
      <c r="AD1511" s="4">
        <v>0</v>
      </c>
      <c r="AE1511" s="4" t="s">
        <v>49</v>
      </c>
      <c r="AF1511" s="4">
        <v>0</v>
      </c>
      <c r="AG1511" s="4" t="s">
        <v>46</v>
      </c>
      <c r="AH1511" s="4" t="s">
        <v>773</v>
      </c>
      <c r="AI1511" s="4" t="s">
        <v>297</v>
      </c>
      <c r="AJ1511" s="13">
        <v>0</v>
      </c>
      <c r="AK1511" s="13">
        <v>20</v>
      </c>
      <c r="AM1511" s="13" t="s">
        <v>574</v>
      </c>
      <c r="AP1511" s="13" t="s">
        <v>50</v>
      </c>
      <c r="AQ1511" s="13" t="s">
        <v>49</v>
      </c>
      <c r="AR1511" s="13" t="s">
        <v>49</v>
      </c>
      <c r="AS1511" s="13" t="s">
        <v>50</v>
      </c>
      <c r="AT1511" s="13" t="s">
        <v>990</v>
      </c>
      <c r="AU1511" s="13" t="s">
        <v>998</v>
      </c>
      <c r="AV1511" s="23">
        <f>(2.2*1.11)/1000</f>
        <v>2.4420000000000006E-3</v>
      </c>
      <c r="AW1511" s="23">
        <f>(1.3*1.11)/1000</f>
        <v>1.4430000000000003E-3</v>
      </c>
      <c r="AX1511" s="14">
        <f>Table1347456[[#This Row],[treatment_mean]]/Table1347456[[#This Row],[control_mean]]</f>
        <v>1.6923076923076923</v>
      </c>
      <c r="AY1511" s="14">
        <f>LN(Table1347456[[#This Row],[rr]])</f>
        <v>0.52609309589677911</v>
      </c>
      <c r="AZ1511" s="13">
        <v>4</v>
      </c>
      <c r="BA1511" s="13">
        <v>4</v>
      </c>
      <c r="BB1511" s="14">
        <v>0</v>
      </c>
      <c r="BC1511" s="14">
        <v>0</v>
      </c>
      <c r="BD1511" s="15">
        <f>Table1347456[[#This Row],[treatment_se]]*SQRT(Table1347456[[#This Row],[treatment_n]])</f>
        <v>0</v>
      </c>
      <c r="BE1511" s="14">
        <f>Table1347456[[#This Row],[control_se]]*SQRT(Table1347456[[#This Row],[control_n]])</f>
        <v>0</v>
      </c>
      <c r="BF151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11" s="17">
        <f>SQRT(Table1347456[[#This Row],[v_from_sd_and_n]])</f>
        <v>0</v>
      </c>
      <c r="BH1511" s="13" t="s">
        <v>49</v>
      </c>
      <c r="BI1511" s="13">
        <v>0.52500000000000002</v>
      </c>
      <c r="BJ1511" s="18">
        <f>ABS(_xlfn.NORM.S.INV(Table1347456[[#This Row],[p_value]]/2))</f>
        <v>0.63565701369758276</v>
      </c>
      <c r="BK1511" s="19">
        <f>(Table1347456[[#This Row],[lnrr]]/Table1347456[[#This Row],[z_from_p]])^2</f>
        <v>0.68498256642415889</v>
      </c>
      <c r="BL1511" s="16">
        <f>(Table1347456[[#This Row],[lnrr]]/Table1347456[[#This Row],[z_from_p]])^2</f>
        <v>0.68498256642415889</v>
      </c>
      <c r="BM1511" s="20">
        <f>SQRT(Table1347456[[#This Row],[v]])</f>
        <v>0.82763673578699903</v>
      </c>
      <c r="BN1511" s="20">
        <f>Table1347456[[#This Row],[lnrr]]-(1.96*Table1347456[[#This Row],[se]])</f>
        <v>-1.0960749062457389</v>
      </c>
      <c r="BO1511" s="20">
        <f>Table1347456[[#This Row],[lnrr]]+(1.96 * Table1347456[[#This Row],[se]])</f>
        <v>2.1482610980392973</v>
      </c>
    </row>
    <row r="1512" spans="1:67">
      <c r="A1512" s="13" t="s">
        <v>395</v>
      </c>
      <c r="B1512" s="13" t="s">
        <v>453</v>
      </c>
      <c r="C1512" s="13" t="s">
        <v>43</v>
      </c>
      <c r="D1512" s="13" t="s">
        <v>397</v>
      </c>
      <c r="E1512" s="13" t="s">
        <v>454</v>
      </c>
      <c r="F1512" s="13" t="s">
        <v>586</v>
      </c>
      <c r="G1512" s="13" t="s">
        <v>46</v>
      </c>
      <c r="H1512" s="13">
        <v>14.53</v>
      </c>
      <c r="I1512" s="13">
        <v>362</v>
      </c>
      <c r="J1512" s="13" t="s">
        <v>673</v>
      </c>
      <c r="K1512" s="13" t="s">
        <v>986</v>
      </c>
      <c r="L1512" s="13" t="s">
        <v>987</v>
      </c>
      <c r="M1512" s="13" t="s">
        <v>798</v>
      </c>
      <c r="N1512" s="13" t="s">
        <v>317</v>
      </c>
      <c r="O1512" s="13" t="s">
        <v>644</v>
      </c>
      <c r="P1512" s="13" t="s">
        <v>399</v>
      </c>
      <c r="Q1512" s="13" t="s">
        <v>48</v>
      </c>
      <c r="R1512" s="4">
        <v>4</v>
      </c>
      <c r="S1512" s="13" t="s">
        <v>594</v>
      </c>
      <c r="T1512" s="13">
        <v>730</v>
      </c>
      <c r="U1512" s="4" t="s">
        <v>186</v>
      </c>
      <c r="V1512" s="4">
        <v>575</v>
      </c>
      <c r="W1512" s="4" t="s">
        <v>601</v>
      </c>
      <c r="X1512" s="4">
        <v>883</v>
      </c>
      <c r="Y1512" s="4">
        <v>30</v>
      </c>
      <c r="AA1512" s="4" t="s">
        <v>49</v>
      </c>
      <c r="AB1512" s="4">
        <v>0</v>
      </c>
      <c r="AC1512" s="4" t="s">
        <v>49</v>
      </c>
      <c r="AD1512" s="4">
        <v>0</v>
      </c>
      <c r="AE1512" s="4" t="s">
        <v>49</v>
      </c>
      <c r="AF1512" s="4">
        <v>0</v>
      </c>
      <c r="AG1512" s="4" t="s">
        <v>46</v>
      </c>
      <c r="AH1512" s="4" t="s">
        <v>773</v>
      </c>
      <c r="AI1512" s="4" t="s">
        <v>297</v>
      </c>
      <c r="AJ1512" s="13">
        <v>0</v>
      </c>
      <c r="AK1512" s="13">
        <v>20</v>
      </c>
      <c r="AM1512" s="13" t="s">
        <v>574</v>
      </c>
      <c r="AP1512" s="13" t="s">
        <v>50</v>
      </c>
      <c r="AQ1512" s="13" t="s">
        <v>49</v>
      </c>
      <c r="AR1512" s="13" t="s">
        <v>49</v>
      </c>
      <c r="AS1512" s="13" t="s">
        <v>50</v>
      </c>
      <c r="AT1512" s="13" t="s">
        <v>990</v>
      </c>
      <c r="AU1512" s="13" t="s">
        <v>998</v>
      </c>
      <c r="AV1512" s="23">
        <f>(3.8*1.11)/1000</f>
        <v>4.2180000000000004E-3</v>
      </c>
      <c r="AW1512" s="23">
        <f>(1.3*1.11)/1000</f>
        <v>1.4430000000000003E-3</v>
      </c>
      <c r="AX1512" s="14">
        <f>Table1347456[[#This Row],[treatment_mean]]/Table1347456[[#This Row],[control_mean]]</f>
        <v>2.9230769230769229</v>
      </c>
      <c r="AY1512" s="14">
        <f>LN(Table1347456[[#This Row],[rr]])</f>
        <v>1.0726368022648489</v>
      </c>
      <c r="AZ1512" s="13">
        <v>4</v>
      </c>
      <c r="BA1512" s="13">
        <v>4</v>
      </c>
      <c r="BB1512" s="14">
        <v>0</v>
      </c>
      <c r="BC1512" s="14">
        <v>0</v>
      </c>
      <c r="BD1512" s="15">
        <f>Table1347456[[#This Row],[treatment_se]]*SQRT(Table1347456[[#This Row],[treatment_n]])</f>
        <v>0</v>
      </c>
      <c r="BE1512" s="14">
        <f>Table1347456[[#This Row],[control_se]]*SQRT(Table1347456[[#This Row],[control_n]])</f>
        <v>0</v>
      </c>
      <c r="BF151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12" s="17">
        <f>SQRT(Table1347456[[#This Row],[v_from_sd_and_n]])</f>
        <v>0</v>
      </c>
      <c r="BH1512" s="13" t="s">
        <v>49</v>
      </c>
      <c r="BI1512" s="13">
        <v>0.52500000000000002</v>
      </c>
      <c r="BJ1512" s="18">
        <f>ABS(_xlfn.NORM.S.INV(Table1347456[[#This Row],[p_value]]/2))</f>
        <v>0.63565701369758276</v>
      </c>
      <c r="BK1512" s="19">
        <f>(Table1347456[[#This Row],[lnrr]]/Table1347456[[#This Row],[z_from_p]])^2</f>
        <v>2.8474735629288119</v>
      </c>
      <c r="BL1512" s="16">
        <f>(Table1347456[[#This Row],[lnrr]]/Table1347456[[#This Row],[z_from_p]])^2</f>
        <v>2.8474735629288119</v>
      </c>
      <c r="BM1512" s="20">
        <f>SQRT(Table1347456[[#This Row],[v]])</f>
        <v>1.6874458696292489</v>
      </c>
      <c r="BN1512" s="20">
        <f>Table1347456[[#This Row],[lnrr]]-(1.96*Table1347456[[#This Row],[se]])</f>
        <v>-2.2347571022084791</v>
      </c>
      <c r="BO1512" s="20">
        <f>Table1347456[[#This Row],[lnrr]]+(1.96 * Table1347456[[#This Row],[se]])</f>
        <v>4.380030706738177</v>
      </c>
    </row>
    <row r="1513" spans="1:67">
      <c r="A1513" s="13" t="s">
        <v>395</v>
      </c>
      <c r="B1513" s="13" t="s">
        <v>453</v>
      </c>
      <c r="C1513" s="13" t="s">
        <v>43</v>
      </c>
      <c r="D1513" s="13" t="s">
        <v>397</v>
      </c>
      <c r="E1513" s="13" t="s">
        <v>454</v>
      </c>
      <c r="F1513" s="13" t="s">
        <v>586</v>
      </c>
      <c r="G1513" s="13" t="s">
        <v>46</v>
      </c>
      <c r="H1513" s="13">
        <v>14.53</v>
      </c>
      <c r="I1513" s="13">
        <v>362</v>
      </c>
      <c r="K1513" s="13" t="s">
        <v>986</v>
      </c>
      <c r="L1513" s="13" t="s">
        <v>987</v>
      </c>
      <c r="N1513" s="13" t="s">
        <v>400</v>
      </c>
      <c r="O1513" s="13" t="s">
        <v>644</v>
      </c>
      <c r="P1513" s="13" t="s">
        <v>399</v>
      </c>
      <c r="Q1513" s="13" t="s">
        <v>48</v>
      </c>
      <c r="R1513" s="4">
        <v>4</v>
      </c>
      <c r="S1513" s="13" t="s">
        <v>594</v>
      </c>
      <c r="T1513" s="13">
        <v>730</v>
      </c>
      <c r="U1513" s="4" t="s">
        <v>186</v>
      </c>
      <c r="V1513" s="4">
        <v>575</v>
      </c>
      <c r="W1513" s="4" t="s">
        <v>601</v>
      </c>
      <c r="X1513" s="4">
        <v>883</v>
      </c>
      <c r="Y1513" s="4">
        <v>5</v>
      </c>
      <c r="AA1513" s="4" t="s">
        <v>49</v>
      </c>
      <c r="AB1513" s="4">
        <v>0</v>
      </c>
      <c r="AC1513" s="4" t="s">
        <v>49</v>
      </c>
      <c r="AD1513" s="4">
        <v>0</v>
      </c>
      <c r="AE1513" s="4" t="s">
        <v>49</v>
      </c>
      <c r="AF1513" s="4">
        <v>0</v>
      </c>
      <c r="AG1513" s="4" t="s">
        <v>46</v>
      </c>
      <c r="AH1513" s="4" t="s">
        <v>773</v>
      </c>
      <c r="AI1513" s="4" t="s">
        <v>297</v>
      </c>
      <c r="AJ1513" s="13">
        <v>0</v>
      </c>
      <c r="AK1513" s="13">
        <v>20</v>
      </c>
      <c r="AM1513" s="13" t="s">
        <v>574</v>
      </c>
      <c r="AP1513" s="13" t="s">
        <v>50</v>
      </c>
      <c r="AQ1513" s="13" t="s">
        <v>49</v>
      </c>
      <c r="AR1513" s="13" t="s">
        <v>49</v>
      </c>
      <c r="AS1513" s="13" t="s">
        <v>50</v>
      </c>
      <c r="AT1513" s="13" t="s">
        <v>990</v>
      </c>
      <c r="AU1513" s="13" t="s">
        <v>998</v>
      </c>
      <c r="AV1513" s="14">
        <f>(10*1.11)/1000</f>
        <v>1.1100000000000002E-2</v>
      </c>
      <c r="AW1513" s="14">
        <f>(12*1.11)/1000</f>
        <v>1.332E-2</v>
      </c>
      <c r="AX1513" s="14">
        <f>Table1347456[[#This Row],[treatment_mean]]/Table1347456[[#This Row],[control_mean]]</f>
        <v>0.83333333333333348</v>
      </c>
      <c r="AY1513" s="14">
        <f>LN(Table1347456[[#This Row],[rr]])</f>
        <v>-0.18232155679395445</v>
      </c>
      <c r="AZ1513" s="13">
        <v>4</v>
      </c>
      <c r="BA1513" s="13">
        <v>4</v>
      </c>
      <c r="BB1513" s="14">
        <v>0</v>
      </c>
      <c r="BC1513" s="14">
        <v>0</v>
      </c>
      <c r="BD1513" s="15">
        <f>Table1347456[[#This Row],[treatment_se]]*SQRT(Table1347456[[#This Row],[treatment_n]])</f>
        <v>0</v>
      </c>
      <c r="BE1513" s="14">
        <f>Table1347456[[#This Row],[control_se]]*SQRT(Table1347456[[#This Row],[control_n]])</f>
        <v>0</v>
      </c>
      <c r="BF151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13" s="17">
        <f>SQRT(Table1347456[[#This Row],[v_from_sd_and_n]])</f>
        <v>0</v>
      </c>
      <c r="BH1513" s="13" t="s">
        <v>50</v>
      </c>
      <c r="BI1513" s="13">
        <v>5.0000000000000001E-3</v>
      </c>
      <c r="BJ1513" s="18">
        <f>ABS(_xlfn.NORM.S.INV(Table1347456[[#This Row],[p_value]]/2))</f>
        <v>2.8070337683438042</v>
      </c>
      <c r="BK1513" s="19">
        <f>(Table1347456[[#This Row],[lnrr]]/Table1347456[[#This Row],[z_from_p]])^2</f>
        <v>4.2187206294614244E-3</v>
      </c>
      <c r="BL1513" s="16">
        <f>(Table1347456[[#This Row],[lnrr]]/Table1347456[[#This Row],[z_from_p]])^2</f>
        <v>4.2187206294614244E-3</v>
      </c>
      <c r="BM1513" s="20">
        <f>SQRT(Table1347456[[#This Row],[v]])</f>
        <v>6.495167918892801E-2</v>
      </c>
      <c r="BN1513" s="20">
        <f>Table1347456[[#This Row],[lnrr]]-(1.96*Table1347456[[#This Row],[se]])</f>
        <v>-0.30962684800425333</v>
      </c>
      <c r="BO1513" s="20">
        <f>Table1347456[[#This Row],[lnrr]]+(1.96 * Table1347456[[#This Row],[se]])</f>
        <v>-5.5016265583655549E-2</v>
      </c>
    </row>
    <row r="1514" spans="1:67">
      <c r="A1514" s="13" t="s">
        <v>395</v>
      </c>
      <c r="B1514" s="13" t="s">
        <v>453</v>
      </c>
      <c r="C1514" s="13" t="s">
        <v>43</v>
      </c>
      <c r="D1514" s="13" t="s">
        <v>397</v>
      </c>
      <c r="E1514" s="13" t="s">
        <v>454</v>
      </c>
      <c r="F1514" s="13" t="s">
        <v>586</v>
      </c>
      <c r="G1514" s="13" t="s">
        <v>46</v>
      </c>
      <c r="H1514" s="13">
        <v>14.53</v>
      </c>
      <c r="I1514" s="13">
        <v>362</v>
      </c>
      <c r="K1514" s="13" t="s">
        <v>986</v>
      </c>
      <c r="L1514" s="13" t="s">
        <v>987</v>
      </c>
      <c r="N1514" s="13" t="s">
        <v>400</v>
      </c>
      <c r="O1514" s="13" t="s">
        <v>644</v>
      </c>
      <c r="P1514" s="13" t="s">
        <v>399</v>
      </c>
      <c r="Q1514" s="13" t="s">
        <v>48</v>
      </c>
      <c r="R1514" s="4">
        <v>4</v>
      </c>
      <c r="S1514" s="13" t="s">
        <v>594</v>
      </c>
      <c r="T1514" s="13">
        <v>730</v>
      </c>
      <c r="U1514" s="4" t="s">
        <v>186</v>
      </c>
      <c r="V1514" s="4">
        <v>575</v>
      </c>
      <c r="W1514" s="4" t="s">
        <v>601</v>
      </c>
      <c r="X1514" s="4">
        <v>883</v>
      </c>
      <c r="Y1514" s="4">
        <v>10</v>
      </c>
      <c r="AA1514" s="4" t="s">
        <v>49</v>
      </c>
      <c r="AB1514" s="4">
        <v>0</v>
      </c>
      <c r="AC1514" s="4" t="s">
        <v>49</v>
      </c>
      <c r="AD1514" s="4">
        <v>0</v>
      </c>
      <c r="AE1514" s="4" t="s">
        <v>49</v>
      </c>
      <c r="AF1514" s="4">
        <v>0</v>
      </c>
      <c r="AG1514" s="4" t="s">
        <v>46</v>
      </c>
      <c r="AH1514" s="4" t="s">
        <v>773</v>
      </c>
      <c r="AI1514" s="4" t="s">
        <v>297</v>
      </c>
      <c r="AJ1514" s="13">
        <v>0</v>
      </c>
      <c r="AK1514" s="13">
        <v>20</v>
      </c>
      <c r="AM1514" s="13" t="s">
        <v>574</v>
      </c>
      <c r="AP1514" s="13" t="s">
        <v>50</v>
      </c>
      <c r="AQ1514" s="13" t="s">
        <v>49</v>
      </c>
      <c r="AR1514" s="13" t="s">
        <v>49</v>
      </c>
      <c r="AS1514" s="13" t="s">
        <v>50</v>
      </c>
      <c r="AT1514" s="13" t="s">
        <v>990</v>
      </c>
      <c r="AU1514" s="13" t="s">
        <v>998</v>
      </c>
      <c r="AV1514" s="14">
        <f>(5*1.11)/1000</f>
        <v>5.5500000000000011E-3</v>
      </c>
      <c r="AW1514" s="14">
        <f>(12*1.11)/1000</f>
        <v>1.332E-2</v>
      </c>
      <c r="AX1514" s="14">
        <f>Table1347456[[#This Row],[treatment_mean]]/Table1347456[[#This Row],[control_mean]]</f>
        <v>0.41666666666666674</v>
      </c>
      <c r="AY1514" s="14">
        <f>LN(Table1347456[[#This Row],[rr]])</f>
        <v>-0.87546873735389974</v>
      </c>
      <c r="AZ1514" s="13">
        <v>4</v>
      </c>
      <c r="BA1514" s="13">
        <v>4</v>
      </c>
      <c r="BB1514" s="14">
        <v>0</v>
      </c>
      <c r="BC1514" s="14">
        <v>0</v>
      </c>
      <c r="BD1514" s="15">
        <f>Table1347456[[#This Row],[treatment_se]]*SQRT(Table1347456[[#This Row],[treatment_n]])</f>
        <v>0</v>
      </c>
      <c r="BE1514" s="14">
        <f>Table1347456[[#This Row],[control_se]]*SQRT(Table1347456[[#This Row],[control_n]])</f>
        <v>0</v>
      </c>
      <c r="BF151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14" s="17">
        <f>SQRT(Table1347456[[#This Row],[v_from_sd_and_n]])</f>
        <v>0</v>
      </c>
      <c r="BH1514" s="13" t="s">
        <v>50</v>
      </c>
      <c r="BI1514" s="13">
        <v>5.0000000000000001E-3</v>
      </c>
      <c r="BJ1514" s="18">
        <f>ABS(_xlfn.NORM.S.INV(Table1347456[[#This Row],[p_value]]/2))</f>
        <v>2.8070337683438042</v>
      </c>
      <c r="BK1514" s="19">
        <f>(Table1347456[[#This Row],[lnrr]]/Table1347456[[#This Row],[z_from_p]])^2</f>
        <v>9.7271588912185444E-2</v>
      </c>
      <c r="BL1514" s="16">
        <f>(Table1347456[[#This Row],[lnrr]]/Table1347456[[#This Row],[z_from_p]])^2</f>
        <v>9.7271588912185444E-2</v>
      </c>
      <c r="BM1514" s="20">
        <f>SQRT(Table1347456[[#This Row],[v]])</f>
        <v>0.31188393500176542</v>
      </c>
      <c r="BN1514" s="20">
        <f>Table1347456[[#This Row],[lnrr]]-(1.96*Table1347456[[#This Row],[se]])</f>
        <v>-1.4867612499573599</v>
      </c>
      <c r="BO1514" s="20">
        <f>Table1347456[[#This Row],[lnrr]]+(1.96 * Table1347456[[#This Row],[se]])</f>
        <v>-0.26417622475043956</v>
      </c>
    </row>
    <row r="1515" spans="1:67">
      <c r="A1515" s="13" t="s">
        <v>395</v>
      </c>
      <c r="B1515" s="13" t="s">
        <v>453</v>
      </c>
      <c r="C1515" s="13" t="s">
        <v>43</v>
      </c>
      <c r="D1515" s="13" t="s">
        <v>397</v>
      </c>
      <c r="E1515" s="13" t="s">
        <v>454</v>
      </c>
      <c r="F1515" s="13" t="s">
        <v>586</v>
      </c>
      <c r="G1515" s="13" t="s">
        <v>46</v>
      </c>
      <c r="H1515" s="13">
        <v>14.53</v>
      </c>
      <c r="I1515" s="13">
        <v>362</v>
      </c>
      <c r="K1515" s="13" t="s">
        <v>986</v>
      </c>
      <c r="L1515" s="13" t="s">
        <v>987</v>
      </c>
      <c r="N1515" s="13" t="s">
        <v>400</v>
      </c>
      <c r="O1515" s="13" t="s">
        <v>644</v>
      </c>
      <c r="P1515" s="13" t="s">
        <v>399</v>
      </c>
      <c r="Q1515" s="13" t="s">
        <v>48</v>
      </c>
      <c r="R1515" s="4">
        <v>4</v>
      </c>
      <c r="S1515" s="13" t="s">
        <v>594</v>
      </c>
      <c r="T1515" s="13">
        <v>730</v>
      </c>
      <c r="U1515" s="4" t="s">
        <v>186</v>
      </c>
      <c r="V1515" s="4">
        <v>575</v>
      </c>
      <c r="W1515" s="4" t="s">
        <v>601</v>
      </c>
      <c r="X1515" s="4">
        <v>883</v>
      </c>
      <c r="Y1515" s="4">
        <v>20</v>
      </c>
      <c r="AA1515" s="4" t="s">
        <v>49</v>
      </c>
      <c r="AB1515" s="4">
        <v>0</v>
      </c>
      <c r="AC1515" s="4" t="s">
        <v>49</v>
      </c>
      <c r="AD1515" s="4">
        <v>0</v>
      </c>
      <c r="AE1515" s="4" t="s">
        <v>49</v>
      </c>
      <c r="AF1515" s="4">
        <v>0</v>
      </c>
      <c r="AG1515" s="4" t="s">
        <v>46</v>
      </c>
      <c r="AH1515" s="4" t="s">
        <v>773</v>
      </c>
      <c r="AI1515" s="4" t="s">
        <v>297</v>
      </c>
      <c r="AJ1515" s="13">
        <v>0</v>
      </c>
      <c r="AK1515" s="13">
        <v>20</v>
      </c>
      <c r="AM1515" s="13" t="s">
        <v>574</v>
      </c>
      <c r="AP1515" s="13" t="s">
        <v>50</v>
      </c>
      <c r="AQ1515" s="13" t="s">
        <v>49</v>
      </c>
      <c r="AR1515" s="13" t="s">
        <v>49</v>
      </c>
      <c r="AS1515" s="13" t="s">
        <v>50</v>
      </c>
      <c r="AT1515" s="13" t="s">
        <v>990</v>
      </c>
      <c r="AU1515" s="13" t="s">
        <v>998</v>
      </c>
      <c r="AV1515" s="14">
        <f>(18*1.11)/1000</f>
        <v>1.9980000000000001E-2</v>
      </c>
      <c r="AW1515" s="14">
        <f>(12*1.11)/1000</f>
        <v>1.332E-2</v>
      </c>
      <c r="AX1515" s="14">
        <f>Table1347456[[#This Row],[treatment_mean]]/Table1347456[[#This Row],[control_mean]]</f>
        <v>1.5</v>
      </c>
      <c r="AY1515" s="14">
        <f>LN(Table1347456[[#This Row],[rr]])</f>
        <v>0.40546510810816438</v>
      </c>
      <c r="AZ1515" s="13">
        <v>4</v>
      </c>
      <c r="BA1515" s="13">
        <v>4</v>
      </c>
      <c r="BB1515" s="14">
        <v>0</v>
      </c>
      <c r="BC1515" s="14">
        <v>0</v>
      </c>
      <c r="BD1515" s="15">
        <f>Table1347456[[#This Row],[treatment_se]]*SQRT(Table1347456[[#This Row],[treatment_n]])</f>
        <v>0</v>
      </c>
      <c r="BE1515" s="14">
        <f>Table1347456[[#This Row],[control_se]]*SQRT(Table1347456[[#This Row],[control_n]])</f>
        <v>0</v>
      </c>
      <c r="BF151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15" s="17">
        <f>SQRT(Table1347456[[#This Row],[v_from_sd_and_n]])</f>
        <v>0</v>
      </c>
      <c r="BH1515" s="13" t="s">
        <v>50</v>
      </c>
      <c r="BI1515" s="13">
        <v>5.0000000000000001E-3</v>
      </c>
      <c r="BJ1515" s="18">
        <f>ABS(_xlfn.NORM.S.INV(Table1347456[[#This Row],[p_value]]/2))</f>
        <v>2.8070337683438042</v>
      </c>
      <c r="BK1515" s="19">
        <f>(Table1347456[[#This Row],[lnrr]]/Table1347456[[#This Row],[z_from_p]])^2</f>
        <v>2.0864678656285381E-2</v>
      </c>
      <c r="BL1515" s="16">
        <f>(Table1347456[[#This Row],[lnrr]]/Table1347456[[#This Row],[z_from_p]])^2</f>
        <v>2.0864678656285381E-2</v>
      </c>
      <c r="BM1515" s="20">
        <f>SQRT(Table1347456[[#This Row],[v]])</f>
        <v>0.14444610986899364</v>
      </c>
      <c r="BN1515" s="20">
        <f>Table1347456[[#This Row],[lnrr]]-(1.96*Table1347456[[#This Row],[se]])</f>
        <v>0.12235073276493685</v>
      </c>
      <c r="BO1515" s="20">
        <f>Table1347456[[#This Row],[lnrr]]+(1.96 * Table1347456[[#This Row],[se]])</f>
        <v>0.68857948345139186</v>
      </c>
    </row>
    <row r="1516" spans="1:67">
      <c r="A1516" s="13" t="s">
        <v>395</v>
      </c>
      <c r="B1516" s="13" t="s">
        <v>453</v>
      </c>
      <c r="C1516" s="13" t="s">
        <v>43</v>
      </c>
      <c r="D1516" s="13" t="s">
        <v>397</v>
      </c>
      <c r="E1516" s="13" t="s">
        <v>454</v>
      </c>
      <c r="F1516" s="13" t="s">
        <v>586</v>
      </c>
      <c r="G1516" s="13" t="s">
        <v>46</v>
      </c>
      <c r="H1516" s="13">
        <v>14.53</v>
      </c>
      <c r="I1516" s="13">
        <v>362</v>
      </c>
      <c r="K1516" s="13" t="s">
        <v>986</v>
      </c>
      <c r="L1516" s="13" t="s">
        <v>987</v>
      </c>
      <c r="N1516" s="13" t="s">
        <v>400</v>
      </c>
      <c r="O1516" s="13" t="s">
        <v>644</v>
      </c>
      <c r="P1516" s="13" t="s">
        <v>399</v>
      </c>
      <c r="Q1516" s="13" t="s">
        <v>48</v>
      </c>
      <c r="R1516" s="4">
        <v>4</v>
      </c>
      <c r="S1516" s="13" t="s">
        <v>594</v>
      </c>
      <c r="T1516" s="13">
        <v>730</v>
      </c>
      <c r="U1516" s="4" t="s">
        <v>186</v>
      </c>
      <c r="V1516" s="4">
        <v>575</v>
      </c>
      <c r="W1516" s="4" t="s">
        <v>601</v>
      </c>
      <c r="X1516" s="4">
        <v>883</v>
      </c>
      <c r="Y1516" s="4">
        <v>30</v>
      </c>
      <c r="AA1516" s="4" t="s">
        <v>49</v>
      </c>
      <c r="AB1516" s="4">
        <v>0</v>
      </c>
      <c r="AC1516" s="4" t="s">
        <v>49</v>
      </c>
      <c r="AD1516" s="4">
        <v>0</v>
      </c>
      <c r="AE1516" s="4" t="s">
        <v>49</v>
      </c>
      <c r="AF1516" s="4">
        <v>0</v>
      </c>
      <c r="AG1516" s="4" t="s">
        <v>46</v>
      </c>
      <c r="AH1516" s="4" t="s">
        <v>773</v>
      </c>
      <c r="AI1516" s="4" t="s">
        <v>297</v>
      </c>
      <c r="AJ1516" s="13">
        <v>0</v>
      </c>
      <c r="AK1516" s="13">
        <v>20</v>
      </c>
      <c r="AM1516" s="13" t="s">
        <v>574</v>
      </c>
      <c r="AP1516" s="13" t="s">
        <v>50</v>
      </c>
      <c r="AQ1516" s="13" t="s">
        <v>49</v>
      </c>
      <c r="AR1516" s="13" t="s">
        <v>49</v>
      </c>
      <c r="AS1516" s="13" t="s">
        <v>50</v>
      </c>
      <c r="AT1516" s="13" t="s">
        <v>990</v>
      </c>
      <c r="AU1516" s="13" t="s">
        <v>998</v>
      </c>
      <c r="AV1516" s="14">
        <f>(36*1.11)/1000</f>
        <v>3.9960000000000002E-2</v>
      </c>
      <c r="AW1516" s="14">
        <f>(12*1.11)/1000</f>
        <v>1.332E-2</v>
      </c>
      <c r="AX1516" s="14">
        <f>Table1347456[[#This Row],[treatment_mean]]/Table1347456[[#This Row],[control_mean]]</f>
        <v>3</v>
      </c>
      <c r="AY1516" s="14">
        <f>LN(Table1347456[[#This Row],[rr]])</f>
        <v>1.0986122886681098</v>
      </c>
      <c r="AZ1516" s="13">
        <v>4</v>
      </c>
      <c r="BA1516" s="13">
        <v>4</v>
      </c>
      <c r="BB1516" s="14">
        <v>0</v>
      </c>
      <c r="BC1516" s="14">
        <v>0</v>
      </c>
      <c r="BD1516" s="15">
        <f>Table1347456[[#This Row],[treatment_se]]*SQRT(Table1347456[[#This Row],[treatment_n]])</f>
        <v>0</v>
      </c>
      <c r="BE1516" s="14">
        <f>Table1347456[[#This Row],[control_se]]*SQRT(Table1347456[[#This Row],[control_n]])</f>
        <v>0</v>
      </c>
      <c r="BF151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16" s="17">
        <f>SQRT(Table1347456[[#This Row],[v_from_sd_and_n]])</f>
        <v>0</v>
      </c>
      <c r="BH1516" s="13" t="s">
        <v>50</v>
      </c>
      <c r="BI1516" s="13">
        <v>5.0000000000000001E-3</v>
      </c>
      <c r="BJ1516" s="18">
        <f>ABS(_xlfn.NORM.S.INV(Table1347456[[#This Row],[p_value]]/2))</f>
        <v>2.8070337683438042</v>
      </c>
      <c r="BK1516" s="19">
        <f>(Table1347456[[#This Row],[lnrr]]/Table1347456[[#This Row],[z_from_p]])^2</f>
        <v>0.15317702512378112</v>
      </c>
      <c r="BL1516" s="16">
        <f>(Table1347456[[#This Row],[lnrr]]/Table1347456[[#This Row],[z_from_p]])^2</f>
        <v>0.15317702512378112</v>
      </c>
      <c r="BM1516" s="20">
        <f>SQRT(Table1347456[[#This Row],[v]])</f>
        <v>0.3913783656818311</v>
      </c>
      <c r="BN1516" s="20">
        <f>Table1347456[[#This Row],[lnrr]]-(1.96*Table1347456[[#This Row],[se]])</f>
        <v>0.33151069193172089</v>
      </c>
      <c r="BO1516" s="20">
        <f>Table1347456[[#This Row],[lnrr]]+(1.96 * Table1347456[[#This Row],[se]])</f>
        <v>1.8657138854044986</v>
      </c>
    </row>
    <row r="1517" spans="1:67">
      <c r="A1517" s="13" t="s">
        <v>395</v>
      </c>
      <c r="B1517" s="13" t="s">
        <v>453</v>
      </c>
      <c r="C1517" s="13" t="s">
        <v>43</v>
      </c>
      <c r="D1517" s="13" t="s">
        <v>397</v>
      </c>
      <c r="E1517" s="13" t="s">
        <v>454</v>
      </c>
      <c r="F1517" s="13" t="s">
        <v>586</v>
      </c>
      <c r="G1517" s="13" t="s">
        <v>46</v>
      </c>
      <c r="H1517" s="13">
        <v>14.53</v>
      </c>
      <c r="I1517" s="13">
        <v>362</v>
      </c>
      <c r="K1517" s="13" t="s">
        <v>986</v>
      </c>
      <c r="L1517" s="13" t="s">
        <v>987</v>
      </c>
      <c r="N1517" s="13" t="s">
        <v>621</v>
      </c>
      <c r="O1517" s="13" t="s">
        <v>54</v>
      </c>
      <c r="P1517" s="13" t="s">
        <v>399</v>
      </c>
      <c r="Q1517" s="13" t="s">
        <v>48</v>
      </c>
      <c r="R1517" s="4">
        <v>4</v>
      </c>
      <c r="S1517" s="13" t="s">
        <v>594</v>
      </c>
      <c r="T1517" s="13">
        <v>730</v>
      </c>
      <c r="U1517" s="4" t="s">
        <v>186</v>
      </c>
      <c r="V1517" s="4">
        <v>575</v>
      </c>
      <c r="W1517" s="4" t="s">
        <v>601</v>
      </c>
      <c r="X1517" s="4">
        <v>883</v>
      </c>
      <c r="Y1517" s="4">
        <v>5</v>
      </c>
      <c r="AA1517" s="4" t="s">
        <v>49</v>
      </c>
      <c r="AB1517" s="4">
        <v>0</v>
      </c>
      <c r="AC1517" s="4" t="s">
        <v>49</v>
      </c>
      <c r="AD1517" s="4">
        <v>0</v>
      </c>
      <c r="AE1517" s="4" t="s">
        <v>49</v>
      </c>
      <c r="AF1517" s="4">
        <v>0</v>
      </c>
      <c r="AG1517" s="4" t="s">
        <v>46</v>
      </c>
      <c r="AH1517" s="4" t="s">
        <v>773</v>
      </c>
      <c r="AI1517" s="4" t="s">
        <v>297</v>
      </c>
      <c r="AJ1517" s="13">
        <v>0</v>
      </c>
      <c r="AK1517" s="13">
        <v>20</v>
      </c>
      <c r="AM1517" s="13" t="s">
        <v>574</v>
      </c>
      <c r="AP1517" s="13" t="s">
        <v>50</v>
      </c>
      <c r="AQ1517" s="13" t="s">
        <v>49</v>
      </c>
      <c r="AR1517" s="13" t="s">
        <v>49</v>
      </c>
      <c r="AS1517" s="13" t="s">
        <v>50</v>
      </c>
      <c r="AT1517" s="13" t="s">
        <v>990</v>
      </c>
      <c r="AU1517" s="13" t="s">
        <v>998</v>
      </c>
      <c r="AV1517" s="14">
        <f>1.1/1000</f>
        <v>1.1000000000000001E-3</v>
      </c>
      <c r="AW1517" s="14">
        <f>1.5/1000</f>
        <v>1.5E-3</v>
      </c>
      <c r="AX1517" s="14">
        <f>Table1347456[[#This Row],[treatment_mean]]/Table1347456[[#This Row],[control_mean]]</f>
        <v>0.73333333333333339</v>
      </c>
      <c r="AY1517" s="14">
        <f>LN(Table1347456[[#This Row],[rr]])</f>
        <v>-0.31015492830383945</v>
      </c>
      <c r="AZ1517" s="13">
        <v>4</v>
      </c>
      <c r="BA1517" s="13">
        <v>4</v>
      </c>
      <c r="BB1517" s="14">
        <v>0</v>
      </c>
      <c r="BC1517" s="14">
        <v>0</v>
      </c>
      <c r="BD1517" s="15">
        <f>Table1347456[[#This Row],[treatment_se]]*SQRT(Table1347456[[#This Row],[treatment_n]])</f>
        <v>0</v>
      </c>
      <c r="BE1517" s="14">
        <f>Table1347456[[#This Row],[control_se]]*SQRT(Table1347456[[#This Row],[control_n]])</f>
        <v>0</v>
      </c>
      <c r="BF151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17" s="17">
        <f>SQRT(Table1347456[[#This Row],[v_from_sd_and_n]])</f>
        <v>0</v>
      </c>
      <c r="BH1517" s="13" t="s">
        <v>50</v>
      </c>
      <c r="BI1517" s="13">
        <v>5.0000000000000001E-3</v>
      </c>
      <c r="BJ1517" s="18">
        <f>ABS(_xlfn.NORM.S.INV(Table1347456[[#This Row],[p_value]]/2))</f>
        <v>2.8070337683438042</v>
      </c>
      <c r="BK1517" s="19">
        <f>(Table1347456[[#This Row],[lnrr]]/Table1347456[[#This Row],[z_from_p]])^2</f>
        <v>1.2208494122482897E-2</v>
      </c>
      <c r="BL1517" s="16">
        <f>(Table1347456[[#This Row],[lnrr]]/Table1347456[[#This Row],[z_from_p]])^2</f>
        <v>1.2208494122482897E-2</v>
      </c>
      <c r="BM1517" s="20">
        <f>SQRT(Table1347456[[#This Row],[v]])</f>
        <v>0.11049205456720812</v>
      </c>
      <c r="BN1517" s="20">
        <f>Table1347456[[#This Row],[lnrr]]-(1.96*Table1347456[[#This Row],[se]])</f>
        <v>-0.52671935525556735</v>
      </c>
      <c r="BO1517" s="20">
        <f>Table1347456[[#This Row],[lnrr]]+(1.96 * Table1347456[[#This Row],[se]])</f>
        <v>-9.3590501352111527E-2</v>
      </c>
    </row>
    <row r="1518" spans="1:67">
      <c r="A1518" s="13" t="s">
        <v>395</v>
      </c>
      <c r="B1518" s="13" t="s">
        <v>453</v>
      </c>
      <c r="C1518" s="13" t="s">
        <v>43</v>
      </c>
      <c r="D1518" s="13" t="s">
        <v>397</v>
      </c>
      <c r="E1518" s="13" t="s">
        <v>454</v>
      </c>
      <c r="F1518" s="13" t="s">
        <v>586</v>
      </c>
      <c r="G1518" s="13" t="s">
        <v>46</v>
      </c>
      <c r="H1518" s="13">
        <v>14.53</v>
      </c>
      <c r="I1518" s="13">
        <v>362</v>
      </c>
      <c r="K1518" s="13" t="s">
        <v>986</v>
      </c>
      <c r="L1518" s="13" t="s">
        <v>987</v>
      </c>
      <c r="N1518" s="13" t="s">
        <v>621</v>
      </c>
      <c r="O1518" s="13" t="s">
        <v>54</v>
      </c>
      <c r="P1518" s="13" t="s">
        <v>399</v>
      </c>
      <c r="Q1518" s="13" t="s">
        <v>48</v>
      </c>
      <c r="R1518" s="4">
        <v>4</v>
      </c>
      <c r="S1518" s="13" t="s">
        <v>594</v>
      </c>
      <c r="T1518" s="13">
        <v>730</v>
      </c>
      <c r="U1518" s="4" t="s">
        <v>186</v>
      </c>
      <c r="V1518" s="4">
        <v>575</v>
      </c>
      <c r="W1518" s="4" t="s">
        <v>601</v>
      </c>
      <c r="X1518" s="4">
        <v>883</v>
      </c>
      <c r="Y1518" s="4">
        <v>10</v>
      </c>
      <c r="AA1518" s="4" t="s">
        <v>49</v>
      </c>
      <c r="AB1518" s="4">
        <v>0</v>
      </c>
      <c r="AC1518" s="4" t="s">
        <v>49</v>
      </c>
      <c r="AD1518" s="4">
        <v>0</v>
      </c>
      <c r="AE1518" s="4" t="s">
        <v>49</v>
      </c>
      <c r="AF1518" s="4">
        <v>0</v>
      </c>
      <c r="AG1518" s="4" t="s">
        <v>46</v>
      </c>
      <c r="AH1518" s="4" t="s">
        <v>773</v>
      </c>
      <c r="AI1518" s="4" t="s">
        <v>297</v>
      </c>
      <c r="AJ1518" s="13">
        <v>0</v>
      </c>
      <c r="AK1518" s="13">
        <v>20</v>
      </c>
      <c r="AM1518" s="13" t="s">
        <v>574</v>
      </c>
      <c r="AP1518" s="13" t="s">
        <v>50</v>
      </c>
      <c r="AQ1518" s="13" t="s">
        <v>49</v>
      </c>
      <c r="AR1518" s="13" t="s">
        <v>49</v>
      </c>
      <c r="AS1518" s="13" t="s">
        <v>50</v>
      </c>
      <c r="AT1518" s="13" t="s">
        <v>990</v>
      </c>
      <c r="AU1518" s="13" t="s">
        <v>998</v>
      </c>
      <c r="AV1518" s="14">
        <f>2/1000</f>
        <v>2E-3</v>
      </c>
      <c r="AW1518" s="14">
        <f>1.5/1000</f>
        <v>1.5E-3</v>
      </c>
      <c r="AX1518" s="14">
        <f>Table1347456[[#This Row],[treatment_mean]]/Table1347456[[#This Row],[control_mean]]</f>
        <v>1.3333333333333333</v>
      </c>
      <c r="AY1518" s="14">
        <f>LN(Table1347456[[#This Row],[rr]])</f>
        <v>0.28768207245178085</v>
      </c>
      <c r="AZ1518" s="13">
        <v>4</v>
      </c>
      <c r="BA1518" s="13">
        <v>4</v>
      </c>
      <c r="BB1518" s="14">
        <v>0</v>
      </c>
      <c r="BC1518" s="14">
        <v>0</v>
      </c>
      <c r="BD1518" s="15">
        <f>Table1347456[[#This Row],[treatment_se]]*SQRT(Table1347456[[#This Row],[treatment_n]])</f>
        <v>0</v>
      </c>
      <c r="BE1518" s="14">
        <f>Table1347456[[#This Row],[control_se]]*SQRT(Table1347456[[#This Row],[control_n]])</f>
        <v>0</v>
      </c>
      <c r="BF151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18" s="17">
        <f>SQRT(Table1347456[[#This Row],[v_from_sd_and_n]])</f>
        <v>0</v>
      </c>
      <c r="BH1518" s="13" t="s">
        <v>50</v>
      </c>
      <c r="BI1518" s="13">
        <v>5.0000000000000001E-3</v>
      </c>
      <c r="BJ1518" s="18">
        <f>ABS(_xlfn.NORM.S.INV(Table1347456[[#This Row],[p_value]]/2))</f>
        <v>2.8070337683438042</v>
      </c>
      <c r="BK1518" s="19">
        <f>(Table1347456[[#This Row],[lnrr]]/Table1347456[[#This Row],[z_from_p]])^2</f>
        <v>1.0503410110422844E-2</v>
      </c>
      <c r="BL1518" s="16">
        <f>(Table1347456[[#This Row],[lnrr]]/Table1347456[[#This Row],[z_from_p]])^2</f>
        <v>1.0503410110422844E-2</v>
      </c>
      <c r="BM1518" s="20">
        <f>SQRT(Table1347456[[#This Row],[v]])</f>
        <v>0.10248614594384377</v>
      </c>
      <c r="BN1518" s="20">
        <f>Table1347456[[#This Row],[lnrr]]-(1.96*Table1347456[[#This Row],[se]])</f>
        <v>8.6809226401847073E-2</v>
      </c>
      <c r="BO1518" s="20">
        <f>Table1347456[[#This Row],[lnrr]]+(1.96 * Table1347456[[#This Row],[se]])</f>
        <v>0.48855491850171462</v>
      </c>
    </row>
    <row r="1519" spans="1:67">
      <c r="A1519" s="13" t="s">
        <v>395</v>
      </c>
      <c r="B1519" s="13" t="s">
        <v>453</v>
      </c>
      <c r="C1519" s="13" t="s">
        <v>43</v>
      </c>
      <c r="D1519" s="13" t="s">
        <v>397</v>
      </c>
      <c r="E1519" s="13" t="s">
        <v>454</v>
      </c>
      <c r="F1519" s="13" t="s">
        <v>586</v>
      </c>
      <c r="G1519" s="13" t="s">
        <v>46</v>
      </c>
      <c r="H1519" s="13">
        <v>14.53</v>
      </c>
      <c r="I1519" s="13">
        <v>362</v>
      </c>
      <c r="K1519" s="13" t="s">
        <v>986</v>
      </c>
      <c r="L1519" s="13" t="s">
        <v>987</v>
      </c>
      <c r="N1519" s="13" t="s">
        <v>621</v>
      </c>
      <c r="O1519" s="13" t="s">
        <v>54</v>
      </c>
      <c r="P1519" s="13" t="s">
        <v>399</v>
      </c>
      <c r="Q1519" s="13" t="s">
        <v>48</v>
      </c>
      <c r="R1519" s="4">
        <v>4</v>
      </c>
      <c r="S1519" s="13" t="s">
        <v>594</v>
      </c>
      <c r="T1519" s="13">
        <v>730</v>
      </c>
      <c r="U1519" s="4" t="s">
        <v>186</v>
      </c>
      <c r="V1519" s="4">
        <v>575</v>
      </c>
      <c r="W1519" s="4" t="s">
        <v>601</v>
      </c>
      <c r="X1519" s="4">
        <v>883</v>
      </c>
      <c r="Y1519" s="4">
        <v>20</v>
      </c>
      <c r="AA1519" s="4" t="s">
        <v>49</v>
      </c>
      <c r="AB1519" s="4">
        <v>0</v>
      </c>
      <c r="AC1519" s="4" t="s">
        <v>49</v>
      </c>
      <c r="AD1519" s="4">
        <v>0</v>
      </c>
      <c r="AE1519" s="4" t="s">
        <v>49</v>
      </c>
      <c r="AF1519" s="4">
        <v>0</v>
      </c>
      <c r="AG1519" s="4" t="s">
        <v>46</v>
      </c>
      <c r="AH1519" s="4" t="s">
        <v>773</v>
      </c>
      <c r="AI1519" s="4" t="s">
        <v>297</v>
      </c>
      <c r="AJ1519" s="13">
        <v>0</v>
      </c>
      <c r="AK1519" s="13">
        <v>20</v>
      </c>
      <c r="AM1519" s="13" t="s">
        <v>574</v>
      </c>
      <c r="AP1519" s="13" t="s">
        <v>50</v>
      </c>
      <c r="AQ1519" s="13" t="s">
        <v>49</v>
      </c>
      <c r="AR1519" s="13" t="s">
        <v>49</v>
      </c>
      <c r="AS1519" s="13" t="s">
        <v>50</v>
      </c>
      <c r="AT1519" s="13" t="s">
        <v>990</v>
      </c>
      <c r="AU1519" s="13" t="s">
        <v>998</v>
      </c>
      <c r="AV1519" s="14">
        <f>1/1000</f>
        <v>1E-3</v>
      </c>
      <c r="AW1519" s="14">
        <f t="shared" ref="AW1519:AW1524" si="24">1.5/1000</f>
        <v>1.5E-3</v>
      </c>
      <c r="AX1519" s="14">
        <f>Table1347456[[#This Row],[treatment_mean]]/Table1347456[[#This Row],[control_mean]]</f>
        <v>0.66666666666666663</v>
      </c>
      <c r="AY1519" s="14">
        <f>LN(Table1347456[[#This Row],[rr]])</f>
        <v>-0.40546510810816444</v>
      </c>
      <c r="AZ1519" s="13">
        <v>4</v>
      </c>
      <c r="BA1519" s="13">
        <v>4</v>
      </c>
      <c r="BB1519" s="14">
        <v>0</v>
      </c>
      <c r="BC1519" s="14">
        <v>0</v>
      </c>
      <c r="BD1519" s="15">
        <f>Table1347456[[#This Row],[treatment_se]]*SQRT(Table1347456[[#This Row],[treatment_n]])</f>
        <v>0</v>
      </c>
      <c r="BE1519" s="14">
        <f>Table1347456[[#This Row],[control_se]]*SQRT(Table1347456[[#This Row],[control_n]])</f>
        <v>0</v>
      </c>
      <c r="BF151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19" s="17">
        <f>SQRT(Table1347456[[#This Row],[v_from_sd_and_n]])</f>
        <v>0</v>
      </c>
      <c r="BH1519" s="13" t="s">
        <v>50</v>
      </c>
      <c r="BI1519" s="13">
        <v>5.0000000000000001E-3</v>
      </c>
      <c r="BJ1519" s="18">
        <f>ABS(_xlfn.NORM.S.INV(Table1347456[[#This Row],[p_value]]/2))</f>
        <v>2.8070337683438042</v>
      </c>
      <c r="BK1519" s="19">
        <f>(Table1347456[[#This Row],[lnrr]]/Table1347456[[#This Row],[z_from_p]])^2</f>
        <v>2.0864678656285392E-2</v>
      </c>
      <c r="BL1519" s="16">
        <f>(Table1347456[[#This Row],[lnrr]]/Table1347456[[#This Row],[z_from_p]])^2</f>
        <v>2.0864678656285392E-2</v>
      </c>
      <c r="BM1519" s="20">
        <f>SQRT(Table1347456[[#This Row],[v]])</f>
        <v>0.14444610986899367</v>
      </c>
      <c r="BN1519" s="20">
        <f>Table1347456[[#This Row],[lnrr]]-(1.96*Table1347456[[#This Row],[se]])</f>
        <v>-0.68857948345139208</v>
      </c>
      <c r="BO1519" s="20">
        <f>Table1347456[[#This Row],[lnrr]]+(1.96 * Table1347456[[#This Row],[se]])</f>
        <v>-0.12235073276493685</v>
      </c>
    </row>
    <row r="1520" spans="1:67">
      <c r="A1520" s="13" t="s">
        <v>395</v>
      </c>
      <c r="B1520" s="13" t="s">
        <v>453</v>
      </c>
      <c r="C1520" s="13" t="s">
        <v>43</v>
      </c>
      <c r="D1520" s="13" t="s">
        <v>397</v>
      </c>
      <c r="E1520" s="13" t="s">
        <v>454</v>
      </c>
      <c r="F1520" s="13" t="s">
        <v>586</v>
      </c>
      <c r="G1520" s="13" t="s">
        <v>46</v>
      </c>
      <c r="H1520" s="13">
        <v>14.53</v>
      </c>
      <c r="I1520" s="13">
        <v>362</v>
      </c>
      <c r="K1520" s="13" t="s">
        <v>986</v>
      </c>
      <c r="L1520" s="13" t="s">
        <v>987</v>
      </c>
      <c r="N1520" s="13" t="s">
        <v>621</v>
      </c>
      <c r="O1520" s="13" t="s">
        <v>54</v>
      </c>
      <c r="P1520" s="13" t="s">
        <v>399</v>
      </c>
      <c r="Q1520" s="13" t="s">
        <v>48</v>
      </c>
      <c r="R1520" s="4">
        <v>4</v>
      </c>
      <c r="S1520" s="13" t="s">
        <v>594</v>
      </c>
      <c r="T1520" s="13">
        <v>730</v>
      </c>
      <c r="U1520" s="4" t="s">
        <v>186</v>
      </c>
      <c r="V1520" s="4">
        <v>575</v>
      </c>
      <c r="W1520" s="4" t="s">
        <v>601</v>
      </c>
      <c r="X1520" s="4">
        <v>883</v>
      </c>
      <c r="Y1520" s="4">
        <v>30</v>
      </c>
      <c r="AA1520" s="4" t="s">
        <v>49</v>
      </c>
      <c r="AB1520" s="4">
        <v>0</v>
      </c>
      <c r="AC1520" s="4" t="s">
        <v>49</v>
      </c>
      <c r="AD1520" s="4">
        <v>0</v>
      </c>
      <c r="AE1520" s="4" t="s">
        <v>49</v>
      </c>
      <c r="AF1520" s="4">
        <v>0</v>
      </c>
      <c r="AG1520" s="4" t="s">
        <v>46</v>
      </c>
      <c r="AH1520" s="4" t="s">
        <v>773</v>
      </c>
      <c r="AI1520" s="4" t="s">
        <v>297</v>
      </c>
      <c r="AJ1520" s="13">
        <v>0</v>
      </c>
      <c r="AK1520" s="13">
        <v>20</v>
      </c>
      <c r="AM1520" s="13" t="s">
        <v>574</v>
      </c>
      <c r="AP1520" s="13" t="s">
        <v>50</v>
      </c>
      <c r="AQ1520" s="13" t="s">
        <v>49</v>
      </c>
      <c r="AR1520" s="13" t="s">
        <v>49</v>
      </c>
      <c r="AS1520" s="13" t="s">
        <v>50</v>
      </c>
      <c r="AT1520" s="13" t="s">
        <v>990</v>
      </c>
      <c r="AU1520" s="13" t="s">
        <v>998</v>
      </c>
      <c r="AV1520" s="14">
        <f>2.3/1000</f>
        <v>2.3E-3</v>
      </c>
      <c r="AW1520" s="14">
        <f t="shared" si="24"/>
        <v>1.5E-3</v>
      </c>
      <c r="AX1520" s="14">
        <f>Table1347456[[#This Row],[treatment_mean]]/Table1347456[[#This Row],[control_mean]]</f>
        <v>1.5333333333333332</v>
      </c>
      <c r="AY1520" s="14">
        <f>LN(Table1347456[[#This Row],[rr]])</f>
        <v>0.42744401482693956</v>
      </c>
      <c r="AZ1520" s="13">
        <v>4</v>
      </c>
      <c r="BA1520" s="13">
        <v>4</v>
      </c>
      <c r="BB1520" s="14">
        <v>0</v>
      </c>
      <c r="BC1520" s="14">
        <v>0</v>
      </c>
      <c r="BD1520" s="15">
        <f>Table1347456[[#This Row],[treatment_se]]*SQRT(Table1347456[[#This Row],[treatment_n]])</f>
        <v>0</v>
      </c>
      <c r="BE1520" s="14">
        <f>Table1347456[[#This Row],[control_se]]*SQRT(Table1347456[[#This Row],[control_n]])</f>
        <v>0</v>
      </c>
      <c r="BF152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20" s="17">
        <f>SQRT(Table1347456[[#This Row],[v_from_sd_and_n]])</f>
        <v>0</v>
      </c>
      <c r="BH1520" s="13" t="s">
        <v>50</v>
      </c>
      <c r="BI1520" s="13">
        <v>5.0000000000000001E-3</v>
      </c>
      <c r="BJ1520" s="18">
        <f>ABS(_xlfn.NORM.S.INV(Table1347456[[#This Row],[p_value]]/2))</f>
        <v>2.8070337683438042</v>
      </c>
      <c r="BK1520" s="19">
        <f>(Table1347456[[#This Row],[lnrr]]/Table1347456[[#This Row],[z_from_p]])^2</f>
        <v>2.3187995443412962E-2</v>
      </c>
      <c r="BL1520" s="16">
        <f>(Table1347456[[#This Row],[lnrr]]/Table1347456[[#This Row],[z_from_p]])^2</f>
        <v>2.3187995443412962E-2</v>
      </c>
      <c r="BM1520" s="20">
        <f>SQRT(Table1347456[[#This Row],[v]])</f>
        <v>0.15227605013071807</v>
      </c>
      <c r="BN1520" s="20">
        <f>Table1347456[[#This Row],[lnrr]]-(1.96*Table1347456[[#This Row],[se]])</f>
        <v>0.12898295657073217</v>
      </c>
      <c r="BO1520" s="20">
        <f>Table1347456[[#This Row],[lnrr]]+(1.96 * Table1347456[[#This Row],[se]])</f>
        <v>0.72590507308314689</v>
      </c>
    </row>
    <row r="1521" spans="1:67">
      <c r="A1521" s="13" t="s">
        <v>395</v>
      </c>
      <c r="B1521" s="13" t="s">
        <v>453</v>
      </c>
      <c r="C1521" s="13" t="s">
        <v>43</v>
      </c>
      <c r="D1521" s="13" t="s">
        <v>397</v>
      </c>
      <c r="E1521" s="13" t="s">
        <v>454</v>
      </c>
      <c r="F1521" s="13" t="s">
        <v>586</v>
      </c>
      <c r="G1521" s="13" t="s">
        <v>46</v>
      </c>
      <c r="H1521" s="13">
        <v>14.53</v>
      </c>
      <c r="I1521" s="13">
        <v>362</v>
      </c>
      <c r="K1521" s="13" t="s">
        <v>986</v>
      </c>
      <c r="L1521" s="13" t="s">
        <v>987</v>
      </c>
      <c r="N1521" s="13" t="s">
        <v>53</v>
      </c>
      <c r="O1521" s="13" t="s">
        <v>54</v>
      </c>
      <c r="P1521" s="13" t="s">
        <v>399</v>
      </c>
      <c r="Q1521" s="13" t="s">
        <v>48</v>
      </c>
      <c r="R1521" s="4">
        <v>4</v>
      </c>
      <c r="S1521" s="13" t="s">
        <v>594</v>
      </c>
      <c r="T1521" s="13">
        <v>730</v>
      </c>
      <c r="U1521" s="4" t="s">
        <v>186</v>
      </c>
      <c r="V1521" s="4">
        <v>575</v>
      </c>
      <c r="W1521" s="4" t="s">
        <v>601</v>
      </c>
      <c r="X1521" s="4">
        <v>883</v>
      </c>
      <c r="Y1521" s="4">
        <v>5</v>
      </c>
      <c r="AA1521" s="4" t="s">
        <v>49</v>
      </c>
      <c r="AB1521" s="4">
        <v>0</v>
      </c>
      <c r="AC1521" s="4" t="s">
        <v>49</v>
      </c>
      <c r="AD1521" s="4">
        <v>0</v>
      </c>
      <c r="AE1521" s="4" t="s">
        <v>49</v>
      </c>
      <c r="AF1521" s="4">
        <v>0</v>
      </c>
      <c r="AG1521" s="4" t="s">
        <v>46</v>
      </c>
      <c r="AH1521" s="4" t="s">
        <v>773</v>
      </c>
      <c r="AI1521" s="4" t="s">
        <v>297</v>
      </c>
      <c r="AJ1521" s="13">
        <v>0</v>
      </c>
      <c r="AK1521" s="13">
        <v>20</v>
      </c>
      <c r="AM1521" s="13" t="s">
        <v>574</v>
      </c>
      <c r="AP1521" s="13" t="s">
        <v>50</v>
      </c>
      <c r="AQ1521" s="13" t="s">
        <v>49</v>
      </c>
      <c r="AR1521" s="13" t="s">
        <v>49</v>
      </c>
      <c r="AS1521" s="13" t="s">
        <v>50</v>
      </c>
      <c r="AT1521" s="13" t="s">
        <v>990</v>
      </c>
      <c r="AU1521" s="13" t="s">
        <v>998</v>
      </c>
      <c r="AV1521" s="14">
        <f>0.4/1000</f>
        <v>4.0000000000000002E-4</v>
      </c>
      <c r="AW1521" s="14">
        <f t="shared" si="24"/>
        <v>1.5E-3</v>
      </c>
      <c r="AX1521" s="14">
        <f>Table1347456[[#This Row],[treatment_mean]]/Table1347456[[#This Row],[control_mean]]</f>
        <v>0.26666666666666666</v>
      </c>
      <c r="AY1521" s="14">
        <f>LN(Table1347456[[#This Row],[rr]])</f>
        <v>-1.3217558399823195</v>
      </c>
      <c r="AZ1521" s="13">
        <v>4</v>
      </c>
      <c r="BA1521" s="13">
        <v>4</v>
      </c>
      <c r="BB1521" s="14">
        <v>0</v>
      </c>
      <c r="BC1521" s="14">
        <v>0</v>
      </c>
      <c r="BD1521" s="15">
        <f>Table1347456[[#This Row],[treatment_se]]*SQRT(Table1347456[[#This Row],[treatment_n]])</f>
        <v>0</v>
      </c>
      <c r="BE1521" s="14">
        <f>Table1347456[[#This Row],[control_se]]*SQRT(Table1347456[[#This Row],[control_n]])</f>
        <v>0</v>
      </c>
      <c r="BF152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21" s="17">
        <f>SQRT(Table1347456[[#This Row],[v_from_sd_and_n]])</f>
        <v>0</v>
      </c>
      <c r="BH1521" s="13" t="s">
        <v>50</v>
      </c>
      <c r="BI1521" s="13">
        <v>5.0000000000000001E-3</v>
      </c>
      <c r="BJ1521" s="18">
        <f>ABS(_xlfn.NORM.S.INV(Table1347456[[#This Row],[p_value]]/2))</f>
        <v>2.8070337683438042</v>
      </c>
      <c r="BK1521" s="19">
        <f>(Table1347456[[#This Row],[lnrr]]/Table1347456[[#This Row],[z_from_p]])^2</f>
        <v>0.22172119035367222</v>
      </c>
      <c r="BL1521" s="16">
        <f>(Table1347456[[#This Row],[lnrr]]/Table1347456[[#This Row],[z_from_p]])^2</f>
        <v>0.22172119035367222</v>
      </c>
      <c r="BM1521" s="20">
        <f>SQRT(Table1347456[[#This Row],[v]])</f>
        <v>0.47087279636189666</v>
      </c>
      <c r="BN1521" s="20">
        <f>Table1347456[[#This Row],[lnrr]]-(1.96*Table1347456[[#This Row],[se]])</f>
        <v>-2.244666520851637</v>
      </c>
      <c r="BO1521" s="20">
        <f>Table1347456[[#This Row],[lnrr]]+(1.96 * Table1347456[[#This Row],[se]])</f>
        <v>-0.398845159113002</v>
      </c>
    </row>
    <row r="1522" spans="1:67">
      <c r="A1522" s="13" t="s">
        <v>395</v>
      </c>
      <c r="B1522" s="13" t="s">
        <v>453</v>
      </c>
      <c r="C1522" s="13" t="s">
        <v>43</v>
      </c>
      <c r="D1522" s="13" t="s">
        <v>397</v>
      </c>
      <c r="E1522" s="13" t="s">
        <v>454</v>
      </c>
      <c r="F1522" s="13" t="s">
        <v>586</v>
      </c>
      <c r="G1522" s="13" t="s">
        <v>46</v>
      </c>
      <c r="H1522" s="13">
        <v>14.53</v>
      </c>
      <c r="I1522" s="13">
        <v>362</v>
      </c>
      <c r="K1522" s="13" t="s">
        <v>986</v>
      </c>
      <c r="L1522" s="13" t="s">
        <v>987</v>
      </c>
      <c r="N1522" s="13" t="s">
        <v>53</v>
      </c>
      <c r="O1522" s="13" t="s">
        <v>54</v>
      </c>
      <c r="P1522" s="13" t="s">
        <v>399</v>
      </c>
      <c r="Q1522" s="13" t="s">
        <v>48</v>
      </c>
      <c r="R1522" s="4">
        <v>4</v>
      </c>
      <c r="S1522" s="13" t="s">
        <v>594</v>
      </c>
      <c r="T1522" s="13">
        <v>730</v>
      </c>
      <c r="U1522" s="4" t="s">
        <v>186</v>
      </c>
      <c r="V1522" s="4">
        <v>575</v>
      </c>
      <c r="W1522" s="4" t="s">
        <v>601</v>
      </c>
      <c r="X1522" s="4">
        <v>883</v>
      </c>
      <c r="Y1522" s="4">
        <v>10</v>
      </c>
      <c r="AA1522" s="4" t="s">
        <v>49</v>
      </c>
      <c r="AB1522" s="4">
        <v>0</v>
      </c>
      <c r="AC1522" s="4" t="s">
        <v>49</v>
      </c>
      <c r="AD1522" s="4">
        <v>0</v>
      </c>
      <c r="AE1522" s="4" t="s">
        <v>49</v>
      </c>
      <c r="AF1522" s="4">
        <v>0</v>
      </c>
      <c r="AG1522" s="4" t="s">
        <v>46</v>
      </c>
      <c r="AH1522" s="4" t="s">
        <v>773</v>
      </c>
      <c r="AI1522" s="4" t="s">
        <v>297</v>
      </c>
      <c r="AJ1522" s="13">
        <v>0</v>
      </c>
      <c r="AK1522" s="13">
        <v>20</v>
      </c>
      <c r="AM1522" s="13" t="s">
        <v>574</v>
      </c>
      <c r="AP1522" s="13" t="s">
        <v>50</v>
      </c>
      <c r="AQ1522" s="13" t="s">
        <v>49</v>
      </c>
      <c r="AR1522" s="13" t="s">
        <v>49</v>
      </c>
      <c r="AS1522" s="13" t="s">
        <v>50</v>
      </c>
      <c r="AT1522" s="13" t="s">
        <v>990</v>
      </c>
      <c r="AU1522" s="13" t="s">
        <v>998</v>
      </c>
      <c r="AV1522" s="14">
        <f>1.4/1000</f>
        <v>1.4E-3</v>
      </c>
      <c r="AW1522" s="14">
        <f t="shared" si="24"/>
        <v>1.5E-3</v>
      </c>
      <c r="AX1522" s="14">
        <f>Table1347456[[#This Row],[treatment_mean]]/Table1347456[[#This Row],[control_mean]]</f>
        <v>0.93333333333333335</v>
      </c>
      <c r="AY1522" s="14">
        <f>LN(Table1347456[[#This Row],[rr]])</f>
        <v>-6.8992871486951435E-2</v>
      </c>
      <c r="AZ1522" s="13">
        <v>4</v>
      </c>
      <c r="BA1522" s="13">
        <v>4</v>
      </c>
      <c r="BB1522" s="14">
        <v>0</v>
      </c>
      <c r="BC1522" s="14">
        <v>0</v>
      </c>
      <c r="BD1522" s="15">
        <f>Table1347456[[#This Row],[treatment_se]]*SQRT(Table1347456[[#This Row],[treatment_n]])</f>
        <v>0</v>
      </c>
      <c r="BE1522" s="14">
        <f>Table1347456[[#This Row],[control_se]]*SQRT(Table1347456[[#This Row],[control_n]])</f>
        <v>0</v>
      </c>
      <c r="BF152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22" s="17">
        <f>SQRT(Table1347456[[#This Row],[v_from_sd_and_n]])</f>
        <v>0</v>
      </c>
      <c r="BH1522" s="13" t="s">
        <v>50</v>
      </c>
      <c r="BI1522" s="13">
        <v>5.0000000000000001E-3</v>
      </c>
      <c r="BJ1522" s="18">
        <f>ABS(_xlfn.NORM.S.INV(Table1347456[[#This Row],[p_value]]/2))</f>
        <v>2.8070337683438042</v>
      </c>
      <c r="BK1522" s="19">
        <f>(Table1347456[[#This Row],[lnrr]]/Table1347456[[#This Row],[z_from_p]])^2</f>
        <v>6.0410602477916828E-4</v>
      </c>
      <c r="BL1522" s="16">
        <f>(Table1347456[[#This Row],[lnrr]]/Table1347456[[#This Row],[z_from_p]])^2</f>
        <v>6.0410602477916828E-4</v>
      </c>
      <c r="BM1522" s="20">
        <f>SQRT(Table1347456[[#This Row],[v]])</f>
        <v>2.4578568403777472E-2</v>
      </c>
      <c r="BN1522" s="20">
        <f>Table1347456[[#This Row],[lnrr]]-(1.96*Table1347456[[#This Row],[se]])</f>
        <v>-0.11716686555835529</v>
      </c>
      <c r="BO1522" s="20">
        <f>Table1347456[[#This Row],[lnrr]]+(1.96 * Table1347456[[#This Row],[se]])</f>
        <v>-2.0818877415547589E-2</v>
      </c>
    </row>
    <row r="1523" spans="1:67">
      <c r="A1523" s="13" t="s">
        <v>395</v>
      </c>
      <c r="B1523" s="13" t="s">
        <v>453</v>
      </c>
      <c r="C1523" s="13" t="s">
        <v>43</v>
      </c>
      <c r="D1523" s="13" t="s">
        <v>397</v>
      </c>
      <c r="E1523" s="13" t="s">
        <v>454</v>
      </c>
      <c r="F1523" s="13" t="s">
        <v>586</v>
      </c>
      <c r="G1523" s="13" t="s">
        <v>46</v>
      </c>
      <c r="H1523" s="13">
        <v>14.53</v>
      </c>
      <c r="I1523" s="13">
        <v>362</v>
      </c>
      <c r="K1523" s="13" t="s">
        <v>986</v>
      </c>
      <c r="L1523" s="13" t="s">
        <v>987</v>
      </c>
      <c r="N1523" s="13" t="s">
        <v>53</v>
      </c>
      <c r="O1523" s="13" t="s">
        <v>54</v>
      </c>
      <c r="P1523" s="13" t="s">
        <v>399</v>
      </c>
      <c r="Q1523" s="13" t="s">
        <v>48</v>
      </c>
      <c r="R1523" s="4">
        <v>4</v>
      </c>
      <c r="S1523" s="13" t="s">
        <v>594</v>
      </c>
      <c r="T1523" s="13">
        <v>730</v>
      </c>
      <c r="U1523" s="4" t="s">
        <v>186</v>
      </c>
      <c r="V1523" s="4">
        <v>575</v>
      </c>
      <c r="W1523" s="4" t="s">
        <v>601</v>
      </c>
      <c r="X1523" s="4">
        <v>883</v>
      </c>
      <c r="Y1523" s="4">
        <v>20</v>
      </c>
      <c r="AA1523" s="4" t="s">
        <v>49</v>
      </c>
      <c r="AB1523" s="4">
        <v>0</v>
      </c>
      <c r="AC1523" s="4" t="s">
        <v>49</v>
      </c>
      <c r="AD1523" s="4">
        <v>0</v>
      </c>
      <c r="AE1523" s="4" t="s">
        <v>49</v>
      </c>
      <c r="AF1523" s="4">
        <v>0</v>
      </c>
      <c r="AG1523" s="4" t="s">
        <v>46</v>
      </c>
      <c r="AH1523" s="4" t="s">
        <v>773</v>
      </c>
      <c r="AI1523" s="4" t="s">
        <v>297</v>
      </c>
      <c r="AJ1523" s="13">
        <v>0</v>
      </c>
      <c r="AK1523" s="13">
        <v>20</v>
      </c>
      <c r="AM1523" s="13" t="s">
        <v>574</v>
      </c>
      <c r="AP1523" s="13" t="s">
        <v>50</v>
      </c>
      <c r="AQ1523" s="13" t="s">
        <v>49</v>
      </c>
      <c r="AR1523" s="13" t="s">
        <v>49</v>
      </c>
      <c r="AS1523" s="13" t="s">
        <v>50</v>
      </c>
      <c r="AT1523" s="13" t="s">
        <v>990</v>
      </c>
      <c r="AU1523" s="13" t="s">
        <v>998</v>
      </c>
      <c r="AV1523" s="14">
        <f>0.6/1000</f>
        <v>5.9999999999999995E-4</v>
      </c>
      <c r="AW1523" s="14">
        <f t="shared" si="24"/>
        <v>1.5E-3</v>
      </c>
      <c r="AX1523" s="14">
        <f>Table1347456[[#This Row],[treatment_mean]]/Table1347456[[#This Row],[control_mean]]</f>
        <v>0.39999999999999997</v>
      </c>
      <c r="AY1523" s="14">
        <f>LN(Table1347456[[#This Row],[rr]])</f>
        <v>-0.91629073187415511</v>
      </c>
      <c r="AZ1523" s="13">
        <v>4</v>
      </c>
      <c r="BA1523" s="13">
        <v>4</v>
      </c>
      <c r="BB1523" s="14">
        <v>0</v>
      </c>
      <c r="BC1523" s="14">
        <v>0</v>
      </c>
      <c r="BD1523" s="15">
        <f>Table1347456[[#This Row],[treatment_se]]*SQRT(Table1347456[[#This Row],[treatment_n]])</f>
        <v>0</v>
      </c>
      <c r="BE1523" s="14">
        <f>Table1347456[[#This Row],[control_se]]*SQRT(Table1347456[[#This Row],[control_n]])</f>
        <v>0</v>
      </c>
      <c r="BF152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23" s="17">
        <f>SQRT(Table1347456[[#This Row],[v_from_sd_and_n]])</f>
        <v>0</v>
      </c>
      <c r="BH1523" s="13" t="s">
        <v>50</v>
      </c>
      <c r="BI1523" s="13">
        <v>5.0000000000000001E-3</v>
      </c>
      <c r="BJ1523" s="18">
        <f>ABS(_xlfn.NORM.S.INV(Table1347456[[#This Row],[p_value]]/2))</f>
        <v>2.8070337683438042</v>
      </c>
      <c r="BK1523" s="19">
        <f>(Table1347456[[#This Row],[lnrr]]/Table1347456[[#This Row],[z_from_p]])^2</f>
        <v>0.10655438165473599</v>
      </c>
      <c r="BL1523" s="16">
        <f>(Table1347456[[#This Row],[lnrr]]/Table1347456[[#This Row],[z_from_p]])^2</f>
        <v>0.10655438165473599</v>
      </c>
      <c r="BM1523" s="20">
        <f>SQRT(Table1347456[[#This Row],[v]])</f>
        <v>0.32642668649290302</v>
      </c>
      <c r="BN1523" s="20">
        <f>Table1347456[[#This Row],[lnrr]]-(1.96*Table1347456[[#This Row],[se]])</f>
        <v>-1.5560870374002449</v>
      </c>
      <c r="BO1523" s="20">
        <f>Table1347456[[#This Row],[lnrr]]+(1.96 * Table1347456[[#This Row],[se]])</f>
        <v>-0.2764944263480652</v>
      </c>
    </row>
    <row r="1524" spans="1:67">
      <c r="A1524" s="13" t="s">
        <v>395</v>
      </c>
      <c r="B1524" s="13" t="s">
        <v>453</v>
      </c>
      <c r="C1524" s="13" t="s">
        <v>43</v>
      </c>
      <c r="D1524" s="13" t="s">
        <v>397</v>
      </c>
      <c r="E1524" s="13" t="s">
        <v>454</v>
      </c>
      <c r="F1524" s="13" t="s">
        <v>586</v>
      </c>
      <c r="G1524" s="13" t="s">
        <v>46</v>
      </c>
      <c r="H1524" s="13">
        <v>14.53</v>
      </c>
      <c r="I1524" s="13">
        <v>362</v>
      </c>
      <c r="K1524" s="13" t="s">
        <v>986</v>
      </c>
      <c r="L1524" s="13" t="s">
        <v>987</v>
      </c>
      <c r="N1524" s="13" t="s">
        <v>53</v>
      </c>
      <c r="O1524" s="13" t="s">
        <v>54</v>
      </c>
      <c r="P1524" s="13" t="s">
        <v>399</v>
      </c>
      <c r="Q1524" s="13" t="s">
        <v>48</v>
      </c>
      <c r="R1524" s="4">
        <v>4</v>
      </c>
      <c r="S1524" s="13" t="s">
        <v>594</v>
      </c>
      <c r="T1524" s="13">
        <v>730</v>
      </c>
      <c r="U1524" s="4" t="s">
        <v>186</v>
      </c>
      <c r="V1524" s="4">
        <v>575</v>
      </c>
      <c r="W1524" s="4" t="s">
        <v>601</v>
      </c>
      <c r="X1524" s="4">
        <v>883</v>
      </c>
      <c r="Y1524" s="4">
        <v>30</v>
      </c>
      <c r="AA1524" s="4" t="s">
        <v>49</v>
      </c>
      <c r="AB1524" s="4">
        <v>0</v>
      </c>
      <c r="AC1524" s="4" t="s">
        <v>49</v>
      </c>
      <c r="AD1524" s="4">
        <v>0</v>
      </c>
      <c r="AE1524" s="4" t="s">
        <v>49</v>
      </c>
      <c r="AF1524" s="4">
        <v>0</v>
      </c>
      <c r="AG1524" s="4" t="s">
        <v>46</v>
      </c>
      <c r="AH1524" s="4" t="s">
        <v>773</v>
      </c>
      <c r="AI1524" s="4" t="s">
        <v>297</v>
      </c>
      <c r="AJ1524" s="13">
        <v>0</v>
      </c>
      <c r="AK1524" s="13">
        <v>20</v>
      </c>
      <c r="AM1524" s="13" t="s">
        <v>574</v>
      </c>
      <c r="AP1524" s="13" t="s">
        <v>50</v>
      </c>
      <c r="AQ1524" s="13" t="s">
        <v>49</v>
      </c>
      <c r="AR1524" s="13" t="s">
        <v>49</v>
      </c>
      <c r="AS1524" s="13" t="s">
        <v>50</v>
      </c>
      <c r="AT1524" s="13" t="s">
        <v>990</v>
      </c>
      <c r="AU1524" s="13" t="s">
        <v>998</v>
      </c>
      <c r="AV1524" s="14">
        <f>1.9/1000</f>
        <v>1.9E-3</v>
      </c>
      <c r="AW1524" s="14">
        <f t="shared" si="24"/>
        <v>1.5E-3</v>
      </c>
      <c r="AX1524" s="14">
        <f>Table1347456[[#This Row],[treatment_mean]]/Table1347456[[#This Row],[control_mean]]</f>
        <v>1.2666666666666666</v>
      </c>
      <c r="AY1524" s="14">
        <f>LN(Table1347456[[#This Row],[rr]])</f>
        <v>0.23638877806423034</v>
      </c>
      <c r="AZ1524" s="13">
        <v>4</v>
      </c>
      <c r="BA1524" s="13">
        <v>4</v>
      </c>
      <c r="BB1524" s="14">
        <v>0</v>
      </c>
      <c r="BC1524" s="14">
        <v>0</v>
      </c>
      <c r="BD1524" s="15">
        <f>Table1347456[[#This Row],[treatment_se]]*SQRT(Table1347456[[#This Row],[treatment_n]])</f>
        <v>0</v>
      </c>
      <c r="BE1524" s="14">
        <f>Table1347456[[#This Row],[control_se]]*SQRT(Table1347456[[#This Row],[control_n]])</f>
        <v>0</v>
      </c>
      <c r="BF152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24" s="17">
        <f>SQRT(Table1347456[[#This Row],[v_from_sd_and_n]])</f>
        <v>0</v>
      </c>
      <c r="BH1524" s="13" t="s">
        <v>50</v>
      </c>
      <c r="BI1524" s="13">
        <v>5.0000000000000001E-3</v>
      </c>
      <c r="BJ1524" s="18">
        <f>ABS(_xlfn.NORM.S.INV(Table1347456[[#This Row],[p_value]]/2))</f>
        <v>2.8070337683438042</v>
      </c>
      <c r="BK1524" s="19">
        <f>(Table1347456[[#This Row],[lnrr]]/Table1347456[[#This Row],[z_from_p]])^2</f>
        <v>7.0918319689031927E-3</v>
      </c>
      <c r="BL1524" s="16">
        <f>(Table1347456[[#This Row],[lnrr]]/Table1347456[[#This Row],[z_from_p]])^2</f>
        <v>7.0918319689031927E-3</v>
      </c>
      <c r="BM1524" s="20">
        <f>SQRT(Table1347456[[#This Row],[v]])</f>
        <v>8.4213015436470348E-2</v>
      </c>
      <c r="BN1524" s="20">
        <f>Table1347456[[#This Row],[lnrr]]-(1.96*Table1347456[[#This Row],[se]])</f>
        <v>7.1331267808748461E-2</v>
      </c>
      <c r="BO1524" s="20">
        <f>Table1347456[[#This Row],[lnrr]]+(1.96 * Table1347456[[#This Row],[se]])</f>
        <v>0.40144628831971219</v>
      </c>
    </row>
    <row r="1525" spans="1:67">
      <c r="A1525" s="13" t="s">
        <v>395</v>
      </c>
      <c r="B1525" s="13" t="s">
        <v>453</v>
      </c>
      <c r="C1525" s="13" t="s">
        <v>43</v>
      </c>
      <c r="D1525" s="13" t="s">
        <v>397</v>
      </c>
      <c r="E1525" s="13" t="s">
        <v>454</v>
      </c>
      <c r="F1525" s="13" t="s">
        <v>586</v>
      </c>
      <c r="G1525" s="13" t="s">
        <v>46</v>
      </c>
      <c r="H1525" s="13">
        <v>14.53</v>
      </c>
      <c r="I1525" s="13">
        <v>362</v>
      </c>
      <c r="K1525" s="13" t="s">
        <v>986</v>
      </c>
      <c r="L1525" s="13" t="s">
        <v>987</v>
      </c>
      <c r="N1525" s="13" t="s">
        <v>47</v>
      </c>
      <c r="O1525" s="13" t="s">
        <v>645</v>
      </c>
      <c r="P1525" s="13" t="s">
        <v>48</v>
      </c>
      <c r="Q1525" s="13" t="s">
        <v>48</v>
      </c>
      <c r="R1525" s="4">
        <v>4</v>
      </c>
      <c r="S1525" s="13" t="s">
        <v>594</v>
      </c>
      <c r="T1525" s="13">
        <v>730</v>
      </c>
      <c r="U1525" s="4" t="s">
        <v>186</v>
      </c>
      <c r="V1525" s="4">
        <v>575</v>
      </c>
      <c r="W1525" s="4" t="s">
        <v>601</v>
      </c>
      <c r="X1525" s="4">
        <v>883</v>
      </c>
      <c r="Y1525" s="4">
        <v>5</v>
      </c>
      <c r="AA1525" s="4" t="s">
        <v>49</v>
      </c>
      <c r="AB1525" s="4">
        <v>0</v>
      </c>
      <c r="AC1525" s="4" t="s">
        <v>49</v>
      </c>
      <c r="AD1525" s="4">
        <v>0</v>
      </c>
      <c r="AE1525" s="4" t="s">
        <v>49</v>
      </c>
      <c r="AF1525" s="4">
        <v>0</v>
      </c>
      <c r="AG1525" s="4" t="s">
        <v>46</v>
      </c>
      <c r="AH1525" s="4" t="s">
        <v>773</v>
      </c>
      <c r="AI1525" s="4" t="s">
        <v>297</v>
      </c>
      <c r="AJ1525" s="13">
        <v>0</v>
      </c>
      <c r="AK1525" s="13">
        <v>20</v>
      </c>
      <c r="AM1525" s="13" t="s">
        <v>574</v>
      </c>
      <c r="AP1525" s="13" t="s">
        <v>50</v>
      </c>
      <c r="AQ1525" s="13" t="s">
        <v>49</v>
      </c>
      <c r="AR1525" s="13" t="s">
        <v>49</v>
      </c>
      <c r="AS1525" s="13" t="s">
        <v>50</v>
      </c>
      <c r="AT1525" s="13" t="s">
        <v>990</v>
      </c>
      <c r="AU1525" s="13" t="s">
        <v>998</v>
      </c>
      <c r="AV1525" s="14">
        <v>0.2</v>
      </c>
      <c r="AW1525" s="14">
        <v>0.4</v>
      </c>
      <c r="AX1525" s="14">
        <f>Table1347456[[#This Row],[treatment_mean]]/Table1347456[[#This Row],[control_mean]]</f>
        <v>0.5</v>
      </c>
      <c r="AY1525" s="14">
        <f>LN(Table1347456[[#This Row],[rr]])</f>
        <v>-0.69314718055994529</v>
      </c>
      <c r="AZ1525" s="13">
        <v>4</v>
      </c>
      <c r="BA1525" s="13">
        <v>4</v>
      </c>
      <c r="BB1525" s="14">
        <v>0</v>
      </c>
      <c r="BC1525" s="14">
        <v>0</v>
      </c>
      <c r="BD1525" s="15">
        <f>Table1347456[[#This Row],[treatment_se]]*SQRT(Table1347456[[#This Row],[treatment_n]])</f>
        <v>0</v>
      </c>
      <c r="BE1525" s="14">
        <f>Table1347456[[#This Row],[control_se]]*SQRT(Table1347456[[#This Row],[control_n]])</f>
        <v>0</v>
      </c>
      <c r="BF152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25" s="17">
        <f>SQRT(Table1347456[[#This Row],[v_from_sd_and_n]])</f>
        <v>0</v>
      </c>
      <c r="BH1525" s="13" t="s">
        <v>49</v>
      </c>
      <c r="BI1525" s="13">
        <v>0.52500000000000002</v>
      </c>
      <c r="BJ1525" s="18">
        <f>ABS(_xlfn.NORM.S.INV(Table1347456[[#This Row],[p_value]]/2))</f>
        <v>0.63565701369758276</v>
      </c>
      <c r="BK1525" s="19">
        <f>(Table1347456[[#This Row],[lnrr]]/Table1347456[[#This Row],[z_from_p]])^2</f>
        <v>1.1890640134699826</v>
      </c>
      <c r="BL1525" s="16">
        <f>(Table1347456[[#This Row],[lnrr]]/Table1347456[[#This Row],[z_from_p]])^2</f>
        <v>1.1890640134699826</v>
      </c>
      <c r="BM1525" s="20">
        <f>SQRT(Table1347456[[#This Row],[v]])</f>
        <v>1.0904421183492421</v>
      </c>
      <c r="BN1525" s="20">
        <f>Table1347456[[#This Row],[lnrr]]-(1.96*Table1347456[[#This Row],[se]])</f>
        <v>-2.8304137325244598</v>
      </c>
      <c r="BO1525" s="20">
        <f>Table1347456[[#This Row],[lnrr]]+(1.96 * Table1347456[[#This Row],[se]])</f>
        <v>1.444119371404569</v>
      </c>
    </row>
    <row r="1526" spans="1:67">
      <c r="A1526" s="13" t="s">
        <v>395</v>
      </c>
      <c r="B1526" s="13" t="s">
        <v>453</v>
      </c>
      <c r="C1526" s="13" t="s">
        <v>43</v>
      </c>
      <c r="D1526" s="13" t="s">
        <v>397</v>
      </c>
      <c r="E1526" s="13" t="s">
        <v>454</v>
      </c>
      <c r="F1526" s="13" t="s">
        <v>586</v>
      </c>
      <c r="G1526" s="13" t="s">
        <v>46</v>
      </c>
      <c r="H1526" s="13">
        <v>14.53</v>
      </c>
      <c r="I1526" s="13">
        <v>362</v>
      </c>
      <c r="K1526" s="13" t="s">
        <v>986</v>
      </c>
      <c r="L1526" s="13" t="s">
        <v>987</v>
      </c>
      <c r="N1526" s="13" t="s">
        <v>47</v>
      </c>
      <c r="O1526" s="13" t="s">
        <v>645</v>
      </c>
      <c r="P1526" s="13" t="s">
        <v>48</v>
      </c>
      <c r="Q1526" s="13" t="s">
        <v>48</v>
      </c>
      <c r="R1526" s="4">
        <v>4</v>
      </c>
      <c r="S1526" s="13" t="s">
        <v>594</v>
      </c>
      <c r="T1526" s="13">
        <v>730</v>
      </c>
      <c r="U1526" s="4" t="s">
        <v>186</v>
      </c>
      <c r="V1526" s="4">
        <v>575</v>
      </c>
      <c r="W1526" s="4" t="s">
        <v>601</v>
      </c>
      <c r="X1526" s="4">
        <v>883</v>
      </c>
      <c r="Y1526" s="4">
        <v>10</v>
      </c>
      <c r="AA1526" s="4" t="s">
        <v>49</v>
      </c>
      <c r="AB1526" s="4">
        <v>0</v>
      </c>
      <c r="AC1526" s="4" t="s">
        <v>49</v>
      </c>
      <c r="AD1526" s="4">
        <v>0</v>
      </c>
      <c r="AE1526" s="4" t="s">
        <v>49</v>
      </c>
      <c r="AF1526" s="4">
        <v>0</v>
      </c>
      <c r="AG1526" s="4" t="s">
        <v>46</v>
      </c>
      <c r="AH1526" s="4" t="s">
        <v>773</v>
      </c>
      <c r="AI1526" s="4" t="s">
        <v>297</v>
      </c>
      <c r="AJ1526" s="13">
        <v>0</v>
      </c>
      <c r="AK1526" s="13">
        <v>20</v>
      </c>
      <c r="AM1526" s="13" t="s">
        <v>574</v>
      </c>
      <c r="AP1526" s="13" t="s">
        <v>50</v>
      </c>
      <c r="AQ1526" s="13" t="s">
        <v>49</v>
      </c>
      <c r="AR1526" s="13" t="s">
        <v>49</v>
      </c>
      <c r="AS1526" s="13" t="s">
        <v>50</v>
      </c>
      <c r="AT1526" s="13" t="s">
        <v>990</v>
      </c>
      <c r="AU1526" s="13" t="s">
        <v>998</v>
      </c>
      <c r="AV1526" s="14">
        <v>0.3</v>
      </c>
      <c r="AW1526" s="14">
        <v>0.4</v>
      </c>
      <c r="AX1526" s="14">
        <f>Table1347456[[#This Row],[treatment_mean]]/Table1347456[[#This Row],[control_mean]]</f>
        <v>0.74999999999999989</v>
      </c>
      <c r="AY1526" s="14">
        <f>LN(Table1347456[[#This Row],[rr]])</f>
        <v>-0.28768207245178107</v>
      </c>
      <c r="AZ1526" s="13">
        <v>4</v>
      </c>
      <c r="BA1526" s="13">
        <v>4</v>
      </c>
      <c r="BB1526" s="14">
        <v>0</v>
      </c>
      <c r="BC1526" s="14">
        <v>0</v>
      </c>
      <c r="BD1526" s="15">
        <f>Table1347456[[#This Row],[treatment_se]]*SQRT(Table1347456[[#This Row],[treatment_n]])</f>
        <v>0</v>
      </c>
      <c r="BE1526" s="14">
        <f>Table1347456[[#This Row],[control_se]]*SQRT(Table1347456[[#This Row],[control_n]])</f>
        <v>0</v>
      </c>
      <c r="BF152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26" s="17">
        <f>SQRT(Table1347456[[#This Row],[v_from_sd_and_n]])</f>
        <v>0</v>
      </c>
      <c r="BH1526" s="13" t="s">
        <v>49</v>
      </c>
      <c r="BI1526" s="13">
        <v>0.52500000000000002</v>
      </c>
      <c r="BJ1526" s="18">
        <f>ABS(_xlfn.NORM.S.INV(Table1347456[[#This Row],[p_value]]/2))</f>
        <v>0.63565701369758276</v>
      </c>
      <c r="BK1526" s="19">
        <f>(Table1347456[[#This Row],[lnrr]]/Table1347456[[#This Row],[z_from_p]])^2</f>
        <v>0.20482356029761842</v>
      </c>
      <c r="BL1526" s="16">
        <f>(Table1347456[[#This Row],[lnrr]]/Table1347456[[#This Row],[z_from_p]])^2</f>
        <v>0.20482356029761842</v>
      </c>
      <c r="BM1526" s="20">
        <f>SQRT(Table1347456[[#This Row],[v]])</f>
        <v>0.45257436990799471</v>
      </c>
      <c r="BN1526" s="20">
        <f>Table1347456[[#This Row],[lnrr]]-(1.96*Table1347456[[#This Row],[se]])</f>
        <v>-1.1747278374714507</v>
      </c>
      <c r="BO1526" s="20">
        <f>Table1347456[[#This Row],[lnrr]]+(1.96 * Table1347456[[#This Row],[se]])</f>
        <v>0.59936369256788846</v>
      </c>
    </row>
    <row r="1527" spans="1:67">
      <c r="A1527" s="13" t="s">
        <v>395</v>
      </c>
      <c r="B1527" s="13" t="s">
        <v>453</v>
      </c>
      <c r="C1527" s="13" t="s">
        <v>43</v>
      </c>
      <c r="D1527" s="13" t="s">
        <v>397</v>
      </c>
      <c r="E1527" s="13" t="s">
        <v>454</v>
      </c>
      <c r="F1527" s="13" t="s">
        <v>586</v>
      </c>
      <c r="G1527" s="13" t="s">
        <v>46</v>
      </c>
      <c r="H1527" s="13">
        <v>14.53</v>
      </c>
      <c r="I1527" s="13">
        <v>362</v>
      </c>
      <c r="K1527" s="13" t="s">
        <v>986</v>
      </c>
      <c r="L1527" s="13" t="s">
        <v>987</v>
      </c>
      <c r="N1527" s="13" t="s">
        <v>47</v>
      </c>
      <c r="O1527" s="13" t="s">
        <v>645</v>
      </c>
      <c r="P1527" s="13" t="s">
        <v>48</v>
      </c>
      <c r="Q1527" s="13" t="s">
        <v>48</v>
      </c>
      <c r="R1527" s="4">
        <v>4</v>
      </c>
      <c r="S1527" s="13" t="s">
        <v>594</v>
      </c>
      <c r="T1527" s="13">
        <v>730</v>
      </c>
      <c r="U1527" s="4" t="s">
        <v>186</v>
      </c>
      <c r="V1527" s="4">
        <v>575</v>
      </c>
      <c r="W1527" s="4" t="s">
        <v>601</v>
      </c>
      <c r="X1527" s="4">
        <v>883</v>
      </c>
      <c r="Y1527" s="4">
        <v>20</v>
      </c>
      <c r="AA1527" s="4" t="s">
        <v>49</v>
      </c>
      <c r="AB1527" s="4">
        <v>0</v>
      </c>
      <c r="AC1527" s="4" t="s">
        <v>49</v>
      </c>
      <c r="AD1527" s="4">
        <v>0</v>
      </c>
      <c r="AE1527" s="4" t="s">
        <v>49</v>
      </c>
      <c r="AF1527" s="4">
        <v>0</v>
      </c>
      <c r="AG1527" s="4" t="s">
        <v>46</v>
      </c>
      <c r="AH1527" s="4" t="s">
        <v>773</v>
      </c>
      <c r="AI1527" s="4" t="s">
        <v>297</v>
      </c>
      <c r="AJ1527" s="13">
        <v>0</v>
      </c>
      <c r="AK1527" s="13">
        <v>20</v>
      </c>
      <c r="AM1527" s="13" t="s">
        <v>574</v>
      </c>
      <c r="AP1527" s="13" t="s">
        <v>50</v>
      </c>
      <c r="AQ1527" s="13" t="s">
        <v>49</v>
      </c>
      <c r="AR1527" s="13" t="s">
        <v>49</v>
      </c>
      <c r="AS1527" s="13" t="s">
        <v>50</v>
      </c>
      <c r="AT1527" s="13" t="s">
        <v>990</v>
      </c>
      <c r="AU1527" s="13" t="s">
        <v>998</v>
      </c>
      <c r="AV1527" s="14">
        <v>0.3</v>
      </c>
      <c r="AW1527" s="14">
        <v>0.4</v>
      </c>
      <c r="AX1527" s="14">
        <f>Table1347456[[#This Row],[treatment_mean]]/Table1347456[[#This Row],[control_mean]]</f>
        <v>0.74999999999999989</v>
      </c>
      <c r="AY1527" s="14">
        <f>LN(Table1347456[[#This Row],[rr]])</f>
        <v>-0.28768207245178107</v>
      </c>
      <c r="AZ1527" s="13">
        <v>4</v>
      </c>
      <c r="BA1527" s="13">
        <v>4</v>
      </c>
      <c r="BB1527" s="14">
        <v>0</v>
      </c>
      <c r="BC1527" s="14">
        <v>0</v>
      </c>
      <c r="BD1527" s="15">
        <f>Table1347456[[#This Row],[treatment_se]]*SQRT(Table1347456[[#This Row],[treatment_n]])</f>
        <v>0</v>
      </c>
      <c r="BE1527" s="14">
        <f>Table1347456[[#This Row],[control_se]]*SQRT(Table1347456[[#This Row],[control_n]])</f>
        <v>0</v>
      </c>
      <c r="BF152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27" s="17">
        <f>SQRT(Table1347456[[#This Row],[v_from_sd_and_n]])</f>
        <v>0</v>
      </c>
      <c r="BH1527" s="13" t="s">
        <v>49</v>
      </c>
      <c r="BI1527" s="13">
        <v>0.52500000000000002</v>
      </c>
      <c r="BJ1527" s="18">
        <f>ABS(_xlfn.NORM.S.INV(Table1347456[[#This Row],[p_value]]/2))</f>
        <v>0.63565701369758276</v>
      </c>
      <c r="BK1527" s="19">
        <f>(Table1347456[[#This Row],[lnrr]]/Table1347456[[#This Row],[z_from_p]])^2</f>
        <v>0.20482356029761842</v>
      </c>
      <c r="BL1527" s="16">
        <f>(Table1347456[[#This Row],[lnrr]]/Table1347456[[#This Row],[z_from_p]])^2</f>
        <v>0.20482356029761842</v>
      </c>
      <c r="BM1527" s="20">
        <f>SQRT(Table1347456[[#This Row],[v]])</f>
        <v>0.45257436990799471</v>
      </c>
      <c r="BN1527" s="20">
        <f>Table1347456[[#This Row],[lnrr]]-(1.96*Table1347456[[#This Row],[se]])</f>
        <v>-1.1747278374714507</v>
      </c>
      <c r="BO1527" s="20">
        <f>Table1347456[[#This Row],[lnrr]]+(1.96 * Table1347456[[#This Row],[se]])</f>
        <v>0.59936369256788846</v>
      </c>
    </row>
    <row r="1528" spans="1:67">
      <c r="A1528" s="13" t="s">
        <v>395</v>
      </c>
      <c r="B1528" s="13" t="s">
        <v>453</v>
      </c>
      <c r="C1528" s="13" t="s">
        <v>43</v>
      </c>
      <c r="D1528" s="13" t="s">
        <v>397</v>
      </c>
      <c r="E1528" s="13" t="s">
        <v>454</v>
      </c>
      <c r="F1528" s="13" t="s">
        <v>586</v>
      </c>
      <c r="G1528" s="13" t="s">
        <v>46</v>
      </c>
      <c r="H1528" s="13">
        <v>14.53</v>
      </c>
      <c r="I1528" s="13">
        <v>362</v>
      </c>
      <c r="K1528" s="13" t="s">
        <v>986</v>
      </c>
      <c r="L1528" s="13" t="s">
        <v>987</v>
      </c>
      <c r="N1528" s="13" t="s">
        <v>47</v>
      </c>
      <c r="O1528" s="13" t="s">
        <v>645</v>
      </c>
      <c r="P1528" s="13" t="s">
        <v>48</v>
      </c>
      <c r="Q1528" s="13" t="s">
        <v>48</v>
      </c>
      <c r="R1528" s="4">
        <v>4</v>
      </c>
      <c r="S1528" s="13" t="s">
        <v>594</v>
      </c>
      <c r="T1528" s="13">
        <v>730</v>
      </c>
      <c r="U1528" s="4" t="s">
        <v>186</v>
      </c>
      <c r="V1528" s="4">
        <v>575</v>
      </c>
      <c r="W1528" s="4" t="s">
        <v>601</v>
      </c>
      <c r="X1528" s="4">
        <v>883</v>
      </c>
      <c r="Y1528" s="4">
        <v>30</v>
      </c>
      <c r="AA1528" s="4" t="s">
        <v>49</v>
      </c>
      <c r="AB1528" s="4">
        <v>0</v>
      </c>
      <c r="AC1528" s="4" t="s">
        <v>49</v>
      </c>
      <c r="AD1528" s="4">
        <v>0</v>
      </c>
      <c r="AE1528" s="4" t="s">
        <v>49</v>
      </c>
      <c r="AF1528" s="4">
        <v>0</v>
      </c>
      <c r="AG1528" s="4" t="s">
        <v>46</v>
      </c>
      <c r="AH1528" s="4" t="s">
        <v>773</v>
      </c>
      <c r="AI1528" s="4" t="s">
        <v>297</v>
      </c>
      <c r="AJ1528" s="13">
        <v>0</v>
      </c>
      <c r="AK1528" s="13">
        <v>20</v>
      </c>
      <c r="AM1528" s="13" t="s">
        <v>574</v>
      </c>
      <c r="AP1528" s="13" t="s">
        <v>50</v>
      </c>
      <c r="AQ1528" s="13" t="s">
        <v>49</v>
      </c>
      <c r="AR1528" s="13" t="s">
        <v>49</v>
      </c>
      <c r="AS1528" s="13" t="s">
        <v>50</v>
      </c>
      <c r="AT1528" s="13" t="s">
        <v>990</v>
      </c>
      <c r="AU1528" s="13" t="s">
        <v>998</v>
      </c>
      <c r="AV1528" s="14">
        <v>0.1</v>
      </c>
      <c r="AW1528" s="14">
        <v>0.4</v>
      </c>
      <c r="AX1528" s="14">
        <f>Table1347456[[#This Row],[treatment_mean]]/Table1347456[[#This Row],[control_mean]]</f>
        <v>0.25</v>
      </c>
      <c r="AY1528" s="14">
        <f>LN(Table1347456[[#This Row],[rr]])</f>
        <v>-1.3862943611198906</v>
      </c>
      <c r="AZ1528" s="13">
        <v>4</v>
      </c>
      <c r="BA1528" s="13">
        <v>4</v>
      </c>
      <c r="BB1528" s="14">
        <v>0</v>
      </c>
      <c r="BC1528" s="14">
        <v>0</v>
      </c>
      <c r="BD1528" s="15">
        <f>Table1347456[[#This Row],[treatment_se]]*SQRT(Table1347456[[#This Row],[treatment_n]])</f>
        <v>0</v>
      </c>
      <c r="BE1528" s="14">
        <f>Table1347456[[#This Row],[control_se]]*SQRT(Table1347456[[#This Row],[control_n]])</f>
        <v>0</v>
      </c>
      <c r="BF152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28" s="17">
        <f>SQRT(Table1347456[[#This Row],[v_from_sd_and_n]])</f>
        <v>0</v>
      </c>
      <c r="BH1528" s="13" t="s">
        <v>49</v>
      </c>
      <c r="BI1528" s="13">
        <v>0.52500000000000002</v>
      </c>
      <c r="BJ1528" s="18">
        <f>ABS(_xlfn.NORM.S.INV(Table1347456[[#This Row],[p_value]]/2))</f>
        <v>0.63565701369758276</v>
      </c>
      <c r="BK1528" s="19">
        <f>(Table1347456[[#This Row],[lnrr]]/Table1347456[[#This Row],[z_from_p]])^2</f>
        <v>4.7562560538799303</v>
      </c>
      <c r="BL1528" s="16">
        <f>(Table1347456[[#This Row],[lnrr]]/Table1347456[[#This Row],[z_from_p]])^2</f>
        <v>4.7562560538799303</v>
      </c>
      <c r="BM1528" s="20">
        <f>SQRT(Table1347456[[#This Row],[v]])</f>
        <v>2.1808842366984842</v>
      </c>
      <c r="BN1528" s="20">
        <f>Table1347456[[#This Row],[lnrr]]-(1.96*Table1347456[[#This Row],[se]])</f>
        <v>-5.6608274650489196</v>
      </c>
      <c r="BO1528" s="20">
        <f>Table1347456[[#This Row],[lnrr]]+(1.96 * Table1347456[[#This Row],[se]])</f>
        <v>2.8882387428091381</v>
      </c>
    </row>
    <row r="1529" spans="1:67">
      <c r="A1529" s="13" t="s">
        <v>395</v>
      </c>
      <c r="B1529" s="13" t="s">
        <v>453</v>
      </c>
      <c r="C1529" s="13" t="s">
        <v>43</v>
      </c>
      <c r="D1529" s="13" t="s">
        <v>397</v>
      </c>
      <c r="E1529" s="13" t="s">
        <v>454</v>
      </c>
      <c r="F1529" s="13" t="s">
        <v>586</v>
      </c>
      <c r="G1529" s="13" t="s">
        <v>46</v>
      </c>
      <c r="H1529" s="13">
        <v>14.53</v>
      </c>
      <c r="I1529" s="13">
        <v>362</v>
      </c>
      <c r="K1529" s="13" t="s">
        <v>986</v>
      </c>
      <c r="L1529" s="13" t="s">
        <v>987</v>
      </c>
      <c r="N1529" s="13" t="s">
        <v>81</v>
      </c>
      <c r="O1529" s="13" t="s">
        <v>82</v>
      </c>
      <c r="P1529" s="13" t="s">
        <v>83</v>
      </c>
      <c r="Q1529" s="13" t="s">
        <v>83</v>
      </c>
      <c r="R1529" s="4">
        <v>4</v>
      </c>
      <c r="S1529" s="13" t="s">
        <v>594</v>
      </c>
      <c r="T1529" s="13">
        <v>730</v>
      </c>
      <c r="U1529" s="4" t="s">
        <v>186</v>
      </c>
      <c r="V1529" s="4">
        <v>575</v>
      </c>
      <c r="W1529" s="4" t="s">
        <v>601</v>
      </c>
      <c r="X1529" s="4">
        <v>883</v>
      </c>
      <c r="Y1529" s="4">
        <v>5</v>
      </c>
      <c r="AA1529" s="4" t="s">
        <v>49</v>
      </c>
      <c r="AB1529" s="4">
        <v>0</v>
      </c>
      <c r="AC1529" s="4" t="s">
        <v>49</v>
      </c>
      <c r="AD1529" s="4">
        <v>0</v>
      </c>
      <c r="AE1529" s="4" t="s">
        <v>49</v>
      </c>
      <c r="AF1529" s="4">
        <v>0</v>
      </c>
      <c r="AG1529" s="4" t="s">
        <v>46</v>
      </c>
      <c r="AH1529" s="4" t="s">
        <v>773</v>
      </c>
      <c r="AI1529" s="4" t="s">
        <v>297</v>
      </c>
      <c r="AJ1529" s="13">
        <v>0</v>
      </c>
      <c r="AK1529" s="13">
        <v>20</v>
      </c>
      <c r="AM1529" s="13" t="s">
        <v>574</v>
      </c>
      <c r="AP1529" s="13" t="s">
        <v>50</v>
      </c>
      <c r="AQ1529" s="13" t="s">
        <v>49</v>
      </c>
      <c r="AR1529" s="13" t="s">
        <v>49</v>
      </c>
      <c r="AS1529" s="13" t="s">
        <v>50</v>
      </c>
      <c r="AT1529" s="13" t="s">
        <v>990</v>
      </c>
      <c r="AU1529" s="13" t="s">
        <v>998</v>
      </c>
      <c r="AV1529" s="14">
        <v>5.4</v>
      </c>
      <c r="AW1529" s="14">
        <v>5.8</v>
      </c>
      <c r="AX1529" s="14">
        <f>Table1347456[[#This Row],[treatment_mean]]/Table1347456[[#This Row],[control_mean]]</f>
        <v>0.93103448275862077</v>
      </c>
      <c r="AY1529" s="14">
        <f>LN(Table1347456[[#This Row],[rr]])</f>
        <v>-7.1458963982144866E-2</v>
      </c>
      <c r="AZ1529" s="13">
        <v>4</v>
      </c>
      <c r="BA1529" s="13">
        <v>4</v>
      </c>
      <c r="BB1529" s="14">
        <v>0</v>
      </c>
      <c r="BC1529" s="14">
        <v>0</v>
      </c>
      <c r="BD1529" s="15">
        <f>Table1347456[[#This Row],[treatment_se]]*SQRT(Table1347456[[#This Row],[treatment_n]])</f>
        <v>0</v>
      </c>
      <c r="BE1529" s="14">
        <f>Table1347456[[#This Row],[control_se]]*SQRT(Table1347456[[#This Row],[control_n]])</f>
        <v>0</v>
      </c>
      <c r="BF152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29" s="17">
        <f>SQRT(Table1347456[[#This Row],[v_from_sd_and_n]])</f>
        <v>0</v>
      </c>
      <c r="BH1529" s="13" t="s">
        <v>49</v>
      </c>
      <c r="BI1529" s="13">
        <v>0.52500000000000002</v>
      </c>
      <c r="BJ1529" s="18">
        <f>ABS(_xlfn.NORM.S.INV(Table1347456[[#This Row],[p_value]]/2))</f>
        <v>0.63565701369758276</v>
      </c>
      <c r="BK1529" s="19">
        <f>(Table1347456[[#This Row],[lnrr]]/Table1347456[[#This Row],[z_from_p]])^2</f>
        <v>1.2637691350973887E-2</v>
      </c>
      <c r="BL1529" s="16">
        <f>(Table1347456[[#This Row],[lnrr]]/Table1347456[[#This Row],[z_from_p]])^2</f>
        <v>1.2637691350973887E-2</v>
      </c>
      <c r="BM1529" s="20">
        <f>SQRT(Table1347456[[#This Row],[v]])</f>
        <v>0.11241748685579965</v>
      </c>
      <c r="BN1529" s="20">
        <f>Table1347456[[#This Row],[lnrr]]-(1.96*Table1347456[[#This Row],[se]])</f>
        <v>-0.2917972382195122</v>
      </c>
      <c r="BO1529" s="20">
        <f>Table1347456[[#This Row],[lnrr]]+(1.96 * Table1347456[[#This Row],[se]])</f>
        <v>0.14887931025522244</v>
      </c>
    </row>
    <row r="1530" spans="1:67">
      <c r="A1530" s="13" t="s">
        <v>395</v>
      </c>
      <c r="B1530" s="13" t="s">
        <v>453</v>
      </c>
      <c r="C1530" s="13" t="s">
        <v>43</v>
      </c>
      <c r="D1530" s="13" t="s">
        <v>397</v>
      </c>
      <c r="E1530" s="13" t="s">
        <v>454</v>
      </c>
      <c r="F1530" s="13" t="s">
        <v>586</v>
      </c>
      <c r="G1530" s="13" t="s">
        <v>46</v>
      </c>
      <c r="H1530" s="13">
        <v>14.53</v>
      </c>
      <c r="I1530" s="13">
        <v>362</v>
      </c>
      <c r="K1530" s="13" t="s">
        <v>986</v>
      </c>
      <c r="L1530" s="13" t="s">
        <v>987</v>
      </c>
      <c r="N1530" s="13" t="s">
        <v>81</v>
      </c>
      <c r="O1530" s="13" t="s">
        <v>82</v>
      </c>
      <c r="P1530" s="13" t="s">
        <v>83</v>
      </c>
      <c r="Q1530" s="13" t="s">
        <v>83</v>
      </c>
      <c r="R1530" s="4">
        <v>4</v>
      </c>
      <c r="S1530" s="13" t="s">
        <v>594</v>
      </c>
      <c r="T1530" s="13">
        <v>730</v>
      </c>
      <c r="U1530" s="4" t="s">
        <v>186</v>
      </c>
      <c r="V1530" s="4">
        <v>575</v>
      </c>
      <c r="W1530" s="4" t="s">
        <v>601</v>
      </c>
      <c r="X1530" s="4">
        <v>883</v>
      </c>
      <c r="Y1530" s="4">
        <v>10</v>
      </c>
      <c r="AA1530" s="4" t="s">
        <v>49</v>
      </c>
      <c r="AB1530" s="4">
        <v>0</v>
      </c>
      <c r="AC1530" s="4" t="s">
        <v>49</v>
      </c>
      <c r="AD1530" s="4">
        <v>0</v>
      </c>
      <c r="AE1530" s="4" t="s">
        <v>49</v>
      </c>
      <c r="AF1530" s="4">
        <v>0</v>
      </c>
      <c r="AG1530" s="4" t="s">
        <v>46</v>
      </c>
      <c r="AH1530" s="4" t="s">
        <v>773</v>
      </c>
      <c r="AI1530" s="4" t="s">
        <v>297</v>
      </c>
      <c r="AJ1530" s="13">
        <v>0</v>
      </c>
      <c r="AK1530" s="13">
        <v>20</v>
      </c>
      <c r="AM1530" s="13" t="s">
        <v>574</v>
      </c>
      <c r="AP1530" s="13" t="s">
        <v>50</v>
      </c>
      <c r="AQ1530" s="13" t="s">
        <v>49</v>
      </c>
      <c r="AR1530" s="13" t="s">
        <v>49</v>
      </c>
      <c r="AS1530" s="13" t="s">
        <v>50</v>
      </c>
      <c r="AT1530" s="13" t="s">
        <v>990</v>
      </c>
      <c r="AU1530" s="13" t="s">
        <v>998</v>
      </c>
      <c r="AV1530" s="14">
        <v>5.4</v>
      </c>
      <c r="AW1530" s="14">
        <v>5.8</v>
      </c>
      <c r="AX1530" s="14">
        <f>Table1347456[[#This Row],[treatment_mean]]/Table1347456[[#This Row],[control_mean]]</f>
        <v>0.93103448275862077</v>
      </c>
      <c r="AY1530" s="14">
        <f>LN(Table1347456[[#This Row],[rr]])</f>
        <v>-7.1458963982144866E-2</v>
      </c>
      <c r="AZ1530" s="13">
        <v>4</v>
      </c>
      <c r="BA1530" s="13">
        <v>4</v>
      </c>
      <c r="BB1530" s="14">
        <v>0</v>
      </c>
      <c r="BC1530" s="14">
        <v>0</v>
      </c>
      <c r="BD1530" s="15">
        <f>Table1347456[[#This Row],[treatment_se]]*SQRT(Table1347456[[#This Row],[treatment_n]])</f>
        <v>0</v>
      </c>
      <c r="BE1530" s="14">
        <f>Table1347456[[#This Row],[control_se]]*SQRT(Table1347456[[#This Row],[control_n]])</f>
        <v>0</v>
      </c>
      <c r="BF153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30" s="17">
        <f>SQRT(Table1347456[[#This Row],[v_from_sd_and_n]])</f>
        <v>0</v>
      </c>
      <c r="BH1530" s="13" t="s">
        <v>49</v>
      </c>
      <c r="BI1530" s="13">
        <v>0.52500000000000002</v>
      </c>
      <c r="BJ1530" s="18">
        <f>ABS(_xlfn.NORM.S.INV(Table1347456[[#This Row],[p_value]]/2))</f>
        <v>0.63565701369758276</v>
      </c>
      <c r="BK1530" s="19">
        <f>(Table1347456[[#This Row],[lnrr]]/Table1347456[[#This Row],[z_from_p]])^2</f>
        <v>1.2637691350973887E-2</v>
      </c>
      <c r="BL1530" s="16">
        <f>(Table1347456[[#This Row],[lnrr]]/Table1347456[[#This Row],[z_from_p]])^2</f>
        <v>1.2637691350973887E-2</v>
      </c>
      <c r="BM1530" s="20">
        <f>SQRT(Table1347456[[#This Row],[v]])</f>
        <v>0.11241748685579965</v>
      </c>
      <c r="BN1530" s="20">
        <f>Table1347456[[#This Row],[lnrr]]-(1.96*Table1347456[[#This Row],[se]])</f>
        <v>-0.2917972382195122</v>
      </c>
      <c r="BO1530" s="20">
        <f>Table1347456[[#This Row],[lnrr]]+(1.96 * Table1347456[[#This Row],[se]])</f>
        <v>0.14887931025522244</v>
      </c>
    </row>
    <row r="1531" spans="1:67">
      <c r="A1531" s="13" t="s">
        <v>395</v>
      </c>
      <c r="B1531" s="13" t="s">
        <v>453</v>
      </c>
      <c r="C1531" s="13" t="s">
        <v>43</v>
      </c>
      <c r="D1531" s="13" t="s">
        <v>397</v>
      </c>
      <c r="E1531" s="13" t="s">
        <v>454</v>
      </c>
      <c r="F1531" s="13" t="s">
        <v>586</v>
      </c>
      <c r="G1531" s="13" t="s">
        <v>46</v>
      </c>
      <c r="H1531" s="13">
        <v>14.53</v>
      </c>
      <c r="I1531" s="13">
        <v>362</v>
      </c>
      <c r="K1531" s="13" t="s">
        <v>986</v>
      </c>
      <c r="L1531" s="13" t="s">
        <v>987</v>
      </c>
      <c r="N1531" s="13" t="s">
        <v>81</v>
      </c>
      <c r="O1531" s="13" t="s">
        <v>82</v>
      </c>
      <c r="P1531" s="13" t="s">
        <v>83</v>
      </c>
      <c r="Q1531" s="13" t="s">
        <v>83</v>
      </c>
      <c r="R1531" s="4">
        <v>4</v>
      </c>
      <c r="S1531" s="13" t="s">
        <v>594</v>
      </c>
      <c r="T1531" s="13">
        <v>730</v>
      </c>
      <c r="U1531" s="4" t="s">
        <v>186</v>
      </c>
      <c r="V1531" s="4">
        <v>575</v>
      </c>
      <c r="W1531" s="4" t="s">
        <v>601</v>
      </c>
      <c r="X1531" s="4">
        <v>883</v>
      </c>
      <c r="Y1531" s="4">
        <v>20</v>
      </c>
      <c r="AA1531" s="4" t="s">
        <v>49</v>
      </c>
      <c r="AB1531" s="4">
        <v>0</v>
      </c>
      <c r="AC1531" s="4" t="s">
        <v>49</v>
      </c>
      <c r="AD1531" s="4">
        <v>0</v>
      </c>
      <c r="AE1531" s="4" t="s">
        <v>49</v>
      </c>
      <c r="AF1531" s="4">
        <v>0</v>
      </c>
      <c r="AG1531" s="4" t="s">
        <v>46</v>
      </c>
      <c r="AH1531" s="4" t="s">
        <v>773</v>
      </c>
      <c r="AI1531" s="4" t="s">
        <v>297</v>
      </c>
      <c r="AJ1531" s="13">
        <v>0</v>
      </c>
      <c r="AK1531" s="13">
        <v>20</v>
      </c>
      <c r="AM1531" s="13" t="s">
        <v>574</v>
      </c>
      <c r="AP1531" s="13" t="s">
        <v>50</v>
      </c>
      <c r="AQ1531" s="13" t="s">
        <v>49</v>
      </c>
      <c r="AR1531" s="13" t="s">
        <v>49</v>
      </c>
      <c r="AS1531" s="13" t="s">
        <v>50</v>
      </c>
      <c r="AT1531" s="13" t="s">
        <v>990</v>
      </c>
      <c r="AU1531" s="13" t="s">
        <v>998</v>
      </c>
      <c r="AV1531" s="14">
        <v>5</v>
      </c>
      <c r="AW1531" s="14">
        <v>5.8</v>
      </c>
      <c r="AX1531" s="14">
        <f>Table1347456[[#This Row],[treatment_mean]]/Table1347456[[#This Row],[control_mean]]</f>
        <v>0.86206896551724144</v>
      </c>
      <c r="AY1531" s="14">
        <f>LN(Table1347456[[#This Row],[rr]])</f>
        <v>-0.14842000511827322</v>
      </c>
      <c r="AZ1531" s="13">
        <v>4</v>
      </c>
      <c r="BA1531" s="13">
        <v>4</v>
      </c>
      <c r="BB1531" s="14">
        <v>0</v>
      </c>
      <c r="BC1531" s="14">
        <v>0</v>
      </c>
      <c r="BD1531" s="15">
        <f>Table1347456[[#This Row],[treatment_se]]*SQRT(Table1347456[[#This Row],[treatment_n]])</f>
        <v>0</v>
      </c>
      <c r="BE1531" s="14">
        <f>Table1347456[[#This Row],[control_se]]*SQRT(Table1347456[[#This Row],[control_n]])</f>
        <v>0</v>
      </c>
      <c r="BF153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31" s="17">
        <f>SQRT(Table1347456[[#This Row],[v_from_sd_and_n]])</f>
        <v>0</v>
      </c>
      <c r="BH1531" s="13" t="s">
        <v>49</v>
      </c>
      <c r="BI1531" s="13">
        <v>0.52500000000000002</v>
      </c>
      <c r="BJ1531" s="18">
        <f>ABS(_xlfn.NORM.S.INV(Table1347456[[#This Row],[p_value]]/2))</f>
        <v>0.63565701369758276</v>
      </c>
      <c r="BK1531" s="19">
        <f>(Table1347456[[#This Row],[lnrr]]/Table1347456[[#This Row],[z_from_p]])^2</f>
        <v>5.4517909947188532E-2</v>
      </c>
      <c r="BL1531" s="16">
        <f>(Table1347456[[#This Row],[lnrr]]/Table1347456[[#This Row],[z_from_p]])^2</f>
        <v>5.4517909947188532E-2</v>
      </c>
      <c r="BM1531" s="20">
        <f>SQRT(Table1347456[[#This Row],[v]])</f>
        <v>0.23349070634007799</v>
      </c>
      <c r="BN1531" s="20">
        <f>Table1347456[[#This Row],[lnrr]]-(1.96*Table1347456[[#This Row],[se]])</f>
        <v>-0.60606178954482604</v>
      </c>
      <c r="BO1531" s="20">
        <f>Table1347456[[#This Row],[lnrr]]+(1.96 * Table1347456[[#This Row],[se]])</f>
        <v>0.30922177930827965</v>
      </c>
    </row>
    <row r="1532" spans="1:67">
      <c r="A1532" s="13" t="s">
        <v>395</v>
      </c>
      <c r="B1532" s="13" t="s">
        <v>453</v>
      </c>
      <c r="C1532" s="13" t="s">
        <v>43</v>
      </c>
      <c r="D1532" s="13" t="s">
        <v>397</v>
      </c>
      <c r="E1532" s="13" t="s">
        <v>454</v>
      </c>
      <c r="F1532" s="13" t="s">
        <v>586</v>
      </c>
      <c r="G1532" s="13" t="s">
        <v>46</v>
      </c>
      <c r="H1532" s="13">
        <v>14.53</v>
      </c>
      <c r="I1532" s="13">
        <v>362</v>
      </c>
      <c r="K1532" s="13" t="s">
        <v>986</v>
      </c>
      <c r="L1532" s="13" t="s">
        <v>987</v>
      </c>
      <c r="N1532" s="13" t="s">
        <v>81</v>
      </c>
      <c r="O1532" s="13" t="s">
        <v>82</v>
      </c>
      <c r="P1532" s="13" t="s">
        <v>83</v>
      </c>
      <c r="Q1532" s="13" t="s">
        <v>83</v>
      </c>
      <c r="R1532" s="4">
        <v>4</v>
      </c>
      <c r="S1532" s="13" t="s">
        <v>594</v>
      </c>
      <c r="T1532" s="13">
        <v>730</v>
      </c>
      <c r="U1532" s="4" t="s">
        <v>186</v>
      </c>
      <c r="V1532" s="4">
        <v>575</v>
      </c>
      <c r="W1532" s="4" t="s">
        <v>601</v>
      </c>
      <c r="X1532" s="4">
        <v>883</v>
      </c>
      <c r="Y1532" s="4">
        <v>30</v>
      </c>
      <c r="AA1532" s="4" t="s">
        <v>49</v>
      </c>
      <c r="AB1532" s="4">
        <v>0</v>
      </c>
      <c r="AC1532" s="4" t="s">
        <v>49</v>
      </c>
      <c r="AD1532" s="4">
        <v>0</v>
      </c>
      <c r="AE1532" s="4" t="s">
        <v>49</v>
      </c>
      <c r="AF1532" s="4">
        <v>0</v>
      </c>
      <c r="AG1532" s="4" t="s">
        <v>46</v>
      </c>
      <c r="AH1532" s="4" t="s">
        <v>773</v>
      </c>
      <c r="AI1532" s="4" t="s">
        <v>297</v>
      </c>
      <c r="AJ1532" s="13">
        <v>0</v>
      </c>
      <c r="AK1532" s="13">
        <v>20</v>
      </c>
      <c r="AM1532" s="13" t="s">
        <v>574</v>
      </c>
      <c r="AP1532" s="13" t="s">
        <v>50</v>
      </c>
      <c r="AQ1532" s="13" t="s">
        <v>49</v>
      </c>
      <c r="AR1532" s="13" t="s">
        <v>49</v>
      </c>
      <c r="AS1532" s="13" t="s">
        <v>50</v>
      </c>
      <c r="AT1532" s="13" t="s">
        <v>990</v>
      </c>
      <c r="AU1532" s="13" t="s">
        <v>998</v>
      </c>
      <c r="AV1532" s="14">
        <v>6</v>
      </c>
      <c r="AW1532" s="14">
        <v>5.8</v>
      </c>
      <c r="AX1532" s="14">
        <f>Table1347456[[#This Row],[treatment_mean]]/Table1347456[[#This Row],[control_mean]]</f>
        <v>1.0344827586206897</v>
      </c>
      <c r="AY1532" s="14">
        <f>LN(Table1347456[[#This Row],[rr]])</f>
        <v>3.3901551675681416E-2</v>
      </c>
      <c r="AZ1532" s="13">
        <v>4</v>
      </c>
      <c r="BA1532" s="13">
        <v>4</v>
      </c>
      <c r="BB1532" s="14">
        <v>0</v>
      </c>
      <c r="BC1532" s="14">
        <v>0</v>
      </c>
      <c r="BD1532" s="15">
        <f>Table1347456[[#This Row],[treatment_se]]*SQRT(Table1347456[[#This Row],[treatment_n]])</f>
        <v>0</v>
      </c>
      <c r="BE1532" s="14">
        <f>Table1347456[[#This Row],[control_se]]*SQRT(Table1347456[[#This Row],[control_n]])</f>
        <v>0</v>
      </c>
      <c r="BF153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32" s="17">
        <f>SQRT(Table1347456[[#This Row],[v_from_sd_and_n]])</f>
        <v>0</v>
      </c>
      <c r="BH1532" s="13" t="s">
        <v>49</v>
      </c>
      <c r="BI1532" s="13">
        <v>0.52500000000000002</v>
      </c>
      <c r="BJ1532" s="18">
        <f>ABS(_xlfn.NORM.S.INV(Table1347456[[#This Row],[p_value]]/2))</f>
        <v>0.63565701369758276</v>
      </c>
      <c r="BK1532" s="19">
        <f>(Table1347456[[#This Row],[lnrr]]/Table1347456[[#This Row],[z_from_p]])^2</f>
        <v>2.8444183135951334E-3</v>
      </c>
      <c r="BL1532" s="16">
        <f>(Table1347456[[#This Row],[lnrr]]/Table1347456[[#This Row],[z_from_p]])^2</f>
        <v>2.8444183135951334E-3</v>
      </c>
      <c r="BM1532" s="20">
        <f>SQRT(Table1347456[[#This Row],[v]])</f>
        <v>5.3333088356058413E-2</v>
      </c>
      <c r="BN1532" s="20">
        <f>Table1347456[[#This Row],[lnrr]]-(1.96*Table1347456[[#This Row],[se]])</f>
        <v>-7.0631301502193072E-2</v>
      </c>
      <c r="BO1532" s="20">
        <f>Table1347456[[#This Row],[lnrr]]+(1.96 * Table1347456[[#This Row],[se]])</f>
        <v>0.1384344048535559</v>
      </c>
    </row>
    <row r="1533" spans="1:67">
      <c r="A1533" s="13" t="s">
        <v>455</v>
      </c>
      <c r="B1533" s="13" t="s">
        <v>459</v>
      </c>
      <c r="C1533" s="13" t="s">
        <v>43</v>
      </c>
      <c r="D1533" s="13" t="s">
        <v>457</v>
      </c>
      <c r="E1533" s="13" t="s">
        <v>454</v>
      </c>
      <c r="F1533" s="13" t="s">
        <v>586</v>
      </c>
      <c r="G1533" s="13" t="s">
        <v>46</v>
      </c>
      <c r="H1533" s="13">
        <v>18.399999999999999</v>
      </c>
      <c r="I1533" s="13" t="s">
        <v>46</v>
      </c>
      <c r="K1533" s="13" t="s">
        <v>963</v>
      </c>
      <c r="L1533" s="13" t="s">
        <v>964</v>
      </c>
      <c r="N1533" s="13" t="s">
        <v>633</v>
      </c>
      <c r="O1533" s="13" t="s">
        <v>812</v>
      </c>
      <c r="P1533" s="13" t="s">
        <v>458</v>
      </c>
      <c r="Q1533" s="13" t="s">
        <v>419</v>
      </c>
      <c r="R1533" s="4">
        <v>5</v>
      </c>
      <c r="S1533" s="13" t="s">
        <v>596</v>
      </c>
      <c r="T1533" s="13">
        <v>33</v>
      </c>
      <c r="U1533" s="4" t="s">
        <v>147</v>
      </c>
      <c r="V1533" s="4">
        <v>400</v>
      </c>
      <c r="W1533" s="4" t="s">
        <v>42</v>
      </c>
      <c r="X1533" s="4">
        <v>834</v>
      </c>
      <c r="Y1533" s="4">
        <v>42</v>
      </c>
      <c r="Z1533" s="4" t="s">
        <v>489</v>
      </c>
      <c r="AA1533" s="4" t="s">
        <v>50</v>
      </c>
      <c r="AB1533" s="4" t="s">
        <v>807</v>
      </c>
      <c r="AC1533" s="4" t="s">
        <v>49</v>
      </c>
      <c r="AD1533" s="4">
        <v>0</v>
      </c>
      <c r="AE1533" s="4" t="s">
        <v>49</v>
      </c>
      <c r="AF1533" s="4">
        <v>0</v>
      </c>
      <c r="AG1533" s="4" t="s">
        <v>685</v>
      </c>
      <c r="AH1533" s="4" t="s">
        <v>687</v>
      </c>
      <c r="AI1533" s="4" t="s">
        <v>64</v>
      </c>
      <c r="AJ1533" s="13">
        <v>0</v>
      </c>
      <c r="AK1533" s="13">
        <v>30</v>
      </c>
      <c r="AL1533" s="13" t="s">
        <v>575</v>
      </c>
      <c r="AO1533" s="13" t="s">
        <v>576</v>
      </c>
      <c r="AP1533" s="13" t="s">
        <v>49</v>
      </c>
      <c r="AQ1533" s="13" t="s">
        <v>49</v>
      </c>
      <c r="AR1533" s="13" t="s">
        <v>50</v>
      </c>
      <c r="AS1533" s="13" t="s">
        <v>49</v>
      </c>
      <c r="AT1533" s="13" t="s">
        <v>992</v>
      </c>
      <c r="AU1533" s="4" t="s">
        <v>1000</v>
      </c>
      <c r="AV1533" s="14">
        <f>191.99/1000</f>
        <v>0.19199000000000002</v>
      </c>
      <c r="AW1533" s="14">
        <f>230.15/1000</f>
        <v>0.23014999999999999</v>
      </c>
      <c r="AX1533" s="14">
        <f>Table1347456[[#This Row],[treatment_mean]]/Table1347456[[#This Row],[control_mean]]</f>
        <v>0.83419509015859239</v>
      </c>
      <c r="AY1533" s="14">
        <f>LN(Table1347456[[#This Row],[rr]])</f>
        <v>-0.18128798292518594</v>
      </c>
      <c r="AZ1533" s="13">
        <v>5</v>
      </c>
      <c r="BA1533" s="13">
        <v>5</v>
      </c>
      <c r="BB1533" s="14">
        <v>0</v>
      </c>
      <c r="BC1533" s="14">
        <v>0</v>
      </c>
      <c r="BD1533" s="15">
        <f>Table1347456[[#This Row],[treatment_se]]*SQRT(Table1347456[[#This Row],[treatment_n]])</f>
        <v>0</v>
      </c>
      <c r="BE1533" s="14">
        <f>Table1347456[[#This Row],[control_se]]*SQRT(Table1347456[[#This Row],[control_n]])</f>
        <v>0</v>
      </c>
      <c r="BF153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33" s="17">
        <f>SQRT(Table1347456[[#This Row],[v_from_sd_and_n]])</f>
        <v>0</v>
      </c>
      <c r="BH1533" s="13" t="s">
        <v>50</v>
      </c>
      <c r="BI1533" s="13">
        <v>2.5000000000000001E-2</v>
      </c>
      <c r="BJ1533" s="18">
        <f>ABS(_xlfn.NORM.S.INV(Table1347456[[#This Row],[p_value]]/2))</f>
        <v>2.2414027276049446</v>
      </c>
      <c r="BK1533" s="19">
        <f>(Table1347456[[#This Row],[lnrr]]/Table1347456[[#This Row],[z_from_p]])^2</f>
        <v>6.5418147481258989E-3</v>
      </c>
      <c r="BL1533" s="16">
        <f>(Table1347456[[#This Row],[lnrr]]/Table1347456[[#This Row],[z_from_p]])^2</f>
        <v>6.5418147481258989E-3</v>
      </c>
      <c r="BM1533" s="20">
        <f>SQRT(Table1347456[[#This Row],[v]])</f>
        <v>8.0881485817991122E-2</v>
      </c>
      <c r="BN1533" s="20">
        <f>Table1347456[[#This Row],[lnrr]]-(1.96*Table1347456[[#This Row],[se]])</f>
        <v>-0.33981569512844856</v>
      </c>
      <c r="BO1533" s="20">
        <f>Table1347456[[#This Row],[lnrr]]+(1.96 * Table1347456[[#This Row],[se]])</f>
        <v>-2.2760270721923354E-2</v>
      </c>
    </row>
    <row r="1534" spans="1:67">
      <c r="A1534" s="13" t="s">
        <v>455</v>
      </c>
      <c r="B1534" s="13" t="s">
        <v>459</v>
      </c>
      <c r="C1534" s="13" t="s">
        <v>43</v>
      </c>
      <c r="D1534" s="13" t="s">
        <v>457</v>
      </c>
      <c r="E1534" s="13" t="s">
        <v>454</v>
      </c>
      <c r="F1534" s="13" t="s">
        <v>586</v>
      </c>
      <c r="G1534" s="13" t="s">
        <v>46</v>
      </c>
      <c r="H1534" s="13">
        <v>18.399999999999999</v>
      </c>
      <c r="I1534" s="13" t="s">
        <v>46</v>
      </c>
      <c r="K1534" s="13" t="s">
        <v>963</v>
      </c>
      <c r="L1534" s="13" t="s">
        <v>964</v>
      </c>
      <c r="N1534" s="13" t="s">
        <v>633</v>
      </c>
      <c r="O1534" s="13" t="s">
        <v>812</v>
      </c>
      <c r="P1534" s="13" t="s">
        <v>458</v>
      </c>
      <c r="Q1534" s="13" t="s">
        <v>419</v>
      </c>
      <c r="R1534" s="4">
        <v>5</v>
      </c>
      <c r="S1534" s="13" t="s">
        <v>596</v>
      </c>
      <c r="T1534" s="13">
        <v>33</v>
      </c>
      <c r="U1534" s="4" t="s">
        <v>147</v>
      </c>
      <c r="V1534" s="4">
        <v>400</v>
      </c>
      <c r="W1534" s="4" t="s">
        <v>42</v>
      </c>
      <c r="X1534" s="4">
        <v>834</v>
      </c>
      <c r="Y1534" s="4">
        <v>210</v>
      </c>
      <c r="Z1534" s="4" t="s">
        <v>505</v>
      </c>
      <c r="AA1534" s="4" t="s">
        <v>50</v>
      </c>
      <c r="AB1534" s="4" t="s">
        <v>807</v>
      </c>
      <c r="AC1534" s="4" t="s">
        <v>49</v>
      </c>
      <c r="AD1534" s="4">
        <v>0</v>
      </c>
      <c r="AE1534" s="4" t="s">
        <v>49</v>
      </c>
      <c r="AF1534" s="4">
        <v>0</v>
      </c>
      <c r="AG1534" s="4" t="s">
        <v>685</v>
      </c>
      <c r="AH1534" s="4" t="s">
        <v>687</v>
      </c>
      <c r="AI1534" s="4" t="s">
        <v>64</v>
      </c>
      <c r="AJ1534" s="13">
        <v>0</v>
      </c>
      <c r="AK1534" s="13">
        <v>30</v>
      </c>
      <c r="AL1534" s="13" t="s">
        <v>575</v>
      </c>
      <c r="AO1534" s="13" t="s">
        <v>576</v>
      </c>
      <c r="AP1534" s="13" t="s">
        <v>49</v>
      </c>
      <c r="AQ1534" s="13" t="s">
        <v>49</v>
      </c>
      <c r="AR1534" s="13" t="s">
        <v>50</v>
      </c>
      <c r="AS1534" s="13" t="s">
        <v>49</v>
      </c>
      <c r="AT1534" s="13" t="s">
        <v>992</v>
      </c>
      <c r="AU1534" s="4" t="s">
        <v>1000</v>
      </c>
      <c r="AV1534" s="14">
        <f>112.57/1000</f>
        <v>0.11256999999999999</v>
      </c>
      <c r="AW1534" s="14">
        <f>230.15/1000</f>
        <v>0.23014999999999999</v>
      </c>
      <c r="AX1534" s="14">
        <f>Table1347456[[#This Row],[treatment_mean]]/Table1347456[[#This Row],[control_mean]]</f>
        <v>0.48911579404736039</v>
      </c>
      <c r="AY1534" s="14">
        <f>LN(Table1347456[[#This Row],[rr]])</f>
        <v>-0.71515601989653788</v>
      </c>
      <c r="AZ1534" s="13">
        <v>5</v>
      </c>
      <c r="BA1534" s="13">
        <v>5</v>
      </c>
      <c r="BB1534" s="14">
        <v>0</v>
      </c>
      <c r="BC1534" s="14">
        <v>0</v>
      </c>
      <c r="BD1534" s="15">
        <f>Table1347456[[#This Row],[treatment_se]]*SQRT(Table1347456[[#This Row],[treatment_n]])</f>
        <v>0</v>
      </c>
      <c r="BE1534" s="14">
        <f>Table1347456[[#This Row],[control_se]]*SQRT(Table1347456[[#This Row],[control_n]])</f>
        <v>0</v>
      </c>
      <c r="BF153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34" s="17">
        <f>SQRT(Table1347456[[#This Row],[v_from_sd_and_n]])</f>
        <v>0</v>
      </c>
      <c r="BH1534" s="13" t="s">
        <v>50</v>
      </c>
      <c r="BI1534" s="13">
        <v>2.5000000000000001E-2</v>
      </c>
      <c r="BJ1534" s="18">
        <f>ABS(_xlfn.NORM.S.INV(Table1347456[[#This Row],[p_value]]/2))</f>
        <v>2.2414027276049446</v>
      </c>
      <c r="BK1534" s="19">
        <f>(Table1347456[[#This Row],[lnrr]]/Table1347456[[#This Row],[z_from_p]])^2</f>
        <v>0.10180328807719483</v>
      </c>
      <c r="BL1534" s="16">
        <f>(Table1347456[[#This Row],[lnrr]]/Table1347456[[#This Row],[z_from_p]])^2</f>
        <v>0.10180328807719483</v>
      </c>
      <c r="BM1534" s="20">
        <f>SQRT(Table1347456[[#This Row],[v]])</f>
        <v>0.31906627536797871</v>
      </c>
      <c r="BN1534" s="20">
        <f>Table1347456[[#This Row],[lnrr]]-(1.96*Table1347456[[#This Row],[se]])</f>
        <v>-1.3405259196177761</v>
      </c>
      <c r="BO1534" s="20">
        <f>Table1347456[[#This Row],[lnrr]]+(1.96 * Table1347456[[#This Row],[se]])</f>
        <v>-8.9786120175299633E-2</v>
      </c>
    </row>
    <row r="1535" spans="1:67">
      <c r="A1535" s="13" t="s">
        <v>455</v>
      </c>
      <c r="B1535" s="13" t="s">
        <v>456</v>
      </c>
      <c r="C1535" s="13" t="s">
        <v>43</v>
      </c>
      <c r="D1535" s="13" t="s">
        <v>457</v>
      </c>
      <c r="E1535" s="13" t="s">
        <v>454</v>
      </c>
      <c r="F1535" s="13" t="s">
        <v>586</v>
      </c>
      <c r="G1535" s="13" t="s">
        <v>46</v>
      </c>
      <c r="H1535" s="13">
        <v>18.399999999999999</v>
      </c>
      <c r="I1535" s="13" t="s">
        <v>46</v>
      </c>
      <c r="K1535" s="13" t="s">
        <v>963</v>
      </c>
      <c r="L1535" s="13" t="s">
        <v>964</v>
      </c>
      <c r="N1535" s="13" t="s">
        <v>630</v>
      </c>
      <c r="O1535" s="13" t="s">
        <v>812</v>
      </c>
      <c r="P1535" s="13" t="s">
        <v>458</v>
      </c>
      <c r="Q1535" s="13" t="s">
        <v>419</v>
      </c>
      <c r="R1535" s="4">
        <v>5</v>
      </c>
      <c r="S1535" s="13" t="s">
        <v>596</v>
      </c>
      <c r="T1535" s="13">
        <v>33</v>
      </c>
      <c r="U1535" s="4" t="s">
        <v>147</v>
      </c>
      <c r="V1535" s="4">
        <v>400</v>
      </c>
      <c r="W1535" s="4" t="s">
        <v>42</v>
      </c>
      <c r="X1535" s="4">
        <v>834</v>
      </c>
      <c r="Y1535" s="4">
        <v>42</v>
      </c>
      <c r="Z1535" s="4" t="s">
        <v>489</v>
      </c>
      <c r="AA1535" s="4" t="s">
        <v>50</v>
      </c>
      <c r="AB1535" s="4" t="s">
        <v>807</v>
      </c>
      <c r="AC1535" s="4" t="s">
        <v>49</v>
      </c>
      <c r="AD1535" s="4">
        <v>0</v>
      </c>
      <c r="AE1535" s="4" t="s">
        <v>49</v>
      </c>
      <c r="AF1535" s="4">
        <v>0</v>
      </c>
      <c r="AG1535" s="4" t="s">
        <v>685</v>
      </c>
      <c r="AH1535" s="4" t="s">
        <v>687</v>
      </c>
      <c r="AI1535" s="4" t="s">
        <v>64</v>
      </c>
      <c r="AJ1535" s="13">
        <v>0</v>
      </c>
      <c r="AK1535" s="13">
        <v>30</v>
      </c>
      <c r="AL1535" s="13" t="s">
        <v>575</v>
      </c>
      <c r="AO1535" s="13" t="s">
        <v>576</v>
      </c>
      <c r="AP1535" s="13" t="s">
        <v>49</v>
      </c>
      <c r="AQ1535" s="13" t="s">
        <v>49</v>
      </c>
      <c r="AR1535" s="13" t="s">
        <v>50</v>
      </c>
      <c r="AS1535" s="13" t="s">
        <v>49</v>
      </c>
      <c r="AT1535" s="13" t="s">
        <v>992</v>
      </c>
      <c r="AU1535" s="4" t="s">
        <v>1000</v>
      </c>
      <c r="AV1535" s="14">
        <f>950.25/1000</f>
        <v>0.95025000000000004</v>
      </c>
      <c r="AW1535" s="14">
        <f>1775.33/1000</f>
        <v>1.7753299999999999</v>
      </c>
      <c r="AX1535" s="14">
        <f>Table1347456[[#This Row],[treatment_mean]]/Table1347456[[#This Row],[control_mean]]</f>
        <v>0.53525260092489857</v>
      </c>
      <c r="AY1535" s="14">
        <f>LN(Table1347456[[#This Row],[rr]])</f>
        <v>-0.62501649225297207</v>
      </c>
      <c r="AZ1535" s="13">
        <v>5</v>
      </c>
      <c r="BA1535" s="13">
        <v>5</v>
      </c>
      <c r="BB1535" s="14">
        <v>0</v>
      </c>
      <c r="BC1535" s="14">
        <v>0</v>
      </c>
      <c r="BD1535" s="15">
        <f>Table1347456[[#This Row],[treatment_se]]*SQRT(Table1347456[[#This Row],[treatment_n]])</f>
        <v>0</v>
      </c>
      <c r="BE1535" s="14">
        <f>Table1347456[[#This Row],[control_se]]*SQRT(Table1347456[[#This Row],[control_n]])</f>
        <v>0</v>
      </c>
      <c r="BF153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35" s="17">
        <f>SQRT(Table1347456[[#This Row],[v_from_sd_and_n]])</f>
        <v>0</v>
      </c>
      <c r="BH1535" s="13" t="s">
        <v>50</v>
      </c>
      <c r="BI1535" s="13">
        <v>2.5000000000000001E-2</v>
      </c>
      <c r="BJ1535" s="18">
        <f>ABS(_xlfn.NORM.S.INV(Table1347456[[#This Row],[p_value]]/2))</f>
        <v>2.2414027276049446</v>
      </c>
      <c r="BK1535" s="19">
        <f>(Table1347456[[#This Row],[lnrr]]/Table1347456[[#This Row],[z_from_p]])^2</f>
        <v>7.775765632879468E-2</v>
      </c>
      <c r="BL1535" s="16">
        <f>(Table1347456[[#This Row],[lnrr]]/Table1347456[[#This Row],[z_from_p]])^2</f>
        <v>7.775765632879468E-2</v>
      </c>
      <c r="BM1535" s="20">
        <f>SQRT(Table1347456[[#This Row],[v]])</f>
        <v>0.27885059858066413</v>
      </c>
      <c r="BN1535" s="20">
        <f>Table1347456[[#This Row],[lnrr]]-(1.96*Table1347456[[#This Row],[se]])</f>
        <v>-1.1715636654710737</v>
      </c>
      <c r="BO1535" s="20">
        <f>Table1347456[[#This Row],[lnrr]]+(1.96 * Table1347456[[#This Row],[se]])</f>
        <v>-7.8469319034870422E-2</v>
      </c>
    </row>
    <row r="1536" spans="1:67">
      <c r="A1536" s="13" t="s">
        <v>455</v>
      </c>
      <c r="B1536" s="13" t="s">
        <v>459</v>
      </c>
      <c r="C1536" s="13" t="s">
        <v>43</v>
      </c>
      <c r="D1536" s="13" t="s">
        <v>457</v>
      </c>
      <c r="E1536" s="13" t="s">
        <v>454</v>
      </c>
      <c r="F1536" s="13" t="s">
        <v>586</v>
      </c>
      <c r="G1536" s="13" t="s">
        <v>46</v>
      </c>
      <c r="H1536" s="13">
        <v>18.399999999999999</v>
      </c>
      <c r="I1536" s="13" t="s">
        <v>46</v>
      </c>
      <c r="K1536" s="13" t="s">
        <v>963</v>
      </c>
      <c r="L1536" s="13" t="s">
        <v>964</v>
      </c>
      <c r="N1536" s="13" t="s">
        <v>630</v>
      </c>
      <c r="O1536" s="13" t="s">
        <v>812</v>
      </c>
      <c r="P1536" s="13" t="s">
        <v>458</v>
      </c>
      <c r="Q1536" s="13" t="s">
        <v>419</v>
      </c>
      <c r="R1536" s="4">
        <v>5</v>
      </c>
      <c r="S1536" s="13" t="s">
        <v>596</v>
      </c>
      <c r="T1536" s="13">
        <v>33</v>
      </c>
      <c r="U1536" s="4" t="s">
        <v>147</v>
      </c>
      <c r="V1536" s="4">
        <v>400</v>
      </c>
      <c r="W1536" s="4" t="s">
        <v>42</v>
      </c>
      <c r="X1536" s="4">
        <v>834</v>
      </c>
      <c r="Y1536" s="4">
        <v>210</v>
      </c>
      <c r="Z1536" s="4" t="s">
        <v>505</v>
      </c>
      <c r="AA1536" s="4" t="s">
        <v>50</v>
      </c>
      <c r="AB1536" s="4" t="s">
        <v>807</v>
      </c>
      <c r="AC1536" s="4" t="s">
        <v>49</v>
      </c>
      <c r="AD1536" s="4">
        <v>0</v>
      </c>
      <c r="AE1536" s="4" t="s">
        <v>49</v>
      </c>
      <c r="AF1536" s="4">
        <v>0</v>
      </c>
      <c r="AG1536" s="4" t="s">
        <v>685</v>
      </c>
      <c r="AH1536" s="4" t="s">
        <v>687</v>
      </c>
      <c r="AI1536" s="4" t="s">
        <v>64</v>
      </c>
      <c r="AJ1536" s="13">
        <v>0</v>
      </c>
      <c r="AK1536" s="13">
        <v>30</v>
      </c>
      <c r="AL1536" s="13" t="s">
        <v>575</v>
      </c>
      <c r="AO1536" s="13" t="s">
        <v>576</v>
      </c>
      <c r="AP1536" s="13" t="s">
        <v>49</v>
      </c>
      <c r="AQ1536" s="13" t="s">
        <v>49</v>
      </c>
      <c r="AR1536" s="13" t="s">
        <v>50</v>
      </c>
      <c r="AS1536" s="13" t="s">
        <v>49</v>
      </c>
      <c r="AT1536" s="13" t="s">
        <v>992</v>
      </c>
      <c r="AU1536" s="4" t="s">
        <v>1000</v>
      </c>
      <c r="AV1536" s="14">
        <f>730.8/1000</f>
        <v>0.73080000000000001</v>
      </c>
      <c r="AW1536" s="14">
        <f>1775.33/1000</f>
        <v>1.7753299999999999</v>
      </c>
      <c r="AX1536" s="14">
        <f>Table1347456[[#This Row],[treatment_mean]]/Table1347456[[#This Row],[control_mean]]</f>
        <v>0.41164177927483908</v>
      </c>
      <c r="AY1536" s="14">
        <f>LN(Table1347456[[#This Row],[rr]])</f>
        <v>-0.88760177561847864</v>
      </c>
      <c r="AZ1536" s="13">
        <v>5</v>
      </c>
      <c r="BA1536" s="13">
        <v>5</v>
      </c>
      <c r="BB1536" s="14">
        <v>0</v>
      </c>
      <c r="BC1536" s="14">
        <v>0</v>
      </c>
      <c r="BD1536" s="15">
        <f>Table1347456[[#This Row],[treatment_se]]*SQRT(Table1347456[[#This Row],[treatment_n]])</f>
        <v>0</v>
      </c>
      <c r="BE1536" s="14">
        <f>Table1347456[[#This Row],[control_se]]*SQRT(Table1347456[[#This Row],[control_n]])</f>
        <v>0</v>
      </c>
      <c r="BF153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36" s="17">
        <f>SQRT(Table1347456[[#This Row],[v_from_sd_and_n]])</f>
        <v>0</v>
      </c>
      <c r="BH1536" s="13" t="s">
        <v>50</v>
      </c>
      <c r="BI1536" s="13">
        <v>2.5000000000000001E-2</v>
      </c>
      <c r="BJ1536" s="18">
        <f>ABS(_xlfn.NORM.S.INV(Table1347456[[#This Row],[p_value]]/2))</f>
        <v>2.2414027276049446</v>
      </c>
      <c r="BK1536" s="19">
        <f>(Table1347456[[#This Row],[lnrr]]/Table1347456[[#This Row],[z_from_p]])^2</f>
        <v>0.15681822451916472</v>
      </c>
      <c r="BL1536" s="16">
        <f>(Table1347456[[#This Row],[lnrr]]/Table1347456[[#This Row],[z_from_p]])^2</f>
        <v>0.15681822451916472</v>
      </c>
      <c r="BM1536" s="20">
        <f>SQRT(Table1347456[[#This Row],[v]])</f>
        <v>0.39600280872635829</v>
      </c>
      <c r="BN1536" s="20">
        <f>Table1347456[[#This Row],[lnrr]]-(1.96*Table1347456[[#This Row],[se]])</f>
        <v>-1.6637672807221409</v>
      </c>
      <c r="BO1536" s="20">
        <f>Table1347456[[#This Row],[lnrr]]+(1.96 * Table1347456[[#This Row],[se]])</f>
        <v>-0.11143627051481642</v>
      </c>
    </row>
    <row r="1537" spans="1:67">
      <c r="A1537" s="13" t="s">
        <v>455</v>
      </c>
      <c r="B1537" s="13" t="s">
        <v>456</v>
      </c>
      <c r="C1537" s="13" t="s">
        <v>43</v>
      </c>
      <c r="D1537" s="13" t="s">
        <v>457</v>
      </c>
      <c r="E1537" s="13" t="s">
        <v>454</v>
      </c>
      <c r="F1537" s="13" t="s">
        <v>586</v>
      </c>
      <c r="G1537" s="13" t="s">
        <v>46</v>
      </c>
      <c r="H1537" s="13">
        <v>18.399999999999999</v>
      </c>
      <c r="I1537" s="13" t="s">
        <v>46</v>
      </c>
      <c r="K1537" s="13" t="s">
        <v>963</v>
      </c>
      <c r="L1537" s="13" t="s">
        <v>964</v>
      </c>
      <c r="N1537" s="13" t="s">
        <v>634</v>
      </c>
      <c r="O1537" s="13" t="s">
        <v>812</v>
      </c>
      <c r="P1537" s="13" t="s">
        <v>460</v>
      </c>
      <c r="Q1537" s="13" t="s">
        <v>419</v>
      </c>
      <c r="R1537" s="4">
        <v>5</v>
      </c>
      <c r="S1537" s="13" t="s">
        <v>596</v>
      </c>
      <c r="T1537" s="13">
        <v>33</v>
      </c>
      <c r="U1537" s="4" t="s">
        <v>147</v>
      </c>
      <c r="V1537" s="4">
        <v>400</v>
      </c>
      <c r="W1537" s="4" t="s">
        <v>42</v>
      </c>
      <c r="X1537" s="4">
        <v>834</v>
      </c>
      <c r="Y1537" s="4">
        <v>42</v>
      </c>
      <c r="Z1537" s="4" t="s">
        <v>489</v>
      </c>
      <c r="AA1537" s="4" t="s">
        <v>50</v>
      </c>
      <c r="AB1537" s="4" t="s">
        <v>807</v>
      </c>
      <c r="AC1537" s="4" t="s">
        <v>49</v>
      </c>
      <c r="AD1537" s="4">
        <v>0</v>
      </c>
      <c r="AE1537" s="4" t="s">
        <v>49</v>
      </c>
      <c r="AF1537" s="4">
        <v>0</v>
      </c>
      <c r="AG1537" s="4" t="s">
        <v>685</v>
      </c>
      <c r="AH1537" s="4" t="s">
        <v>687</v>
      </c>
      <c r="AI1537" s="4" t="s">
        <v>64</v>
      </c>
      <c r="AJ1537" s="13">
        <v>0</v>
      </c>
      <c r="AK1537" s="13">
        <v>30</v>
      </c>
      <c r="AL1537" s="13" t="s">
        <v>575</v>
      </c>
      <c r="AO1537" s="13" t="s">
        <v>576</v>
      </c>
      <c r="AP1537" s="13" t="s">
        <v>49</v>
      </c>
      <c r="AQ1537" s="13" t="s">
        <v>49</v>
      </c>
      <c r="AR1537" s="13" t="s">
        <v>50</v>
      </c>
      <c r="AS1537" s="13" t="s">
        <v>49</v>
      </c>
      <c r="AT1537" s="13" t="s">
        <v>992</v>
      </c>
      <c r="AU1537" s="4" t="s">
        <v>1000</v>
      </c>
      <c r="AV1537" s="14">
        <v>6.68</v>
      </c>
      <c r="AW1537" s="14">
        <v>8.4600000000000009</v>
      </c>
      <c r="AX1537" s="14">
        <f>Table1347456[[#This Row],[treatment_mean]]/Table1347456[[#This Row],[control_mean]]</f>
        <v>0.78959810874704484</v>
      </c>
      <c r="AY1537" s="14">
        <f>LN(Table1347456[[#This Row],[rr]])</f>
        <v>-0.23623118606957766</v>
      </c>
      <c r="AZ1537" s="13">
        <v>5</v>
      </c>
      <c r="BA1537" s="13">
        <v>5</v>
      </c>
      <c r="BB1537" s="14">
        <v>0</v>
      </c>
      <c r="BC1537" s="14">
        <v>0</v>
      </c>
      <c r="BD1537" s="15">
        <f>Table1347456[[#This Row],[treatment_se]]*SQRT(Table1347456[[#This Row],[treatment_n]])</f>
        <v>0</v>
      </c>
      <c r="BE1537" s="14">
        <f>Table1347456[[#This Row],[control_se]]*SQRT(Table1347456[[#This Row],[control_n]])</f>
        <v>0</v>
      </c>
      <c r="BF153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37" s="17">
        <f>SQRT(Table1347456[[#This Row],[v_from_sd_and_n]])</f>
        <v>0</v>
      </c>
      <c r="BH1537" s="13" t="s">
        <v>50</v>
      </c>
      <c r="BI1537" s="13">
        <v>2.5000000000000001E-2</v>
      </c>
      <c r="BJ1537" s="18">
        <f>ABS(_xlfn.NORM.S.INV(Table1347456[[#This Row],[p_value]]/2))</f>
        <v>2.2414027276049446</v>
      </c>
      <c r="BK1537" s="19">
        <f>(Table1347456[[#This Row],[lnrr]]/Table1347456[[#This Row],[z_from_p]])^2</f>
        <v>1.1107969247540934E-2</v>
      </c>
      <c r="BL1537" s="16">
        <f>(Table1347456[[#This Row],[lnrr]]/Table1347456[[#This Row],[z_from_p]])^2</f>
        <v>1.1107969247540934E-2</v>
      </c>
      <c r="BM1537" s="20">
        <f>SQRT(Table1347456[[#This Row],[v]])</f>
        <v>0.10539435111779442</v>
      </c>
      <c r="BN1537" s="20">
        <f>Table1347456[[#This Row],[lnrr]]-(1.96*Table1347456[[#This Row],[se]])</f>
        <v>-0.44280411426045474</v>
      </c>
      <c r="BO1537" s="20">
        <f>Table1347456[[#This Row],[lnrr]]+(1.96 * Table1347456[[#This Row],[se]])</f>
        <v>-2.9658257878700578E-2</v>
      </c>
    </row>
    <row r="1538" spans="1:67">
      <c r="A1538" s="13" t="s">
        <v>455</v>
      </c>
      <c r="B1538" s="13" t="s">
        <v>456</v>
      </c>
      <c r="C1538" s="13" t="s">
        <v>43</v>
      </c>
      <c r="D1538" s="13" t="s">
        <v>457</v>
      </c>
      <c r="E1538" s="13" t="s">
        <v>454</v>
      </c>
      <c r="F1538" s="13" t="s">
        <v>586</v>
      </c>
      <c r="G1538" s="13" t="s">
        <v>46</v>
      </c>
      <c r="H1538" s="13">
        <v>18.399999999999999</v>
      </c>
      <c r="I1538" s="13" t="s">
        <v>46</v>
      </c>
      <c r="K1538" s="13" t="s">
        <v>963</v>
      </c>
      <c r="L1538" s="13" t="s">
        <v>964</v>
      </c>
      <c r="N1538" s="13" t="s">
        <v>634</v>
      </c>
      <c r="O1538" s="13" t="s">
        <v>812</v>
      </c>
      <c r="P1538" s="13" t="s">
        <v>460</v>
      </c>
      <c r="Q1538" s="13" t="s">
        <v>419</v>
      </c>
      <c r="R1538" s="4">
        <v>5</v>
      </c>
      <c r="S1538" s="13" t="s">
        <v>596</v>
      </c>
      <c r="T1538" s="13">
        <v>33</v>
      </c>
      <c r="U1538" s="4" t="s">
        <v>147</v>
      </c>
      <c r="V1538" s="4">
        <v>400</v>
      </c>
      <c r="W1538" s="4" t="s">
        <v>42</v>
      </c>
      <c r="X1538" s="4">
        <v>834</v>
      </c>
      <c r="Y1538" s="4">
        <v>210</v>
      </c>
      <c r="Z1538" s="4" t="s">
        <v>505</v>
      </c>
      <c r="AA1538" s="4" t="s">
        <v>50</v>
      </c>
      <c r="AB1538" s="4" t="s">
        <v>807</v>
      </c>
      <c r="AC1538" s="4" t="s">
        <v>49</v>
      </c>
      <c r="AD1538" s="4">
        <v>0</v>
      </c>
      <c r="AE1538" s="4" t="s">
        <v>49</v>
      </c>
      <c r="AF1538" s="4">
        <v>0</v>
      </c>
      <c r="AG1538" s="4" t="s">
        <v>685</v>
      </c>
      <c r="AH1538" s="4" t="s">
        <v>687</v>
      </c>
      <c r="AI1538" s="4" t="s">
        <v>64</v>
      </c>
      <c r="AJ1538" s="13">
        <v>0</v>
      </c>
      <c r="AK1538" s="13">
        <v>30</v>
      </c>
      <c r="AL1538" s="13" t="s">
        <v>575</v>
      </c>
      <c r="AO1538" s="13" t="s">
        <v>576</v>
      </c>
      <c r="AP1538" s="13" t="s">
        <v>49</v>
      </c>
      <c r="AQ1538" s="13" t="s">
        <v>49</v>
      </c>
      <c r="AR1538" s="13" t="s">
        <v>50</v>
      </c>
      <c r="AS1538" s="13" t="s">
        <v>49</v>
      </c>
      <c r="AT1538" s="13" t="s">
        <v>992</v>
      </c>
      <c r="AU1538" s="4" t="s">
        <v>1000</v>
      </c>
      <c r="AV1538" s="14">
        <v>3.92</v>
      </c>
      <c r="AW1538" s="14">
        <v>8.4600000000000009</v>
      </c>
      <c r="AX1538" s="14">
        <f>Table1347456[[#This Row],[treatment_mean]]/Table1347456[[#This Row],[control_mean]]</f>
        <v>0.46335697399527181</v>
      </c>
      <c r="AY1538" s="14">
        <f>LN(Table1347456[[#This Row],[rr]])</f>
        <v>-0.76925751981576085</v>
      </c>
      <c r="AZ1538" s="13">
        <v>5</v>
      </c>
      <c r="BA1538" s="13">
        <v>5</v>
      </c>
      <c r="BB1538" s="14">
        <v>0</v>
      </c>
      <c r="BC1538" s="14">
        <v>0</v>
      </c>
      <c r="BD1538" s="15">
        <f>Table1347456[[#This Row],[treatment_se]]*SQRT(Table1347456[[#This Row],[treatment_n]])</f>
        <v>0</v>
      </c>
      <c r="BE1538" s="14">
        <f>Table1347456[[#This Row],[control_se]]*SQRT(Table1347456[[#This Row],[control_n]])</f>
        <v>0</v>
      </c>
      <c r="BF153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38" s="17">
        <f>SQRT(Table1347456[[#This Row],[v_from_sd_and_n]])</f>
        <v>0</v>
      </c>
      <c r="BH1538" s="13" t="s">
        <v>50</v>
      </c>
      <c r="BI1538" s="13">
        <v>2.5000000000000001E-2</v>
      </c>
      <c r="BJ1538" s="18">
        <f>ABS(_xlfn.NORM.S.INV(Table1347456[[#This Row],[p_value]]/2))</f>
        <v>2.2414027276049446</v>
      </c>
      <c r="BK1538" s="19">
        <f>(Table1347456[[#This Row],[lnrr]]/Table1347456[[#This Row],[z_from_p]])^2</f>
        <v>0.11778872166476602</v>
      </c>
      <c r="BL1538" s="16">
        <f>(Table1347456[[#This Row],[lnrr]]/Table1347456[[#This Row],[z_from_p]])^2</f>
        <v>0.11778872166476602</v>
      </c>
      <c r="BM1538" s="20">
        <f>SQRT(Table1347456[[#This Row],[v]])</f>
        <v>0.34320361545992784</v>
      </c>
      <c r="BN1538" s="20">
        <f>Table1347456[[#This Row],[lnrr]]-(1.96*Table1347456[[#This Row],[se]])</f>
        <v>-1.4419366061172194</v>
      </c>
      <c r="BO1538" s="20">
        <f>Table1347456[[#This Row],[lnrr]]+(1.96 * Table1347456[[#This Row],[se]])</f>
        <v>-9.6578433514302287E-2</v>
      </c>
    </row>
    <row r="1539" spans="1:67">
      <c r="A1539" s="13" t="s">
        <v>455</v>
      </c>
      <c r="B1539" s="13" t="s">
        <v>459</v>
      </c>
      <c r="C1539" s="13" t="s">
        <v>43</v>
      </c>
      <c r="D1539" s="13" t="s">
        <v>457</v>
      </c>
      <c r="E1539" s="13" t="s">
        <v>454</v>
      </c>
      <c r="F1539" s="13" t="s">
        <v>586</v>
      </c>
      <c r="G1539" s="13" t="s">
        <v>46</v>
      </c>
      <c r="H1539" s="13">
        <v>18.399999999999999</v>
      </c>
      <c r="I1539" s="13" t="s">
        <v>46</v>
      </c>
      <c r="K1539" s="13" t="s">
        <v>963</v>
      </c>
      <c r="L1539" s="13" t="s">
        <v>964</v>
      </c>
      <c r="N1539" s="13" t="s">
        <v>635</v>
      </c>
      <c r="O1539" s="13" t="s">
        <v>812</v>
      </c>
      <c r="P1539" s="13" t="s">
        <v>460</v>
      </c>
      <c r="Q1539" s="13" t="s">
        <v>419</v>
      </c>
      <c r="R1539" s="4">
        <v>5</v>
      </c>
      <c r="S1539" s="13" t="s">
        <v>596</v>
      </c>
      <c r="T1539" s="13">
        <v>33</v>
      </c>
      <c r="U1539" s="4" t="s">
        <v>147</v>
      </c>
      <c r="V1539" s="4">
        <v>400</v>
      </c>
      <c r="W1539" s="4" t="s">
        <v>42</v>
      </c>
      <c r="X1539" s="4">
        <v>834</v>
      </c>
      <c r="Y1539" s="4">
        <v>42</v>
      </c>
      <c r="Z1539" s="4" t="s">
        <v>489</v>
      </c>
      <c r="AA1539" s="4" t="s">
        <v>50</v>
      </c>
      <c r="AB1539" s="4" t="s">
        <v>807</v>
      </c>
      <c r="AC1539" s="4" t="s">
        <v>49</v>
      </c>
      <c r="AD1539" s="4">
        <v>0</v>
      </c>
      <c r="AE1539" s="4" t="s">
        <v>49</v>
      </c>
      <c r="AF1539" s="4">
        <v>0</v>
      </c>
      <c r="AG1539" s="4" t="s">
        <v>685</v>
      </c>
      <c r="AH1539" s="4" t="s">
        <v>687</v>
      </c>
      <c r="AI1539" s="4" t="s">
        <v>64</v>
      </c>
      <c r="AJ1539" s="13">
        <v>0</v>
      </c>
      <c r="AK1539" s="13">
        <v>30</v>
      </c>
      <c r="AL1539" s="13" t="s">
        <v>575</v>
      </c>
      <c r="AO1539" s="13" t="s">
        <v>576</v>
      </c>
      <c r="AP1539" s="13" t="s">
        <v>49</v>
      </c>
      <c r="AQ1539" s="13" t="s">
        <v>49</v>
      </c>
      <c r="AR1539" s="13" t="s">
        <v>50</v>
      </c>
      <c r="AS1539" s="13" t="s">
        <v>49</v>
      </c>
      <c r="AT1539" s="13" t="s">
        <v>992</v>
      </c>
      <c r="AU1539" s="4" t="s">
        <v>1000</v>
      </c>
      <c r="AV1539" s="14">
        <v>33.21</v>
      </c>
      <c r="AW1539" s="14">
        <v>63.1</v>
      </c>
      <c r="AX1539" s="14">
        <f>Table1347456[[#This Row],[treatment_mean]]/Table1347456[[#This Row],[control_mean]]</f>
        <v>0.52630744849445321</v>
      </c>
      <c r="AY1539" s="14">
        <f>LN(Table1347456[[#This Row],[rr]])</f>
        <v>-0.64186973415851234</v>
      </c>
      <c r="AZ1539" s="13">
        <v>5</v>
      </c>
      <c r="BA1539" s="13">
        <v>5</v>
      </c>
      <c r="BB1539" s="14">
        <v>0</v>
      </c>
      <c r="BC1539" s="14">
        <v>0</v>
      </c>
      <c r="BD1539" s="15">
        <f>Table1347456[[#This Row],[treatment_se]]*SQRT(Table1347456[[#This Row],[treatment_n]])</f>
        <v>0</v>
      </c>
      <c r="BE1539" s="14">
        <f>Table1347456[[#This Row],[control_se]]*SQRT(Table1347456[[#This Row],[control_n]])</f>
        <v>0</v>
      </c>
      <c r="BF153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39" s="17">
        <f>SQRT(Table1347456[[#This Row],[v_from_sd_and_n]])</f>
        <v>0</v>
      </c>
      <c r="BH1539" s="13" t="s">
        <v>50</v>
      </c>
      <c r="BI1539" s="13">
        <v>2.5000000000000001E-2</v>
      </c>
      <c r="BJ1539" s="18">
        <f>ABS(_xlfn.NORM.S.INV(Table1347456[[#This Row],[p_value]]/2))</f>
        <v>2.2414027276049446</v>
      </c>
      <c r="BK1539" s="19">
        <f>(Table1347456[[#This Row],[lnrr]]/Table1347456[[#This Row],[z_from_p]])^2</f>
        <v>8.2007581435462232E-2</v>
      </c>
      <c r="BL1539" s="16">
        <f>(Table1347456[[#This Row],[lnrr]]/Table1347456[[#This Row],[z_from_p]])^2</f>
        <v>8.2007581435462232E-2</v>
      </c>
      <c r="BM1539" s="20">
        <f>SQRT(Table1347456[[#This Row],[v]])</f>
        <v>0.28636965872009246</v>
      </c>
      <c r="BN1539" s="20">
        <f>Table1347456[[#This Row],[lnrr]]-(1.96*Table1347456[[#This Row],[se]])</f>
        <v>-1.2031542652498937</v>
      </c>
      <c r="BO1539" s="20">
        <f>Table1347456[[#This Row],[lnrr]]+(1.96 * Table1347456[[#This Row],[se]])</f>
        <v>-8.0585203067131128E-2</v>
      </c>
    </row>
    <row r="1540" spans="1:67">
      <c r="A1540" s="13" t="s">
        <v>455</v>
      </c>
      <c r="B1540" s="13" t="s">
        <v>456</v>
      </c>
      <c r="C1540" s="13" t="s">
        <v>43</v>
      </c>
      <c r="D1540" s="13" t="s">
        <v>457</v>
      </c>
      <c r="E1540" s="13" t="s">
        <v>454</v>
      </c>
      <c r="F1540" s="13" t="s">
        <v>586</v>
      </c>
      <c r="G1540" s="13" t="s">
        <v>46</v>
      </c>
      <c r="H1540" s="13">
        <v>18.399999999999999</v>
      </c>
      <c r="I1540" s="13" t="s">
        <v>46</v>
      </c>
      <c r="K1540" s="13" t="s">
        <v>963</v>
      </c>
      <c r="L1540" s="13" t="s">
        <v>964</v>
      </c>
      <c r="N1540" s="13" t="s">
        <v>635</v>
      </c>
      <c r="O1540" s="13" t="s">
        <v>812</v>
      </c>
      <c r="P1540" s="13" t="s">
        <v>460</v>
      </c>
      <c r="Q1540" s="13" t="s">
        <v>419</v>
      </c>
      <c r="R1540" s="4">
        <v>5</v>
      </c>
      <c r="S1540" s="13" t="s">
        <v>596</v>
      </c>
      <c r="T1540" s="13">
        <v>33</v>
      </c>
      <c r="U1540" s="4" t="s">
        <v>147</v>
      </c>
      <c r="V1540" s="4">
        <v>400</v>
      </c>
      <c r="W1540" s="4" t="s">
        <v>42</v>
      </c>
      <c r="X1540" s="4">
        <v>834</v>
      </c>
      <c r="Y1540" s="4">
        <v>210</v>
      </c>
      <c r="Z1540" s="4" t="s">
        <v>505</v>
      </c>
      <c r="AA1540" s="4" t="s">
        <v>50</v>
      </c>
      <c r="AB1540" s="4" t="s">
        <v>807</v>
      </c>
      <c r="AC1540" s="4" t="s">
        <v>49</v>
      </c>
      <c r="AD1540" s="4">
        <v>0</v>
      </c>
      <c r="AE1540" s="4" t="s">
        <v>49</v>
      </c>
      <c r="AF1540" s="4">
        <v>0</v>
      </c>
      <c r="AG1540" s="4" t="s">
        <v>685</v>
      </c>
      <c r="AH1540" s="4" t="s">
        <v>687</v>
      </c>
      <c r="AI1540" s="4" t="s">
        <v>64</v>
      </c>
      <c r="AJ1540" s="13">
        <v>0</v>
      </c>
      <c r="AK1540" s="13">
        <v>30</v>
      </c>
      <c r="AL1540" s="13" t="s">
        <v>575</v>
      </c>
      <c r="AO1540" s="13" t="s">
        <v>576</v>
      </c>
      <c r="AP1540" s="13" t="s">
        <v>49</v>
      </c>
      <c r="AQ1540" s="13" t="s">
        <v>49</v>
      </c>
      <c r="AR1540" s="13" t="s">
        <v>50</v>
      </c>
      <c r="AS1540" s="13" t="s">
        <v>49</v>
      </c>
      <c r="AT1540" s="13" t="s">
        <v>992</v>
      </c>
      <c r="AU1540" s="4" t="s">
        <v>1000</v>
      </c>
      <c r="AV1540" s="14">
        <v>21.75</v>
      </c>
      <c r="AW1540" s="14">
        <v>63.1</v>
      </c>
      <c r="AX1540" s="14">
        <f>Table1347456[[#This Row],[treatment_mean]]/Table1347456[[#This Row],[control_mean]]</f>
        <v>0.34469096671949284</v>
      </c>
      <c r="AY1540" s="14">
        <f>LN(Table1347456[[#This Row],[rr]])</f>
        <v>-1.0651070120124744</v>
      </c>
      <c r="AZ1540" s="13">
        <v>5</v>
      </c>
      <c r="BA1540" s="13">
        <v>5</v>
      </c>
      <c r="BB1540" s="14">
        <v>0</v>
      </c>
      <c r="BC1540" s="14">
        <v>0</v>
      </c>
      <c r="BD1540" s="15">
        <f>Table1347456[[#This Row],[treatment_se]]*SQRT(Table1347456[[#This Row],[treatment_n]])</f>
        <v>0</v>
      </c>
      <c r="BE1540" s="14">
        <f>Table1347456[[#This Row],[control_se]]*SQRT(Table1347456[[#This Row],[control_n]])</f>
        <v>0</v>
      </c>
      <c r="BF154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40" s="17">
        <f>SQRT(Table1347456[[#This Row],[v_from_sd_and_n]])</f>
        <v>0</v>
      </c>
      <c r="BH1540" s="13" t="s">
        <v>50</v>
      </c>
      <c r="BI1540" s="13">
        <v>2.5000000000000001E-2</v>
      </c>
      <c r="BJ1540" s="18">
        <f>ABS(_xlfn.NORM.S.INV(Table1347456[[#This Row],[p_value]]/2))</f>
        <v>2.2414027276049446</v>
      </c>
      <c r="BK1540" s="19">
        <f>(Table1347456[[#This Row],[lnrr]]/Table1347456[[#This Row],[z_from_p]])^2</f>
        <v>0.22581183266105631</v>
      </c>
      <c r="BL1540" s="16">
        <f>(Table1347456[[#This Row],[lnrr]]/Table1347456[[#This Row],[z_from_p]])^2</f>
        <v>0.22581183266105631</v>
      </c>
      <c r="BM1540" s="20">
        <f>SQRT(Table1347456[[#This Row],[v]])</f>
        <v>0.47519662526269724</v>
      </c>
      <c r="BN1540" s="20">
        <f>Table1347456[[#This Row],[lnrr]]-(1.96*Table1347456[[#This Row],[se]])</f>
        <v>-1.996492397527361</v>
      </c>
      <c r="BO1540" s="20">
        <f>Table1347456[[#This Row],[lnrr]]+(1.96 * Table1347456[[#This Row],[se]])</f>
        <v>-0.13372162649758779</v>
      </c>
    </row>
    <row r="1541" spans="1:67">
      <c r="A1541" s="13" t="s">
        <v>455</v>
      </c>
      <c r="B1541" s="13" t="s">
        <v>456</v>
      </c>
      <c r="C1541" s="13" t="s">
        <v>43</v>
      </c>
      <c r="D1541" s="13" t="s">
        <v>457</v>
      </c>
      <c r="E1541" s="13" t="s">
        <v>454</v>
      </c>
      <c r="F1541" s="13" t="s">
        <v>586</v>
      </c>
      <c r="G1541" s="13" t="s">
        <v>46</v>
      </c>
      <c r="H1541" s="13">
        <v>18.399999999999999</v>
      </c>
      <c r="I1541" s="13" t="s">
        <v>46</v>
      </c>
      <c r="K1541" s="13" t="s">
        <v>963</v>
      </c>
      <c r="L1541" s="13" t="s">
        <v>964</v>
      </c>
      <c r="N1541" s="13" t="s">
        <v>633</v>
      </c>
      <c r="O1541" s="13" t="s">
        <v>812</v>
      </c>
      <c r="P1541" s="13" t="s">
        <v>458</v>
      </c>
      <c r="Q1541" s="13" t="s">
        <v>419</v>
      </c>
      <c r="R1541" s="4">
        <v>5</v>
      </c>
      <c r="S1541" s="13" t="s">
        <v>596</v>
      </c>
      <c r="T1541" s="13">
        <v>33</v>
      </c>
      <c r="U1541" s="4" t="s">
        <v>147</v>
      </c>
      <c r="V1541" s="4">
        <v>715</v>
      </c>
      <c r="W1541" s="4" t="s">
        <v>602</v>
      </c>
      <c r="X1541" s="4">
        <v>859</v>
      </c>
      <c r="Y1541" s="4">
        <v>42</v>
      </c>
      <c r="Z1541" s="4" t="s">
        <v>489</v>
      </c>
      <c r="AA1541" s="4" t="s">
        <v>50</v>
      </c>
      <c r="AB1541" s="4" t="s">
        <v>807</v>
      </c>
      <c r="AC1541" s="4" t="s">
        <v>49</v>
      </c>
      <c r="AD1541" s="4">
        <v>0</v>
      </c>
      <c r="AE1541" s="4" t="s">
        <v>49</v>
      </c>
      <c r="AF1541" s="4">
        <v>0</v>
      </c>
      <c r="AG1541" s="4" t="s">
        <v>686</v>
      </c>
      <c r="AH1541" s="4" t="s">
        <v>687</v>
      </c>
      <c r="AI1541" s="4" t="s">
        <v>64</v>
      </c>
      <c r="AJ1541" s="13">
        <v>0</v>
      </c>
      <c r="AK1541" s="13">
        <v>30</v>
      </c>
      <c r="AL1541" s="13" t="s">
        <v>575</v>
      </c>
      <c r="AO1541" s="13" t="s">
        <v>576</v>
      </c>
      <c r="AP1541" s="13" t="s">
        <v>49</v>
      </c>
      <c r="AQ1541" s="13" t="s">
        <v>49</v>
      </c>
      <c r="AR1541" s="13" t="s">
        <v>50</v>
      </c>
      <c r="AS1541" s="13" t="s">
        <v>49</v>
      </c>
      <c r="AT1541" s="13" t="s">
        <v>992</v>
      </c>
      <c r="AU1541" s="4" t="s">
        <v>1000</v>
      </c>
      <c r="AV1541" s="14">
        <f>116.22/1000</f>
        <v>0.11622</v>
      </c>
      <c r="AW1541" s="14">
        <f>230.15/1000</f>
        <v>0.23014999999999999</v>
      </c>
      <c r="AX1541" s="14">
        <f>Table1347456[[#This Row],[treatment_mean]]/Table1347456[[#This Row],[control_mean]]</f>
        <v>0.50497501629372155</v>
      </c>
      <c r="AY1541" s="14">
        <f>LN(Table1347456[[#This Row],[rr]])</f>
        <v>-0.68324632361629078</v>
      </c>
      <c r="AZ1541" s="13">
        <v>5</v>
      </c>
      <c r="BA1541" s="13">
        <v>5</v>
      </c>
      <c r="BB1541" s="14">
        <v>0</v>
      </c>
      <c r="BC1541" s="14">
        <v>0</v>
      </c>
      <c r="BD1541" s="15">
        <f>Table1347456[[#This Row],[treatment_se]]*SQRT(Table1347456[[#This Row],[treatment_n]])</f>
        <v>0</v>
      </c>
      <c r="BE1541" s="14">
        <f>Table1347456[[#This Row],[control_se]]*SQRT(Table1347456[[#This Row],[control_n]])</f>
        <v>0</v>
      </c>
      <c r="BF154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41" s="17">
        <f>SQRT(Table1347456[[#This Row],[v_from_sd_and_n]])</f>
        <v>0</v>
      </c>
      <c r="BH1541" s="13" t="s">
        <v>50</v>
      </c>
      <c r="BI1541" s="13">
        <v>2.5000000000000001E-2</v>
      </c>
      <c r="BJ1541" s="18">
        <f>ABS(_xlfn.NORM.S.INV(Table1347456[[#This Row],[p_value]]/2))</f>
        <v>2.2414027276049446</v>
      </c>
      <c r="BK1541" s="19">
        <f>(Table1347456[[#This Row],[lnrr]]/Table1347456[[#This Row],[z_from_p]])^2</f>
        <v>9.2921201104016499E-2</v>
      </c>
      <c r="BL1541" s="16">
        <f>(Table1347456[[#This Row],[lnrr]]/Table1347456[[#This Row],[z_from_p]])^2</f>
        <v>9.2921201104016499E-2</v>
      </c>
      <c r="BM1541" s="20">
        <f>SQRT(Table1347456[[#This Row],[v]])</f>
        <v>0.30482979038147912</v>
      </c>
      <c r="BN1541" s="20">
        <f>Table1347456[[#This Row],[lnrr]]-(1.96*Table1347456[[#This Row],[se]])</f>
        <v>-1.2807127127639899</v>
      </c>
      <c r="BO1541" s="20">
        <f>Table1347456[[#This Row],[lnrr]]+(1.96 * Table1347456[[#This Row],[se]])</f>
        <v>-8.5779934468591779E-2</v>
      </c>
    </row>
    <row r="1542" spans="1:67">
      <c r="A1542" s="13" t="s">
        <v>455</v>
      </c>
      <c r="B1542" s="13" t="s">
        <v>456</v>
      </c>
      <c r="C1542" s="13" t="s">
        <v>43</v>
      </c>
      <c r="D1542" s="13" t="s">
        <v>457</v>
      </c>
      <c r="E1542" s="13" t="s">
        <v>454</v>
      </c>
      <c r="F1542" s="13" t="s">
        <v>586</v>
      </c>
      <c r="G1542" s="13" t="s">
        <v>46</v>
      </c>
      <c r="H1542" s="13">
        <v>18.399999999999999</v>
      </c>
      <c r="I1542" s="13" t="s">
        <v>46</v>
      </c>
      <c r="K1542" s="13" t="s">
        <v>963</v>
      </c>
      <c r="L1542" s="13" t="s">
        <v>964</v>
      </c>
      <c r="N1542" s="13" t="s">
        <v>633</v>
      </c>
      <c r="O1542" s="13" t="s">
        <v>812</v>
      </c>
      <c r="P1542" s="13" t="s">
        <v>458</v>
      </c>
      <c r="Q1542" s="13" t="s">
        <v>419</v>
      </c>
      <c r="R1542" s="4">
        <v>5</v>
      </c>
      <c r="S1542" s="13" t="s">
        <v>596</v>
      </c>
      <c r="T1542" s="13">
        <v>33</v>
      </c>
      <c r="U1542" s="4" t="s">
        <v>147</v>
      </c>
      <c r="V1542" s="4">
        <v>715</v>
      </c>
      <c r="W1542" s="4" t="s">
        <v>602</v>
      </c>
      <c r="X1542" s="4">
        <v>859</v>
      </c>
      <c r="Y1542" s="4">
        <v>210</v>
      </c>
      <c r="Z1542" s="4" t="s">
        <v>505</v>
      </c>
      <c r="AA1542" s="4" t="s">
        <v>50</v>
      </c>
      <c r="AB1542" s="4" t="s">
        <v>807</v>
      </c>
      <c r="AC1542" s="4" t="s">
        <v>49</v>
      </c>
      <c r="AD1542" s="4">
        <v>0</v>
      </c>
      <c r="AE1542" s="4" t="s">
        <v>49</v>
      </c>
      <c r="AF1542" s="4">
        <v>0</v>
      </c>
      <c r="AG1542" s="4" t="s">
        <v>686</v>
      </c>
      <c r="AH1542" s="4" t="s">
        <v>687</v>
      </c>
      <c r="AI1542" s="4" t="s">
        <v>64</v>
      </c>
      <c r="AJ1542" s="13">
        <v>0</v>
      </c>
      <c r="AK1542" s="13">
        <v>30</v>
      </c>
      <c r="AL1542" s="13" t="s">
        <v>575</v>
      </c>
      <c r="AO1542" s="13" t="s">
        <v>576</v>
      </c>
      <c r="AP1542" s="13" t="s">
        <v>49</v>
      </c>
      <c r="AQ1542" s="13" t="s">
        <v>49</v>
      </c>
      <c r="AR1542" s="13" t="s">
        <v>50</v>
      </c>
      <c r="AS1542" s="13" t="s">
        <v>49</v>
      </c>
      <c r="AT1542" s="13" t="s">
        <v>992</v>
      </c>
      <c r="AU1542" s="4" t="s">
        <v>1000</v>
      </c>
      <c r="AV1542" s="14">
        <f>122.33/1000</f>
        <v>0.12232999999999999</v>
      </c>
      <c r="AW1542" s="14">
        <f>230.15/1000</f>
        <v>0.23014999999999999</v>
      </c>
      <c r="AX1542" s="14">
        <f>Table1347456[[#This Row],[treatment_mean]]/Table1347456[[#This Row],[control_mean]]</f>
        <v>0.53152291983489031</v>
      </c>
      <c r="AY1542" s="14">
        <f>LN(Table1347456[[#This Row],[rr]])</f>
        <v>-0.63200895920442546</v>
      </c>
      <c r="AZ1542" s="13">
        <v>5</v>
      </c>
      <c r="BA1542" s="13">
        <v>5</v>
      </c>
      <c r="BB1542" s="14">
        <v>0</v>
      </c>
      <c r="BC1542" s="14">
        <v>0</v>
      </c>
      <c r="BD1542" s="15">
        <f>Table1347456[[#This Row],[treatment_se]]*SQRT(Table1347456[[#This Row],[treatment_n]])</f>
        <v>0</v>
      </c>
      <c r="BE1542" s="14">
        <f>Table1347456[[#This Row],[control_se]]*SQRT(Table1347456[[#This Row],[control_n]])</f>
        <v>0</v>
      </c>
      <c r="BF154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42" s="17">
        <f>SQRT(Table1347456[[#This Row],[v_from_sd_and_n]])</f>
        <v>0</v>
      </c>
      <c r="BH1542" s="13" t="s">
        <v>50</v>
      </c>
      <c r="BI1542" s="13">
        <v>2.5000000000000001E-2</v>
      </c>
      <c r="BJ1542" s="18">
        <f>ABS(_xlfn.NORM.S.INV(Table1347456[[#This Row],[p_value]]/2))</f>
        <v>2.2414027276049446</v>
      </c>
      <c r="BK1542" s="19">
        <f>(Table1347456[[#This Row],[lnrr]]/Table1347456[[#This Row],[z_from_p]])^2</f>
        <v>7.9507239937723809E-2</v>
      </c>
      <c r="BL1542" s="16">
        <f>(Table1347456[[#This Row],[lnrr]]/Table1347456[[#This Row],[z_from_p]])^2</f>
        <v>7.9507239937723809E-2</v>
      </c>
      <c r="BM1542" s="20">
        <f>SQRT(Table1347456[[#This Row],[v]])</f>
        <v>0.28197028201164004</v>
      </c>
      <c r="BN1542" s="20">
        <f>Table1347456[[#This Row],[lnrr]]-(1.96*Table1347456[[#This Row],[se]])</f>
        <v>-1.1846707119472399</v>
      </c>
      <c r="BO1542" s="20">
        <f>Table1347456[[#This Row],[lnrr]]+(1.96 * Table1347456[[#This Row],[se]])</f>
        <v>-7.9347206461610975E-2</v>
      </c>
    </row>
    <row r="1543" spans="1:67">
      <c r="A1543" s="13" t="s">
        <v>455</v>
      </c>
      <c r="B1543" s="13" t="s">
        <v>456</v>
      </c>
      <c r="C1543" s="13" t="s">
        <v>43</v>
      </c>
      <c r="D1543" s="13" t="s">
        <v>457</v>
      </c>
      <c r="E1543" s="13" t="s">
        <v>454</v>
      </c>
      <c r="F1543" s="13" t="s">
        <v>586</v>
      </c>
      <c r="G1543" s="13" t="s">
        <v>46</v>
      </c>
      <c r="H1543" s="13">
        <v>18.399999999999999</v>
      </c>
      <c r="I1543" s="13" t="s">
        <v>46</v>
      </c>
      <c r="K1543" s="13" t="s">
        <v>963</v>
      </c>
      <c r="L1543" s="13" t="s">
        <v>964</v>
      </c>
      <c r="N1543" s="13" t="s">
        <v>629</v>
      </c>
      <c r="O1543" s="13" t="s">
        <v>812</v>
      </c>
      <c r="P1543" s="13" t="s">
        <v>458</v>
      </c>
      <c r="Q1543" s="13" t="s">
        <v>419</v>
      </c>
      <c r="R1543" s="4">
        <v>5</v>
      </c>
      <c r="S1543" s="13" t="s">
        <v>596</v>
      </c>
      <c r="T1543" s="13">
        <v>33</v>
      </c>
      <c r="U1543" s="4" t="s">
        <v>147</v>
      </c>
      <c r="V1543" s="4">
        <v>715</v>
      </c>
      <c r="W1543" s="4" t="s">
        <v>602</v>
      </c>
      <c r="X1543" s="4">
        <v>859</v>
      </c>
      <c r="Y1543" s="4">
        <v>42</v>
      </c>
      <c r="Z1543" s="4" t="s">
        <v>489</v>
      </c>
      <c r="AA1543" s="4" t="s">
        <v>50</v>
      </c>
      <c r="AB1543" s="4" t="s">
        <v>807</v>
      </c>
      <c r="AC1543" s="4" t="s">
        <v>49</v>
      </c>
      <c r="AD1543" s="4">
        <v>0</v>
      </c>
      <c r="AE1543" s="4" t="s">
        <v>49</v>
      </c>
      <c r="AF1543" s="4">
        <v>0</v>
      </c>
      <c r="AG1543" s="4" t="s">
        <v>686</v>
      </c>
      <c r="AH1543" s="4" t="s">
        <v>687</v>
      </c>
      <c r="AI1543" s="4" t="s">
        <v>64</v>
      </c>
      <c r="AJ1543" s="13">
        <v>0</v>
      </c>
      <c r="AK1543" s="13">
        <v>30</v>
      </c>
      <c r="AL1543" s="13" t="s">
        <v>575</v>
      </c>
      <c r="AO1543" s="13" t="s">
        <v>576</v>
      </c>
      <c r="AP1543" s="13" t="s">
        <v>49</v>
      </c>
      <c r="AQ1543" s="13" t="s">
        <v>49</v>
      </c>
      <c r="AR1543" s="13" t="s">
        <v>50</v>
      </c>
      <c r="AS1543" s="13" t="s">
        <v>49</v>
      </c>
      <c r="AT1543" s="13" t="s">
        <v>992</v>
      </c>
      <c r="AU1543" s="4" t="s">
        <v>1000</v>
      </c>
      <c r="AV1543" s="14">
        <f>603.53/1000</f>
        <v>0.60353000000000001</v>
      </c>
      <c r="AW1543" s="14">
        <f>1775.33/1000</f>
        <v>1.7753299999999999</v>
      </c>
      <c r="AX1543" s="14">
        <f>Table1347456[[#This Row],[treatment_mean]]/Table1347456[[#This Row],[control_mean]]</f>
        <v>0.33995369874896503</v>
      </c>
      <c r="AY1543" s="14">
        <f>LN(Table1347456[[#This Row],[rr]])</f>
        <v>-1.0789458507953913</v>
      </c>
      <c r="AZ1543" s="13">
        <v>5</v>
      </c>
      <c r="BA1543" s="13">
        <v>5</v>
      </c>
      <c r="BB1543" s="14">
        <v>0</v>
      </c>
      <c r="BC1543" s="14">
        <v>0</v>
      </c>
      <c r="BD1543" s="15">
        <f>Table1347456[[#This Row],[treatment_se]]*SQRT(Table1347456[[#This Row],[treatment_n]])</f>
        <v>0</v>
      </c>
      <c r="BE1543" s="14">
        <f>Table1347456[[#This Row],[control_se]]*SQRT(Table1347456[[#This Row],[control_n]])</f>
        <v>0</v>
      </c>
      <c r="BF154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43" s="17">
        <f>SQRT(Table1347456[[#This Row],[v_from_sd_and_n]])</f>
        <v>0</v>
      </c>
      <c r="BH1543" s="13" t="s">
        <v>50</v>
      </c>
      <c r="BI1543" s="13">
        <v>2.5000000000000001E-2</v>
      </c>
      <c r="BJ1543" s="18">
        <f>ABS(_xlfn.NORM.S.INV(Table1347456[[#This Row],[p_value]]/2))</f>
        <v>2.2414027276049446</v>
      </c>
      <c r="BK1543" s="19">
        <f>(Table1347456[[#This Row],[lnrr]]/Table1347456[[#This Row],[z_from_p]])^2</f>
        <v>0.23171785855498842</v>
      </c>
      <c r="BL1543" s="16">
        <f>(Table1347456[[#This Row],[lnrr]]/Table1347456[[#This Row],[z_from_p]])^2</f>
        <v>0.23171785855498842</v>
      </c>
      <c r="BM1543" s="20">
        <f>SQRT(Table1347456[[#This Row],[v]])</f>
        <v>0.48137081190594472</v>
      </c>
      <c r="BN1543" s="20">
        <f>Table1347456[[#This Row],[lnrr]]-(1.96*Table1347456[[#This Row],[se]])</f>
        <v>-2.0224326421310428</v>
      </c>
      <c r="BO1543" s="20">
        <f>Table1347456[[#This Row],[lnrr]]+(1.96 * Table1347456[[#This Row],[se]])</f>
        <v>-0.13545905945973968</v>
      </c>
    </row>
    <row r="1544" spans="1:67">
      <c r="A1544" s="13" t="s">
        <v>455</v>
      </c>
      <c r="B1544" s="13" t="s">
        <v>456</v>
      </c>
      <c r="C1544" s="13" t="s">
        <v>43</v>
      </c>
      <c r="D1544" s="13" t="s">
        <v>457</v>
      </c>
      <c r="E1544" s="13" t="s">
        <v>454</v>
      </c>
      <c r="F1544" s="13" t="s">
        <v>586</v>
      </c>
      <c r="G1544" s="13" t="s">
        <v>46</v>
      </c>
      <c r="H1544" s="13">
        <v>18.399999999999999</v>
      </c>
      <c r="I1544" s="13" t="s">
        <v>46</v>
      </c>
      <c r="K1544" s="13" t="s">
        <v>963</v>
      </c>
      <c r="L1544" s="13" t="s">
        <v>964</v>
      </c>
      <c r="N1544" s="13" t="s">
        <v>629</v>
      </c>
      <c r="O1544" s="13" t="s">
        <v>812</v>
      </c>
      <c r="P1544" s="13" t="s">
        <v>458</v>
      </c>
      <c r="Q1544" s="13" t="s">
        <v>419</v>
      </c>
      <c r="R1544" s="4">
        <v>5</v>
      </c>
      <c r="S1544" s="13" t="s">
        <v>596</v>
      </c>
      <c r="T1544" s="13">
        <v>33</v>
      </c>
      <c r="U1544" s="4" t="s">
        <v>147</v>
      </c>
      <c r="V1544" s="4">
        <v>715</v>
      </c>
      <c r="W1544" s="4" t="s">
        <v>602</v>
      </c>
      <c r="X1544" s="4">
        <v>859</v>
      </c>
      <c r="Y1544" s="4">
        <v>210</v>
      </c>
      <c r="Z1544" s="4" t="s">
        <v>505</v>
      </c>
      <c r="AA1544" s="4" t="s">
        <v>50</v>
      </c>
      <c r="AB1544" s="4" t="s">
        <v>807</v>
      </c>
      <c r="AC1544" s="4" t="s">
        <v>49</v>
      </c>
      <c r="AD1544" s="4">
        <v>0</v>
      </c>
      <c r="AE1544" s="4" t="s">
        <v>49</v>
      </c>
      <c r="AF1544" s="4">
        <v>0</v>
      </c>
      <c r="AG1544" s="4" t="s">
        <v>686</v>
      </c>
      <c r="AH1544" s="4" t="s">
        <v>687</v>
      </c>
      <c r="AI1544" s="4" t="s">
        <v>64</v>
      </c>
      <c r="AJ1544" s="13">
        <v>0</v>
      </c>
      <c r="AK1544" s="13">
        <v>30</v>
      </c>
      <c r="AL1544" s="13" t="s">
        <v>575</v>
      </c>
      <c r="AO1544" s="13" t="s">
        <v>576</v>
      </c>
      <c r="AP1544" s="13" t="s">
        <v>49</v>
      </c>
      <c r="AQ1544" s="13" t="s">
        <v>49</v>
      </c>
      <c r="AR1544" s="13" t="s">
        <v>50</v>
      </c>
      <c r="AS1544" s="13" t="s">
        <v>49</v>
      </c>
      <c r="AT1544" s="13" t="s">
        <v>992</v>
      </c>
      <c r="AU1544" s="4" t="s">
        <v>1000</v>
      </c>
      <c r="AV1544" s="14">
        <f>603.93/1000</f>
        <v>0.60392999999999997</v>
      </c>
      <c r="AW1544" s="14">
        <f>1775.33/1000</f>
        <v>1.7753299999999999</v>
      </c>
      <c r="AX1544" s="14">
        <f>Table1347456[[#This Row],[treatment_mean]]/Table1347456[[#This Row],[control_mean]]</f>
        <v>0.3401790089729797</v>
      </c>
      <c r="AY1544" s="14">
        <f>LN(Table1347456[[#This Row],[rr]])</f>
        <v>-1.0782833029434835</v>
      </c>
      <c r="AZ1544" s="13">
        <v>5</v>
      </c>
      <c r="BA1544" s="13">
        <v>5</v>
      </c>
      <c r="BB1544" s="14">
        <v>0</v>
      </c>
      <c r="BC1544" s="14">
        <v>0</v>
      </c>
      <c r="BD1544" s="15">
        <f>Table1347456[[#This Row],[treatment_se]]*SQRT(Table1347456[[#This Row],[treatment_n]])</f>
        <v>0</v>
      </c>
      <c r="BE1544" s="14">
        <f>Table1347456[[#This Row],[control_se]]*SQRT(Table1347456[[#This Row],[control_n]])</f>
        <v>0</v>
      </c>
      <c r="BF154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44" s="17">
        <f>SQRT(Table1347456[[#This Row],[v_from_sd_and_n]])</f>
        <v>0</v>
      </c>
      <c r="BH1544" s="13" t="s">
        <v>50</v>
      </c>
      <c r="BI1544" s="13">
        <v>2.5000000000000001E-2</v>
      </c>
      <c r="BJ1544" s="18">
        <f>ABS(_xlfn.NORM.S.INV(Table1347456[[#This Row],[p_value]]/2))</f>
        <v>2.2414027276049446</v>
      </c>
      <c r="BK1544" s="19">
        <f>(Table1347456[[#This Row],[lnrr]]/Table1347456[[#This Row],[z_from_p]])^2</f>
        <v>0.23143336414397025</v>
      </c>
      <c r="BL1544" s="16">
        <f>(Table1347456[[#This Row],[lnrr]]/Table1347456[[#This Row],[z_from_p]])^2</f>
        <v>0.23143336414397025</v>
      </c>
      <c r="BM1544" s="20">
        <f>SQRT(Table1347456[[#This Row],[v]])</f>
        <v>0.48107521672184511</v>
      </c>
      <c r="BN1544" s="20">
        <f>Table1347456[[#This Row],[lnrr]]-(1.96*Table1347456[[#This Row],[se]])</f>
        <v>-2.0211907277182997</v>
      </c>
      <c r="BO1544" s="20">
        <f>Table1347456[[#This Row],[lnrr]]+(1.96 * Table1347456[[#This Row],[se]])</f>
        <v>-0.13537587816866714</v>
      </c>
    </row>
    <row r="1545" spans="1:67">
      <c r="A1545" s="13" t="s">
        <v>455</v>
      </c>
      <c r="B1545" s="13" t="s">
        <v>456</v>
      </c>
      <c r="C1545" s="13" t="s">
        <v>43</v>
      </c>
      <c r="D1545" s="13" t="s">
        <v>457</v>
      </c>
      <c r="E1545" s="13" t="s">
        <v>454</v>
      </c>
      <c r="F1545" s="13" t="s">
        <v>586</v>
      </c>
      <c r="G1545" s="13" t="s">
        <v>46</v>
      </c>
      <c r="H1545" s="13">
        <v>18.399999999999999</v>
      </c>
      <c r="I1545" s="13" t="s">
        <v>46</v>
      </c>
      <c r="K1545" s="13" t="s">
        <v>963</v>
      </c>
      <c r="L1545" s="13" t="s">
        <v>964</v>
      </c>
      <c r="N1545" s="13" t="s">
        <v>634</v>
      </c>
      <c r="O1545" s="13" t="s">
        <v>812</v>
      </c>
      <c r="P1545" s="13" t="s">
        <v>460</v>
      </c>
      <c r="Q1545" s="13" t="s">
        <v>419</v>
      </c>
      <c r="R1545" s="4">
        <v>5</v>
      </c>
      <c r="S1545" s="13" t="s">
        <v>596</v>
      </c>
      <c r="T1545" s="13">
        <v>33</v>
      </c>
      <c r="U1545" s="4" t="s">
        <v>147</v>
      </c>
      <c r="V1545" s="4">
        <v>715</v>
      </c>
      <c r="W1545" s="4" t="s">
        <v>602</v>
      </c>
      <c r="X1545" s="4">
        <v>859</v>
      </c>
      <c r="Y1545" s="4">
        <v>42</v>
      </c>
      <c r="Z1545" s="4" t="s">
        <v>489</v>
      </c>
      <c r="AA1545" s="4" t="s">
        <v>50</v>
      </c>
      <c r="AB1545" s="4" t="s">
        <v>807</v>
      </c>
      <c r="AC1545" s="4" t="s">
        <v>49</v>
      </c>
      <c r="AD1545" s="4">
        <v>0</v>
      </c>
      <c r="AE1545" s="4" t="s">
        <v>49</v>
      </c>
      <c r="AF1545" s="4">
        <v>0</v>
      </c>
      <c r="AG1545" s="4" t="s">
        <v>686</v>
      </c>
      <c r="AH1545" s="4" t="s">
        <v>687</v>
      </c>
      <c r="AI1545" s="4" t="s">
        <v>64</v>
      </c>
      <c r="AJ1545" s="13">
        <v>0</v>
      </c>
      <c r="AK1545" s="13">
        <v>30</v>
      </c>
      <c r="AL1545" s="13" t="s">
        <v>575</v>
      </c>
      <c r="AO1545" s="13" t="s">
        <v>576</v>
      </c>
      <c r="AP1545" s="13" t="s">
        <v>49</v>
      </c>
      <c r="AQ1545" s="13" t="s">
        <v>49</v>
      </c>
      <c r="AR1545" s="13" t="s">
        <v>50</v>
      </c>
      <c r="AS1545" s="13" t="s">
        <v>49</v>
      </c>
      <c r="AT1545" s="13" t="s">
        <v>992</v>
      </c>
      <c r="AU1545" s="4" t="s">
        <v>1000</v>
      </c>
      <c r="AV1545" s="14">
        <v>4.21</v>
      </c>
      <c r="AW1545" s="14">
        <v>8.4600000000000009</v>
      </c>
      <c r="AX1545" s="14">
        <f>Table1347456[[#This Row],[treatment_mean]]/Table1347456[[#This Row],[control_mean]]</f>
        <v>0.49763593380614651</v>
      </c>
      <c r="AY1545" s="14">
        <f>LN(Table1347456[[#This Row],[rr]])</f>
        <v>-0.69788652592384193</v>
      </c>
      <c r="AZ1545" s="13">
        <v>5</v>
      </c>
      <c r="BA1545" s="13">
        <v>5</v>
      </c>
      <c r="BB1545" s="14">
        <v>0</v>
      </c>
      <c r="BC1545" s="14">
        <v>0</v>
      </c>
      <c r="BD1545" s="15">
        <f>Table1347456[[#This Row],[treatment_se]]*SQRT(Table1347456[[#This Row],[treatment_n]])</f>
        <v>0</v>
      </c>
      <c r="BE1545" s="14">
        <f>Table1347456[[#This Row],[control_se]]*SQRT(Table1347456[[#This Row],[control_n]])</f>
        <v>0</v>
      </c>
      <c r="BF154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45" s="17">
        <f>SQRT(Table1347456[[#This Row],[v_from_sd_and_n]])</f>
        <v>0</v>
      </c>
      <c r="BH1545" s="13" t="s">
        <v>50</v>
      </c>
      <c r="BI1545" s="13">
        <v>2.5000000000000001E-2</v>
      </c>
      <c r="BJ1545" s="18">
        <f>ABS(_xlfn.NORM.S.INV(Table1347456[[#This Row],[p_value]]/2))</f>
        <v>2.2414027276049446</v>
      </c>
      <c r="BK1545" s="19">
        <f>(Table1347456[[#This Row],[lnrr]]/Table1347456[[#This Row],[z_from_p]])^2</f>
        <v>9.6945986614071833E-2</v>
      </c>
      <c r="BL1545" s="16">
        <f>(Table1347456[[#This Row],[lnrr]]/Table1347456[[#This Row],[z_from_p]])^2</f>
        <v>9.6945986614071833E-2</v>
      </c>
      <c r="BM1545" s="20">
        <f>SQRT(Table1347456[[#This Row],[v]])</f>
        <v>0.31136150470806734</v>
      </c>
      <c r="BN1545" s="20">
        <f>Table1347456[[#This Row],[lnrr]]-(1.96*Table1347456[[#This Row],[se]])</f>
        <v>-1.308155075151654</v>
      </c>
      <c r="BO1545" s="20">
        <f>Table1347456[[#This Row],[lnrr]]+(1.96 * Table1347456[[#This Row],[se]])</f>
        <v>-8.7617976696029998E-2</v>
      </c>
    </row>
    <row r="1546" spans="1:67">
      <c r="A1546" s="13" t="s">
        <v>455</v>
      </c>
      <c r="B1546" s="13" t="s">
        <v>456</v>
      </c>
      <c r="C1546" s="13" t="s">
        <v>43</v>
      </c>
      <c r="D1546" s="13" t="s">
        <v>457</v>
      </c>
      <c r="E1546" s="13" t="s">
        <v>454</v>
      </c>
      <c r="F1546" s="13" t="s">
        <v>586</v>
      </c>
      <c r="G1546" s="13" t="s">
        <v>46</v>
      </c>
      <c r="H1546" s="13">
        <v>18.399999999999999</v>
      </c>
      <c r="I1546" s="13" t="s">
        <v>46</v>
      </c>
      <c r="K1546" s="13" t="s">
        <v>963</v>
      </c>
      <c r="L1546" s="13" t="s">
        <v>964</v>
      </c>
      <c r="N1546" s="13" t="s">
        <v>634</v>
      </c>
      <c r="O1546" s="13" t="s">
        <v>812</v>
      </c>
      <c r="P1546" s="13" t="s">
        <v>460</v>
      </c>
      <c r="Q1546" s="13" t="s">
        <v>419</v>
      </c>
      <c r="R1546" s="4">
        <v>5</v>
      </c>
      <c r="S1546" s="13" t="s">
        <v>596</v>
      </c>
      <c r="T1546" s="13">
        <v>33</v>
      </c>
      <c r="U1546" s="4" t="s">
        <v>147</v>
      </c>
      <c r="V1546" s="4">
        <v>715</v>
      </c>
      <c r="W1546" s="4" t="s">
        <v>602</v>
      </c>
      <c r="X1546" s="4">
        <v>859</v>
      </c>
      <c r="Y1546" s="4">
        <v>210</v>
      </c>
      <c r="Z1546" s="4" t="s">
        <v>505</v>
      </c>
      <c r="AA1546" s="4" t="s">
        <v>50</v>
      </c>
      <c r="AB1546" s="4" t="s">
        <v>807</v>
      </c>
      <c r="AC1546" s="4" t="s">
        <v>49</v>
      </c>
      <c r="AD1546" s="4">
        <v>0</v>
      </c>
      <c r="AE1546" s="4" t="s">
        <v>49</v>
      </c>
      <c r="AF1546" s="4">
        <v>0</v>
      </c>
      <c r="AG1546" s="4" t="s">
        <v>686</v>
      </c>
      <c r="AH1546" s="4" t="s">
        <v>687</v>
      </c>
      <c r="AI1546" s="4" t="s">
        <v>64</v>
      </c>
      <c r="AJ1546" s="13">
        <v>0</v>
      </c>
      <c r="AK1546" s="13">
        <v>30</v>
      </c>
      <c r="AL1546" s="13" t="s">
        <v>575</v>
      </c>
      <c r="AO1546" s="13" t="s">
        <v>576</v>
      </c>
      <c r="AP1546" s="13" t="s">
        <v>49</v>
      </c>
      <c r="AQ1546" s="13" t="s">
        <v>49</v>
      </c>
      <c r="AR1546" s="13" t="s">
        <v>50</v>
      </c>
      <c r="AS1546" s="13" t="s">
        <v>49</v>
      </c>
      <c r="AT1546" s="13" t="s">
        <v>992</v>
      </c>
      <c r="AU1546" s="4" t="s">
        <v>1000</v>
      </c>
      <c r="AV1546" s="14">
        <v>4</v>
      </c>
      <c r="AW1546" s="14">
        <v>8.4600000000000009</v>
      </c>
      <c r="AX1546" s="14">
        <f>Table1347456[[#This Row],[treatment_mean]]/Table1347456[[#This Row],[control_mean]]</f>
        <v>0.47281323877068554</v>
      </c>
      <c r="AY1546" s="14">
        <f>LN(Table1347456[[#This Row],[rr]])</f>
        <v>-0.74905481249824135</v>
      </c>
      <c r="AZ1546" s="13">
        <v>5</v>
      </c>
      <c r="BA1546" s="13">
        <v>5</v>
      </c>
      <c r="BB1546" s="14">
        <v>0</v>
      </c>
      <c r="BC1546" s="14">
        <v>0</v>
      </c>
      <c r="BD1546" s="15">
        <f>Table1347456[[#This Row],[treatment_se]]*SQRT(Table1347456[[#This Row],[treatment_n]])</f>
        <v>0</v>
      </c>
      <c r="BE1546" s="14">
        <f>Table1347456[[#This Row],[control_se]]*SQRT(Table1347456[[#This Row],[control_n]])</f>
        <v>0</v>
      </c>
      <c r="BF154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46" s="17">
        <f>SQRT(Table1347456[[#This Row],[v_from_sd_and_n]])</f>
        <v>0</v>
      </c>
      <c r="BH1546" s="13" t="s">
        <v>50</v>
      </c>
      <c r="BI1546" s="13">
        <v>2.5000000000000001E-2</v>
      </c>
      <c r="BJ1546" s="18">
        <f>ABS(_xlfn.NORM.S.INV(Table1347456[[#This Row],[p_value]]/2))</f>
        <v>2.2414027276049446</v>
      </c>
      <c r="BK1546" s="19">
        <f>(Table1347456[[#This Row],[lnrr]]/Table1347456[[#This Row],[z_from_p]])^2</f>
        <v>0.11168308580387194</v>
      </c>
      <c r="BL1546" s="16">
        <f>(Table1347456[[#This Row],[lnrr]]/Table1347456[[#This Row],[z_from_p]])^2</f>
        <v>0.11168308580387194</v>
      </c>
      <c r="BM1546" s="20">
        <f>SQRT(Table1347456[[#This Row],[v]])</f>
        <v>0.33419019405702488</v>
      </c>
      <c r="BN1546" s="20">
        <f>Table1347456[[#This Row],[lnrr]]-(1.96*Table1347456[[#This Row],[se]])</f>
        <v>-1.4040675928500101</v>
      </c>
      <c r="BO1546" s="20">
        <f>Table1347456[[#This Row],[lnrr]]+(1.96 * Table1347456[[#This Row],[se]])</f>
        <v>-9.4042032146472554E-2</v>
      </c>
    </row>
    <row r="1547" spans="1:67">
      <c r="A1547" s="13" t="s">
        <v>455</v>
      </c>
      <c r="B1547" s="13" t="s">
        <v>456</v>
      </c>
      <c r="C1547" s="13" t="s">
        <v>43</v>
      </c>
      <c r="D1547" s="13" t="s">
        <v>457</v>
      </c>
      <c r="E1547" s="13" t="s">
        <v>454</v>
      </c>
      <c r="F1547" s="13" t="s">
        <v>586</v>
      </c>
      <c r="G1547" s="13" t="s">
        <v>46</v>
      </c>
      <c r="H1547" s="13">
        <v>18.399999999999999</v>
      </c>
      <c r="I1547" s="13" t="s">
        <v>46</v>
      </c>
      <c r="K1547" s="13" t="s">
        <v>963</v>
      </c>
      <c r="L1547" s="13" t="s">
        <v>964</v>
      </c>
      <c r="N1547" s="13" t="s">
        <v>635</v>
      </c>
      <c r="O1547" s="13" t="s">
        <v>812</v>
      </c>
      <c r="P1547" s="13" t="s">
        <v>460</v>
      </c>
      <c r="Q1547" s="13" t="s">
        <v>419</v>
      </c>
      <c r="R1547" s="4">
        <v>5</v>
      </c>
      <c r="S1547" s="13" t="s">
        <v>596</v>
      </c>
      <c r="T1547" s="13">
        <v>33</v>
      </c>
      <c r="U1547" s="4" t="s">
        <v>147</v>
      </c>
      <c r="V1547" s="4">
        <v>715</v>
      </c>
      <c r="W1547" s="4" t="s">
        <v>602</v>
      </c>
      <c r="X1547" s="4">
        <v>859</v>
      </c>
      <c r="Y1547" s="4">
        <v>42</v>
      </c>
      <c r="Z1547" s="4" t="s">
        <v>489</v>
      </c>
      <c r="AA1547" s="4" t="s">
        <v>50</v>
      </c>
      <c r="AB1547" s="4" t="s">
        <v>807</v>
      </c>
      <c r="AC1547" s="4" t="s">
        <v>49</v>
      </c>
      <c r="AD1547" s="4">
        <v>0</v>
      </c>
      <c r="AE1547" s="4" t="s">
        <v>49</v>
      </c>
      <c r="AF1547" s="4">
        <v>0</v>
      </c>
      <c r="AG1547" s="4" t="s">
        <v>686</v>
      </c>
      <c r="AH1547" s="4" t="s">
        <v>687</v>
      </c>
      <c r="AI1547" s="4" t="s">
        <v>64</v>
      </c>
      <c r="AJ1547" s="13">
        <v>0</v>
      </c>
      <c r="AK1547" s="13">
        <v>30</v>
      </c>
      <c r="AL1547" s="13" t="s">
        <v>575</v>
      </c>
      <c r="AO1547" s="13" t="s">
        <v>576</v>
      </c>
      <c r="AP1547" s="13" t="s">
        <v>49</v>
      </c>
      <c r="AQ1547" s="13" t="s">
        <v>49</v>
      </c>
      <c r="AR1547" s="13" t="s">
        <v>50</v>
      </c>
      <c r="AS1547" s="13" t="s">
        <v>49</v>
      </c>
      <c r="AT1547" s="13" t="s">
        <v>992</v>
      </c>
      <c r="AU1547" s="4" t="s">
        <v>1000</v>
      </c>
      <c r="AV1547" s="14">
        <v>27.86</v>
      </c>
      <c r="AW1547" s="14">
        <v>63.1</v>
      </c>
      <c r="AX1547" s="14">
        <f>Table1347456[[#This Row],[treatment_mean]]/Table1347456[[#This Row],[control_mean]]</f>
        <v>0.4415213946117274</v>
      </c>
      <c r="AY1547" s="14">
        <f>LN(Table1347456[[#This Row],[rr]])</f>
        <v>-0.81752880119550786</v>
      </c>
      <c r="AZ1547" s="13">
        <v>5</v>
      </c>
      <c r="BA1547" s="13">
        <v>5</v>
      </c>
      <c r="BB1547" s="14">
        <v>0</v>
      </c>
      <c r="BC1547" s="14">
        <v>0</v>
      </c>
      <c r="BD1547" s="15">
        <f>Table1347456[[#This Row],[treatment_se]]*SQRT(Table1347456[[#This Row],[treatment_n]])</f>
        <v>0</v>
      </c>
      <c r="BE1547" s="14">
        <f>Table1347456[[#This Row],[control_se]]*SQRT(Table1347456[[#This Row],[control_n]])</f>
        <v>0</v>
      </c>
      <c r="BF154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47" s="17">
        <f>SQRT(Table1347456[[#This Row],[v_from_sd_and_n]])</f>
        <v>0</v>
      </c>
      <c r="BH1547" s="13" t="s">
        <v>50</v>
      </c>
      <c r="BI1547" s="13">
        <v>2.5000000000000001E-2</v>
      </c>
      <c r="BJ1547" s="18">
        <f>ABS(_xlfn.NORM.S.INV(Table1347456[[#This Row],[p_value]]/2))</f>
        <v>2.2414027276049446</v>
      </c>
      <c r="BK1547" s="19">
        <f>(Table1347456[[#This Row],[lnrr]]/Table1347456[[#This Row],[z_from_p]])^2</f>
        <v>0.13303512776060294</v>
      </c>
      <c r="BL1547" s="16">
        <f>(Table1347456[[#This Row],[lnrr]]/Table1347456[[#This Row],[z_from_p]])^2</f>
        <v>0.13303512776060294</v>
      </c>
      <c r="BM1547" s="20">
        <f>SQRT(Table1347456[[#This Row],[v]])</f>
        <v>0.36473980830258018</v>
      </c>
      <c r="BN1547" s="20">
        <f>Table1347456[[#This Row],[lnrr]]-(1.96*Table1347456[[#This Row],[se]])</f>
        <v>-1.5324188254685649</v>
      </c>
      <c r="BO1547" s="20">
        <f>Table1347456[[#This Row],[lnrr]]+(1.96 * Table1347456[[#This Row],[se]])</f>
        <v>-0.10263877692245071</v>
      </c>
    </row>
    <row r="1548" spans="1:67">
      <c r="A1548" s="13" t="s">
        <v>455</v>
      </c>
      <c r="B1548" s="13" t="s">
        <v>456</v>
      </c>
      <c r="C1548" s="13" t="s">
        <v>43</v>
      </c>
      <c r="D1548" s="13" t="s">
        <v>457</v>
      </c>
      <c r="E1548" s="13" t="s">
        <v>454</v>
      </c>
      <c r="F1548" s="13" t="s">
        <v>586</v>
      </c>
      <c r="G1548" s="13" t="s">
        <v>46</v>
      </c>
      <c r="H1548" s="13">
        <v>18.399999999999999</v>
      </c>
      <c r="I1548" s="13" t="s">
        <v>46</v>
      </c>
      <c r="K1548" s="13" t="s">
        <v>963</v>
      </c>
      <c r="L1548" s="13" t="s">
        <v>964</v>
      </c>
      <c r="N1548" s="13" t="s">
        <v>635</v>
      </c>
      <c r="O1548" s="13" t="s">
        <v>812</v>
      </c>
      <c r="P1548" s="13" t="s">
        <v>460</v>
      </c>
      <c r="Q1548" s="13" t="s">
        <v>419</v>
      </c>
      <c r="R1548" s="4">
        <v>5</v>
      </c>
      <c r="S1548" s="13" t="s">
        <v>596</v>
      </c>
      <c r="T1548" s="13">
        <v>33</v>
      </c>
      <c r="U1548" s="4" t="s">
        <v>147</v>
      </c>
      <c r="V1548" s="4">
        <v>715</v>
      </c>
      <c r="W1548" s="4" t="s">
        <v>602</v>
      </c>
      <c r="X1548" s="4">
        <v>859</v>
      </c>
      <c r="Y1548" s="4">
        <v>210</v>
      </c>
      <c r="Z1548" s="4" t="s">
        <v>505</v>
      </c>
      <c r="AA1548" s="4" t="s">
        <v>50</v>
      </c>
      <c r="AB1548" s="4" t="s">
        <v>807</v>
      </c>
      <c r="AC1548" s="4" t="s">
        <v>49</v>
      </c>
      <c r="AD1548" s="4">
        <v>0</v>
      </c>
      <c r="AE1548" s="4" t="s">
        <v>49</v>
      </c>
      <c r="AF1548" s="4">
        <v>0</v>
      </c>
      <c r="AG1548" s="4" t="s">
        <v>686</v>
      </c>
      <c r="AH1548" s="4" t="s">
        <v>687</v>
      </c>
      <c r="AI1548" s="4" t="s">
        <v>64</v>
      </c>
      <c r="AJ1548" s="13">
        <v>0</v>
      </c>
      <c r="AK1548" s="13">
        <v>30</v>
      </c>
      <c r="AL1548" s="13" t="s">
        <v>575</v>
      </c>
      <c r="AO1548" s="13" t="s">
        <v>576</v>
      </c>
      <c r="AP1548" s="13" t="s">
        <v>49</v>
      </c>
      <c r="AQ1548" s="13" t="s">
        <v>49</v>
      </c>
      <c r="AR1548" s="13" t="s">
        <v>50</v>
      </c>
      <c r="AS1548" s="13" t="s">
        <v>49</v>
      </c>
      <c r="AT1548" s="13" t="s">
        <v>992</v>
      </c>
      <c r="AU1548" s="4" t="s">
        <v>1000</v>
      </c>
      <c r="AV1548" s="14">
        <v>20.149999999999999</v>
      </c>
      <c r="AW1548" s="14">
        <v>63.1</v>
      </c>
      <c r="AX1548" s="14">
        <f>Table1347456[[#This Row],[treatment_mean]]/Table1347456[[#This Row],[control_mean]]</f>
        <v>0.31933438985736923</v>
      </c>
      <c r="AY1548" s="14">
        <f>LN(Table1347456[[#This Row],[rr]])</f>
        <v>-1.1415164811544756</v>
      </c>
      <c r="AZ1548" s="13">
        <v>5</v>
      </c>
      <c r="BA1548" s="13">
        <v>5</v>
      </c>
      <c r="BB1548" s="14">
        <v>0</v>
      </c>
      <c r="BC1548" s="14">
        <v>0</v>
      </c>
      <c r="BD1548" s="15">
        <f>Table1347456[[#This Row],[treatment_se]]*SQRT(Table1347456[[#This Row],[treatment_n]])</f>
        <v>0</v>
      </c>
      <c r="BE1548" s="14">
        <f>Table1347456[[#This Row],[control_se]]*SQRT(Table1347456[[#This Row],[control_n]])</f>
        <v>0</v>
      </c>
      <c r="BF154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48" s="17">
        <f>SQRT(Table1347456[[#This Row],[v_from_sd_and_n]])</f>
        <v>0</v>
      </c>
      <c r="BH1548" s="13" t="s">
        <v>50</v>
      </c>
      <c r="BI1548" s="13">
        <v>2.5000000000000001E-2</v>
      </c>
      <c r="BJ1548" s="18">
        <f>ABS(_xlfn.NORM.S.INV(Table1347456[[#This Row],[p_value]]/2))</f>
        <v>2.2414027276049446</v>
      </c>
      <c r="BK1548" s="19">
        <f>(Table1347456[[#This Row],[lnrr]]/Table1347456[[#This Row],[z_from_p]])^2</f>
        <v>0.25937288946502629</v>
      </c>
      <c r="BL1548" s="16">
        <f>(Table1347456[[#This Row],[lnrr]]/Table1347456[[#This Row],[z_from_p]])^2</f>
        <v>0.25937288946502629</v>
      </c>
      <c r="BM1548" s="20">
        <f>SQRT(Table1347456[[#This Row],[v]])</f>
        <v>0.50928664764062515</v>
      </c>
      <c r="BN1548" s="20">
        <f>Table1347456[[#This Row],[lnrr]]-(1.96*Table1347456[[#This Row],[se]])</f>
        <v>-2.139718310530101</v>
      </c>
      <c r="BO1548" s="20">
        <f>Table1347456[[#This Row],[lnrr]]+(1.96 * Table1347456[[#This Row],[se]])</f>
        <v>-0.14331465177885028</v>
      </c>
    </row>
    <row r="1549" spans="1:67">
      <c r="A1549" s="13" t="s">
        <v>455</v>
      </c>
      <c r="B1549" s="13" t="s">
        <v>456</v>
      </c>
      <c r="C1549" s="13" t="s">
        <v>43</v>
      </c>
      <c r="D1549" s="13" t="s">
        <v>457</v>
      </c>
      <c r="E1549" s="13" t="s">
        <v>454</v>
      </c>
      <c r="F1549" s="13" t="s">
        <v>586</v>
      </c>
      <c r="G1549" s="13" t="s">
        <v>46</v>
      </c>
      <c r="H1549" s="13">
        <v>18.399999999999999</v>
      </c>
      <c r="I1549" s="13" t="s">
        <v>46</v>
      </c>
      <c r="K1549" s="13" t="s">
        <v>963</v>
      </c>
      <c r="L1549" s="13" t="s">
        <v>964</v>
      </c>
      <c r="N1549" s="13" t="s">
        <v>381</v>
      </c>
      <c r="O1549" s="13" t="s">
        <v>70</v>
      </c>
      <c r="P1549" s="13" t="s">
        <v>71</v>
      </c>
      <c r="Q1549" s="13" t="s">
        <v>71</v>
      </c>
      <c r="R1549" s="4">
        <v>5</v>
      </c>
      <c r="S1549" s="13" t="s">
        <v>596</v>
      </c>
      <c r="T1549" s="13">
        <v>33</v>
      </c>
      <c r="U1549" s="4" t="s">
        <v>147</v>
      </c>
      <c r="V1549" s="4">
        <v>715</v>
      </c>
      <c r="W1549" s="4" t="s">
        <v>602</v>
      </c>
      <c r="X1549" s="4">
        <v>859</v>
      </c>
      <c r="Y1549" s="4">
        <v>42</v>
      </c>
      <c r="Z1549" s="4" t="s">
        <v>489</v>
      </c>
      <c r="AA1549" s="4" t="s">
        <v>50</v>
      </c>
      <c r="AB1549" s="4" t="s">
        <v>807</v>
      </c>
      <c r="AC1549" s="4" t="s">
        <v>49</v>
      </c>
      <c r="AD1549" s="4">
        <v>0</v>
      </c>
      <c r="AE1549" s="4" t="s">
        <v>49</v>
      </c>
      <c r="AF1549" s="4">
        <v>0</v>
      </c>
      <c r="AG1549" s="4" t="s">
        <v>686</v>
      </c>
      <c r="AH1549" s="4" t="s">
        <v>687</v>
      </c>
      <c r="AI1549" s="4" t="s">
        <v>64</v>
      </c>
      <c r="AJ1549" s="13">
        <v>0</v>
      </c>
      <c r="AK1549" s="13">
        <v>30</v>
      </c>
      <c r="AL1549" s="13" t="s">
        <v>575</v>
      </c>
      <c r="AO1549" s="13" t="s">
        <v>576</v>
      </c>
      <c r="AP1549" s="13" t="s">
        <v>49</v>
      </c>
      <c r="AQ1549" s="13" t="s">
        <v>49</v>
      </c>
      <c r="AR1549" s="13" t="s">
        <v>50</v>
      </c>
      <c r="AS1549" s="13" t="s">
        <v>49</v>
      </c>
      <c r="AT1549" s="13" t="s">
        <v>992</v>
      </c>
      <c r="AU1549" s="4" t="s">
        <v>1000</v>
      </c>
      <c r="AV1549" s="14">
        <v>1.25</v>
      </c>
      <c r="AW1549" s="14">
        <v>2.9</v>
      </c>
      <c r="AX1549" s="14">
        <f>Table1347456[[#This Row],[treatment_mean]]/Table1347456[[#This Row],[control_mean]]</f>
        <v>0.43103448275862072</v>
      </c>
      <c r="AY1549" s="14">
        <f>LN(Table1347456[[#This Row],[rr]])</f>
        <v>-0.84156718567821853</v>
      </c>
      <c r="AZ1549" s="13">
        <v>5</v>
      </c>
      <c r="BA1549" s="13">
        <v>5</v>
      </c>
      <c r="BB1549" s="14">
        <v>0.25</v>
      </c>
      <c r="BC1549" s="14">
        <v>0.24</v>
      </c>
      <c r="BD1549" s="15">
        <f>Table1347456[[#This Row],[treatment_se]]*SQRT(Table1347456[[#This Row],[treatment_n]])</f>
        <v>0.55901699437494745</v>
      </c>
      <c r="BE1549" s="14">
        <f>Table1347456[[#This Row],[control_se]]*SQRT(Table1347456[[#This Row],[control_n]])</f>
        <v>0.53665631459994956</v>
      </c>
      <c r="BF154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4.6848989298454227E-2</v>
      </c>
      <c r="BG1549" s="17">
        <f>SQRT(Table1347456[[#This Row],[v_from_sd_and_n]])</f>
        <v>0.21644627346862369</v>
      </c>
      <c r="BH1549" s="13" t="s">
        <v>50</v>
      </c>
      <c r="BI1549" s="13">
        <v>2.5000000000000001E-2</v>
      </c>
      <c r="BJ1549" s="18">
        <f>ABS(_xlfn.NORM.S.INV(Table1347456[[#This Row],[p_value]]/2))</f>
        <v>2.2414027276049446</v>
      </c>
      <c r="BK1549" s="19">
        <f>(Table1347456[[#This Row],[lnrr]]/Table1347456[[#This Row],[z_from_p]])^2</f>
        <v>0.14097360123297048</v>
      </c>
      <c r="BL1549" s="16">
        <f>Table1347456[[#This Row],[v_from_sd_and_n]]</f>
        <v>4.6848989298454227E-2</v>
      </c>
      <c r="BM1549" s="20">
        <f>SQRT(Table1347456[[#This Row],[v]])</f>
        <v>0.21644627346862369</v>
      </c>
      <c r="BN1549" s="20">
        <f>Table1347456[[#This Row],[lnrr]]-(1.96*Table1347456[[#This Row],[se]])</f>
        <v>-1.2658018816767209</v>
      </c>
      <c r="BO1549" s="20">
        <f>Table1347456[[#This Row],[lnrr]]+(1.96 * Table1347456[[#This Row],[se]])</f>
        <v>-0.41733248967971609</v>
      </c>
    </row>
    <row r="1550" spans="1:67">
      <c r="A1550" s="13" t="s">
        <v>455</v>
      </c>
      <c r="B1550" s="13" t="s">
        <v>456</v>
      </c>
      <c r="C1550" s="13" t="s">
        <v>43</v>
      </c>
      <c r="D1550" s="13" t="s">
        <v>457</v>
      </c>
      <c r="E1550" s="13" t="s">
        <v>454</v>
      </c>
      <c r="F1550" s="13" t="s">
        <v>586</v>
      </c>
      <c r="G1550" s="13" t="s">
        <v>46</v>
      </c>
      <c r="H1550" s="13">
        <v>18.399999999999999</v>
      </c>
      <c r="I1550" s="13" t="s">
        <v>46</v>
      </c>
      <c r="K1550" s="13" t="s">
        <v>963</v>
      </c>
      <c r="L1550" s="13" t="s">
        <v>964</v>
      </c>
      <c r="N1550" s="13" t="s">
        <v>381</v>
      </c>
      <c r="O1550" s="13" t="s">
        <v>70</v>
      </c>
      <c r="P1550" s="13" t="s">
        <v>71</v>
      </c>
      <c r="Q1550" s="13" t="s">
        <v>71</v>
      </c>
      <c r="R1550" s="4">
        <v>5</v>
      </c>
      <c r="S1550" s="13" t="s">
        <v>596</v>
      </c>
      <c r="T1550" s="13">
        <v>33</v>
      </c>
      <c r="U1550" s="4" t="s">
        <v>147</v>
      </c>
      <c r="V1550" s="4">
        <v>715</v>
      </c>
      <c r="W1550" s="4" t="s">
        <v>602</v>
      </c>
      <c r="X1550" s="4">
        <v>859</v>
      </c>
      <c r="Y1550" s="4">
        <v>210</v>
      </c>
      <c r="Z1550" s="4" t="s">
        <v>505</v>
      </c>
      <c r="AA1550" s="4" t="s">
        <v>50</v>
      </c>
      <c r="AB1550" s="4" t="s">
        <v>807</v>
      </c>
      <c r="AC1550" s="4" t="s">
        <v>49</v>
      </c>
      <c r="AD1550" s="4">
        <v>0</v>
      </c>
      <c r="AE1550" s="4" t="s">
        <v>49</v>
      </c>
      <c r="AF1550" s="4">
        <v>0</v>
      </c>
      <c r="AG1550" s="4" t="s">
        <v>686</v>
      </c>
      <c r="AH1550" s="4" t="s">
        <v>687</v>
      </c>
      <c r="AI1550" s="4" t="s">
        <v>64</v>
      </c>
      <c r="AJ1550" s="13">
        <v>0</v>
      </c>
      <c r="AK1550" s="13">
        <v>30</v>
      </c>
      <c r="AL1550" s="13" t="s">
        <v>575</v>
      </c>
      <c r="AO1550" s="13" t="s">
        <v>576</v>
      </c>
      <c r="AP1550" s="13" t="s">
        <v>49</v>
      </c>
      <c r="AQ1550" s="13" t="s">
        <v>49</v>
      </c>
      <c r="AR1550" s="13" t="s">
        <v>50</v>
      </c>
      <c r="AS1550" s="13" t="s">
        <v>49</v>
      </c>
      <c r="AT1550" s="13" t="s">
        <v>992</v>
      </c>
      <c r="AU1550" s="4" t="s">
        <v>1000</v>
      </c>
      <c r="AV1550" s="14">
        <v>1.1100000000000001</v>
      </c>
      <c r="AW1550" s="14">
        <v>2.9</v>
      </c>
      <c r="AX1550" s="14">
        <f>Table1347456[[#This Row],[treatment_mean]]/Table1347456[[#This Row],[control_mean]]</f>
        <v>0.38275862068965522</v>
      </c>
      <c r="AY1550" s="14">
        <f>LN(Table1347456[[#This Row],[rr]])</f>
        <v>-0.96035072166818547</v>
      </c>
      <c r="AZ1550" s="13">
        <v>5</v>
      </c>
      <c r="BA1550" s="13">
        <v>5</v>
      </c>
      <c r="BB1550" s="14">
        <v>0.16</v>
      </c>
      <c r="BC1550" s="14">
        <v>0.24</v>
      </c>
      <c r="BD1550" s="15">
        <f>Table1347456[[#This Row],[treatment_se]]*SQRT(Table1347456[[#This Row],[treatment_n]])</f>
        <v>0.35777087639996635</v>
      </c>
      <c r="BE1550" s="14">
        <f>Table1347456[[#This Row],[control_se]]*SQRT(Table1347456[[#This Row],[control_n]])</f>
        <v>0.53665631459994956</v>
      </c>
      <c r="BF155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2.7626523589502024E-2</v>
      </c>
      <c r="BG1550" s="17">
        <f>SQRT(Table1347456[[#This Row],[v_from_sd_and_n]])</f>
        <v>0.16621228471295985</v>
      </c>
      <c r="BH1550" s="13" t="s">
        <v>50</v>
      </c>
      <c r="BI1550" s="13">
        <v>2.5000000000000001E-2</v>
      </c>
      <c r="BJ1550" s="18">
        <f>ABS(_xlfn.NORM.S.INV(Table1347456[[#This Row],[p_value]]/2))</f>
        <v>2.2414027276049446</v>
      </c>
      <c r="BK1550" s="19">
        <f>(Table1347456[[#This Row],[lnrr]]/Table1347456[[#This Row],[z_from_p]])^2</f>
        <v>0.18357770742046445</v>
      </c>
      <c r="BL1550" s="16">
        <f>Table1347456[[#This Row],[v_from_sd_and_n]]</f>
        <v>2.7626523589502024E-2</v>
      </c>
      <c r="BM1550" s="20">
        <f>SQRT(Table1347456[[#This Row],[v]])</f>
        <v>0.16621228471295985</v>
      </c>
      <c r="BN1550" s="20">
        <f>Table1347456[[#This Row],[lnrr]]-(1.96*Table1347456[[#This Row],[se]])</f>
        <v>-1.2861267997055867</v>
      </c>
      <c r="BO1550" s="20">
        <f>Table1347456[[#This Row],[lnrr]]+(1.96 * Table1347456[[#This Row],[se]])</f>
        <v>-0.6345746436307842</v>
      </c>
    </row>
    <row r="1551" spans="1:67">
      <c r="A1551" s="13" t="s">
        <v>455</v>
      </c>
      <c r="B1551" s="13" t="s">
        <v>456</v>
      </c>
      <c r="C1551" s="13" t="s">
        <v>43</v>
      </c>
      <c r="D1551" s="13" t="s">
        <v>457</v>
      </c>
      <c r="E1551" s="13" t="s">
        <v>454</v>
      </c>
      <c r="F1551" s="13" t="s">
        <v>586</v>
      </c>
      <c r="G1551" s="13" t="s">
        <v>46</v>
      </c>
      <c r="H1551" s="13">
        <v>18.399999999999999</v>
      </c>
      <c r="I1551" s="13" t="s">
        <v>46</v>
      </c>
      <c r="K1551" s="13" t="s">
        <v>963</v>
      </c>
      <c r="L1551" s="13" t="s">
        <v>964</v>
      </c>
      <c r="N1551" s="13" t="s">
        <v>381</v>
      </c>
      <c r="O1551" s="13" t="s">
        <v>70</v>
      </c>
      <c r="P1551" s="13" t="s">
        <v>71</v>
      </c>
      <c r="Q1551" s="13" t="s">
        <v>71</v>
      </c>
      <c r="R1551" s="4">
        <v>5</v>
      </c>
      <c r="S1551" s="13" t="s">
        <v>596</v>
      </c>
      <c r="T1551" s="13">
        <v>33</v>
      </c>
      <c r="U1551" s="4" t="s">
        <v>147</v>
      </c>
      <c r="V1551" s="4">
        <v>715</v>
      </c>
      <c r="W1551" s="4" t="s">
        <v>602</v>
      </c>
      <c r="X1551" s="4">
        <v>859</v>
      </c>
      <c r="Y1551" s="4">
        <v>42</v>
      </c>
      <c r="Z1551" s="4" t="s">
        <v>489</v>
      </c>
      <c r="AA1551" s="4" t="s">
        <v>50</v>
      </c>
      <c r="AB1551" s="4" t="s">
        <v>807</v>
      </c>
      <c r="AC1551" s="4" t="s">
        <v>49</v>
      </c>
      <c r="AD1551" s="4">
        <v>0</v>
      </c>
      <c r="AE1551" s="4" t="s">
        <v>49</v>
      </c>
      <c r="AF1551" s="4">
        <v>0</v>
      </c>
      <c r="AG1551" s="4" t="s">
        <v>686</v>
      </c>
      <c r="AH1551" s="4" t="s">
        <v>687</v>
      </c>
      <c r="AI1551" s="4" t="s">
        <v>64</v>
      </c>
      <c r="AJ1551" s="13">
        <v>0</v>
      </c>
      <c r="AK1551" s="13">
        <v>30</v>
      </c>
      <c r="AL1551" s="13" t="s">
        <v>575</v>
      </c>
      <c r="AO1551" s="13" t="s">
        <v>576</v>
      </c>
      <c r="AP1551" s="13" t="s">
        <v>49</v>
      </c>
      <c r="AQ1551" s="13" t="s">
        <v>49</v>
      </c>
      <c r="AR1551" s="13" t="s">
        <v>50</v>
      </c>
      <c r="AS1551" s="13" t="s">
        <v>49</v>
      </c>
      <c r="AT1551" s="13" t="s">
        <v>992</v>
      </c>
      <c r="AU1551" s="4" t="s">
        <v>1000</v>
      </c>
      <c r="AV1551" s="14">
        <v>0.71</v>
      </c>
      <c r="AW1551" s="14">
        <v>2.9</v>
      </c>
      <c r="AX1551" s="14">
        <f>Table1347456[[#This Row],[treatment_mean]]/Table1347456[[#This Row],[control_mean]]</f>
        <v>0.24482758620689654</v>
      </c>
      <c r="AY1551" s="14">
        <f>LN(Table1347456[[#This Row],[rr]])</f>
        <v>-1.4072010459392044</v>
      </c>
      <c r="AZ1551" s="13">
        <v>5</v>
      </c>
      <c r="BA1551" s="13">
        <v>5</v>
      </c>
      <c r="BB1551" s="14">
        <v>0.12</v>
      </c>
      <c r="BC1551" s="14">
        <v>0.24</v>
      </c>
      <c r="BD1551" s="15">
        <f>Table1347456[[#This Row],[treatment_se]]*SQRT(Table1347456[[#This Row],[treatment_n]])</f>
        <v>0.26832815729997478</v>
      </c>
      <c r="BE1551" s="14">
        <f>Table1347456[[#This Row],[control_se]]*SQRT(Table1347456[[#This Row],[control_n]])</f>
        <v>0.53665631459994956</v>
      </c>
      <c r="BF155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3.541475006020784E-2</v>
      </c>
      <c r="BG1551" s="17">
        <f>SQRT(Table1347456[[#This Row],[v_from_sd_and_n]])</f>
        <v>0.18818807098274812</v>
      </c>
      <c r="BH1551" s="13" t="s">
        <v>50</v>
      </c>
      <c r="BI1551" s="13">
        <v>2.5000000000000001E-2</v>
      </c>
      <c r="BJ1551" s="18">
        <f>ABS(_xlfn.NORM.S.INV(Table1347456[[#This Row],[p_value]]/2))</f>
        <v>2.2414027276049446</v>
      </c>
      <c r="BK1551" s="19">
        <f>(Table1347456[[#This Row],[lnrr]]/Table1347456[[#This Row],[z_from_p]])^2</f>
        <v>0.39415996100635303</v>
      </c>
      <c r="BL1551" s="16">
        <f>Table1347456[[#This Row],[v_from_sd_and_n]]</f>
        <v>3.541475006020784E-2</v>
      </c>
      <c r="BM1551" s="20">
        <f>SQRT(Table1347456[[#This Row],[v]])</f>
        <v>0.18818807098274812</v>
      </c>
      <c r="BN1551" s="20">
        <f>Table1347456[[#This Row],[lnrr]]-(1.96*Table1347456[[#This Row],[se]])</f>
        <v>-1.7760496650653907</v>
      </c>
      <c r="BO1551" s="20">
        <f>Table1347456[[#This Row],[lnrr]]+(1.96 * Table1347456[[#This Row],[se]])</f>
        <v>-1.038352426813018</v>
      </c>
    </row>
    <row r="1552" spans="1:67">
      <c r="A1552" s="13" t="s">
        <v>455</v>
      </c>
      <c r="B1552" s="13" t="s">
        <v>456</v>
      </c>
      <c r="C1552" s="13" t="s">
        <v>43</v>
      </c>
      <c r="D1552" s="13" t="s">
        <v>457</v>
      </c>
      <c r="E1552" s="13" t="s">
        <v>454</v>
      </c>
      <c r="F1552" s="13" t="s">
        <v>586</v>
      </c>
      <c r="G1552" s="13" t="s">
        <v>46</v>
      </c>
      <c r="H1552" s="13">
        <v>18.399999999999999</v>
      </c>
      <c r="I1552" s="13" t="s">
        <v>46</v>
      </c>
      <c r="K1552" s="13" t="s">
        <v>963</v>
      </c>
      <c r="L1552" s="13" t="s">
        <v>964</v>
      </c>
      <c r="N1552" s="13" t="s">
        <v>381</v>
      </c>
      <c r="O1552" s="13" t="s">
        <v>70</v>
      </c>
      <c r="P1552" s="13" t="s">
        <v>71</v>
      </c>
      <c r="Q1552" s="13" t="s">
        <v>71</v>
      </c>
      <c r="R1552" s="4">
        <v>5</v>
      </c>
      <c r="S1552" s="13" t="s">
        <v>596</v>
      </c>
      <c r="T1552" s="13">
        <v>33</v>
      </c>
      <c r="U1552" s="4" t="s">
        <v>147</v>
      </c>
      <c r="V1552" s="4">
        <v>715</v>
      </c>
      <c r="W1552" s="4" t="s">
        <v>602</v>
      </c>
      <c r="X1552" s="4">
        <v>859</v>
      </c>
      <c r="Y1552" s="4">
        <v>210</v>
      </c>
      <c r="Z1552" s="4" t="s">
        <v>505</v>
      </c>
      <c r="AA1552" s="4" t="s">
        <v>50</v>
      </c>
      <c r="AB1552" s="4" t="s">
        <v>807</v>
      </c>
      <c r="AC1552" s="4" t="s">
        <v>49</v>
      </c>
      <c r="AD1552" s="4">
        <v>0</v>
      </c>
      <c r="AE1552" s="4" t="s">
        <v>49</v>
      </c>
      <c r="AF1552" s="4">
        <v>0</v>
      </c>
      <c r="AG1552" s="4" t="s">
        <v>686</v>
      </c>
      <c r="AH1552" s="4" t="s">
        <v>687</v>
      </c>
      <c r="AI1552" s="4" t="s">
        <v>64</v>
      </c>
      <c r="AJ1552" s="13">
        <v>0</v>
      </c>
      <c r="AK1552" s="13">
        <v>30</v>
      </c>
      <c r="AL1552" s="13" t="s">
        <v>575</v>
      </c>
      <c r="AO1552" s="13" t="s">
        <v>576</v>
      </c>
      <c r="AP1552" s="13" t="s">
        <v>49</v>
      </c>
      <c r="AQ1552" s="13" t="s">
        <v>49</v>
      </c>
      <c r="AR1552" s="13" t="s">
        <v>50</v>
      </c>
      <c r="AS1552" s="13" t="s">
        <v>49</v>
      </c>
      <c r="AT1552" s="13" t="s">
        <v>992</v>
      </c>
      <c r="AU1552" s="4" t="s">
        <v>1000</v>
      </c>
      <c r="AV1552" s="14">
        <v>0.56000000000000005</v>
      </c>
      <c r="AW1552" s="14">
        <v>2.9</v>
      </c>
      <c r="AX1552" s="14">
        <f>Table1347456[[#This Row],[treatment_mean]]/Table1347456[[#This Row],[control_mean]]</f>
        <v>0.19310344827586209</v>
      </c>
      <c r="AY1552" s="14">
        <f>LN(Table1347456[[#This Row],[rr]])</f>
        <v>-1.6445292322453704</v>
      </c>
      <c r="AZ1552" s="13">
        <v>5</v>
      </c>
      <c r="BA1552" s="13">
        <v>5</v>
      </c>
      <c r="BB1552" s="14">
        <v>0.08</v>
      </c>
      <c r="BC1552" s="14">
        <v>0.24</v>
      </c>
      <c r="BD1552" s="15">
        <f>Table1347456[[#This Row],[treatment_se]]*SQRT(Table1347456[[#This Row],[treatment_n]])</f>
        <v>0.17888543819998318</v>
      </c>
      <c r="BE1552" s="14">
        <f>Table1347456[[#This Row],[control_se]]*SQRT(Table1347456[[#This Row],[control_n]])</f>
        <v>0.53665631459994956</v>
      </c>
      <c r="BF155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2.7257152563760344E-2</v>
      </c>
      <c r="BG1552" s="17">
        <f>SQRT(Table1347456[[#This Row],[v_from_sd_and_n]])</f>
        <v>0.16509740326171196</v>
      </c>
      <c r="BH1552" s="13" t="s">
        <v>50</v>
      </c>
      <c r="BI1552" s="13">
        <v>2.5000000000000001E-2</v>
      </c>
      <c r="BJ1552" s="18">
        <f>ABS(_xlfn.NORM.S.INV(Table1347456[[#This Row],[p_value]]/2))</f>
        <v>2.2414027276049446</v>
      </c>
      <c r="BK1552" s="19">
        <f>(Table1347456[[#This Row],[lnrr]]/Table1347456[[#This Row],[z_from_p]])^2</f>
        <v>0.5383235795703819</v>
      </c>
      <c r="BL1552" s="16">
        <f>Table1347456[[#This Row],[v_from_sd_and_n]]</f>
        <v>2.7257152563760344E-2</v>
      </c>
      <c r="BM1552" s="20">
        <f>SQRT(Table1347456[[#This Row],[v]])</f>
        <v>0.16509740326171196</v>
      </c>
      <c r="BN1552" s="20">
        <f>Table1347456[[#This Row],[lnrr]]-(1.96*Table1347456[[#This Row],[se]])</f>
        <v>-1.9681201426383259</v>
      </c>
      <c r="BO1552" s="20">
        <f>Table1347456[[#This Row],[lnrr]]+(1.96 * Table1347456[[#This Row],[se]])</f>
        <v>-1.3209383218524149</v>
      </c>
    </row>
    <row r="1553" spans="1:67">
      <c r="A1553" s="13" t="s">
        <v>461</v>
      </c>
      <c r="B1553" s="13" t="s">
        <v>462</v>
      </c>
      <c r="C1553" s="13" t="s">
        <v>43</v>
      </c>
      <c r="D1553" s="13" t="s">
        <v>463</v>
      </c>
      <c r="E1553" s="13" t="s">
        <v>178</v>
      </c>
      <c r="F1553" s="13" t="s">
        <v>587</v>
      </c>
      <c r="G1553" s="13" t="s">
        <v>464</v>
      </c>
      <c r="H1553" s="13">
        <v>28</v>
      </c>
      <c r="I1553" s="13">
        <v>224</v>
      </c>
      <c r="K1553" s="13" t="s">
        <v>965</v>
      </c>
      <c r="L1553" s="13" t="s">
        <v>966</v>
      </c>
      <c r="N1553" s="13" t="s">
        <v>47</v>
      </c>
      <c r="O1553" s="13" t="s">
        <v>645</v>
      </c>
      <c r="P1553" s="13" t="s">
        <v>422</v>
      </c>
      <c r="Q1553" s="13" t="s">
        <v>48</v>
      </c>
      <c r="R1553" s="4">
        <v>3</v>
      </c>
      <c r="S1553" s="13" t="s">
        <v>594</v>
      </c>
      <c r="T1553" s="13">
        <v>730</v>
      </c>
      <c r="U1553" s="4" t="s">
        <v>465</v>
      </c>
      <c r="V1553" s="4">
        <v>350</v>
      </c>
      <c r="W1553" s="4" t="s">
        <v>42</v>
      </c>
      <c r="X1553" s="4" t="s">
        <v>46</v>
      </c>
      <c r="Y1553" s="4">
        <v>5</v>
      </c>
      <c r="AA1553" s="4" t="s">
        <v>49</v>
      </c>
      <c r="AB1553" s="4">
        <v>0</v>
      </c>
      <c r="AC1553" s="4" t="s">
        <v>49</v>
      </c>
      <c r="AD1553" s="4">
        <v>0</v>
      </c>
      <c r="AE1553" s="4" t="s">
        <v>49</v>
      </c>
      <c r="AF1553" s="4">
        <v>0</v>
      </c>
      <c r="AG1553" s="4" t="s">
        <v>724</v>
      </c>
      <c r="AH1553" s="4" t="s">
        <v>723</v>
      </c>
      <c r="AI1553" s="4" t="s">
        <v>64</v>
      </c>
      <c r="AJ1553" s="13">
        <v>0</v>
      </c>
      <c r="AK1553" s="13">
        <v>15</v>
      </c>
      <c r="AM1553" s="13" t="s">
        <v>577</v>
      </c>
      <c r="AP1553" s="13" t="s">
        <v>49</v>
      </c>
      <c r="AQ1553" s="13" t="s">
        <v>49</v>
      </c>
      <c r="AR1553" s="13" t="s">
        <v>49</v>
      </c>
      <c r="AS1553" s="13" t="s">
        <v>49</v>
      </c>
      <c r="AT1553" s="13" t="s">
        <v>990</v>
      </c>
      <c r="AU1553" s="13" t="s">
        <v>998</v>
      </c>
      <c r="AV1553" s="14">
        <f>13.07*10</f>
        <v>130.69999999999999</v>
      </c>
      <c r="AW1553" s="14">
        <f>12.18*10</f>
        <v>121.8</v>
      </c>
      <c r="AX1553" s="14">
        <f>Table1347456[[#This Row],[treatment_mean]]/Table1347456[[#This Row],[control_mean]]</f>
        <v>1.073070607553366</v>
      </c>
      <c r="AY1553" s="14">
        <f>LN(Table1347456[[#This Row],[rr]])</f>
        <v>7.0524265354379473E-2</v>
      </c>
      <c r="AZ1553" s="13">
        <v>3</v>
      </c>
      <c r="BA1553" s="13">
        <v>3</v>
      </c>
      <c r="BB1553" s="14">
        <v>0</v>
      </c>
      <c r="BC1553" s="14">
        <v>0</v>
      </c>
      <c r="BD1553" s="15">
        <f>Table1347456[[#This Row],[treatment_se]]*SQRT(Table1347456[[#This Row],[treatment_n]])</f>
        <v>0</v>
      </c>
      <c r="BE1553" s="14">
        <f>Table1347456[[#This Row],[control_se]]*SQRT(Table1347456[[#This Row],[control_n]])</f>
        <v>0</v>
      </c>
      <c r="BF155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53" s="17">
        <f>SQRT(Table1347456[[#This Row],[v_from_sd_and_n]])</f>
        <v>0</v>
      </c>
      <c r="BH1553" s="13" t="s">
        <v>50</v>
      </c>
      <c r="BI1553" s="13">
        <v>2.5000000000000001E-2</v>
      </c>
      <c r="BJ1553" s="18">
        <f>ABS(_xlfn.NORM.S.INV(Table1347456[[#This Row],[p_value]]/2))</f>
        <v>2.2414027276049446</v>
      </c>
      <c r="BK1553" s="19">
        <f>(Table1347456[[#This Row],[lnrr]]/Table1347456[[#This Row],[z_from_p]])^2</f>
        <v>9.9000491219989294E-4</v>
      </c>
      <c r="BL1553" s="16">
        <f>(Table1347456[[#This Row],[lnrr]]/Table1347456[[#This Row],[z_from_p]])^2</f>
        <v>9.9000491219989294E-4</v>
      </c>
      <c r="BM1553" s="20">
        <f>SQRT(Table1347456[[#This Row],[v]])</f>
        <v>3.1464343504988196E-2</v>
      </c>
      <c r="BN1553" s="20">
        <f>Table1347456[[#This Row],[lnrr]]-(1.96*Table1347456[[#This Row],[se]])</f>
        <v>8.8541520846026067E-3</v>
      </c>
      <c r="BO1553" s="20">
        <f>Table1347456[[#This Row],[lnrr]]+(1.96 * Table1347456[[#This Row],[se]])</f>
        <v>0.13219437862415634</v>
      </c>
    </row>
    <row r="1554" spans="1:67">
      <c r="A1554" s="13" t="s">
        <v>461</v>
      </c>
      <c r="B1554" s="13" t="s">
        <v>462</v>
      </c>
      <c r="C1554" s="13" t="s">
        <v>43</v>
      </c>
      <c r="D1554" s="13" t="s">
        <v>463</v>
      </c>
      <c r="E1554" s="13" t="s">
        <v>178</v>
      </c>
      <c r="F1554" s="13" t="s">
        <v>587</v>
      </c>
      <c r="G1554" s="13" t="s">
        <v>464</v>
      </c>
      <c r="H1554" s="13">
        <v>28</v>
      </c>
      <c r="I1554" s="13">
        <v>224</v>
      </c>
      <c r="K1554" s="13" t="s">
        <v>965</v>
      </c>
      <c r="L1554" s="13" t="s">
        <v>966</v>
      </c>
      <c r="N1554" s="13" t="s">
        <v>47</v>
      </c>
      <c r="O1554" s="13" t="s">
        <v>645</v>
      </c>
      <c r="P1554" s="13" t="s">
        <v>422</v>
      </c>
      <c r="Q1554" s="13" t="s">
        <v>48</v>
      </c>
      <c r="R1554" s="4">
        <v>3</v>
      </c>
      <c r="S1554" s="13" t="s">
        <v>594</v>
      </c>
      <c r="T1554" s="13">
        <v>730</v>
      </c>
      <c r="U1554" s="4" t="s">
        <v>465</v>
      </c>
      <c r="V1554" s="4">
        <v>350</v>
      </c>
      <c r="W1554" s="4" t="s">
        <v>42</v>
      </c>
      <c r="X1554" s="4" t="s">
        <v>46</v>
      </c>
      <c r="Y1554" s="4">
        <v>10</v>
      </c>
      <c r="AA1554" s="4" t="s">
        <v>49</v>
      </c>
      <c r="AB1554" s="4">
        <v>0</v>
      </c>
      <c r="AC1554" s="4" t="s">
        <v>49</v>
      </c>
      <c r="AD1554" s="4">
        <v>0</v>
      </c>
      <c r="AE1554" s="4" t="s">
        <v>49</v>
      </c>
      <c r="AF1554" s="4">
        <v>0</v>
      </c>
      <c r="AG1554" s="4" t="s">
        <v>724</v>
      </c>
      <c r="AH1554" s="4" t="s">
        <v>723</v>
      </c>
      <c r="AI1554" s="4" t="s">
        <v>64</v>
      </c>
      <c r="AJ1554" s="13">
        <v>0</v>
      </c>
      <c r="AK1554" s="13">
        <v>15</v>
      </c>
      <c r="AM1554" s="13" t="s">
        <v>577</v>
      </c>
      <c r="AP1554" s="13" t="s">
        <v>49</v>
      </c>
      <c r="AQ1554" s="13" t="s">
        <v>49</v>
      </c>
      <c r="AR1554" s="13" t="s">
        <v>49</v>
      </c>
      <c r="AS1554" s="13" t="s">
        <v>49</v>
      </c>
      <c r="AT1554" s="13" t="s">
        <v>990</v>
      </c>
      <c r="AU1554" s="13" t="s">
        <v>998</v>
      </c>
      <c r="AV1554" s="14">
        <f>14.24*10</f>
        <v>142.4</v>
      </c>
      <c r="AW1554" s="14">
        <f>12.18*10</f>
        <v>121.8</v>
      </c>
      <c r="AX1554" s="14">
        <f>Table1347456[[#This Row],[treatment_mean]]/Table1347456[[#This Row],[control_mean]]</f>
        <v>1.1691297208538589</v>
      </c>
      <c r="AY1554" s="14">
        <f>LN(Table1347456[[#This Row],[rr]])</f>
        <v>0.15625964370207884</v>
      </c>
      <c r="AZ1554" s="13">
        <v>3</v>
      </c>
      <c r="BA1554" s="13">
        <v>3</v>
      </c>
      <c r="BB1554" s="14">
        <v>0</v>
      </c>
      <c r="BC1554" s="14">
        <v>0</v>
      </c>
      <c r="BD1554" s="15">
        <f>Table1347456[[#This Row],[treatment_se]]*SQRT(Table1347456[[#This Row],[treatment_n]])</f>
        <v>0</v>
      </c>
      <c r="BE1554" s="14">
        <f>Table1347456[[#This Row],[control_se]]*SQRT(Table1347456[[#This Row],[control_n]])</f>
        <v>0</v>
      </c>
      <c r="BF155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54" s="17">
        <f>SQRT(Table1347456[[#This Row],[v_from_sd_and_n]])</f>
        <v>0</v>
      </c>
      <c r="BH1554" s="13" t="s">
        <v>50</v>
      </c>
      <c r="BI1554" s="13">
        <v>2.5000000000000001E-2</v>
      </c>
      <c r="BJ1554" s="18">
        <f>ABS(_xlfn.NORM.S.INV(Table1347456[[#This Row],[p_value]]/2))</f>
        <v>2.2414027276049446</v>
      </c>
      <c r="BK1554" s="19">
        <f>(Table1347456[[#This Row],[lnrr]]/Table1347456[[#This Row],[z_from_p]])^2</f>
        <v>4.8601969351042993E-3</v>
      </c>
      <c r="BL1554" s="16">
        <f>(Table1347456[[#This Row],[lnrr]]/Table1347456[[#This Row],[z_from_p]])^2</f>
        <v>4.8601969351042993E-3</v>
      </c>
      <c r="BM1554" s="20">
        <f>SQRT(Table1347456[[#This Row],[v]])</f>
        <v>6.9715112673682883E-2</v>
      </c>
      <c r="BN1554" s="20">
        <f>Table1347456[[#This Row],[lnrr]]-(1.96*Table1347456[[#This Row],[se]])</f>
        <v>1.9618022861660395E-2</v>
      </c>
      <c r="BO1554" s="20">
        <f>Table1347456[[#This Row],[lnrr]]+(1.96 * Table1347456[[#This Row],[se]])</f>
        <v>0.29290126454249732</v>
      </c>
    </row>
    <row r="1555" spans="1:67">
      <c r="A1555" s="13" t="s">
        <v>461</v>
      </c>
      <c r="B1555" s="13" t="s">
        <v>462</v>
      </c>
      <c r="C1555" s="13" t="s">
        <v>43</v>
      </c>
      <c r="D1555" s="13" t="s">
        <v>463</v>
      </c>
      <c r="E1555" s="13" t="s">
        <v>178</v>
      </c>
      <c r="F1555" s="13" t="s">
        <v>587</v>
      </c>
      <c r="G1555" s="13" t="s">
        <v>464</v>
      </c>
      <c r="H1555" s="13">
        <v>28</v>
      </c>
      <c r="I1555" s="13">
        <v>224</v>
      </c>
      <c r="K1555" s="13" t="s">
        <v>965</v>
      </c>
      <c r="L1555" s="13" t="s">
        <v>966</v>
      </c>
      <c r="N1555" s="13" t="s">
        <v>47</v>
      </c>
      <c r="O1555" s="13" t="s">
        <v>645</v>
      </c>
      <c r="P1555" s="13" t="s">
        <v>422</v>
      </c>
      <c r="Q1555" s="13" t="s">
        <v>48</v>
      </c>
      <c r="R1555" s="4">
        <v>3</v>
      </c>
      <c r="S1555" s="13" t="s">
        <v>594</v>
      </c>
      <c r="T1555" s="13">
        <v>730</v>
      </c>
      <c r="U1555" s="4" t="s">
        <v>465</v>
      </c>
      <c r="V1555" s="4">
        <v>350</v>
      </c>
      <c r="W1555" s="4" t="s">
        <v>42</v>
      </c>
      <c r="X1555" s="4" t="s">
        <v>46</v>
      </c>
      <c r="Y1555" s="4">
        <v>5</v>
      </c>
      <c r="AA1555" s="4" t="s">
        <v>50</v>
      </c>
      <c r="AB1555" s="4">
        <v>93</v>
      </c>
      <c r="AC1555" s="4" t="s">
        <v>49</v>
      </c>
      <c r="AD1555" s="4">
        <v>0</v>
      </c>
      <c r="AE1555" s="4" t="s">
        <v>49</v>
      </c>
      <c r="AF1555" s="4">
        <v>0</v>
      </c>
      <c r="AG1555" s="4" t="s">
        <v>724</v>
      </c>
      <c r="AH1555" s="4" t="s">
        <v>723</v>
      </c>
      <c r="AI1555" s="4" t="s">
        <v>64</v>
      </c>
      <c r="AJ1555" s="13">
        <v>0</v>
      </c>
      <c r="AK1555" s="13">
        <v>15</v>
      </c>
      <c r="AM1555" s="13" t="s">
        <v>577</v>
      </c>
      <c r="AP1555" s="13" t="s">
        <v>49</v>
      </c>
      <c r="AQ1555" s="13" t="s">
        <v>49</v>
      </c>
      <c r="AR1555" s="13" t="s">
        <v>49</v>
      </c>
      <c r="AS1555" s="13" t="s">
        <v>49</v>
      </c>
      <c r="AT1555" s="13" t="s">
        <v>990</v>
      </c>
      <c r="AU1555" s="13" t="s">
        <v>998</v>
      </c>
      <c r="AV1555" s="14">
        <f>13.52*10</f>
        <v>135.19999999999999</v>
      </c>
      <c r="AW1555" s="14">
        <f>13.29*10</f>
        <v>132.89999999999998</v>
      </c>
      <c r="AX1555" s="14">
        <f>Table1347456[[#This Row],[treatment_mean]]/Table1347456[[#This Row],[control_mean]]</f>
        <v>1.0173062452972161</v>
      </c>
      <c r="AY1555" s="14">
        <f>LN(Table1347456[[#This Row],[rr]])</f>
        <v>1.7158197889664255E-2</v>
      </c>
      <c r="AZ1555" s="13">
        <v>3</v>
      </c>
      <c r="BA1555" s="13">
        <v>3</v>
      </c>
      <c r="BB1555" s="14">
        <v>0</v>
      </c>
      <c r="BC1555" s="14">
        <v>0</v>
      </c>
      <c r="BD1555" s="15">
        <f>Table1347456[[#This Row],[treatment_se]]*SQRT(Table1347456[[#This Row],[treatment_n]])</f>
        <v>0</v>
      </c>
      <c r="BE1555" s="14">
        <f>Table1347456[[#This Row],[control_se]]*SQRT(Table1347456[[#This Row],[control_n]])</f>
        <v>0</v>
      </c>
      <c r="BF155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55" s="17">
        <f>SQRT(Table1347456[[#This Row],[v_from_sd_and_n]])</f>
        <v>0</v>
      </c>
      <c r="BH1555" s="13" t="s">
        <v>50</v>
      </c>
      <c r="BI1555" s="13">
        <v>2.5000000000000001E-2</v>
      </c>
      <c r="BJ1555" s="18">
        <f>ABS(_xlfn.NORM.S.INV(Table1347456[[#This Row],[p_value]]/2))</f>
        <v>2.2414027276049446</v>
      </c>
      <c r="BK1555" s="19">
        <f>(Table1347456[[#This Row],[lnrr]]/Table1347456[[#This Row],[z_from_p]])^2</f>
        <v>5.8600801022172198E-5</v>
      </c>
      <c r="BL1555" s="16">
        <f>(Table1347456[[#This Row],[lnrr]]/Table1347456[[#This Row],[z_from_p]])^2</f>
        <v>5.8600801022172198E-5</v>
      </c>
      <c r="BM1555" s="20">
        <f>SQRT(Table1347456[[#This Row],[v]])</f>
        <v>7.6551160031819374E-3</v>
      </c>
      <c r="BN1555" s="20">
        <f>Table1347456[[#This Row],[lnrr]]-(1.96*Table1347456[[#This Row],[se]])</f>
        <v>2.1541705234276592E-3</v>
      </c>
      <c r="BO1555" s="20">
        <f>Table1347456[[#This Row],[lnrr]]+(1.96 * Table1347456[[#This Row],[se]])</f>
        <v>3.2162225255900852E-2</v>
      </c>
    </row>
    <row r="1556" spans="1:67">
      <c r="A1556" s="13" t="s">
        <v>461</v>
      </c>
      <c r="B1556" s="13" t="s">
        <v>462</v>
      </c>
      <c r="C1556" s="13" t="s">
        <v>43</v>
      </c>
      <c r="D1556" s="13" t="s">
        <v>463</v>
      </c>
      <c r="E1556" s="13" t="s">
        <v>178</v>
      </c>
      <c r="F1556" s="13" t="s">
        <v>587</v>
      </c>
      <c r="G1556" s="13" t="s">
        <v>464</v>
      </c>
      <c r="H1556" s="13">
        <v>28</v>
      </c>
      <c r="I1556" s="13">
        <v>224</v>
      </c>
      <c r="K1556" s="13" t="s">
        <v>965</v>
      </c>
      <c r="L1556" s="13" t="s">
        <v>966</v>
      </c>
      <c r="N1556" s="13" t="s">
        <v>47</v>
      </c>
      <c r="O1556" s="13" t="s">
        <v>645</v>
      </c>
      <c r="P1556" s="13" t="s">
        <v>422</v>
      </c>
      <c r="Q1556" s="13" t="s">
        <v>48</v>
      </c>
      <c r="R1556" s="4">
        <v>3</v>
      </c>
      <c r="S1556" s="13" t="s">
        <v>594</v>
      </c>
      <c r="T1556" s="13">
        <v>730</v>
      </c>
      <c r="U1556" s="4" t="s">
        <v>465</v>
      </c>
      <c r="V1556" s="4">
        <v>350</v>
      </c>
      <c r="W1556" s="4" t="s">
        <v>42</v>
      </c>
      <c r="X1556" s="4" t="s">
        <v>46</v>
      </c>
      <c r="Y1556" s="4">
        <v>10</v>
      </c>
      <c r="AA1556" s="4" t="s">
        <v>50</v>
      </c>
      <c r="AB1556" s="4">
        <v>93</v>
      </c>
      <c r="AC1556" s="4" t="s">
        <v>49</v>
      </c>
      <c r="AD1556" s="4">
        <v>0</v>
      </c>
      <c r="AE1556" s="4" t="s">
        <v>49</v>
      </c>
      <c r="AF1556" s="4">
        <v>0</v>
      </c>
      <c r="AG1556" s="4" t="s">
        <v>724</v>
      </c>
      <c r="AH1556" s="4" t="s">
        <v>723</v>
      </c>
      <c r="AI1556" s="4" t="s">
        <v>64</v>
      </c>
      <c r="AJ1556" s="13">
        <v>0</v>
      </c>
      <c r="AK1556" s="13">
        <v>15</v>
      </c>
      <c r="AM1556" s="13" t="s">
        <v>577</v>
      </c>
      <c r="AP1556" s="13" t="s">
        <v>49</v>
      </c>
      <c r="AQ1556" s="13" t="s">
        <v>49</v>
      </c>
      <c r="AR1556" s="13" t="s">
        <v>49</v>
      </c>
      <c r="AS1556" s="13" t="s">
        <v>49</v>
      </c>
      <c r="AT1556" s="13" t="s">
        <v>990</v>
      </c>
      <c r="AU1556" s="13" t="s">
        <v>998</v>
      </c>
      <c r="AV1556" s="14">
        <f>14.39*10</f>
        <v>143.9</v>
      </c>
      <c r="AW1556" s="14">
        <f>13.29*10</f>
        <v>132.89999999999998</v>
      </c>
      <c r="AX1556" s="14">
        <f>Table1347456[[#This Row],[treatment_mean]]/Table1347456[[#This Row],[control_mean]]</f>
        <v>1.0827689992475549</v>
      </c>
      <c r="AY1556" s="14">
        <f>LN(Table1347456[[#This Row],[rr]])</f>
        <v>7.9521648174122786E-2</v>
      </c>
      <c r="AZ1556" s="13">
        <v>3</v>
      </c>
      <c r="BA1556" s="13">
        <v>3</v>
      </c>
      <c r="BB1556" s="14">
        <v>0</v>
      </c>
      <c r="BC1556" s="14">
        <v>0</v>
      </c>
      <c r="BD1556" s="15">
        <f>Table1347456[[#This Row],[treatment_se]]*SQRT(Table1347456[[#This Row],[treatment_n]])</f>
        <v>0</v>
      </c>
      <c r="BE1556" s="14">
        <f>Table1347456[[#This Row],[control_se]]*SQRT(Table1347456[[#This Row],[control_n]])</f>
        <v>0</v>
      </c>
      <c r="BF155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56" s="17">
        <f>SQRT(Table1347456[[#This Row],[v_from_sd_and_n]])</f>
        <v>0</v>
      </c>
      <c r="BH1556" s="13" t="s">
        <v>50</v>
      </c>
      <c r="BI1556" s="13">
        <v>2.5000000000000001E-2</v>
      </c>
      <c r="BJ1556" s="18">
        <f>ABS(_xlfn.NORM.S.INV(Table1347456[[#This Row],[p_value]]/2))</f>
        <v>2.2414027276049446</v>
      </c>
      <c r="BK1556" s="19">
        <f>(Table1347456[[#This Row],[lnrr]]/Table1347456[[#This Row],[z_from_p]])^2</f>
        <v>1.2587252761211113E-3</v>
      </c>
      <c r="BL1556" s="16">
        <f>(Table1347456[[#This Row],[lnrr]]/Table1347456[[#This Row],[z_from_p]])^2</f>
        <v>1.2587252761211113E-3</v>
      </c>
      <c r="BM1556" s="20">
        <f>SQRT(Table1347456[[#This Row],[v]])</f>
        <v>3.5478518516436269E-2</v>
      </c>
      <c r="BN1556" s="20">
        <f>Table1347456[[#This Row],[lnrr]]-(1.96*Table1347456[[#This Row],[se]])</f>
        <v>9.9837518819076987E-3</v>
      </c>
      <c r="BO1556" s="20">
        <f>Table1347456[[#This Row],[lnrr]]+(1.96 * Table1347456[[#This Row],[se]])</f>
        <v>0.14905954446633787</v>
      </c>
    </row>
    <row r="1557" spans="1:67">
      <c r="A1557" s="13" t="s">
        <v>461</v>
      </c>
      <c r="B1557" s="13" t="s">
        <v>462</v>
      </c>
      <c r="C1557" s="13" t="s">
        <v>43</v>
      </c>
      <c r="D1557" s="13" t="s">
        <v>463</v>
      </c>
      <c r="E1557" s="13" t="s">
        <v>178</v>
      </c>
      <c r="F1557" s="13" t="s">
        <v>587</v>
      </c>
      <c r="G1557" s="13" t="s">
        <v>464</v>
      </c>
      <c r="H1557" s="13">
        <v>28</v>
      </c>
      <c r="I1557" s="13">
        <v>224</v>
      </c>
      <c r="K1557" s="13" t="s">
        <v>965</v>
      </c>
      <c r="L1557" s="13" t="s">
        <v>966</v>
      </c>
      <c r="N1557" s="13" t="s">
        <v>61</v>
      </c>
      <c r="O1557" s="13" t="s">
        <v>642</v>
      </c>
      <c r="P1557" s="13" t="s">
        <v>71</v>
      </c>
      <c r="Q1557" s="13" t="s">
        <v>48</v>
      </c>
      <c r="R1557" s="4">
        <v>3</v>
      </c>
      <c r="S1557" s="13" t="s">
        <v>594</v>
      </c>
      <c r="T1557" s="13">
        <v>730</v>
      </c>
      <c r="U1557" s="4" t="s">
        <v>465</v>
      </c>
      <c r="V1557" s="4">
        <v>350</v>
      </c>
      <c r="W1557" s="4" t="s">
        <v>42</v>
      </c>
      <c r="X1557" s="4" t="s">
        <v>46</v>
      </c>
      <c r="Y1557" s="4">
        <v>5</v>
      </c>
      <c r="AA1557" s="4" t="s">
        <v>49</v>
      </c>
      <c r="AB1557" s="4">
        <v>0</v>
      </c>
      <c r="AC1557" s="4" t="s">
        <v>49</v>
      </c>
      <c r="AD1557" s="4">
        <v>0</v>
      </c>
      <c r="AE1557" s="4" t="s">
        <v>49</v>
      </c>
      <c r="AF1557" s="4">
        <v>0</v>
      </c>
      <c r="AG1557" s="4" t="s">
        <v>724</v>
      </c>
      <c r="AH1557" s="4" t="s">
        <v>723</v>
      </c>
      <c r="AI1557" s="4" t="s">
        <v>64</v>
      </c>
      <c r="AJ1557" s="13">
        <v>0</v>
      </c>
      <c r="AK1557" s="13">
        <v>15</v>
      </c>
      <c r="AM1557" s="13" t="s">
        <v>577</v>
      </c>
      <c r="AP1557" s="13" t="s">
        <v>49</v>
      </c>
      <c r="AQ1557" s="13" t="s">
        <v>49</v>
      </c>
      <c r="AR1557" s="13" t="s">
        <v>49</v>
      </c>
      <c r="AS1557" s="13" t="s">
        <v>49</v>
      </c>
      <c r="AT1557" s="13" t="s">
        <v>990</v>
      </c>
      <c r="AU1557" s="13" t="s">
        <v>998</v>
      </c>
      <c r="AV1557" s="14">
        <f>(97*1.5)/1.39/1000</f>
        <v>0.10467625899280576</v>
      </c>
      <c r="AW1557" s="14">
        <f>(80*1.5)/1.39/1000</f>
        <v>8.6330935251798566E-2</v>
      </c>
      <c r="AX1557" s="14">
        <f>Table1347456[[#This Row],[treatment_mean]]/Table1347456[[#This Row],[control_mean]]</f>
        <v>1.2124999999999999</v>
      </c>
      <c r="AY1557" s="14">
        <f>LN(Table1347456[[#This Row],[rr]])</f>
        <v>0.19268434382950114</v>
      </c>
      <c r="AZ1557" s="13">
        <v>3</v>
      </c>
      <c r="BA1557" s="13">
        <v>3</v>
      </c>
      <c r="BB1557" s="14">
        <v>0</v>
      </c>
      <c r="BC1557" s="14">
        <v>0</v>
      </c>
      <c r="BD1557" s="15">
        <f>Table1347456[[#This Row],[treatment_se]]*SQRT(Table1347456[[#This Row],[treatment_n]])</f>
        <v>0</v>
      </c>
      <c r="BE1557" s="14">
        <f>Table1347456[[#This Row],[control_se]]*SQRT(Table1347456[[#This Row],[control_n]])</f>
        <v>0</v>
      </c>
      <c r="BF155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57" s="17">
        <f>SQRT(Table1347456[[#This Row],[v_from_sd_and_n]])</f>
        <v>0</v>
      </c>
      <c r="BH1557" s="13" t="s">
        <v>50</v>
      </c>
      <c r="BI1557" s="13">
        <v>2.5000000000000001E-2</v>
      </c>
      <c r="BJ1557" s="18">
        <f>ABS(_xlfn.NORM.S.INV(Table1347456[[#This Row],[p_value]]/2))</f>
        <v>2.2414027276049446</v>
      </c>
      <c r="BK1557" s="19">
        <f>(Table1347456[[#This Row],[lnrr]]/Table1347456[[#This Row],[z_from_p]])^2</f>
        <v>7.3901467853213464E-3</v>
      </c>
      <c r="BL1557" s="16">
        <f>(Table1347456[[#This Row],[lnrr]]/Table1347456[[#This Row],[z_from_p]])^2</f>
        <v>7.3901467853213464E-3</v>
      </c>
      <c r="BM1557" s="20">
        <f>SQRT(Table1347456[[#This Row],[v]])</f>
        <v>8.5965962946513583E-2</v>
      </c>
      <c r="BN1557" s="20">
        <f>Table1347456[[#This Row],[lnrr]]-(1.96*Table1347456[[#This Row],[se]])</f>
        <v>2.4191056454334531E-2</v>
      </c>
      <c r="BO1557" s="20">
        <f>Table1347456[[#This Row],[lnrr]]+(1.96 * Table1347456[[#This Row],[se]])</f>
        <v>0.36117763120466773</v>
      </c>
    </row>
    <row r="1558" spans="1:67">
      <c r="A1558" s="13" t="s">
        <v>461</v>
      </c>
      <c r="B1558" s="13" t="s">
        <v>462</v>
      </c>
      <c r="C1558" s="13" t="s">
        <v>43</v>
      </c>
      <c r="D1558" s="13" t="s">
        <v>463</v>
      </c>
      <c r="E1558" s="13" t="s">
        <v>178</v>
      </c>
      <c r="F1558" s="13" t="s">
        <v>587</v>
      </c>
      <c r="G1558" s="13" t="s">
        <v>464</v>
      </c>
      <c r="H1558" s="13">
        <v>28</v>
      </c>
      <c r="I1558" s="13">
        <v>224</v>
      </c>
      <c r="K1558" s="13" t="s">
        <v>965</v>
      </c>
      <c r="L1558" s="13" t="s">
        <v>966</v>
      </c>
      <c r="N1558" s="13" t="s">
        <v>61</v>
      </c>
      <c r="O1558" s="13" t="s">
        <v>642</v>
      </c>
      <c r="P1558" s="13" t="s">
        <v>71</v>
      </c>
      <c r="Q1558" s="13" t="s">
        <v>48</v>
      </c>
      <c r="R1558" s="4">
        <v>3</v>
      </c>
      <c r="S1558" s="13" t="s">
        <v>594</v>
      </c>
      <c r="T1558" s="13">
        <v>730</v>
      </c>
      <c r="U1558" s="4" t="s">
        <v>465</v>
      </c>
      <c r="V1558" s="4">
        <v>350</v>
      </c>
      <c r="W1558" s="4" t="s">
        <v>42</v>
      </c>
      <c r="X1558" s="4" t="s">
        <v>46</v>
      </c>
      <c r="Y1558" s="4">
        <v>10</v>
      </c>
      <c r="AA1558" s="4" t="s">
        <v>49</v>
      </c>
      <c r="AB1558" s="4">
        <v>0</v>
      </c>
      <c r="AC1558" s="4" t="s">
        <v>49</v>
      </c>
      <c r="AD1558" s="4">
        <v>0</v>
      </c>
      <c r="AE1558" s="4" t="s">
        <v>49</v>
      </c>
      <c r="AF1558" s="4">
        <v>0</v>
      </c>
      <c r="AG1558" s="4" t="s">
        <v>724</v>
      </c>
      <c r="AH1558" s="4" t="s">
        <v>723</v>
      </c>
      <c r="AI1558" s="4" t="s">
        <v>64</v>
      </c>
      <c r="AJ1558" s="13">
        <v>0</v>
      </c>
      <c r="AK1558" s="13">
        <v>15</v>
      </c>
      <c r="AM1558" s="13" t="s">
        <v>577</v>
      </c>
      <c r="AP1558" s="13" t="s">
        <v>49</v>
      </c>
      <c r="AQ1558" s="13" t="s">
        <v>49</v>
      </c>
      <c r="AR1558" s="13" t="s">
        <v>49</v>
      </c>
      <c r="AS1558" s="13" t="s">
        <v>49</v>
      </c>
      <c r="AT1558" s="13" t="s">
        <v>990</v>
      </c>
      <c r="AU1558" s="13" t="s">
        <v>998</v>
      </c>
      <c r="AV1558" s="14">
        <f>(116*1.5)/1.39/1000</f>
        <v>0.12517985611510793</v>
      </c>
      <c r="AW1558" s="14">
        <f>(80*1.5)/1.39/1000</f>
        <v>8.6330935251798566E-2</v>
      </c>
      <c r="AX1558" s="14">
        <f>Table1347456[[#This Row],[treatment_mean]]/Table1347456[[#This Row],[control_mean]]</f>
        <v>1.4500000000000002</v>
      </c>
      <c r="AY1558" s="14">
        <f>LN(Table1347456[[#This Row],[rr]])</f>
        <v>0.37156355643248318</v>
      </c>
      <c r="AZ1558" s="13">
        <v>3</v>
      </c>
      <c r="BA1558" s="13">
        <v>3</v>
      </c>
      <c r="BB1558" s="14">
        <v>0</v>
      </c>
      <c r="BC1558" s="14">
        <v>0</v>
      </c>
      <c r="BD1558" s="15">
        <f>Table1347456[[#This Row],[treatment_se]]*SQRT(Table1347456[[#This Row],[treatment_n]])</f>
        <v>0</v>
      </c>
      <c r="BE1558" s="14">
        <f>Table1347456[[#This Row],[control_se]]*SQRT(Table1347456[[#This Row],[control_n]])</f>
        <v>0</v>
      </c>
      <c r="BF155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58" s="17">
        <f>SQRT(Table1347456[[#This Row],[v_from_sd_and_n]])</f>
        <v>0</v>
      </c>
      <c r="BH1558" s="13" t="s">
        <v>50</v>
      </c>
      <c r="BI1558" s="13">
        <v>2.5000000000000001E-2</v>
      </c>
      <c r="BJ1558" s="18">
        <f>ABS(_xlfn.NORM.S.INV(Table1347456[[#This Row],[p_value]]/2))</f>
        <v>2.2414027276049446</v>
      </c>
      <c r="BK1558" s="19">
        <f>(Table1347456[[#This Row],[lnrr]]/Table1347456[[#This Row],[z_from_p]])^2</f>
        <v>2.7480613875638712E-2</v>
      </c>
      <c r="BL1558" s="16">
        <f>(Table1347456[[#This Row],[lnrr]]/Table1347456[[#This Row],[z_from_p]])^2</f>
        <v>2.7480613875638712E-2</v>
      </c>
      <c r="BM1558" s="20">
        <f>SQRT(Table1347456[[#This Row],[v]])</f>
        <v>0.16577277784859223</v>
      </c>
      <c r="BN1558" s="20">
        <f>Table1347456[[#This Row],[lnrr]]-(1.96*Table1347456[[#This Row],[se]])</f>
        <v>4.6648911849242414E-2</v>
      </c>
      <c r="BO1558" s="20">
        <f>Table1347456[[#This Row],[lnrr]]+(1.96 * Table1347456[[#This Row],[se]])</f>
        <v>0.696478201015724</v>
      </c>
    </row>
    <row r="1559" spans="1:67">
      <c r="A1559" s="13" t="s">
        <v>461</v>
      </c>
      <c r="B1559" s="13" t="s">
        <v>462</v>
      </c>
      <c r="C1559" s="13" t="s">
        <v>43</v>
      </c>
      <c r="D1559" s="13" t="s">
        <v>463</v>
      </c>
      <c r="E1559" s="13" t="s">
        <v>178</v>
      </c>
      <c r="F1559" s="13" t="s">
        <v>587</v>
      </c>
      <c r="G1559" s="13" t="s">
        <v>464</v>
      </c>
      <c r="H1559" s="13">
        <v>28</v>
      </c>
      <c r="I1559" s="13">
        <v>224</v>
      </c>
      <c r="K1559" s="13" t="s">
        <v>965</v>
      </c>
      <c r="L1559" s="13" t="s">
        <v>966</v>
      </c>
      <c r="N1559" s="13" t="s">
        <v>61</v>
      </c>
      <c r="O1559" s="13" t="s">
        <v>642</v>
      </c>
      <c r="P1559" s="13" t="s">
        <v>71</v>
      </c>
      <c r="Q1559" s="13" t="s">
        <v>48</v>
      </c>
      <c r="R1559" s="4">
        <v>3</v>
      </c>
      <c r="S1559" s="13" t="s">
        <v>594</v>
      </c>
      <c r="T1559" s="13">
        <v>730</v>
      </c>
      <c r="U1559" s="4" t="s">
        <v>465</v>
      </c>
      <c r="V1559" s="4">
        <v>350</v>
      </c>
      <c r="W1559" s="4" t="s">
        <v>42</v>
      </c>
      <c r="X1559" s="4" t="s">
        <v>46</v>
      </c>
      <c r="Y1559" s="4">
        <v>5</v>
      </c>
      <c r="AA1559" s="4" t="s">
        <v>50</v>
      </c>
      <c r="AB1559" s="4">
        <v>93</v>
      </c>
      <c r="AC1559" s="4" t="s">
        <v>49</v>
      </c>
      <c r="AD1559" s="4">
        <v>0</v>
      </c>
      <c r="AE1559" s="4" t="s">
        <v>49</v>
      </c>
      <c r="AF1559" s="4">
        <v>0</v>
      </c>
      <c r="AG1559" s="4" t="s">
        <v>724</v>
      </c>
      <c r="AH1559" s="4" t="s">
        <v>723</v>
      </c>
      <c r="AI1559" s="4" t="s">
        <v>64</v>
      </c>
      <c r="AJ1559" s="13">
        <v>0</v>
      </c>
      <c r="AK1559" s="13">
        <v>15</v>
      </c>
      <c r="AM1559" s="13" t="s">
        <v>577</v>
      </c>
      <c r="AP1559" s="13" t="s">
        <v>49</v>
      </c>
      <c r="AQ1559" s="13" t="s">
        <v>49</v>
      </c>
      <c r="AR1559" s="13" t="s">
        <v>49</v>
      </c>
      <c r="AS1559" s="13" t="s">
        <v>49</v>
      </c>
      <c r="AT1559" s="13" t="s">
        <v>990</v>
      </c>
      <c r="AU1559" s="13" t="s">
        <v>998</v>
      </c>
      <c r="AV1559" s="14">
        <f>(134*1.5)/1.39/1000</f>
        <v>0.14460431654676259</v>
      </c>
      <c r="AW1559" s="14">
        <f>(104*1.5)/1.39/1000</f>
        <v>0.11223021582733814</v>
      </c>
      <c r="AX1559" s="14">
        <f>Table1347456[[#This Row],[treatment_mean]]/Table1347456[[#This Row],[control_mean]]</f>
        <v>1.2884615384615383</v>
      </c>
      <c r="AY1559" s="14">
        <f>LN(Table1347456[[#This Row],[rr]])</f>
        <v>0.25344890080953858</v>
      </c>
      <c r="AZ1559" s="13">
        <v>3</v>
      </c>
      <c r="BA1559" s="13">
        <v>3</v>
      </c>
      <c r="BB1559" s="14">
        <v>0</v>
      </c>
      <c r="BC1559" s="14">
        <v>0</v>
      </c>
      <c r="BD1559" s="15">
        <f>Table1347456[[#This Row],[treatment_se]]*SQRT(Table1347456[[#This Row],[treatment_n]])</f>
        <v>0</v>
      </c>
      <c r="BE1559" s="14">
        <f>Table1347456[[#This Row],[control_se]]*SQRT(Table1347456[[#This Row],[control_n]])</f>
        <v>0</v>
      </c>
      <c r="BF155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59" s="17">
        <f>SQRT(Table1347456[[#This Row],[v_from_sd_and_n]])</f>
        <v>0</v>
      </c>
      <c r="BH1559" s="13" t="s">
        <v>50</v>
      </c>
      <c r="BI1559" s="13">
        <v>2.5000000000000001E-2</v>
      </c>
      <c r="BJ1559" s="18">
        <f>ABS(_xlfn.NORM.S.INV(Table1347456[[#This Row],[p_value]]/2))</f>
        <v>2.2414027276049446</v>
      </c>
      <c r="BK1559" s="19">
        <f>(Table1347456[[#This Row],[lnrr]]/Table1347456[[#This Row],[z_from_p]])^2</f>
        <v>1.2786186415559645E-2</v>
      </c>
      <c r="BL1559" s="16">
        <f>(Table1347456[[#This Row],[lnrr]]/Table1347456[[#This Row],[z_from_p]])^2</f>
        <v>1.2786186415559645E-2</v>
      </c>
      <c r="BM1559" s="20">
        <f>SQRT(Table1347456[[#This Row],[v]])</f>
        <v>0.11307602051522526</v>
      </c>
      <c r="BN1559" s="20">
        <f>Table1347456[[#This Row],[lnrr]]-(1.96*Table1347456[[#This Row],[se]])</f>
        <v>3.1819900599697054E-2</v>
      </c>
      <c r="BO1559" s="20">
        <f>Table1347456[[#This Row],[lnrr]]+(1.96 * Table1347456[[#This Row],[se]])</f>
        <v>0.47507790101938008</v>
      </c>
    </row>
    <row r="1560" spans="1:67">
      <c r="A1560" s="13" t="s">
        <v>461</v>
      </c>
      <c r="B1560" s="13" t="s">
        <v>462</v>
      </c>
      <c r="C1560" s="13" t="s">
        <v>43</v>
      </c>
      <c r="D1560" s="13" t="s">
        <v>463</v>
      </c>
      <c r="E1560" s="13" t="s">
        <v>178</v>
      </c>
      <c r="F1560" s="13" t="s">
        <v>587</v>
      </c>
      <c r="G1560" s="13" t="s">
        <v>464</v>
      </c>
      <c r="H1560" s="13">
        <v>28</v>
      </c>
      <c r="I1560" s="13">
        <v>224</v>
      </c>
      <c r="K1560" s="13" t="s">
        <v>965</v>
      </c>
      <c r="L1560" s="13" t="s">
        <v>966</v>
      </c>
      <c r="N1560" s="13" t="s">
        <v>61</v>
      </c>
      <c r="O1560" s="13" t="s">
        <v>642</v>
      </c>
      <c r="P1560" s="13" t="s">
        <v>71</v>
      </c>
      <c r="Q1560" s="13" t="s">
        <v>48</v>
      </c>
      <c r="R1560" s="4">
        <v>3</v>
      </c>
      <c r="S1560" s="13" t="s">
        <v>594</v>
      </c>
      <c r="T1560" s="13">
        <v>730</v>
      </c>
      <c r="U1560" s="4" t="s">
        <v>465</v>
      </c>
      <c r="V1560" s="4">
        <v>350</v>
      </c>
      <c r="W1560" s="4" t="s">
        <v>42</v>
      </c>
      <c r="X1560" s="4" t="s">
        <v>46</v>
      </c>
      <c r="Y1560" s="4">
        <v>10</v>
      </c>
      <c r="AA1560" s="4" t="s">
        <v>50</v>
      </c>
      <c r="AB1560" s="4">
        <v>93</v>
      </c>
      <c r="AC1560" s="4" t="s">
        <v>49</v>
      </c>
      <c r="AD1560" s="4">
        <v>0</v>
      </c>
      <c r="AE1560" s="4" t="s">
        <v>49</v>
      </c>
      <c r="AF1560" s="4">
        <v>0</v>
      </c>
      <c r="AG1560" s="4" t="s">
        <v>724</v>
      </c>
      <c r="AH1560" s="4" t="s">
        <v>723</v>
      </c>
      <c r="AI1560" s="4" t="s">
        <v>64</v>
      </c>
      <c r="AJ1560" s="13">
        <v>0</v>
      </c>
      <c r="AK1560" s="13">
        <v>15</v>
      </c>
      <c r="AM1560" s="13" t="s">
        <v>577</v>
      </c>
      <c r="AP1560" s="13" t="s">
        <v>49</v>
      </c>
      <c r="AQ1560" s="13" t="s">
        <v>49</v>
      </c>
      <c r="AR1560" s="13" t="s">
        <v>49</v>
      </c>
      <c r="AS1560" s="13" t="s">
        <v>49</v>
      </c>
      <c r="AT1560" s="13" t="s">
        <v>990</v>
      </c>
      <c r="AU1560" s="13" t="s">
        <v>998</v>
      </c>
      <c r="AV1560" s="14">
        <f>(150*1.5)/1.39/1000</f>
        <v>0.16187050359712229</v>
      </c>
      <c r="AW1560" s="14">
        <f>(104*1.5)/1.39/1000</f>
        <v>0.11223021582733814</v>
      </c>
      <c r="AX1560" s="14">
        <f>Table1347456[[#This Row],[treatment_mean]]/Table1347456[[#This Row],[control_mean]]</f>
        <v>1.4423076923076921</v>
      </c>
      <c r="AY1560" s="14">
        <f>LN(Table1347456[[#This Row],[rr]])</f>
        <v>0.36624439495488292</v>
      </c>
      <c r="AZ1560" s="13">
        <v>3</v>
      </c>
      <c r="BA1560" s="13">
        <v>3</v>
      </c>
      <c r="BB1560" s="14">
        <v>0</v>
      </c>
      <c r="BC1560" s="14">
        <v>0</v>
      </c>
      <c r="BD1560" s="15">
        <f>Table1347456[[#This Row],[treatment_se]]*SQRT(Table1347456[[#This Row],[treatment_n]])</f>
        <v>0</v>
      </c>
      <c r="BE1560" s="14">
        <f>Table1347456[[#This Row],[control_se]]*SQRT(Table1347456[[#This Row],[control_n]])</f>
        <v>0</v>
      </c>
      <c r="BF156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60" s="17">
        <f>SQRT(Table1347456[[#This Row],[v_from_sd_and_n]])</f>
        <v>0</v>
      </c>
      <c r="BH1560" s="13" t="s">
        <v>50</v>
      </c>
      <c r="BI1560" s="13">
        <v>2.5000000000000001E-2</v>
      </c>
      <c r="BJ1560" s="18">
        <f>ABS(_xlfn.NORM.S.INV(Table1347456[[#This Row],[p_value]]/2))</f>
        <v>2.2414027276049446</v>
      </c>
      <c r="BK1560" s="19">
        <f>(Table1347456[[#This Row],[lnrr]]/Table1347456[[#This Row],[z_from_p]])^2</f>
        <v>2.6699441793596703E-2</v>
      </c>
      <c r="BL1560" s="16">
        <f>(Table1347456[[#This Row],[lnrr]]/Table1347456[[#This Row],[z_from_p]])^2</f>
        <v>2.6699441793596703E-2</v>
      </c>
      <c r="BM1560" s="20">
        <f>SQRT(Table1347456[[#This Row],[v]])</f>
        <v>0.16339963829089924</v>
      </c>
      <c r="BN1560" s="20">
        <f>Table1347456[[#This Row],[lnrr]]-(1.96*Table1347456[[#This Row],[se]])</f>
        <v>4.5981103904720433E-2</v>
      </c>
      <c r="BO1560" s="20">
        <f>Table1347456[[#This Row],[lnrr]]+(1.96 * Table1347456[[#This Row],[se]])</f>
        <v>0.68650768600504541</v>
      </c>
    </row>
    <row r="1561" spans="1:67">
      <c r="A1561" s="13" t="s">
        <v>461</v>
      </c>
      <c r="B1561" s="13" t="s">
        <v>462</v>
      </c>
      <c r="C1561" s="13" t="s">
        <v>43</v>
      </c>
      <c r="D1561" s="13" t="s">
        <v>463</v>
      </c>
      <c r="E1561" s="13" t="s">
        <v>178</v>
      </c>
      <c r="F1561" s="13" t="s">
        <v>587</v>
      </c>
      <c r="G1561" s="13" t="s">
        <v>464</v>
      </c>
      <c r="H1561" s="13">
        <v>28</v>
      </c>
      <c r="I1561" s="13">
        <v>224</v>
      </c>
      <c r="K1561" s="13" t="s">
        <v>965</v>
      </c>
      <c r="L1561" s="13" t="s">
        <v>966</v>
      </c>
      <c r="N1561" s="13" t="s">
        <v>466</v>
      </c>
      <c r="O1561" s="13" t="s">
        <v>642</v>
      </c>
      <c r="P1561" s="13" t="s">
        <v>422</v>
      </c>
      <c r="Q1561" s="13" t="s">
        <v>48</v>
      </c>
      <c r="R1561" s="4">
        <v>3</v>
      </c>
      <c r="S1561" s="13" t="s">
        <v>594</v>
      </c>
      <c r="T1561" s="13">
        <v>730</v>
      </c>
      <c r="U1561" s="4" t="s">
        <v>465</v>
      </c>
      <c r="V1561" s="4">
        <v>350</v>
      </c>
      <c r="W1561" s="4" t="s">
        <v>42</v>
      </c>
      <c r="X1561" s="4" t="s">
        <v>46</v>
      </c>
      <c r="Y1561" s="4">
        <v>5</v>
      </c>
      <c r="AA1561" s="4" t="s">
        <v>49</v>
      </c>
      <c r="AB1561" s="4">
        <v>0</v>
      </c>
      <c r="AC1561" s="4" t="s">
        <v>49</v>
      </c>
      <c r="AD1561" s="4">
        <v>0</v>
      </c>
      <c r="AE1561" s="4" t="s">
        <v>49</v>
      </c>
      <c r="AF1561" s="4">
        <v>0</v>
      </c>
      <c r="AG1561" s="4" t="s">
        <v>724</v>
      </c>
      <c r="AH1561" s="4" t="s">
        <v>723</v>
      </c>
      <c r="AI1561" s="4" t="s">
        <v>64</v>
      </c>
      <c r="AJ1561" s="13">
        <v>0</v>
      </c>
      <c r="AK1561" s="13">
        <v>15</v>
      </c>
      <c r="AM1561" s="13" t="s">
        <v>577</v>
      </c>
      <c r="AP1561" s="13" t="s">
        <v>49</v>
      </c>
      <c r="AQ1561" s="13" t="s">
        <v>49</v>
      </c>
      <c r="AR1561" s="13" t="s">
        <v>49</v>
      </c>
      <c r="AS1561" s="13" t="s">
        <v>49</v>
      </c>
      <c r="AT1561" s="13" t="s">
        <v>990</v>
      </c>
      <c r="AU1561" s="13" t="s">
        <v>998</v>
      </c>
      <c r="AV1561" s="14">
        <f>3.22*10</f>
        <v>32.200000000000003</v>
      </c>
      <c r="AW1561" s="14">
        <f>3.01*10</f>
        <v>30.099999999999998</v>
      </c>
      <c r="AX1561" s="14">
        <f>Table1347456[[#This Row],[treatment_mean]]/Table1347456[[#This Row],[control_mean]]</f>
        <v>1.0697674418604652</v>
      </c>
      <c r="AY1561" s="14">
        <f>LN(Table1347456[[#This Row],[rr]])</f>
        <v>6.7441280795532688E-2</v>
      </c>
      <c r="AZ1561" s="13">
        <v>3</v>
      </c>
      <c r="BA1561" s="13">
        <v>3</v>
      </c>
      <c r="BB1561" s="14">
        <v>0</v>
      </c>
      <c r="BC1561" s="14">
        <v>0</v>
      </c>
      <c r="BD1561" s="15">
        <f>Table1347456[[#This Row],[treatment_se]]*SQRT(Table1347456[[#This Row],[treatment_n]])</f>
        <v>0</v>
      </c>
      <c r="BE1561" s="14">
        <f>Table1347456[[#This Row],[control_se]]*SQRT(Table1347456[[#This Row],[control_n]])</f>
        <v>0</v>
      </c>
      <c r="BF156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61" s="17">
        <f>SQRT(Table1347456[[#This Row],[v_from_sd_and_n]])</f>
        <v>0</v>
      </c>
      <c r="BH1561" s="13" t="s">
        <v>50</v>
      </c>
      <c r="BI1561" s="13">
        <v>2.5000000000000001E-2</v>
      </c>
      <c r="BJ1561" s="18">
        <f>ABS(_xlfn.NORM.S.INV(Table1347456[[#This Row],[p_value]]/2))</f>
        <v>2.2414027276049446</v>
      </c>
      <c r="BK1561" s="19">
        <f>(Table1347456[[#This Row],[lnrr]]/Table1347456[[#This Row],[z_from_p]])^2</f>
        <v>9.0534024572973628E-4</v>
      </c>
      <c r="BL1561" s="16">
        <f>(Table1347456[[#This Row],[lnrr]]/Table1347456[[#This Row],[z_from_p]])^2</f>
        <v>9.0534024572973628E-4</v>
      </c>
      <c r="BM1561" s="20">
        <f>SQRT(Table1347456[[#This Row],[v]])</f>
        <v>3.0088872456935575E-2</v>
      </c>
      <c r="BN1561" s="20">
        <f>Table1347456[[#This Row],[lnrr]]-(1.96*Table1347456[[#This Row],[se]])</f>
        <v>8.4670907799389641E-3</v>
      </c>
      <c r="BO1561" s="20">
        <f>Table1347456[[#This Row],[lnrr]]+(1.96 * Table1347456[[#This Row],[se]])</f>
        <v>0.12641547081112642</v>
      </c>
    </row>
    <row r="1562" spans="1:67">
      <c r="A1562" s="13" t="s">
        <v>461</v>
      </c>
      <c r="B1562" s="13" t="s">
        <v>462</v>
      </c>
      <c r="C1562" s="13" t="s">
        <v>43</v>
      </c>
      <c r="D1562" s="13" t="s">
        <v>463</v>
      </c>
      <c r="E1562" s="13" t="s">
        <v>178</v>
      </c>
      <c r="F1562" s="13" t="s">
        <v>587</v>
      </c>
      <c r="G1562" s="13" t="s">
        <v>464</v>
      </c>
      <c r="H1562" s="13">
        <v>28</v>
      </c>
      <c r="I1562" s="13">
        <v>224</v>
      </c>
      <c r="K1562" s="13" t="s">
        <v>965</v>
      </c>
      <c r="L1562" s="13" t="s">
        <v>966</v>
      </c>
      <c r="N1562" s="13" t="s">
        <v>466</v>
      </c>
      <c r="O1562" s="13" t="s">
        <v>642</v>
      </c>
      <c r="P1562" s="13" t="s">
        <v>422</v>
      </c>
      <c r="Q1562" s="13" t="s">
        <v>48</v>
      </c>
      <c r="R1562" s="4">
        <v>3</v>
      </c>
      <c r="S1562" s="13" t="s">
        <v>594</v>
      </c>
      <c r="T1562" s="13">
        <v>730</v>
      </c>
      <c r="U1562" s="4" t="s">
        <v>465</v>
      </c>
      <c r="V1562" s="4">
        <v>350</v>
      </c>
      <c r="W1562" s="4" t="s">
        <v>42</v>
      </c>
      <c r="X1562" s="4" t="s">
        <v>46</v>
      </c>
      <c r="Y1562" s="4">
        <v>10</v>
      </c>
      <c r="AA1562" s="4" t="s">
        <v>49</v>
      </c>
      <c r="AB1562" s="4">
        <v>0</v>
      </c>
      <c r="AC1562" s="4" t="s">
        <v>49</v>
      </c>
      <c r="AD1562" s="4">
        <v>0</v>
      </c>
      <c r="AE1562" s="4" t="s">
        <v>49</v>
      </c>
      <c r="AF1562" s="4">
        <v>0</v>
      </c>
      <c r="AG1562" s="4" t="s">
        <v>724</v>
      </c>
      <c r="AH1562" s="4" t="s">
        <v>723</v>
      </c>
      <c r="AI1562" s="4" t="s">
        <v>64</v>
      </c>
      <c r="AJ1562" s="13">
        <v>0</v>
      </c>
      <c r="AK1562" s="13">
        <v>15</v>
      </c>
      <c r="AM1562" s="13" t="s">
        <v>577</v>
      </c>
      <c r="AP1562" s="13" t="s">
        <v>49</v>
      </c>
      <c r="AQ1562" s="13" t="s">
        <v>49</v>
      </c>
      <c r="AR1562" s="13" t="s">
        <v>49</v>
      </c>
      <c r="AS1562" s="13" t="s">
        <v>49</v>
      </c>
      <c r="AT1562" s="13" t="s">
        <v>990</v>
      </c>
      <c r="AU1562" s="13" t="s">
        <v>998</v>
      </c>
      <c r="AV1562" s="14">
        <f>3.61*10</f>
        <v>36.1</v>
      </c>
      <c r="AW1562" s="14">
        <f>3.01*10</f>
        <v>30.099999999999998</v>
      </c>
      <c r="AX1562" s="14">
        <f>Table1347456[[#This Row],[treatment_mean]]/Table1347456[[#This Row],[control_mean]]</f>
        <v>1.1993355481727577</v>
      </c>
      <c r="AY1562" s="14">
        <f>LN(Table1347456[[#This Row],[rr]])</f>
        <v>0.18176769358400535</v>
      </c>
      <c r="AZ1562" s="13">
        <v>3</v>
      </c>
      <c r="BA1562" s="13">
        <v>3</v>
      </c>
      <c r="BB1562" s="14">
        <v>0</v>
      </c>
      <c r="BC1562" s="14">
        <v>0</v>
      </c>
      <c r="BD1562" s="15">
        <f>Table1347456[[#This Row],[treatment_se]]*SQRT(Table1347456[[#This Row],[treatment_n]])</f>
        <v>0</v>
      </c>
      <c r="BE1562" s="14">
        <f>Table1347456[[#This Row],[control_se]]*SQRT(Table1347456[[#This Row],[control_n]])</f>
        <v>0</v>
      </c>
      <c r="BF156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62" s="17">
        <f>SQRT(Table1347456[[#This Row],[v_from_sd_and_n]])</f>
        <v>0</v>
      </c>
      <c r="BH1562" s="13" t="s">
        <v>50</v>
      </c>
      <c r="BI1562" s="13">
        <v>2.5000000000000001E-2</v>
      </c>
      <c r="BJ1562" s="18">
        <f>ABS(_xlfn.NORM.S.INV(Table1347456[[#This Row],[p_value]]/2))</f>
        <v>2.2414027276049446</v>
      </c>
      <c r="BK1562" s="19">
        <f>(Table1347456[[#This Row],[lnrr]]/Table1347456[[#This Row],[z_from_p]])^2</f>
        <v>6.5764814725047466E-3</v>
      </c>
      <c r="BL1562" s="16">
        <f>(Table1347456[[#This Row],[lnrr]]/Table1347456[[#This Row],[z_from_p]])^2</f>
        <v>6.5764814725047466E-3</v>
      </c>
      <c r="BM1562" s="20">
        <f>SQRT(Table1347456[[#This Row],[v]])</f>
        <v>8.1095508337421171E-2</v>
      </c>
      <c r="BN1562" s="20">
        <f>Table1347456[[#This Row],[lnrr]]-(1.96*Table1347456[[#This Row],[se]])</f>
        <v>2.282049724265986E-2</v>
      </c>
      <c r="BO1562" s="20">
        <f>Table1347456[[#This Row],[lnrr]]+(1.96 * Table1347456[[#This Row],[se]])</f>
        <v>0.34071488992535082</v>
      </c>
    </row>
    <row r="1563" spans="1:67">
      <c r="A1563" s="13" t="s">
        <v>461</v>
      </c>
      <c r="B1563" s="13" t="s">
        <v>462</v>
      </c>
      <c r="C1563" s="13" t="s">
        <v>43</v>
      </c>
      <c r="D1563" s="13" t="s">
        <v>463</v>
      </c>
      <c r="E1563" s="13" t="s">
        <v>178</v>
      </c>
      <c r="F1563" s="13" t="s">
        <v>587</v>
      </c>
      <c r="G1563" s="13" t="s">
        <v>464</v>
      </c>
      <c r="H1563" s="13">
        <v>28</v>
      </c>
      <c r="I1563" s="13">
        <v>224</v>
      </c>
      <c r="K1563" s="13" t="s">
        <v>965</v>
      </c>
      <c r="L1563" s="13" t="s">
        <v>966</v>
      </c>
      <c r="N1563" s="13" t="s">
        <v>466</v>
      </c>
      <c r="O1563" s="13" t="s">
        <v>642</v>
      </c>
      <c r="P1563" s="13" t="s">
        <v>422</v>
      </c>
      <c r="Q1563" s="13" t="s">
        <v>48</v>
      </c>
      <c r="R1563" s="4">
        <v>3</v>
      </c>
      <c r="S1563" s="13" t="s">
        <v>594</v>
      </c>
      <c r="T1563" s="13">
        <v>730</v>
      </c>
      <c r="U1563" s="4" t="s">
        <v>465</v>
      </c>
      <c r="V1563" s="4">
        <v>350</v>
      </c>
      <c r="W1563" s="4" t="s">
        <v>42</v>
      </c>
      <c r="X1563" s="4" t="s">
        <v>46</v>
      </c>
      <c r="Y1563" s="4">
        <v>5</v>
      </c>
      <c r="AA1563" s="4" t="s">
        <v>50</v>
      </c>
      <c r="AB1563" s="4">
        <v>93</v>
      </c>
      <c r="AC1563" s="4" t="s">
        <v>49</v>
      </c>
      <c r="AD1563" s="4">
        <v>0</v>
      </c>
      <c r="AE1563" s="4" t="s">
        <v>49</v>
      </c>
      <c r="AF1563" s="4">
        <v>0</v>
      </c>
      <c r="AG1563" s="4" t="s">
        <v>724</v>
      </c>
      <c r="AH1563" s="4" t="s">
        <v>723</v>
      </c>
      <c r="AI1563" s="4" t="s">
        <v>64</v>
      </c>
      <c r="AJ1563" s="13">
        <v>0</v>
      </c>
      <c r="AK1563" s="13">
        <v>15</v>
      </c>
      <c r="AM1563" s="13" t="s">
        <v>577</v>
      </c>
      <c r="AP1563" s="13" t="s">
        <v>49</v>
      </c>
      <c r="AQ1563" s="13" t="s">
        <v>49</v>
      </c>
      <c r="AR1563" s="13" t="s">
        <v>49</v>
      </c>
      <c r="AS1563" s="13" t="s">
        <v>49</v>
      </c>
      <c r="AT1563" s="13" t="s">
        <v>990</v>
      </c>
      <c r="AU1563" s="13" t="s">
        <v>998</v>
      </c>
      <c r="AV1563" s="14">
        <f>3.91*10</f>
        <v>39.1</v>
      </c>
      <c r="AW1563" s="14">
        <f>2.8*10</f>
        <v>28</v>
      </c>
      <c r="AX1563" s="14">
        <f>Table1347456[[#This Row],[treatment_mean]]/Table1347456[[#This Row],[control_mean]]</f>
        <v>1.3964285714285716</v>
      </c>
      <c r="AY1563" s="14">
        <f>LN(Table1347456[[#This Row],[rr]])</f>
        <v>0.33391795681611625</v>
      </c>
      <c r="AZ1563" s="13">
        <v>3</v>
      </c>
      <c r="BA1563" s="13">
        <v>3</v>
      </c>
      <c r="BB1563" s="14">
        <v>0</v>
      </c>
      <c r="BC1563" s="14">
        <v>0</v>
      </c>
      <c r="BD1563" s="15">
        <f>Table1347456[[#This Row],[treatment_se]]*SQRT(Table1347456[[#This Row],[treatment_n]])</f>
        <v>0</v>
      </c>
      <c r="BE1563" s="14">
        <f>Table1347456[[#This Row],[control_se]]*SQRT(Table1347456[[#This Row],[control_n]])</f>
        <v>0</v>
      </c>
      <c r="BF156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63" s="17">
        <f>SQRT(Table1347456[[#This Row],[v_from_sd_and_n]])</f>
        <v>0</v>
      </c>
      <c r="BH1563" s="13" t="s">
        <v>50</v>
      </c>
      <c r="BI1563" s="13">
        <v>2.5000000000000001E-2</v>
      </c>
      <c r="BJ1563" s="18">
        <f>ABS(_xlfn.NORM.S.INV(Table1347456[[#This Row],[p_value]]/2))</f>
        <v>2.2414027276049446</v>
      </c>
      <c r="BK1563" s="19">
        <f>(Table1347456[[#This Row],[lnrr]]/Table1347456[[#This Row],[z_from_p]])^2</f>
        <v>2.2194213349375991E-2</v>
      </c>
      <c r="BL1563" s="16">
        <f>(Table1347456[[#This Row],[lnrr]]/Table1347456[[#This Row],[z_from_p]])^2</f>
        <v>2.2194213349375991E-2</v>
      </c>
      <c r="BM1563" s="20">
        <f>SQRT(Table1347456[[#This Row],[v]])</f>
        <v>0.14897722426389878</v>
      </c>
      <c r="BN1563" s="20">
        <f>Table1347456[[#This Row],[lnrr]]-(1.96*Table1347456[[#This Row],[se]])</f>
        <v>4.192259725887465E-2</v>
      </c>
      <c r="BO1563" s="20">
        <f>Table1347456[[#This Row],[lnrr]]+(1.96 * Table1347456[[#This Row],[se]])</f>
        <v>0.6259133163733579</v>
      </c>
    </row>
    <row r="1564" spans="1:67">
      <c r="A1564" s="13" t="s">
        <v>461</v>
      </c>
      <c r="B1564" s="13" t="s">
        <v>462</v>
      </c>
      <c r="C1564" s="13" t="s">
        <v>43</v>
      </c>
      <c r="D1564" s="13" t="s">
        <v>463</v>
      </c>
      <c r="E1564" s="13" t="s">
        <v>178</v>
      </c>
      <c r="F1564" s="13" t="s">
        <v>587</v>
      </c>
      <c r="G1564" s="13" t="s">
        <v>464</v>
      </c>
      <c r="H1564" s="13">
        <v>28</v>
      </c>
      <c r="I1564" s="13">
        <v>224</v>
      </c>
      <c r="K1564" s="13" t="s">
        <v>965</v>
      </c>
      <c r="L1564" s="13" t="s">
        <v>966</v>
      </c>
      <c r="N1564" s="13" t="s">
        <v>466</v>
      </c>
      <c r="O1564" s="13" t="s">
        <v>642</v>
      </c>
      <c r="P1564" s="13" t="s">
        <v>422</v>
      </c>
      <c r="Q1564" s="13" t="s">
        <v>48</v>
      </c>
      <c r="R1564" s="4">
        <v>3</v>
      </c>
      <c r="S1564" s="13" t="s">
        <v>594</v>
      </c>
      <c r="T1564" s="13">
        <v>730</v>
      </c>
      <c r="U1564" s="4" t="s">
        <v>465</v>
      </c>
      <c r="V1564" s="4">
        <v>350</v>
      </c>
      <c r="W1564" s="4" t="s">
        <v>42</v>
      </c>
      <c r="X1564" s="4" t="s">
        <v>46</v>
      </c>
      <c r="Y1564" s="4">
        <v>10</v>
      </c>
      <c r="AA1564" s="4" t="s">
        <v>50</v>
      </c>
      <c r="AB1564" s="4">
        <v>93</v>
      </c>
      <c r="AC1564" s="4" t="s">
        <v>49</v>
      </c>
      <c r="AD1564" s="4">
        <v>0</v>
      </c>
      <c r="AE1564" s="4" t="s">
        <v>49</v>
      </c>
      <c r="AF1564" s="4">
        <v>0</v>
      </c>
      <c r="AG1564" s="4" t="s">
        <v>724</v>
      </c>
      <c r="AH1564" s="4" t="s">
        <v>723</v>
      </c>
      <c r="AI1564" s="4" t="s">
        <v>64</v>
      </c>
      <c r="AJ1564" s="13">
        <v>0</v>
      </c>
      <c r="AK1564" s="13">
        <v>15</v>
      </c>
      <c r="AM1564" s="13" t="s">
        <v>577</v>
      </c>
      <c r="AP1564" s="13" t="s">
        <v>49</v>
      </c>
      <c r="AQ1564" s="13" t="s">
        <v>49</v>
      </c>
      <c r="AR1564" s="13" t="s">
        <v>49</v>
      </c>
      <c r="AS1564" s="13" t="s">
        <v>49</v>
      </c>
      <c r="AT1564" s="13" t="s">
        <v>990</v>
      </c>
      <c r="AU1564" s="13" t="s">
        <v>998</v>
      </c>
      <c r="AV1564" s="14">
        <f>4.21*10</f>
        <v>42.1</v>
      </c>
      <c r="AW1564" s="14">
        <f>2.8*10</f>
        <v>28</v>
      </c>
      <c r="AX1564" s="14">
        <f>Table1347456[[#This Row],[treatment_mean]]/Table1347456[[#This Row],[control_mean]]</f>
        <v>1.5035714285714286</v>
      </c>
      <c r="AY1564" s="14">
        <f>LN(Table1347456[[#This Row],[rr]])</f>
        <v>0.40784323051313182</v>
      </c>
      <c r="AZ1564" s="13">
        <v>3</v>
      </c>
      <c r="BA1564" s="13">
        <v>3</v>
      </c>
      <c r="BB1564" s="14">
        <v>0</v>
      </c>
      <c r="BC1564" s="14">
        <v>0</v>
      </c>
      <c r="BD1564" s="15">
        <f>Table1347456[[#This Row],[treatment_se]]*SQRT(Table1347456[[#This Row],[treatment_n]])</f>
        <v>0</v>
      </c>
      <c r="BE1564" s="14">
        <f>Table1347456[[#This Row],[control_se]]*SQRT(Table1347456[[#This Row],[control_n]])</f>
        <v>0</v>
      </c>
      <c r="BF156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64" s="17">
        <f>SQRT(Table1347456[[#This Row],[v_from_sd_and_n]])</f>
        <v>0</v>
      </c>
      <c r="BH1564" s="13" t="s">
        <v>50</v>
      </c>
      <c r="BI1564" s="13">
        <v>2.5000000000000001E-2</v>
      </c>
      <c r="BJ1564" s="18">
        <f>ABS(_xlfn.NORM.S.INV(Table1347456[[#This Row],[p_value]]/2))</f>
        <v>2.2414027276049446</v>
      </c>
      <c r="BK1564" s="19">
        <f>(Table1347456[[#This Row],[lnrr]]/Table1347456[[#This Row],[z_from_p]])^2</f>
        <v>3.3109050339432379E-2</v>
      </c>
      <c r="BL1564" s="16">
        <f>(Table1347456[[#This Row],[lnrr]]/Table1347456[[#This Row],[z_from_p]])^2</f>
        <v>3.3109050339432379E-2</v>
      </c>
      <c r="BM1564" s="20">
        <f>SQRT(Table1347456[[#This Row],[v]])</f>
        <v>0.18195892486886259</v>
      </c>
      <c r="BN1564" s="20">
        <f>Table1347456[[#This Row],[lnrr]]-(1.96*Table1347456[[#This Row],[se]])</f>
        <v>5.1203737770161128E-2</v>
      </c>
      <c r="BO1564" s="20">
        <f>Table1347456[[#This Row],[lnrr]]+(1.96 * Table1347456[[#This Row],[se]])</f>
        <v>0.76448272325610245</v>
      </c>
    </row>
    <row r="1565" spans="1:67">
      <c r="A1565" s="13" t="s">
        <v>461</v>
      </c>
      <c r="B1565" s="13" t="s">
        <v>462</v>
      </c>
      <c r="C1565" s="13" t="s">
        <v>43</v>
      </c>
      <c r="D1565" s="13" t="s">
        <v>463</v>
      </c>
      <c r="E1565" s="13" t="s">
        <v>178</v>
      </c>
      <c r="F1565" s="13" t="s">
        <v>587</v>
      </c>
      <c r="G1565" s="13" t="s">
        <v>464</v>
      </c>
      <c r="H1565" s="13">
        <v>28</v>
      </c>
      <c r="I1565" s="13">
        <v>224</v>
      </c>
      <c r="K1565" s="13" t="s">
        <v>965</v>
      </c>
      <c r="L1565" s="13" t="s">
        <v>966</v>
      </c>
      <c r="N1565" s="13" t="s">
        <v>81</v>
      </c>
      <c r="O1565" s="13" t="s">
        <v>82</v>
      </c>
      <c r="P1565" s="13" t="s">
        <v>71</v>
      </c>
      <c r="Q1565" s="13" t="s">
        <v>83</v>
      </c>
      <c r="R1565" s="4">
        <v>3</v>
      </c>
      <c r="S1565" s="13" t="s">
        <v>594</v>
      </c>
      <c r="T1565" s="13">
        <v>730</v>
      </c>
      <c r="U1565" s="4" t="s">
        <v>465</v>
      </c>
      <c r="V1565" s="4">
        <v>350</v>
      </c>
      <c r="W1565" s="4" t="s">
        <v>42</v>
      </c>
      <c r="X1565" s="4" t="s">
        <v>46</v>
      </c>
      <c r="Y1565" s="4">
        <v>5</v>
      </c>
      <c r="AA1565" s="4" t="s">
        <v>49</v>
      </c>
      <c r="AB1565" s="4">
        <v>0</v>
      </c>
      <c r="AC1565" s="4" t="s">
        <v>49</v>
      </c>
      <c r="AD1565" s="4">
        <v>0</v>
      </c>
      <c r="AE1565" s="4" t="s">
        <v>49</v>
      </c>
      <c r="AF1565" s="4">
        <v>0</v>
      </c>
      <c r="AG1565" s="4" t="s">
        <v>724</v>
      </c>
      <c r="AH1565" s="4" t="s">
        <v>723</v>
      </c>
      <c r="AI1565" s="4" t="s">
        <v>64</v>
      </c>
      <c r="AJ1565" s="13">
        <v>0</v>
      </c>
      <c r="AK1565" s="13">
        <v>15</v>
      </c>
      <c r="AM1565" s="13" t="s">
        <v>577</v>
      </c>
      <c r="AP1565" s="13" t="s">
        <v>49</v>
      </c>
      <c r="AQ1565" s="13" t="s">
        <v>49</v>
      </c>
      <c r="AR1565" s="13" t="s">
        <v>49</v>
      </c>
      <c r="AS1565" s="13" t="s">
        <v>49</v>
      </c>
      <c r="AT1565" s="13" t="s">
        <v>990</v>
      </c>
      <c r="AU1565" s="13" t="s">
        <v>998</v>
      </c>
      <c r="AV1565" s="14">
        <f>5809/1000</f>
        <v>5.8090000000000002</v>
      </c>
      <c r="AW1565" s="14">
        <f>5474/1000</f>
        <v>5.4740000000000002</v>
      </c>
      <c r="AX1565" s="14">
        <f>Table1347456[[#This Row],[treatment_mean]]/Table1347456[[#This Row],[control_mean]]</f>
        <v>1.0611983924004385</v>
      </c>
      <c r="AY1565" s="14">
        <f>LN(Table1347456[[#This Row],[rr]])</f>
        <v>5.9398828391908132E-2</v>
      </c>
      <c r="AZ1565" s="13">
        <v>3</v>
      </c>
      <c r="BA1565" s="13">
        <v>3</v>
      </c>
      <c r="BB1565" s="14">
        <v>0</v>
      </c>
      <c r="BC1565" s="14">
        <v>0</v>
      </c>
      <c r="BD1565" s="15">
        <f>Table1347456[[#This Row],[treatment_se]]*SQRT(Table1347456[[#This Row],[treatment_n]])</f>
        <v>0</v>
      </c>
      <c r="BE1565" s="14">
        <f>Table1347456[[#This Row],[control_se]]*SQRT(Table1347456[[#This Row],[control_n]])</f>
        <v>0</v>
      </c>
      <c r="BF156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65" s="17">
        <f>SQRT(Table1347456[[#This Row],[v_from_sd_and_n]])</f>
        <v>0</v>
      </c>
      <c r="BH1565" s="13" t="s">
        <v>50</v>
      </c>
      <c r="BI1565" s="13">
        <v>2.5000000000000001E-2</v>
      </c>
      <c r="BJ1565" s="18">
        <f>ABS(_xlfn.NORM.S.INV(Table1347456[[#This Row],[p_value]]/2))</f>
        <v>2.2414027276049446</v>
      </c>
      <c r="BK1565" s="19">
        <f>(Table1347456[[#This Row],[lnrr]]/Table1347456[[#This Row],[z_from_p]])^2</f>
        <v>7.0228916077756101E-4</v>
      </c>
      <c r="BL1565" s="16">
        <f>(Table1347456[[#This Row],[lnrr]]/Table1347456[[#This Row],[z_from_p]])^2</f>
        <v>7.0228916077756101E-4</v>
      </c>
      <c r="BM1565" s="20">
        <f>SQRT(Table1347456[[#This Row],[v]])</f>
        <v>2.6500738872294882E-2</v>
      </c>
      <c r="BN1565" s="20">
        <f>Table1347456[[#This Row],[lnrr]]-(1.96*Table1347456[[#This Row],[se]])</f>
        <v>7.4573802022101648E-3</v>
      </c>
      <c r="BO1565" s="20">
        <f>Table1347456[[#This Row],[lnrr]]+(1.96 * Table1347456[[#This Row],[se]])</f>
        <v>0.1113402765816061</v>
      </c>
    </row>
    <row r="1566" spans="1:67">
      <c r="A1566" s="13" t="s">
        <v>461</v>
      </c>
      <c r="B1566" s="13" t="s">
        <v>462</v>
      </c>
      <c r="C1566" s="13" t="s">
        <v>43</v>
      </c>
      <c r="D1566" s="13" t="s">
        <v>463</v>
      </c>
      <c r="E1566" s="13" t="s">
        <v>178</v>
      </c>
      <c r="F1566" s="13" t="s">
        <v>587</v>
      </c>
      <c r="G1566" s="13" t="s">
        <v>464</v>
      </c>
      <c r="H1566" s="13">
        <v>28</v>
      </c>
      <c r="I1566" s="13">
        <v>224</v>
      </c>
      <c r="K1566" s="13" t="s">
        <v>965</v>
      </c>
      <c r="L1566" s="13" t="s">
        <v>966</v>
      </c>
      <c r="N1566" s="13" t="s">
        <v>81</v>
      </c>
      <c r="O1566" s="13" t="s">
        <v>82</v>
      </c>
      <c r="P1566" s="13" t="s">
        <v>71</v>
      </c>
      <c r="Q1566" s="13" t="s">
        <v>83</v>
      </c>
      <c r="R1566" s="4">
        <v>3</v>
      </c>
      <c r="S1566" s="13" t="s">
        <v>594</v>
      </c>
      <c r="T1566" s="13">
        <v>730</v>
      </c>
      <c r="U1566" s="4" t="s">
        <v>465</v>
      </c>
      <c r="V1566" s="4">
        <v>350</v>
      </c>
      <c r="W1566" s="4" t="s">
        <v>42</v>
      </c>
      <c r="X1566" s="4" t="s">
        <v>46</v>
      </c>
      <c r="Y1566" s="4">
        <v>10</v>
      </c>
      <c r="AA1566" s="4" t="s">
        <v>49</v>
      </c>
      <c r="AB1566" s="4">
        <v>0</v>
      </c>
      <c r="AC1566" s="4" t="s">
        <v>49</v>
      </c>
      <c r="AD1566" s="4">
        <v>0</v>
      </c>
      <c r="AE1566" s="4" t="s">
        <v>49</v>
      </c>
      <c r="AF1566" s="4">
        <v>0</v>
      </c>
      <c r="AG1566" s="4" t="s">
        <v>724</v>
      </c>
      <c r="AH1566" s="4" t="s">
        <v>723</v>
      </c>
      <c r="AI1566" s="4" t="s">
        <v>64</v>
      </c>
      <c r="AJ1566" s="13">
        <v>0</v>
      </c>
      <c r="AK1566" s="13">
        <v>15</v>
      </c>
      <c r="AM1566" s="13" t="s">
        <v>577</v>
      </c>
      <c r="AP1566" s="13" t="s">
        <v>49</v>
      </c>
      <c r="AQ1566" s="13" t="s">
        <v>49</v>
      </c>
      <c r="AR1566" s="13" t="s">
        <v>49</v>
      </c>
      <c r="AS1566" s="13" t="s">
        <v>49</v>
      </c>
      <c r="AT1566" s="13" t="s">
        <v>990</v>
      </c>
      <c r="AU1566" s="13" t="s">
        <v>998</v>
      </c>
      <c r="AV1566" s="14">
        <f>6299/1000</f>
        <v>6.2990000000000004</v>
      </c>
      <c r="AW1566" s="14">
        <f>5474/1000</f>
        <v>5.4740000000000002</v>
      </c>
      <c r="AX1566" s="14">
        <f>Table1347456[[#This Row],[treatment_mean]]/Table1347456[[#This Row],[control_mean]]</f>
        <v>1.1507124588966022</v>
      </c>
      <c r="AY1566" s="14">
        <f>LN(Table1347456[[#This Row],[rr]])</f>
        <v>0.14038128002130473</v>
      </c>
      <c r="AZ1566" s="13">
        <v>3</v>
      </c>
      <c r="BA1566" s="13">
        <v>3</v>
      </c>
      <c r="BB1566" s="14">
        <v>0</v>
      </c>
      <c r="BC1566" s="14">
        <v>0</v>
      </c>
      <c r="BD1566" s="15">
        <f>Table1347456[[#This Row],[treatment_se]]*SQRT(Table1347456[[#This Row],[treatment_n]])</f>
        <v>0</v>
      </c>
      <c r="BE1566" s="14">
        <f>Table1347456[[#This Row],[control_se]]*SQRT(Table1347456[[#This Row],[control_n]])</f>
        <v>0</v>
      </c>
      <c r="BF156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66" s="17">
        <f>SQRT(Table1347456[[#This Row],[v_from_sd_and_n]])</f>
        <v>0</v>
      </c>
      <c r="BH1566" s="13" t="s">
        <v>50</v>
      </c>
      <c r="BI1566" s="13">
        <v>2.5000000000000001E-2</v>
      </c>
      <c r="BJ1566" s="18">
        <f>ABS(_xlfn.NORM.S.INV(Table1347456[[#This Row],[p_value]]/2))</f>
        <v>2.2414027276049446</v>
      </c>
      <c r="BK1566" s="19">
        <f>(Table1347456[[#This Row],[lnrr]]/Table1347456[[#This Row],[z_from_p]])^2</f>
        <v>3.9226413667927283E-3</v>
      </c>
      <c r="BL1566" s="16">
        <f>(Table1347456[[#This Row],[lnrr]]/Table1347456[[#This Row],[z_from_p]])^2</f>
        <v>3.9226413667927283E-3</v>
      </c>
      <c r="BM1566" s="20">
        <f>SQRT(Table1347456[[#This Row],[v]])</f>
        <v>6.2630993659630915E-2</v>
      </c>
      <c r="BN1566" s="20">
        <f>Table1347456[[#This Row],[lnrr]]-(1.96*Table1347456[[#This Row],[se]])</f>
        <v>1.762453244842814E-2</v>
      </c>
      <c r="BO1566" s="20">
        <f>Table1347456[[#This Row],[lnrr]]+(1.96 * Table1347456[[#This Row],[se]])</f>
        <v>0.26313802759418131</v>
      </c>
    </row>
    <row r="1567" spans="1:67">
      <c r="A1567" s="13" t="s">
        <v>461</v>
      </c>
      <c r="B1567" s="13" t="s">
        <v>462</v>
      </c>
      <c r="C1567" s="13" t="s">
        <v>43</v>
      </c>
      <c r="D1567" s="13" t="s">
        <v>463</v>
      </c>
      <c r="E1567" s="13" t="s">
        <v>178</v>
      </c>
      <c r="F1567" s="13" t="s">
        <v>587</v>
      </c>
      <c r="G1567" s="13" t="s">
        <v>464</v>
      </c>
      <c r="H1567" s="13">
        <v>28</v>
      </c>
      <c r="I1567" s="13">
        <v>224</v>
      </c>
      <c r="K1567" s="13" t="s">
        <v>965</v>
      </c>
      <c r="L1567" s="13" t="s">
        <v>966</v>
      </c>
      <c r="N1567" s="13" t="s">
        <v>81</v>
      </c>
      <c r="O1567" s="13" t="s">
        <v>82</v>
      </c>
      <c r="P1567" s="13" t="s">
        <v>71</v>
      </c>
      <c r="Q1567" s="13" t="s">
        <v>83</v>
      </c>
      <c r="R1567" s="4">
        <v>3</v>
      </c>
      <c r="S1567" s="13" t="s">
        <v>594</v>
      </c>
      <c r="T1567" s="13">
        <v>730</v>
      </c>
      <c r="U1567" s="4" t="s">
        <v>465</v>
      </c>
      <c r="V1567" s="4">
        <v>350</v>
      </c>
      <c r="W1567" s="4" t="s">
        <v>42</v>
      </c>
      <c r="X1567" s="4" t="s">
        <v>46</v>
      </c>
      <c r="Y1567" s="4">
        <v>5</v>
      </c>
      <c r="AA1567" s="4" t="s">
        <v>50</v>
      </c>
      <c r="AB1567" s="4">
        <v>93</v>
      </c>
      <c r="AC1567" s="4" t="s">
        <v>49</v>
      </c>
      <c r="AD1567" s="4">
        <v>0</v>
      </c>
      <c r="AE1567" s="4" t="s">
        <v>49</v>
      </c>
      <c r="AF1567" s="4">
        <v>0</v>
      </c>
      <c r="AG1567" s="4" t="s">
        <v>724</v>
      </c>
      <c r="AH1567" s="4" t="s">
        <v>723</v>
      </c>
      <c r="AI1567" s="4" t="s">
        <v>64</v>
      </c>
      <c r="AJ1567" s="13">
        <v>0</v>
      </c>
      <c r="AK1567" s="13">
        <v>15</v>
      </c>
      <c r="AM1567" s="13" t="s">
        <v>577</v>
      </c>
      <c r="AP1567" s="13" t="s">
        <v>49</v>
      </c>
      <c r="AQ1567" s="13" t="s">
        <v>49</v>
      </c>
      <c r="AR1567" s="13" t="s">
        <v>49</v>
      </c>
      <c r="AS1567" s="13" t="s">
        <v>49</v>
      </c>
      <c r="AT1567" s="13" t="s">
        <v>990</v>
      </c>
      <c r="AU1567" s="13" t="s">
        <v>998</v>
      </c>
      <c r="AV1567" s="14">
        <f>6796/1000</f>
        <v>6.7960000000000003</v>
      </c>
      <c r="AW1567" s="14">
        <f>6738/1000</f>
        <v>6.7380000000000004</v>
      </c>
      <c r="AX1567" s="14">
        <f>Table1347456[[#This Row],[treatment_mean]]/Table1347456[[#This Row],[control_mean]]</f>
        <v>1.0086078955179578</v>
      </c>
      <c r="AY1567" s="14">
        <f>LN(Table1347456[[#This Row],[rr]])</f>
        <v>8.5710588253244298E-3</v>
      </c>
      <c r="AZ1567" s="13">
        <v>3</v>
      </c>
      <c r="BA1567" s="13">
        <v>3</v>
      </c>
      <c r="BB1567" s="14">
        <v>0</v>
      </c>
      <c r="BC1567" s="14">
        <v>0</v>
      </c>
      <c r="BD1567" s="15">
        <f>Table1347456[[#This Row],[treatment_se]]*SQRT(Table1347456[[#This Row],[treatment_n]])</f>
        <v>0</v>
      </c>
      <c r="BE1567" s="14">
        <f>Table1347456[[#This Row],[control_se]]*SQRT(Table1347456[[#This Row],[control_n]])</f>
        <v>0</v>
      </c>
      <c r="BF156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67" s="17">
        <f>SQRT(Table1347456[[#This Row],[v_from_sd_and_n]])</f>
        <v>0</v>
      </c>
      <c r="BH1567" s="13" t="s">
        <v>50</v>
      </c>
      <c r="BI1567" s="13">
        <v>2.5000000000000001E-2</v>
      </c>
      <c r="BJ1567" s="18">
        <f>ABS(_xlfn.NORM.S.INV(Table1347456[[#This Row],[p_value]]/2))</f>
        <v>2.2414027276049446</v>
      </c>
      <c r="BK1567" s="19">
        <f>(Table1347456[[#This Row],[lnrr]]/Table1347456[[#This Row],[z_from_p]])^2</f>
        <v>1.4622753511547117E-5</v>
      </c>
      <c r="BL1567" s="16">
        <f>(Table1347456[[#This Row],[lnrr]]/Table1347456[[#This Row],[z_from_p]])^2</f>
        <v>1.4622753511547117E-5</v>
      </c>
      <c r="BM1567" s="20">
        <f>SQRT(Table1347456[[#This Row],[v]])</f>
        <v>3.8239709088259441E-3</v>
      </c>
      <c r="BN1567" s="20">
        <f>Table1347456[[#This Row],[lnrr]]-(1.96*Table1347456[[#This Row],[se]])</f>
        <v>1.0760758440255796E-3</v>
      </c>
      <c r="BO1567" s="20">
        <f>Table1347456[[#This Row],[lnrr]]+(1.96 * Table1347456[[#This Row],[se]])</f>
        <v>1.6066041806623278E-2</v>
      </c>
    </row>
    <row r="1568" spans="1:67">
      <c r="A1568" s="13" t="s">
        <v>461</v>
      </c>
      <c r="B1568" s="13" t="s">
        <v>462</v>
      </c>
      <c r="C1568" s="13" t="s">
        <v>43</v>
      </c>
      <c r="D1568" s="13" t="s">
        <v>463</v>
      </c>
      <c r="E1568" s="13" t="s">
        <v>178</v>
      </c>
      <c r="F1568" s="13" t="s">
        <v>587</v>
      </c>
      <c r="G1568" s="13" t="s">
        <v>464</v>
      </c>
      <c r="H1568" s="13">
        <v>28</v>
      </c>
      <c r="I1568" s="13">
        <v>224</v>
      </c>
      <c r="K1568" s="13" t="s">
        <v>965</v>
      </c>
      <c r="L1568" s="13" t="s">
        <v>966</v>
      </c>
      <c r="N1568" s="13" t="s">
        <v>81</v>
      </c>
      <c r="O1568" s="13" t="s">
        <v>82</v>
      </c>
      <c r="P1568" s="13" t="s">
        <v>71</v>
      </c>
      <c r="Q1568" s="13" t="s">
        <v>83</v>
      </c>
      <c r="R1568" s="4">
        <v>3</v>
      </c>
      <c r="S1568" s="13" t="s">
        <v>594</v>
      </c>
      <c r="T1568" s="13">
        <v>730</v>
      </c>
      <c r="U1568" s="4" t="s">
        <v>465</v>
      </c>
      <c r="V1568" s="4">
        <v>350</v>
      </c>
      <c r="W1568" s="4" t="s">
        <v>42</v>
      </c>
      <c r="X1568" s="4" t="s">
        <v>46</v>
      </c>
      <c r="Y1568" s="4">
        <v>10</v>
      </c>
      <c r="AA1568" s="4" t="s">
        <v>50</v>
      </c>
      <c r="AB1568" s="4">
        <v>93</v>
      </c>
      <c r="AC1568" s="4" t="s">
        <v>49</v>
      </c>
      <c r="AD1568" s="4">
        <v>0</v>
      </c>
      <c r="AE1568" s="4" t="s">
        <v>49</v>
      </c>
      <c r="AF1568" s="4">
        <v>0</v>
      </c>
      <c r="AG1568" s="4" t="s">
        <v>724</v>
      </c>
      <c r="AH1568" s="4" t="s">
        <v>723</v>
      </c>
      <c r="AI1568" s="4" t="s">
        <v>64</v>
      </c>
      <c r="AJ1568" s="13">
        <v>0</v>
      </c>
      <c r="AK1568" s="13">
        <v>15</v>
      </c>
      <c r="AM1568" s="13" t="s">
        <v>577</v>
      </c>
      <c r="AP1568" s="13" t="s">
        <v>49</v>
      </c>
      <c r="AQ1568" s="13" t="s">
        <v>49</v>
      </c>
      <c r="AR1568" s="13" t="s">
        <v>49</v>
      </c>
      <c r="AS1568" s="13" t="s">
        <v>49</v>
      </c>
      <c r="AT1568" s="13" t="s">
        <v>990</v>
      </c>
      <c r="AU1568" s="13" t="s">
        <v>998</v>
      </c>
      <c r="AV1568" s="14">
        <f>7381/1000</f>
        <v>7.3810000000000002</v>
      </c>
      <c r="AW1568" s="14">
        <f>6738/1000</f>
        <v>6.7380000000000004</v>
      </c>
      <c r="AX1568" s="14">
        <f>Table1347456[[#This Row],[treatment_mean]]/Table1347456[[#This Row],[control_mean]]</f>
        <v>1.0954289106559809</v>
      </c>
      <c r="AY1568" s="14">
        <f>LN(Table1347456[[#This Row],[rr]])</f>
        <v>9.1145985803554069E-2</v>
      </c>
      <c r="AZ1568" s="13">
        <v>3</v>
      </c>
      <c r="BA1568" s="13">
        <v>3</v>
      </c>
      <c r="BB1568" s="14">
        <v>0</v>
      </c>
      <c r="BC1568" s="14">
        <v>0</v>
      </c>
      <c r="BD1568" s="15">
        <f>Table1347456[[#This Row],[treatment_se]]*SQRT(Table1347456[[#This Row],[treatment_n]])</f>
        <v>0</v>
      </c>
      <c r="BE1568" s="14">
        <f>Table1347456[[#This Row],[control_se]]*SQRT(Table1347456[[#This Row],[control_n]])</f>
        <v>0</v>
      </c>
      <c r="BF156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68" s="17">
        <f>SQRT(Table1347456[[#This Row],[v_from_sd_and_n]])</f>
        <v>0</v>
      </c>
      <c r="BH1568" s="13" t="s">
        <v>50</v>
      </c>
      <c r="BI1568" s="13">
        <v>2.5000000000000001E-2</v>
      </c>
      <c r="BJ1568" s="18">
        <f>ABS(_xlfn.NORM.S.INV(Table1347456[[#This Row],[p_value]]/2))</f>
        <v>2.2414027276049446</v>
      </c>
      <c r="BK1568" s="19">
        <f>(Table1347456[[#This Row],[lnrr]]/Table1347456[[#This Row],[z_from_p]])^2</f>
        <v>1.6536184177655179E-3</v>
      </c>
      <c r="BL1568" s="16">
        <f>(Table1347456[[#This Row],[lnrr]]/Table1347456[[#This Row],[z_from_p]])^2</f>
        <v>1.6536184177655179E-3</v>
      </c>
      <c r="BM1568" s="20">
        <f>SQRT(Table1347456[[#This Row],[v]])</f>
        <v>4.0664707275050165E-2</v>
      </c>
      <c r="BN1568" s="20">
        <f>Table1347456[[#This Row],[lnrr]]-(1.96*Table1347456[[#This Row],[se]])</f>
        <v>1.1443159544455753E-2</v>
      </c>
      <c r="BO1568" s="20">
        <f>Table1347456[[#This Row],[lnrr]]+(1.96 * Table1347456[[#This Row],[se]])</f>
        <v>0.1708488120626524</v>
      </c>
    </row>
    <row r="1569" spans="1:67">
      <c r="A1569" s="13" t="s">
        <v>467</v>
      </c>
      <c r="B1569" s="13" t="s">
        <v>468</v>
      </c>
      <c r="C1569" s="13" t="s">
        <v>43</v>
      </c>
      <c r="D1569" s="13" t="s">
        <v>469</v>
      </c>
      <c r="E1569" s="13" t="s">
        <v>178</v>
      </c>
      <c r="F1569" s="13" t="s">
        <v>587</v>
      </c>
      <c r="G1569" s="13" t="s">
        <v>470</v>
      </c>
      <c r="H1569" s="13">
        <v>20</v>
      </c>
      <c r="I1569" s="13">
        <v>200</v>
      </c>
      <c r="K1569" s="13" t="s">
        <v>967</v>
      </c>
      <c r="L1569" s="13" t="s">
        <v>968</v>
      </c>
      <c r="N1569" s="13" t="s">
        <v>621</v>
      </c>
      <c r="O1569" s="13" t="s">
        <v>54</v>
      </c>
      <c r="P1569" s="13" t="s">
        <v>85</v>
      </c>
      <c r="Q1569" s="13" t="s">
        <v>48</v>
      </c>
      <c r="R1569" s="4">
        <v>5</v>
      </c>
      <c r="S1569" s="13" t="s">
        <v>595</v>
      </c>
      <c r="T1569" s="13">
        <v>61</v>
      </c>
      <c r="U1569" s="4" t="s">
        <v>385</v>
      </c>
      <c r="V1569" s="4">
        <v>450</v>
      </c>
      <c r="W1569" s="4" t="s">
        <v>601</v>
      </c>
      <c r="X1569" s="4">
        <v>732</v>
      </c>
      <c r="Y1569" s="4">
        <v>22.5</v>
      </c>
      <c r="AA1569" s="4" t="s">
        <v>49</v>
      </c>
      <c r="AB1569" s="4">
        <v>0</v>
      </c>
      <c r="AC1569" s="4" t="s">
        <v>49</v>
      </c>
      <c r="AD1569" s="4">
        <v>0</v>
      </c>
      <c r="AE1569" s="4" t="s">
        <v>49</v>
      </c>
      <c r="AF1569" s="4">
        <v>0</v>
      </c>
      <c r="AG1569" s="4" t="s">
        <v>764</v>
      </c>
      <c r="AH1569" s="4" t="s">
        <v>763</v>
      </c>
      <c r="AI1569" s="4" t="s">
        <v>64</v>
      </c>
      <c r="AJ1569" s="13">
        <v>0</v>
      </c>
      <c r="AK1569" s="13">
        <v>15</v>
      </c>
      <c r="AL1569" s="13" t="s">
        <v>578</v>
      </c>
      <c r="AM1569" s="13" t="s">
        <v>579</v>
      </c>
      <c r="AN1569" s="13" t="s">
        <v>580</v>
      </c>
      <c r="AO1569" s="13" t="s">
        <v>581</v>
      </c>
      <c r="AP1569" s="13" t="s">
        <v>49</v>
      </c>
      <c r="AQ1569" s="13" t="s">
        <v>49</v>
      </c>
      <c r="AR1569" s="13" t="s">
        <v>50</v>
      </c>
      <c r="AS1569" s="13" t="s">
        <v>49</v>
      </c>
      <c r="AT1569" s="13" t="s">
        <v>990</v>
      </c>
      <c r="AU1569" s="13" t="s">
        <v>998</v>
      </c>
      <c r="AV1569" s="14">
        <f>1.56/1000</f>
        <v>1.56E-3</v>
      </c>
      <c r="AW1569" s="14">
        <f>2.42/1000</f>
        <v>2.4199999999999998E-3</v>
      </c>
      <c r="AX1569" s="14">
        <f>Table1347456[[#This Row],[treatment_mean]]/Table1347456[[#This Row],[control_mean]]</f>
        <v>0.64462809917355379</v>
      </c>
      <c r="AY1569" s="14">
        <f>LN(Table1347456[[#This Row],[rr]])</f>
        <v>-0.43908171890714925</v>
      </c>
      <c r="AZ1569" s="13">
        <v>5</v>
      </c>
      <c r="BA1569" s="13">
        <v>5</v>
      </c>
      <c r="BB1569" s="14">
        <f>0.06/1000</f>
        <v>5.9999999999999995E-5</v>
      </c>
      <c r="BC1569" s="14">
        <f>0.14/1000</f>
        <v>1.4000000000000001E-4</v>
      </c>
      <c r="BD1569" s="15">
        <f>Table1347456[[#This Row],[treatment_se]]*SQRT(Table1347456[[#This Row],[treatment_n]])</f>
        <v>1.3416407864998739E-4</v>
      </c>
      <c r="BE1569" s="14">
        <f>Table1347456[[#This Row],[control_se]]*SQRT(Table1347456[[#This Row],[control_n]])</f>
        <v>3.1304951684997062E-4</v>
      </c>
      <c r="BF156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4.8260558721172509E-3</v>
      </c>
      <c r="BG1569" s="17">
        <f>SQRT(Table1347456[[#This Row],[v_from_sd_and_n]])</f>
        <v>6.9469819865300153E-2</v>
      </c>
      <c r="BH1569" s="13" t="s">
        <v>50</v>
      </c>
      <c r="BI1569" s="13">
        <v>2.5000000000000001E-2</v>
      </c>
      <c r="BJ1569" s="18">
        <f>ABS(_xlfn.NORM.S.INV(Table1347456[[#This Row],[p_value]]/2))</f>
        <v>2.2414027276049446</v>
      </c>
      <c r="BK1569" s="19">
        <f>(Table1347456[[#This Row],[lnrr]]/Table1347456[[#This Row],[z_from_p]])^2</f>
        <v>3.8375223619764899E-2</v>
      </c>
      <c r="BL1569" s="16">
        <f>Table1347456[[#This Row],[v_from_sd_and_n]]</f>
        <v>4.8260558721172509E-3</v>
      </c>
      <c r="BM1569" s="20">
        <f>SQRT(Table1347456[[#This Row],[v]])</f>
        <v>6.9469819865300153E-2</v>
      </c>
      <c r="BN1569" s="20">
        <f>Table1347456[[#This Row],[lnrr]]-(1.96*Table1347456[[#This Row],[se]])</f>
        <v>-0.57524256584313749</v>
      </c>
      <c r="BO1569" s="20">
        <f>Table1347456[[#This Row],[lnrr]]+(1.96 * Table1347456[[#This Row],[se]])</f>
        <v>-0.30292087197116097</v>
      </c>
    </row>
    <row r="1570" spans="1:67">
      <c r="A1570" s="13" t="s">
        <v>467</v>
      </c>
      <c r="B1570" s="13" t="s">
        <v>468</v>
      </c>
      <c r="C1570" s="13" t="s">
        <v>43</v>
      </c>
      <c r="D1570" s="13" t="s">
        <v>469</v>
      </c>
      <c r="E1570" s="13" t="s">
        <v>178</v>
      </c>
      <c r="F1570" s="13" t="s">
        <v>587</v>
      </c>
      <c r="G1570" s="13" t="s">
        <v>470</v>
      </c>
      <c r="H1570" s="13">
        <v>20</v>
      </c>
      <c r="I1570" s="13">
        <v>200</v>
      </c>
      <c r="K1570" s="13" t="s">
        <v>967</v>
      </c>
      <c r="L1570" s="13" t="s">
        <v>968</v>
      </c>
      <c r="N1570" s="13" t="s">
        <v>621</v>
      </c>
      <c r="O1570" s="13" t="s">
        <v>54</v>
      </c>
      <c r="P1570" s="13" t="s">
        <v>85</v>
      </c>
      <c r="Q1570" s="13" t="s">
        <v>48</v>
      </c>
      <c r="R1570" s="4">
        <v>5</v>
      </c>
      <c r="S1570" s="13" t="s">
        <v>595</v>
      </c>
      <c r="T1570" s="13">
        <v>61</v>
      </c>
      <c r="U1570" s="4" t="s">
        <v>385</v>
      </c>
      <c r="V1570" s="4">
        <v>450</v>
      </c>
      <c r="W1570" s="4" t="s">
        <v>601</v>
      </c>
      <c r="X1570" s="4">
        <v>732</v>
      </c>
      <c r="Y1570" s="4">
        <v>45</v>
      </c>
      <c r="AA1570" s="4" t="s">
        <v>49</v>
      </c>
      <c r="AB1570" s="4">
        <v>0</v>
      </c>
      <c r="AC1570" s="4" t="s">
        <v>49</v>
      </c>
      <c r="AD1570" s="4">
        <v>0</v>
      </c>
      <c r="AE1570" s="4" t="s">
        <v>49</v>
      </c>
      <c r="AF1570" s="4">
        <v>0</v>
      </c>
      <c r="AG1570" s="4" t="s">
        <v>764</v>
      </c>
      <c r="AH1570" s="4" t="s">
        <v>763</v>
      </c>
      <c r="AI1570" s="4" t="s">
        <v>64</v>
      </c>
      <c r="AJ1570" s="13">
        <v>0</v>
      </c>
      <c r="AK1570" s="13">
        <v>15</v>
      </c>
      <c r="AL1570" s="13" t="s">
        <v>578</v>
      </c>
      <c r="AM1570" s="13" t="s">
        <v>579</v>
      </c>
      <c r="AN1570" s="13" t="s">
        <v>580</v>
      </c>
      <c r="AO1570" s="13" t="s">
        <v>581</v>
      </c>
      <c r="AP1570" s="13" t="s">
        <v>49</v>
      </c>
      <c r="AQ1570" s="13" t="s">
        <v>49</v>
      </c>
      <c r="AR1570" s="13" t="s">
        <v>50</v>
      </c>
      <c r="AS1570" s="13" t="s">
        <v>49</v>
      </c>
      <c r="AT1570" s="13" t="s">
        <v>990</v>
      </c>
      <c r="AU1570" s="13" t="s">
        <v>998</v>
      </c>
      <c r="AV1570" s="14">
        <f>1.56/1000</f>
        <v>1.56E-3</v>
      </c>
      <c r="AW1570" s="14">
        <f>2.42/1000</f>
        <v>2.4199999999999998E-3</v>
      </c>
      <c r="AX1570" s="14">
        <f>Table1347456[[#This Row],[treatment_mean]]/Table1347456[[#This Row],[control_mean]]</f>
        <v>0.64462809917355379</v>
      </c>
      <c r="AY1570" s="14">
        <f>LN(Table1347456[[#This Row],[rr]])</f>
        <v>-0.43908171890714925</v>
      </c>
      <c r="AZ1570" s="13">
        <v>5</v>
      </c>
      <c r="BA1570" s="13">
        <v>5</v>
      </c>
      <c r="BB1570" s="14">
        <f>0.06/1000</f>
        <v>5.9999999999999995E-5</v>
      </c>
      <c r="BC1570" s="14">
        <f>0.14/1000</f>
        <v>1.4000000000000001E-4</v>
      </c>
      <c r="BD1570" s="15">
        <f>Table1347456[[#This Row],[treatment_se]]*SQRT(Table1347456[[#This Row],[treatment_n]])</f>
        <v>1.3416407864998739E-4</v>
      </c>
      <c r="BE1570" s="14">
        <f>Table1347456[[#This Row],[control_se]]*SQRT(Table1347456[[#This Row],[control_n]])</f>
        <v>3.1304951684997062E-4</v>
      </c>
      <c r="BF157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4.8260558721172509E-3</v>
      </c>
      <c r="BG1570" s="17">
        <f>SQRT(Table1347456[[#This Row],[v_from_sd_and_n]])</f>
        <v>6.9469819865300153E-2</v>
      </c>
      <c r="BH1570" s="13" t="s">
        <v>50</v>
      </c>
      <c r="BI1570" s="13">
        <v>2.5000000000000001E-2</v>
      </c>
      <c r="BJ1570" s="18">
        <f>ABS(_xlfn.NORM.S.INV(Table1347456[[#This Row],[p_value]]/2))</f>
        <v>2.2414027276049446</v>
      </c>
      <c r="BK1570" s="19">
        <f>(Table1347456[[#This Row],[lnrr]]/Table1347456[[#This Row],[z_from_p]])^2</f>
        <v>3.8375223619764899E-2</v>
      </c>
      <c r="BL1570" s="16">
        <f>Table1347456[[#This Row],[v_from_sd_and_n]]</f>
        <v>4.8260558721172509E-3</v>
      </c>
      <c r="BM1570" s="20">
        <f>SQRT(Table1347456[[#This Row],[v]])</f>
        <v>6.9469819865300153E-2</v>
      </c>
      <c r="BN1570" s="20">
        <f>Table1347456[[#This Row],[lnrr]]-(1.96*Table1347456[[#This Row],[se]])</f>
        <v>-0.57524256584313749</v>
      </c>
      <c r="BO1570" s="20">
        <f>Table1347456[[#This Row],[lnrr]]+(1.96 * Table1347456[[#This Row],[se]])</f>
        <v>-0.30292087197116097</v>
      </c>
    </row>
    <row r="1571" spans="1:67">
      <c r="A1571" s="13" t="s">
        <v>467</v>
      </c>
      <c r="B1571" s="13" t="s">
        <v>468</v>
      </c>
      <c r="C1571" s="13" t="s">
        <v>43</v>
      </c>
      <c r="D1571" s="13" t="s">
        <v>469</v>
      </c>
      <c r="E1571" s="13" t="s">
        <v>178</v>
      </c>
      <c r="F1571" s="13" t="s">
        <v>587</v>
      </c>
      <c r="G1571" s="13" t="s">
        <v>470</v>
      </c>
      <c r="H1571" s="13">
        <v>20</v>
      </c>
      <c r="I1571" s="13">
        <v>200</v>
      </c>
      <c r="K1571" s="13" t="s">
        <v>967</v>
      </c>
      <c r="L1571" s="13" t="s">
        <v>968</v>
      </c>
      <c r="N1571" s="13" t="s">
        <v>53</v>
      </c>
      <c r="O1571" s="13" t="s">
        <v>54</v>
      </c>
      <c r="P1571" s="13" t="s">
        <v>85</v>
      </c>
      <c r="Q1571" s="13" t="s">
        <v>48</v>
      </c>
      <c r="R1571" s="4">
        <v>5</v>
      </c>
      <c r="S1571" s="13" t="s">
        <v>595</v>
      </c>
      <c r="T1571" s="13">
        <v>61</v>
      </c>
      <c r="U1571" s="4" t="s">
        <v>385</v>
      </c>
      <c r="V1571" s="4">
        <v>450</v>
      </c>
      <c r="W1571" s="4" t="s">
        <v>601</v>
      </c>
      <c r="X1571" s="4">
        <v>732</v>
      </c>
      <c r="Y1571" s="4">
        <v>22.5</v>
      </c>
      <c r="AA1571" s="4" t="s">
        <v>49</v>
      </c>
      <c r="AB1571" s="4">
        <v>0</v>
      </c>
      <c r="AC1571" s="4" t="s">
        <v>49</v>
      </c>
      <c r="AD1571" s="4">
        <v>0</v>
      </c>
      <c r="AE1571" s="4" t="s">
        <v>49</v>
      </c>
      <c r="AF1571" s="4">
        <v>0</v>
      </c>
      <c r="AG1571" s="4" t="s">
        <v>764</v>
      </c>
      <c r="AH1571" s="4" t="s">
        <v>763</v>
      </c>
      <c r="AI1571" s="4" t="s">
        <v>64</v>
      </c>
      <c r="AJ1571" s="13">
        <v>0</v>
      </c>
      <c r="AK1571" s="13">
        <v>15</v>
      </c>
      <c r="AL1571" s="13" t="s">
        <v>578</v>
      </c>
      <c r="AM1571" s="13" t="s">
        <v>579</v>
      </c>
      <c r="AN1571" s="13" t="s">
        <v>580</v>
      </c>
      <c r="AO1571" s="13" t="s">
        <v>581</v>
      </c>
      <c r="AP1571" s="13" t="s">
        <v>49</v>
      </c>
      <c r="AQ1571" s="13" t="s">
        <v>49</v>
      </c>
      <c r="AR1571" s="13" t="s">
        <v>50</v>
      </c>
      <c r="AS1571" s="13" t="s">
        <v>49</v>
      </c>
      <c r="AT1571" s="13" t="s">
        <v>990</v>
      </c>
      <c r="AU1571" s="13" t="s">
        <v>998</v>
      </c>
      <c r="AV1571" s="14">
        <f>83.01/1000</f>
        <v>8.301E-2</v>
      </c>
      <c r="AW1571" s="14">
        <f>118.7/1000</f>
        <v>0.1187</v>
      </c>
      <c r="AX1571" s="14">
        <f>Table1347456[[#This Row],[treatment_mean]]/Table1347456[[#This Row],[control_mean]]</f>
        <v>0.69932603201347932</v>
      </c>
      <c r="AY1571" s="14">
        <f>LN(Table1347456[[#This Row],[rr]])</f>
        <v>-0.35763821914867816</v>
      </c>
      <c r="AZ1571" s="13">
        <v>5</v>
      </c>
      <c r="BA1571" s="13">
        <v>5</v>
      </c>
      <c r="BB1571" s="14">
        <f>7.31/1000</f>
        <v>7.3099999999999997E-3</v>
      </c>
      <c r="BC1571" s="14">
        <f>6.04/1000</f>
        <v>6.0400000000000002E-3</v>
      </c>
      <c r="BD1571" s="15">
        <f>Table1347456[[#This Row],[treatment_se]]*SQRT(Table1347456[[#This Row],[treatment_n]])</f>
        <v>1.6345656915523463E-2</v>
      </c>
      <c r="BE1571" s="14">
        <f>Table1347456[[#This Row],[control_se]]*SQRT(Table1347456[[#This Row],[control_n]])</f>
        <v>1.3505850584098731E-2</v>
      </c>
      <c r="BF157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1.0344100149192551E-2</v>
      </c>
      <c r="BG1571" s="17">
        <f>SQRT(Table1347456[[#This Row],[v_from_sd_and_n]])</f>
        <v>0.1017059494286964</v>
      </c>
      <c r="BH1571" s="13" t="s">
        <v>50</v>
      </c>
      <c r="BI1571" s="13">
        <v>2.5000000000000001E-2</v>
      </c>
      <c r="BJ1571" s="18">
        <f>ABS(_xlfn.NORM.S.INV(Table1347456[[#This Row],[p_value]]/2))</f>
        <v>2.2414027276049446</v>
      </c>
      <c r="BK1571" s="19">
        <f>(Table1347456[[#This Row],[lnrr]]/Table1347456[[#This Row],[z_from_p]])^2</f>
        <v>2.5459393590323214E-2</v>
      </c>
      <c r="BL1571" s="16">
        <f>Table1347456[[#This Row],[v_from_sd_and_n]]</f>
        <v>1.0344100149192551E-2</v>
      </c>
      <c r="BM1571" s="20">
        <f>SQRT(Table1347456[[#This Row],[v]])</f>
        <v>0.1017059494286964</v>
      </c>
      <c r="BN1571" s="20">
        <f>Table1347456[[#This Row],[lnrr]]-(1.96*Table1347456[[#This Row],[se]])</f>
        <v>-0.55698188002892313</v>
      </c>
      <c r="BO1571" s="20">
        <f>Table1347456[[#This Row],[lnrr]]+(1.96 * Table1347456[[#This Row],[se]])</f>
        <v>-0.15829455826843322</v>
      </c>
    </row>
    <row r="1572" spans="1:67">
      <c r="A1572" s="13" t="s">
        <v>467</v>
      </c>
      <c r="B1572" s="13" t="s">
        <v>468</v>
      </c>
      <c r="C1572" s="13" t="s">
        <v>43</v>
      </c>
      <c r="D1572" s="13" t="s">
        <v>469</v>
      </c>
      <c r="E1572" s="13" t="s">
        <v>178</v>
      </c>
      <c r="F1572" s="13" t="s">
        <v>587</v>
      </c>
      <c r="G1572" s="13" t="s">
        <v>470</v>
      </c>
      <c r="H1572" s="13">
        <v>20</v>
      </c>
      <c r="I1572" s="13">
        <v>200</v>
      </c>
      <c r="K1572" s="13" t="s">
        <v>967</v>
      </c>
      <c r="L1572" s="13" t="s">
        <v>968</v>
      </c>
      <c r="N1572" s="13" t="s">
        <v>53</v>
      </c>
      <c r="O1572" s="13" t="s">
        <v>54</v>
      </c>
      <c r="P1572" s="13" t="s">
        <v>85</v>
      </c>
      <c r="Q1572" s="13" t="s">
        <v>48</v>
      </c>
      <c r="R1572" s="4">
        <v>5</v>
      </c>
      <c r="S1572" s="13" t="s">
        <v>595</v>
      </c>
      <c r="T1572" s="13">
        <v>61</v>
      </c>
      <c r="U1572" s="4" t="s">
        <v>385</v>
      </c>
      <c r="V1572" s="4">
        <v>450</v>
      </c>
      <c r="W1572" s="4" t="s">
        <v>601</v>
      </c>
      <c r="X1572" s="4">
        <v>732</v>
      </c>
      <c r="Y1572" s="4">
        <v>45</v>
      </c>
      <c r="AA1572" s="4" t="s">
        <v>49</v>
      </c>
      <c r="AB1572" s="4">
        <v>0</v>
      </c>
      <c r="AC1572" s="4" t="s">
        <v>49</v>
      </c>
      <c r="AD1572" s="4">
        <v>0</v>
      </c>
      <c r="AE1572" s="4" t="s">
        <v>49</v>
      </c>
      <c r="AF1572" s="4">
        <v>0</v>
      </c>
      <c r="AG1572" s="4" t="s">
        <v>764</v>
      </c>
      <c r="AH1572" s="4" t="s">
        <v>763</v>
      </c>
      <c r="AI1572" s="4" t="s">
        <v>64</v>
      </c>
      <c r="AJ1572" s="13">
        <v>0</v>
      </c>
      <c r="AK1572" s="13">
        <v>15</v>
      </c>
      <c r="AL1572" s="13" t="s">
        <v>578</v>
      </c>
      <c r="AM1572" s="13" t="s">
        <v>579</v>
      </c>
      <c r="AN1572" s="13" t="s">
        <v>580</v>
      </c>
      <c r="AO1572" s="13" t="s">
        <v>581</v>
      </c>
      <c r="AP1572" s="13" t="s">
        <v>49</v>
      </c>
      <c r="AQ1572" s="13" t="s">
        <v>49</v>
      </c>
      <c r="AR1572" s="13" t="s">
        <v>50</v>
      </c>
      <c r="AS1572" s="13" t="s">
        <v>49</v>
      </c>
      <c r="AT1572" s="13" t="s">
        <v>990</v>
      </c>
      <c r="AU1572" s="13" t="s">
        <v>998</v>
      </c>
      <c r="AV1572" s="14">
        <f>93.16/1000</f>
        <v>9.3159999999999993E-2</v>
      </c>
      <c r="AW1572" s="14">
        <f>118.7/1000</f>
        <v>0.1187</v>
      </c>
      <c r="AX1572" s="14">
        <f>Table1347456[[#This Row],[treatment_mean]]/Table1347456[[#This Row],[control_mean]]</f>
        <v>0.78483572030328552</v>
      </c>
      <c r="AY1572" s="14">
        <f>LN(Table1347456[[#This Row],[rr]])</f>
        <v>-0.2422808565994822</v>
      </c>
      <c r="AZ1572" s="13">
        <v>5</v>
      </c>
      <c r="BA1572" s="13">
        <v>5</v>
      </c>
      <c r="BB1572" s="14">
        <f>2.19/1000</f>
        <v>2.1900000000000001E-3</v>
      </c>
      <c r="BC1572" s="14">
        <f>6.04/1000</f>
        <v>6.0400000000000002E-3</v>
      </c>
      <c r="BD1572" s="15">
        <f>Table1347456[[#This Row],[treatment_se]]*SQRT(Table1347456[[#This Row],[treatment_n]])</f>
        <v>4.8969888707245399E-3</v>
      </c>
      <c r="BE1572" s="14">
        <f>Table1347456[[#This Row],[control_se]]*SQRT(Table1347456[[#This Row],[control_n]])</f>
        <v>1.3505850584098731E-2</v>
      </c>
      <c r="BF157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3.1418641845756016E-3</v>
      </c>
      <c r="BG1572" s="17">
        <f>SQRT(Table1347456[[#This Row],[v_from_sd_and_n]])</f>
        <v>5.6052334336543039E-2</v>
      </c>
      <c r="BH1572" s="13" t="s">
        <v>50</v>
      </c>
      <c r="BI1572" s="13">
        <v>2.5000000000000001E-2</v>
      </c>
      <c r="BJ1572" s="18">
        <f>ABS(_xlfn.NORM.S.INV(Table1347456[[#This Row],[p_value]]/2))</f>
        <v>2.2414027276049446</v>
      </c>
      <c r="BK1572" s="19">
        <f>(Table1347456[[#This Row],[lnrr]]/Table1347456[[#This Row],[z_from_p]])^2</f>
        <v>1.1684184570660474E-2</v>
      </c>
      <c r="BL1572" s="16">
        <f>Table1347456[[#This Row],[v_from_sd_and_n]]</f>
        <v>3.1418641845756016E-3</v>
      </c>
      <c r="BM1572" s="20">
        <f>SQRT(Table1347456[[#This Row],[v]])</f>
        <v>5.6052334336543039E-2</v>
      </c>
      <c r="BN1572" s="20">
        <f>Table1347456[[#This Row],[lnrr]]-(1.96*Table1347456[[#This Row],[se]])</f>
        <v>-0.35214343189910657</v>
      </c>
      <c r="BO1572" s="20">
        <f>Table1347456[[#This Row],[lnrr]]+(1.96 * Table1347456[[#This Row],[se]])</f>
        <v>-0.13241828129985783</v>
      </c>
    </row>
    <row r="1573" spans="1:67">
      <c r="A1573" s="13" t="s">
        <v>467</v>
      </c>
      <c r="B1573" s="13" t="s">
        <v>468</v>
      </c>
      <c r="C1573" s="13" t="s">
        <v>43</v>
      </c>
      <c r="D1573" s="13" t="s">
        <v>469</v>
      </c>
      <c r="E1573" s="13" t="s">
        <v>178</v>
      </c>
      <c r="F1573" s="13" t="s">
        <v>587</v>
      </c>
      <c r="G1573" s="13" t="s">
        <v>470</v>
      </c>
      <c r="H1573" s="13">
        <v>20</v>
      </c>
      <c r="I1573" s="13">
        <v>200</v>
      </c>
      <c r="K1573" s="13" t="s">
        <v>967</v>
      </c>
      <c r="L1573" s="13" t="s">
        <v>968</v>
      </c>
      <c r="N1573" s="13" t="s">
        <v>316</v>
      </c>
      <c r="O1573" s="13" t="s">
        <v>644</v>
      </c>
      <c r="P1573" s="13" t="s">
        <v>85</v>
      </c>
      <c r="Q1573" s="13" t="s">
        <v>48</v>
      </c>
      <c r="R1573" s="4">
        <v>5</v>
      </c>
      <c r="S1573" s="13" t="s">
        <v>595</v>
      </c>
      <c r="T1573" s="13">
        <v>61</v>
      </c>
      <c r="U1573" s="4" t="s">
        <v>385</v>
      </c>
      <c r="V1573" s="4">
        <v>450</v>
      </c>
      <c r="W1573" s="4" t="s">
        <v>601</v>
      </c>
      <c r="X1573" s="4">
        <v>732</v>
      </c>
      <c r="Y1573" s="4">
        <v>22.5</v>
      </c>
      <c r="AA1573" s="4" t="s">
        <v>49</v>
      </c>
      <c r="AB1573" s="4">
        <v>0</v>
      </c>
      <c r="AC1573" s="4" t="s">
        <v>49</v>
      </c>
      <c r="AD1573" s="4">
        <v>0</v>
      </c>
      <c r="AE1573" s="4" t="s">
        <v>49</v>
      </c>
      <c r="AF1573" s="4">
        <v>0</v>
      </c>
      <c r="AG1573" s="4" t="s">
        <v>764</v>
      </c>
      <c r="AH1573" s="4" t="s">
        <v>763</v>
      </c>
      <c r="AI1573" s="4" t="s">
        <v>64</v>
      </c>
      <c r="AJ1573" s="13">
        <v>0</v>
      </c>
      <c r="AK1573" s="13">
        <v>15</v>
      </c>
      <c r="AL1573" s="13" t="s">
        <v>578</v>
      </c>
      <c r="AM1573" s="13" t="s">
        <v>579</v>
      </c>
      <c r="AN1573" s="13" t="s">
        <v>580</v>
      </c>
      <c r="AO1573" s="13" t="s">
        <v>581</v>
      </c>
      <c r="AP1573" s="13" t="s">
        <v>49</v>
      </c>
      <c r="AQ1573" s="13" t="s">
        <v>49</v>
      </c>
      <c r="AR1573" s="13" t="s">
        <v>50</v>
      </c>
      <c r="AS1573" s="13" t="s">
        <v>49</v>
      </c>
      <c r="AT1573" s="13" t="s">
        <v>990</v>
      </c>
      <c r="AU1573" s="13" t="s">
        <v>998</v>
      </c>
      <c r="AV1573" s="14">
        <f>84.56/1000</f>
        <v>8.4559999999999996E-2</v>
      </c>
      <c r="AW1573" s="14">
        <f>12.11/1000</f>
        <v>1.2109999999999999E-2</v>
      </c>
      <c r="AX1573" s="14">
        <f>Table1347456[[#This Row],[treatment_mean]]/Table1347456[[#This Row],[control_mean]]</f>
        <v>6.9826589595375728</v>
      </c>
      <c r="AY1573" s="14">
        <f>LN(Table1347456[[#This Row],[rr]])</f>
        <v>1.9434297839969814</v>
      </c>
      <c r="AZ1573" s="13">
        <v>5</v>
      </c>
      <c r="BA1573" s="13">
        <v>5</v>
      </c>
      <c r="BB1573" s="14">
        <f>7.31/1000</f>
        <v>7.3099999999999997E-3</v>
      </c>
      <c r="BC1573" s="14">
        <f>6.14/1000</f>
        <v>6.1399999999999996E-3</v>
      </c>
      <c r="BD1573" s="15">
        <f>Table1347456[[#This Row],[treatment_se]]*SQRT(Table1347456[[#This Row],[treatment_n]])</f>
        <v>1.6345656915523463E-2</v>
      </c>
      <c r="BE1573" s="14">
        <f>Table1347456[[#This Row],[control_se]]*SQRT(Table1347456[[#This Row],[control_n]])</f>
        <v>1.3729457381848709E-2</v>
      </c>
      <c r="BF157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0.26454142785426132</v>
      </c>
      <c r="BG1573" s="17">
        <f>SQRT(Table1347456[[#This Row],[v_from_sd_and_n]])</f>
        <v>0.51433590955158992</v>
      </c>
      <c r="BH1573" s="13" t="s">
        <v>50</v>
      </c>
      <c r="BI1573" s="13">
        <v>2.5000000000000001E-2</v>
      </c>
      <c r="BJ1573" s="18">
        <f>ABS(_xlfn.NORM.S.INV(Table1347456[[#This Row],[p_value]]/2))</f>
        <v>2.2414027276049446</v>
      </c>
      <c r="BK1573" s="19">
        <f>(Table1347456[[#This Row],[lnrr]]/Table1347456[[#This Row],[z_from_p]])^2</f>
        <v>0.7517923743700895</v>
      </c>
      <c r="BL1573" s="16">
        <f>Table1347456[[#This Row],[v_from_sd_and_n]]</f>
        <v>0.26454142785426132</v>
      </c>
      <c r="BM1573" s="20">
        <f>SQRT(Table1347456[[#This Row],[v]])</f>
        <v>0.51433590955158992</v>
      </c>
      <c r="BN1573" s="20">
        <f>Table1347456[[#This Row],[lnrr]]-(1.96*Table1347456[[#This Row],[se]])</f>
        <v>0.93533140127586512</v>
      </c>
      <c r="BO1573" s="20">
        <f>Table1347456[[#This Row],[lnrr]]+(1.96 * Table1347456[[#This Row],[se]])</f>
        <v>2.9515281667180977</v>
      </c>
    </row>
    <row r="1574" spans="1:67">
      <c r="A1574" s="13" t="s">
        <v>467</v>
      </c>
      <c r="B1574" s="13" t="s">
        <v>468</v>
      </c>
      <c r="C1574" s="13" t="s">
        <v>43</v>
      </c>
      <c r="D1574" s="13" t="s">
        <v>469</v>
      </c>
      <c r="E1574" s="13" t="s">
        <v>178</v>
      </c>
      <c r="F1574" s="13" t="s">
        <v>587</v>
      </c>
      <c r="G1574" s="13" t="s">
        <v>470</v>
      </c>
      <c r="H1574" s="13">
        <v>20</v>
      </c>
      <c r="I1574" s="13">
        <v>200</v>
      </c>
      <c r="K1574" s="13" t="s">
        <v>967</v>
      </c>
      <c r="L1574" s="13" t="s">
        <v>968</v>
      </c>
      <c r="N1574" s="13" t="s">
        <v>316</v>
      </c>
      <c r="O1574" s="13" t="s">
        <v>644</v>
      </c>
      <c r="P1574" s="13" t="s">
        <v>85</v>
      </c>
      <c r="Q1574" s="13" t="s">
        <v>48</v>
      </c>
      <c r="R1574" s="4">
        <v>5</v>
      </c>
      <c r="S1574" s="13" t="s">
        <v>595</v>
      </c>
      <c r="T1574" s="13">
        <v>61</v>
      </c>
      <c r="U1574" s="4" t="s">
        <v>385</v>
      </c>
      <c r="V1574" s="4">
        <v>450</v>
      </c>
      <c r="W1574" s="4" t="s">
        <v>601</v>
      </c>
      <c r="X1574" s="4">
        <v>732</v>
      </c>
      <c r="Y1574" s="4">
        <v>45</v>
      </c>
      <c r="AA1574" s="4" t="s">
        <v>49</v>
      </c>
      <c r="AB1574" s="4">
        <v>0</v>
      </c>
      <c r="AC1574" s="4" t="s">
        <v>49</v>
      </c>
      <c r="AD1574" s="4">
        <v>0</v>
      </c>
      <c r="AE1574" s="4" t="s">
        <v>49</v>
      </c>
      <c r="AF1574" s="4">
        <v>0</v>
      </c>
      <c r="AG1574" s="4" t="s">
        <v>764</v>
      </c>
      <c r="AH1574" s="4" t="s">
        <v>763</v>
      </c>
      <c r="AI1574" s="4" t="s">
        <v>64</v>
      </c>
      <c r="AJ1574" s="13">
        <v>0</v>
      </c>
      <c r="AK1574" s="13">
        <v>15</v>
      </c>
      <c r="AL1574" s="13" t="s">
        <v>578</v>
      </c>
      <c r="AM1574" s="13" t="s">
        <v>579</v>
      </c>
      <c r="AN1574" s="13" t="s">
        <v>580</v>
      </c>
      <c r="AO1574" s="13" t="s">
        <v>581</v>
      </c>
      <c r="AP1574" s="13" t="s">
        <v>49</v>
      </c>
      <c r="AQ1574" s="13" t="s">
        <v>49</v>
      </c>
      <c r="AR1574" s="13" t="s">
        <v>50</v>
      </c>
      <c r="AS1574" s="13" t="s">
        <v>49</v>
      </c>
      <c r="AT1574" s="13" t="s">
        <v>990</v>
      </c>
      <c r="AU1574" s="13" t="s">
        <v>998</v>
      </c>
      <c r="AV1574" s="14">
        <f>97.52/1000</f>
        <v>9.7519999999999996E-2</v>
      </c>
      <c r="AW1574" s="14">
        <f>12.11/1000</f>
        <v>1.2109999999999999E-2</v>
      </c>
      <c r="AX1574" s="14">
        <f>Table1347456[[#This Row],[treatment_mean]]/Table1347456[[#This Row],[control_mean]]</f>
        <v>8.0528488852188271</v>
      </c>
      <c r="AY1574" s="14">
        <f>LN(Table1347456[[#This Row],[rr]])</f>
        <v>2.0860259276080151</v>
      </c>
      <c r="AZ1574" s="13">
        <v>5</v>
      </c>
      <c r="BA1574" s="13">
        <v>5</v>
      </c>
      <c r="BB1574" s="14">
        <f>2.19/1000</f>
        <v>2.1900000000000001E-3</v>
      </c>
      <c r="BC1574" s="14">
        <f>6.14/1000</f>
        <v>6.1399999999999996E-3</v>
      </c>
      <c r="BD1574" s="15">
        <f>Table1347456[[#This Row],[treatment_se]]*SQRT(Table1347456[[#This Row],[treatment_n]])</f>
        <v>4.8969888707245399E-3</v>
      </c>
      <c r="BE1574" s="14">
        <f>Table1347456[[#This Row],[control_se]]*SQRT(Table1347456[[#This Row],[control_n]])</f>
        <v>1.3729457381848709E-2</v>
      </c>
      <c r="BF157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0.2575725726156704</v>
      </c>
      <c r="BG1574" s="17">
        <f>SQRT(Table1347456[[#This Row],[v_from_sd_and_n]])</f>
        <v>0.50751608113996782</v>
      </c>
      <c r="BH1574" s="13" t="s">
        <v>50</v>
      </c>
      <c r="BI1574" s="13">
        <v>2.5000000000000001E-2</v>
      </c>
      <c r="BJ1574" s="18">
        <f>ABS(_xlfn.NORM.S.INV(Table1347456[[#This Row],[p_value]]/2))</f>
        <v>2.2414027276049446</v>
      </c>
      <c r="BK1574" s="19">
        <f>(Table1347456[[#This Row],[lnrr]]/Table1347456[[#This Row],[z_from_p]])^2</f>
        <v>0.86616296795103676</v>
      </c>
      <c r="BL1574" s="16">
        <f>Table1347456[[#This Row],[v_from_sd_and_n]]</f>
        <v>0.2575725726156704</v>
      </c>
      <c r="BM1574" s="20">
        <f>SQRT(Table1347456[[#This Row],[v]])</f>
        <v>0.50751608113996782</v>
      </c>
      <c r="BN1574" s="20">
        <f>Table1347456[[#This Row],[lnrr]]-(1.96*Table1347456[[#This Row],[se]])</f>
        <v>1.0912944085736782</v>
      </c>
      <c r="BO1574" s="20">
        <f>Table1347456[[#This Row],[lnrr]]+(1.96 * Table1347456[[#This Row],[se]])</f>
        <v>3.0807574466423517</v>
      </c>
    </row>
    <row r="1575" spans="1:67">
      <c r="A1575" s="13" t="s">
        <v>471</v>
      </c>
      <c r="B1575" s="13" t="s">
        <v>472</v>
      </c>
      <c r="C1575" s="13" t="s">
        <v>43</v>
      </c>
      <c r="D1575" s="13" t="s">
        <v>90</v>
      </c>
      <c r="E1575" s="13" t="s">
        <v>91</v>
      </c>
      <c r="F1575" s="13" t="s">
        <v>587</v>
      </c>
      <c r="G1575" s="13" t="s">
        <v>473</v>
      </c>
      <c r="H1575" s="13">
        <v>14.4</v>
      </c>
      <c r="I1575" s="13">
        <v>640</v>
      </c>
      <c r="K1575" s="13" t="s">
        <v>969</v>
      </c>
      <c r="L1575" s="13" t="s">
        <v>970</v>
      </c>
      <c r="N1575" s="13" t="s">
        <v>47</v>
      </c>
      <c r="O1575" s="13" t="s">
        <v>645</v>
      </c>
      <c r="P1575" s="13" t="s">
        <v>48</v>
      </c>
      <c r="Q1575" s="13" t="s">
        <v>48</v>
      </c>
      <c r="R1575" s="4">
        <v>3</v>
      </c>
      <c r="S1575" s="13" t="s">
        <v>594</v>
      </c>
      <c r="T1575" s="13">
        <v>730</v>
      </c>
      <c r="U1575" s="4" t="s">
        <v>93</v>
      </c>
      <c r="V1575" s="4">
        <v>450</v>
      </c>
      <c r="W1575" s="4" t="s">
        <v>601</v>
      </c>
      <c r="X1575" s="4">
        <v>452</v>
      </c>
      <c r="Y1575" s="4">
        <v>22.5</v>
      </c>
      <c r="AA1575" s="4" t="s">
        <v>49</v>
      </c>
      <c r="AB1575" s="4">
        <v>0</v>
      </c>
      <c r="AC1575" s="4" t="s">
        <v>49</v>
      </c>
      <c r="AD1575" s="4">
        <v>0</v>
      </c>
      <c r="AE1575" s="4" t="s">
        <v>49</v>
      </c>
      <c r="AF1575" s="4">
        <v>0</v>
      </c>
      <c r="AG1575" s="4" t="s">
        <v>732</v>
      </c>
      <c r="AH1575" s="4" t="s">
        <v>731</v>
      </c>
      <c r="AI1575" s="4" t="s">
        <v>64</v>
      </c>
      <c r="AJ1575" s="13">
        <v>0</v>
      </c>
      <c r="AK1575" s="13">
        <v>20</v>
      </c>
      <c r="AP1575" s="13" t="s">
        <v>50</v>
      </c>
      <c r="AQ1575" s="13" t="s">
        <v>49</v>
      </c>
      <c r="AR1575" s="13" t="s">
        <v>50</v>
      </c>
      <c r="AS1575" s="13" t="s">
        <v>50</v>
      </c>
      <c r="AT1575" s="13" t="s">
        <v>990</v>
      </c>
      <c r="AU1575" s="13" t="s">
        <v>998</v>
      </c>
      <c r="AV1575" s="14">
        <v>0.82</v>
      </c>
      <c r="AW1575" s="14">
        <v>0.55000000000000004</v>
      </c>
      <c r="AX1575" s="14">
        <f>Table1347456[[#This Row],[treatment_mean]]/Table1347456[[#This Row],[control_mean]]</f>
        <v>1.4909090909090907</v>
      </c>
      <c r="AY1575" s="14">
        <f>LN(Table1347456[[#This Row],[rr]])</f>
        <v>0.39938606203178206</v>
      </c>
      <c r="AZ1575" s="13">
        <v>3</v>
      </c>
      <c r="BA1575" s="13">
        <v>3</v>
      </c>
      <c r="BB1575" s="14">
        <f>Table1347456[[#This Row],[treatment_sd]]/SQRT(Table1347456[[#This Row],[treatment_n]])</f>
        <v>0</v>
      </c>
      <c r="BC1575" s="14">
        <f>Table1347456[[#This Row],[control_sd]]/SQRT(Table1347456[[#This Row],[control_n]])</f>
        <v>2.8867513459481291E-2</v>
      </c>
      <c r="BD1575" s="15">
        <v>0</v>
      </c>
      <c r="BE1575" s="14">
        <v>0.05</v>
      </c>
      <c r="BF157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2.7548209366391185E-3</v>
      </c>
      <c r="BG1575" s="17">
        <f>SQRT(Table1347456[[#This Row],[v_from_sd_and_n]])</f>
        <v>5.2486388108147798E-2</v>
      </c>
      <c r="BH1575" s="13" t="s">
        <v>49</v>
      </c>
      <c r="BI1575" s="13">
        <v>0.52500000000000002</v>
      </c>
      <c r="BJ1575" s="18">
        <f>ABS(_xlfn.NORM.S.INV(Table1347456[[#This Row],[p_value]]/2))</f>
        <v>0.63565701369758276</v>
      </c>
      <c r="BK1575" s="19">
        <f>(Table1347456[[#This Row],[lnrr]]/Table1347456[[#This Row],[z_from_p]])^2</f>
        <v>0.39476634677472183</v>
      </c>
      <c r="BL1575" s="16">
        <f>Table1347456[[#This Row],[v_from_sd_and_n]]</f>
        <v>2.7548209366391185E-3</v>
      </c>
      <c r="BM1575" s="20">
        <f>SQRT(Table1347456[[#This Row],[v]])</f>
        <v>5.2486388108147798E-2</v>
      </c>
      <c r="BN1575" s="20">
        <f>Table1347456[[#This Row],[lnrr]]-(1.96*Table1347456[[#This Row],[se]])</f>
        <v>0.29651274133981237</v>
      </c>
      <c r="BO1575" s="20">
        <f>Table1347456[[#This Row],[lnrr]]+(1.96 * Table1347456[[#This Row],[se]])</f>
        <v>0.5022593827237517</v>
      </c>
    </row>
    <row r="1576" spans="1:67">
      <c r="A1576" s="13" t="s">
        <v>471</v>
      </c>
      <c r="B1576" s="13" t="s">
        <v>472</v>
      </c>
      <c r="C1576" s="13" t="s">
        <v>43</v>
      </c>
      <c r="D1576" s="13" t="s">
        <v>90</v>
      </c>
      <c r="E1576" s="13" t="s">
        <v>91</v>
      </c>
      <c r="F1576" s="13" t="s">
        <v>587</v>
      </c>
      <c r="G1576" s="13" t="s">
        <v>473</v>
      </c>
      <c r="H1576" s="13">
        <v>14.4</v>
      </c>
      <c r="I1576" s="13">
        <v>640</v>
      </c>
      <c r="K1576" s="13" t="s">
        <v>969</v>
      </c>
      <c r="L1576" s="13" t="s">
        <v>970</v>
      </c>
      <c r="N1576" s="13" t="s">
        <v>47</v>
      </c>
      <c r="O1576" s="13" t="s">
        <v>645</v>
      </c>
      <c r="P1576" s="13" t="s">
        <v>48</v>
      </c>
      <c r="Q1576" s="13" t="s">
        <v>48</v>
      </c>
      <c r="R1576" s="4">
        <v>3</v>
      </c>
      <c r="S1576" s="13" t="s">
        <v>594</v>
      </c>
      <c r="T1576" s="13">
        <v>730</v>
      </c>
      <c r="U1576" s="4" t="s">
        <v>93</v>
      </c>
      <c r="V1576" s="4">
        <v>450</v>
      </c>
      <c r="W1576" s="4" t="s">
        <v>601</v>
      </c>
      <c r="X1576" s="4">
        <v>452</v>
      </c>
      <c r="Y1576" s="4">
        <v>22.5</v>
      </c>
      <c r="AA1576" s="4" t="s">
        <v>50</v>
      </c>
      <c r="AB1576" s="4">
        <v>150</v>
      </c>
      <c r="AC1576" s="4" t="s">
        <v>49</v>
      </c>
      <c r="AD1576" s="4">
        <v>0</v>
      </c>
      <c r="AE1576" s="4" t="s">
        <v>49</v>
      </c>
      <c r="AF1576" s="4">
        <v>0</v>
      </c>
      <c r="AG1576" s="4" t="s">
        <v>732</v>
      </c>
      <c r="AH1576" s="4" t="s">
        <v>731</v>
      </c>
      <c r="AI1576" s="4" t="s">
        <v>64</v>
      </c>
      <c r="AJ1576" s="13">
        <v>0</v>
      </c>
      <c r="AK1576" s="13">
        <v>20</v>
      </c>
      <c r="AP1576" s="13" t="s">
        <v>50</v>
      </c>
      <c r="AQ1576" s="13" t="s">
        <v>49</v>
      </c>
      <c r="AR1576" s="13" t="s">
        <v>50</v>
      </c>
      <c r="AS1576" s="13" t="s">
        <v>50</v>
      </c>
      <c r="AT1576" s="13" t="s">
        <v>992</v>
      </c>
      <c r="AU1576" s="4" t="s">
        <v>1000</v>
      </c>
      <c r="AV1576" s="14">
        <v>0.86</v>
      </c>
      <c r="AW1576" s="14">
        <v>0.56000000000000005</v>
      </c>
      <c r="AX1576" s="14">
        <f>Table1347456[[#This Row],[treatment_mean]]/Table1347456[[#This Row],[control_mean]]</f>
        <v>1.5357142857142856</v>
      </c>
      <c r="AY1576" s="14">
        <f>LN(Table1347456[[#This Row],[rr]])</f>
        <v>0.42899560551835841</v>
      </c>
      <c r="AZ1576" s="13">
        <v>3</v>
      </c>
      <c r="BA1576" s="13">
        <v>3</v>
      </c>
      <c r="BB1576" s="14">
        <f>Table1347456[[#This Row],[treatment_sd]]/SQRT(Table1347456[[#This Row],[treatment_n]])</f>
        <v>1.7320508075688773E-2</v>
      </c>
      <c r="BC1576" s="14">
        <f>Table1347456[[#This Row],[control_sd]]/SQRT(Table1347456[[#This Row],[control_n]])</f>
        <v>3.4641016151377546E-2</v>
      </c>
      <c r="BD1576" s="15">
        <v>0.03</v>
      </c>
      <c r="BE1576" s="14">
        <v>0.06</v>
      </c>
      <c r="BF157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4.232155274224346E-3</v>
      </c>
      <c r="BG1576" s="17">
        <f>SQRT(Table1347456[[#This Row],[v_from_sd_and_n]])</f>
        <v>6.5055017287095895E-2</v>
      </c>
      <c r="BH1576" s="13" t="s">
        <v>49</v>
      </c>
      <c r="BI1576" s="13">
        <v>0.52500000000000002</v>
      </c>
      <c r="BJ1576" s="18">
        <f>ABS(_xlfn.NORM.S.INV(Table1347456[[#This Row],[p_value]]/2))</f>
        <v>0.63565701369758276</v>
      </c>
      <c r="BK1576" s="19">
        <f>(Table1347456[[#This Row],[lnrr]]/Table1347456[[#This Row],[z_from_p]])^2</f>
        <v>0.45547023426250666</v>
      </c>
      <c r="BL1576" s="16">
        <f>Table1347456[[#This Row],[v_from_sd_and_n]]</f>
        <v>4.232155274224346E-3</v>
      </c>
      <c r="BM1576" s="20">
        <f>SQRT(Table1347456[[#This Row],[v]])</f>
        <v>6.5055017287095895E-2</v>
      </c>
      <c r="BN1576" s="20">
        <f>Table1347456[[#This Row],[lnrr]]-(1.96*Table1347456[[#This Row],[se]])</f>
        <v>0.30148777163565044</v>
      </c>
      <c r="BO1576" s="20">
        <f>Table1347456[[#This Row],[lnrr]]+(1.96 * Table1347456[[#This Row],[se]])</f>
        <v>0.55650343940106639</v>
      </c>
    </row>
    <row r="1577" spans="1:67">
      <c r="A1577" s="13" t="s">
        <v>471</v>
      </c>
      <c r="B1577" s="13" t="s">
        <v>472</v>
      </c>
      <c r="C1577" s="13" t="s">
        <v>43</v>
      </c>
      <c r="D1577" s="13" t="s">
        <v>90</v>
      </c>
      <c r="E1577" s="13" t="s">
        <v>91</v>
      </c>
      <c r="F1577" s="13" t="s">
        <v>587</v>
      </c>
      <c r="G1577" s="13" t="s">
        <v>473</v>
      </c>
      <c r="H1577" s="13">
        <v>14.4</v>
      </c>
      <c r="I1577" s="13">
        <v>640</v>
      </c>
      <c r="K1577" s="13" t="s">
        <v>969</v>
      </c>
      <c r="L1577" s="13" t="s">
        <v>970</v>
      </c>
      <c r="N1577" s="13" t="s">
        <v>47</v>
      </c>
      <c r="O1577" s="13" t="s">
        <v>645</v>
      </c>
      <c r="P1577" s="13" t="s">
        <v>48</v>
      </c>
      <c r="Q1577" s="13" t="s">
        <v>48</v>
      </c>
      <c r="R1577" s="4">
        <v>3</v>
      </c>
      <c r="S1577" s="13" t="s">
        <v>594</v>
      </c>
      <c r="T1577" s="13">
        <v>730</v>
      </c>
      <c r="U1577" s="4" t="s">
        <v>93</v>
      </c>
      <c r="V1577" s="4">
        <v>450</v>
      </c>
      <c r="W1577" s="4" t="s">
        <v>601</v>
      </c>
      <c r="X1577" s="4">
        <v>452</v>
      </c>
      <c r="Y1577" s="4">
        <v>22.5</v>
      </c>
      <c r="AA1577" s="4" t="s">
        <v>50</v>
      </c>
      <c r="AB1577" s="4">
        <v>225</v>
      </c>
      <c r="AC1577" s="4" t="s">
        <v>49</v>
      </c>
      <c r="AD1577" s="4">
        <v>0</v>
      </c>
      <c r="AE1577" s="4" t="s">
        <v>49</v>
      </c>
      <c r="AF1577" s="4">
        <v>0</v>
      </c>
      <c r="AG1577" s="4" t="s">
        <v>732</v>
      </c>
      <c r="AH1577" s="4" t="s">
        <v>731</v>
      </c>
      <c r="AI1577" s="4" t="s">
        <v>64</v>
      </c>
      <c r="AJ1577" s="13">
        <v>0</v>
      </c>
      <c r="AK1577" s="13">
        <v>20</v>
      </c>
      <c r="AP1577" s="13" t="s">
        <v>50</v>
      </c>
      <c r="AQ1577" s="13" t="s">
        <v>49</v>
      </c>
      <c r="AR1577" s="13" t="s">
        <v>50</v>
      </c>
      <c r="AS1577" s="13" t="s">
        <v>50</v>
      </c>
      <c r="AT1577" s="13" t="s">
        <v>992</v>
      </c>
      <c r="AU1577" s="4" t="s">
        <v>1000</v>
      </c>
      <c r="AV1577" s="14">
        <v>0.88</v>
      </c>
      <c r="AW1577" s="14">
        <v>0.56999999999999995</v>
      </c>
      <c r="AX1577" s="14">
        <f>Table1347456[[#This Row],[treatment_mean]]/Table1347456[[#This Row],[control_mean]]</f>
        <v>1.5438596491228072</v>
      </c>
      <c r="AY1577" s="14">
        <f>LN(Table1347456[[#This Row],[rr]])</f>
        <v>0.43428554664365643</v>
      </c>
      <c r="AZ1577" s="13">
        <v>3</v>
      </c>
      <c r="BA1577" s="13">
        <v>3</v>
      </c>
      <c r="BB1577" s="14">
        <f>Table1347456[[#This Row],[treatment_sd]]/SQRT(Table1347456[[#This Row],[treatment_n]])</f>
        <v>2.3094010767585032E-2</v>
      </c>
      <c r="BC1577" s="14">
        <f>Table1347456[[#This Row],[control_sd]]/SQRT(Table1347456[[#This Row],[control_n]])</f>
        <v>4.0414518843273808E-2</v>
      </c>
      <c r="BD1577" s="15">
        <v>0.04</v>
      </c>
      <c r="BE1577" s="14">
        <v>7.0000000000000007E-2</v>
      </c>
      <c r="BF1577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5.7158930868323977E-3</v>
      </c>
      <c r="BG1577" s="17">
        <f>SQRT(Table1347456[[#This Row],[v_from_sd_and_n]])</f>
        <v>7.5603525624354309E-2</v>
      </c>
      <c r="BH1577" s="13" t="s">
        <v>49</v>
      </c>
      <c r="BI1577" s="13">
        <v>0.52500000000000002</v>
      </c>
      <c r="BJ1577" s="18">
        <f>ABS(_xlfn.NORM.S.INV(Table1347456[[#This Row],[p_value]]/2))</f>
        <v>0.63565701369758276</v>
      </c>
      <c r="BK1577" s="19">
        <f>(Table1347456[[#This Row],[lnrr]]/Table1347456[[#This Row],[z_from_p]])^2</f>
        <v>0.46677228912672508</v>
      </c>
      <c r="BL1577" s="16">
        <f>Table1347456[[#This Row],[v_from_sd_and_n]]</f>
        <v>5.7158930868323977E-3</v>
      </c>
      <c r="BM1577" s="20">
        <f>SQRT(Table1347456[[#This Row],[v]])</f>
        <v>7.5603525624354309E-2</v>
      </c>
      <c r="BN1577" s="20">
        <f>Table1347456[[#This Row],[lnrr]]-(1.96*Table1347456[[#This Row],[se]])</f>
        <v>0.28610263641992195</v>
      </c>
      <c r="BO1577" s="20">
        <f>Table1347456[[#This Row],[lnrr]]+(1.96 * Table1347456[[#This Row],[se]])</f>
        <v>0.5824684568673909</v>
      </c>
    </row>
    <row r="1578" spans="1:67">
      <c r="A1578" s="13" t="s">
        <v>471</v>
      </c>
      <c r="B1578" s="13" t="s">
        <v>472</v>
      </c>
      <c r="C1578" s="13" t="s">
        <v>43</v>
      </c>
      <c r="D1578" s="13" t="s">
        <v>90</v>
      </c>
      <c r="E1578" s="13" t="s">
        <v>91</v>
      </c>
      <c r="F1578" s="13" t="s">
        <v>587</v>
      </c>
      <c r="G1578" s="13" t="s">
        <v>473</v>
      </c>
      <c r="H1578" s="13">
        <v>14.4</v>
      </c>
      <c r="I1578" s="13">
        <v>640</v>
      </c>
      <c r="K1578" s="13" t="s">
        <v>969</v>
      </c>
      <c r="L1578" s="13" t="s">
        <v>970</v>
      </c>
      <c r="N1578" s="13" t="s">
        <v>47</v>
      </c>
      <c r="O1578" s="13" t="s">
        <v>645</v>
      </c>
      <c r="P1578" s="13" t="s">
        <v>48</v>
      </c>
      <c r="Q1578" s="13" t="s">
        <v>48</v>
      </c>
      <c r="R1578" s="4">
        <v>3</v>
      </c>
      <c r="S1578" s="13" t="s">
        <v>594</v>
      </c>
      <c r="T1578" s="13">
        <v>730</v>
      </c>
      <c r="U1578" s="4" t="s">
        <v>93</v>
      </c>
      <c r="V1578" s="4">
        <v>450</v>
      </c>
      <c r="W1578" s="4" t="s">
        <v>601</v>
      </c>
      <c r="X1578" s="4">
        <v>452</v>
      </c>
      <c r="Y1578" s="4">
        <v>22.5</v>
      </c>
      <c r="AA1578" s="4" t="s">
        <v>50</v>
      </c>
      <c r="AB1578" s="4">
        <v>300</v>
      </c>
      <c r="AC1578" s="4" t="s">
        <v>49</v>
      </c>
      <c r="AD1578" s="4">
        <v>0</v>
      </c>
      <c r="AE1578" s="4" t="s">
        <v>49</v>
      </c>
      <c r="AF1578" s="4">
        <v>0</v>
      </c>
      <c r="AG1578" s="4" t="s">
        <v>732</v>
      </c>
      <c r="AH1578" s="4" t="s">
        <v>731</v>
      </c>
      <c r="AI1578" s="4" t="s">
        <v>64</v>
      </c>
      <c r="AJ1578" s="13">
        <v>0</v>
      </c>
      <c r="AK1578" s="13">
        <v>20</v>
      </c>
      <c r="AP1578" s="13" t="s">
        <v>50</v>
      </c>
      <c r="AQ1578" s="13" t="s">
        <v>49</v>
      </c>
      <c r="AR1578" s="13" t="s">
        <v>50</v>
      </c>
      <c r="AS1578" s="13" t="s">
        <v>50</v>
      </c>
      <c r="AT1578" s="13" t="s">
        <v>992</v>
      </c>
      <c r="AU1578" s="4" t="s">
        <v>1000</v>
      </c>
      <c r="AV1578" s="14">
        <v>0.99</v>
      </c>
      <c r="AW1578" s="14">
        <v>0.57999999999999996</v>
      </c>
      <c r="AX1578" s="14">
        <f>Table1347456[[#This Row],[treatment_mean]]/Table1347456[[#This Row],[control_mean]]</f>
        <v>1.7068965517241381</v>
      </c>
      <c r="AY1578" s="14">
        <f>LN(Table1347456[[#This Row],[rr]])</f>
        <v>0.53467683958817069</v>
      </c>
      <c r="AZ1578" s="13">
        <v>3</v>
      </c>
      <c r="BA1578" s="13">
        <v>3</v>
      </c>
      <c r="BB1578" s="14">
        <f>Table1347456[[#This Row],[treatment_sd]]/SQRT(Table1347456[[#This Row],[treatment_n]])</f>
        <v>2.8867513459481291E-2</v>
      </c>
      <c r="BC1578" s="14">
        <f>Table1347456[[#This Row],[control_sd]]/SQRT(Table1347456[[#This Row],[control_n]])</f>
        <v>3.4641016151377546E-2</v>
      </c>
      <c r="BD1578" s="15">
        <v>0.05</v>
      </c>
      <c r="BE1578" s="14">
        <v>0.06</v>
      </c>
      <c r="BF1578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4.4174353017841419E-3</v>
      </c>
      <c r="BG1578" s="17">
        <f>SQRT(Table1347456[[#This Row],[v_from_sd_and_n]])</f>
        <v>6.646378940283304E-2</v>
      </c>
      <c r="BH1578" s="13" t="s">
        <v>49</v>
      </c>
      <c r="BI1578" s="13">
        <v>0.52500000000000002</v>
      </c>
      <c r="BJ1578" s="18">
        <f>ABS(_xlfn.NORM.S.INV(Table1347456[[#This Row],[p_value]]/2))</f>
        <v>0.63565701369758276</v>
      </c>
      <c r="BK1578" s="19">
        <f>(Table1347456[[#This Row],[lnrr]]/Table1347456[[#This Row],[z_from_p]])^2</f>
        <v>0.70751729113932338</v>
      </c>
      <c r="BL1578" s="16">
        <f>Table1347456[[#This Row],[v_from_sd_and_n]]</f>
        <v>4.4174353017841419E-3</v>
      </c>
      <c r="BM1578" s="20">
        <f>SQRT(Table1347456[[#This Row],[v]])</f>
        <v>6.646378940283304E-2</v>
      </c>
      <c r="BN1578" s="20">
        <f>Table1347456[[#This Row],[lnrr]]-(1.96*Table1347456[[#This Row],[se]])</f>
        <v>0.40440781235861795</v>
      </c>
      <c r="BO1578" s="20">
        <f>Table1347456[[#This Row],[lnrr]]+(1.96 * Table1347456[[#This Row],[se]])</f>
        <v>0.6649458668177235</v>
      </c>
    </row>
    <row r="1579" spans="1:67">
      <c r="A1579" s="13" t="s">
        <v>471</v>
      </c>
      <c r="B1579" s="13" t="s">
        <v>472</v>
      </c>
      <c r="C1579" s="13" t="s">
        <v>43</v>
      </c>
      <c r="D1579" s="13" t="s">
        <v>90</v>
      </c>
      <c r="E1579" s="13" t="s">
        <v>91</v>
      </c>
      <c r="F1579" s="13" t="s">
        <v>587</v>
      </c>
      <c r="G1579" s="13" t="s">
        <v>473</v>
      </c>
      <c r="H1579" s="13">
        <v>14.4</v>
      </c>
      <c r="I1579" s="13">
        <v>640</v>
      </c>
      <c r="J1579" s="13" t="s">
        <v>656</v>
      </c>
      <c r="K1579" s="13" t="s">
        <v>969</v>
      </c>
      <c r="L1579" s="13" t="s">
        <v>970</v>
      </c>
      <c r="M1579" s="13" t="s">
        <v>803</v>
      </c>
      <c r="N1579" s="13" t="s">
        <v>317</v>
      </c>
      <c r="O1579" s="13" t="s">
        <v>644</v>
      </c>
      <c r="P1579" s="13" t="s">
        <v>85</v>
      </c>
      <c r="Q1579" s="13" t="s">
        <v>48</v>
      </c>
      <c r="R1579" s="4">
        <v>3</v>
      </c>
      <c r="S1579" s="13" t="s">
        <v>594</v>
      </c>
      <c r="T1579" s="13">
        <v>730</v>
      </c>
      <c r="U1579" s="4" t="s">
        <v>93</v>
      </c>
      <c r="V1579" s="4">
        <v>450</v>
      </c>
      <c r="W1579" s="4" t="s">
        <v>601</v>
      </c>
      <c r="X1579" s="4">
        <v>452</v>
      </c>
      <c r="Y1579" s="4">
        <v>22.5</v>
      </c>
      <c r="AA1579" s="4" t="s">
        <v>49</v>
      </c>
      <c r="AB1579" s="4">
        <v>0</v>
      </c>
      <c r="AC1579" s="4" t="s">
        <v>49</v>
      </c>
      <c r="AD1579" s="4">
        <v>0</v>
      </c>
      <c r="AE1579" s="4" t="s">
        <v>49</v>
      </c>
      <c r="AF1579" s="4">
        <v>0</v>
      </c>
      <c r="AG1579" s="4" t="s">
        <v>732</v>
      </c>
      <c r="AH1579" s="4" t="s">
        <v>731</v>
      </c>
      <c r="AI1579" s="4" t="s">
        <v>64</v>
      </c>
      <c r="AJ1579" s="13">
        <v>0</v>
      </c>
      <c r="AK1579" s="13">
        <v>20</v>
      </c>
      <c r="AP1579" s="13" t="s">
        <v>50</v>
      </c>
      <c r="AQ1579" s="13" t="s">
        <v>49</v>
      </c>
      <c r="AR1579" s="13" t="s">
        <v>50</v>
      </c>
      <c r="AS1579" s="13" t="s">
        <v>50</v>
      </c>
      <c r="AT1579" s="13" t="s">
        <v>990</v>
      </c>
      <c r="AU1579" s="13" t="s">
        <v>998</v>
      </c>
      <c r="AV1579" s="23">
        <f>33.3/1000</f>
        <v>3.3299999999999996E-2</v>
      </c>
      <c r="AW1579" s="23">
        <f>21.95/1000</f>
        <v>2.1950000000000001E-2</v>
      </c>
      <c r="AX1579" s="14">
        <f>Table1347456[[#This Row],[treatment_mean]]/Table1347456[[#This Row],[control_mean]]</f>
        <v>1.5170842824601365</v>
      </c>
      <c r="AY1579" s="14">
        <f>LN(Table1347456[[#This Row],[rr]])</f>
        <v>0.41679025746521764</v>
      </c>
      <c r="AZ1579" s="13">
        <v>3</v>
      </c>
      <c r="BA1579" s="13">
        <v>3</v>
      </c>
      <c r="BB1579" s="14">
        <f>Table1347456[[#This Row],[treatment_sd]]/SQRT(Table1347456[[#This Row],[treatment_n]])</f>
        <v>6.3508529610858846E-4</v>
      </c>
      <c r="BC1579" s="14">
        <f>Table1347456[[#This Row],[control_sd]]/SQRT(Table1347456[[#This Row],[control_n]])</f>
        <v>1.0969655114602889E-3</v>
      </c>
      <c r="BD1579" s="15">
        <f>1.1/1000</f>
        <v>1.1000000000000001E-3</v>
      </c>
      <c r="BE1579" s="14">
        <f>1.9/1000</f>
        <v>1.9E-3</v>
      </c>
      <c r="BF1579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2.8612926558739494E-3</v>
      </c>
      <c r="BG1579" s="17">
        <f>SQRT(Table1347456[[#This Row],[v_from_sd_and_n]])</f>
        <v>5.3491052110366547E-2</v>
      </c>
      <c r="BH1579" s="13" t="s">
        <v>50</v>
      </c>
      <c r="BI1579" s="13">
        <v>5.0000000000000001E-3</v>
      </c>
      <c r="BJ1579" s="18">
        <f>ABS(_xlfn.NORM.S.INV(Table1347456[[#This Row],[p_value]]/2))</f>
        <v>2.8070337683438042</v>
      </c>
      <c r="BK1579" s="19">
        <f>(Table1347456[[#This Row],[lnrr]]/Table1347456[[#This Row],[z_from_p]])^2</f>
        <v>2.2046509662924013E-2</v>
      </c>
      <c r="BL1579" s="16">
        <f>Table1347456[[#This Row],[v_from_sd_and_n]]</f>
        <v>2.8612926558739494E-3</v>
      </c>
      <c r="BM1579" s="20">
        <f>SQRT(Table1347456[[#This Row],[v]])</f>
        <v>5.3491052110366547E-2</v>
      </c>
      <c r="BN1579" s="20">
        <f>Table1347456[[#This Row],[lnrr]]-(1.96*Table1347456[[#This Row],[se]])</f>
        <v>0.31194779532889921</v>
      </c>
      <c r="BO1579" s="20">
        <f>Table1347456[[#This Row],[lnrr]]+(1.96 * Table1347456[[#This Row],[se]])</f>
        <v>0.52163271960153601</v>
      </c>
    </row>
    <row r="1580" spans="1:67">
      <c r="A1580" s="13" t="s">
        <v>471</v>
      </c>
      <c r="B1580" s="13" t="s">
        <v>472</v>
      </c>
      <c r="C1580" s="13" t="s">
        <v>43</v>
      </c>
      <c r="D1580" s="13" t="s">
        <v>90</v>
      </c>
      <c r="E1580" s="13" t="s">
        <v>91</v>
      </c>
      <c r="F1580" s="13" t="s">
        <v>587</v>
      </c>
      <c r="G1580" s="13" t="s">
        <v>473</v>
      </c>
      <c r="H1580" s="13">
        <v>14.4</v>
      </c>
      <c r="I1580" s="13">
        <v>640</v>
      </c>
      <c r="J1580" s="13" t="s">
        <v>656</v>
      </c>
      <c r="K1580" s="13" t="s">
        <v>969</v>
      </c>
      <c r="L1580" s="13" t="s">
        <v>970</v>
      </c>
      <c r="M1580" s="13" t="s">
        <v>803</v>
      </c>
      <c r="N1580" s="13" t="s">
        <v>317</v>
      </c>
      <c r="O1580" s="13" t="s">
        <v>644</v>
      </c>
      <c r="P1580" s="13" t="s">
        <v>85</v>
      </c>
      <c r="Q1580" s="13" t="s">
        <v>48</v>
      </c>
      <c r="R1580" s="4">
        <v>3</v>
      </c>
      <c r="S1580" s="13" t="s">
        <v>594</v>
      </c>
      <c r="T1580" s="13">
        <v>730</v>
      </c>
      <c r="U1580" s="4" t="s">
        <v>93</v>
      </c>
      <c r="V1580" s="4">
        <v>450</v>
      </c>
      <c r="W1580" s="4" t="s">
        <v>601</v>
      </c>
      <c r="X1580" s="4">
        <v>452</v>
      </c>
      <c r="Y1580" s="4">
        <v>22.5</v>
      </c>
      <c r="AA1580" s="4" t="s">
        <v>50</v>
      </c>
      <c r="AB1580" s="4">
        <v>150</v>
      </c>
      <c r="AC1580" s="4" t="s">
        <v>49</v>
      </c>
      <c r="AD1580" s="4">
        <v>0</v>
      </c>
      <c r="AE1580" s="4" t="s">
        <v>49</v>
      </c>
      <c r="AF1580" s="4">
        <v>0</v>
      </c>
      <c r="AG1580" s="4" t="s">
        <v>732</v>
      </c>
      <c r="AH1580" s="4" t="s">
        <v>731</v>
      </c>
      <c r="AI1580" s="4" t="s">
        <v>64</v>
      </c>
      <c r="AJ1580" s="13">
        <v>0</v>
      </c>
      <c r="AK1580" s="13">
        <v>20</v>
      </c>
      <c r="AP1580" s="13" t="s">
        <v>50</v>
      </c>
      <c r="AQ1580" s="13" t="s">
        <v>49</v>
      </c>
      <c r="AR1580" s="13" t="s">
        <v>50</v>
      </c>
      <c r="AS1580" s="13" t="s">
        <v>50</v>
      </c>
      <c r="AT1580" s="13" t="s">
        <v>992</v>
      </c>
      <c r="AU1580" s="4" t="s">
        <v>1000</v>
      </c>
      <c r="AV1580" s="23">
        <f>26.52/1000</f>
        <v>2.6519999999999998E-2</v>
      </c>
      <c r="AW1580" s="23">
        <f>19.44/1000</f>
        <v>1.9440000000000002E-2</v>
      </c>
      <c r="AX1580" s="14">
        <f>Table1347456[[#This Row],[treatment_mean]]/Table1347456[[#This Row],[control_mean]]</f>
        <v>1.3641975308641974</v>
      </c>
      <c r="AY1580" s="14">
        <f>LN(Table1347456[[#This Row],[rr]])</f>
        <v>0.3105663662853686</v>
      </c>
      <c r="AZ1580" s="13">
        <v>3</v>
      </c>
      <c r="BA1580" s="13">
        <v>3</v>
      </c>
      <c r="BB1580" s="14">
        <f>Table1347456[[#This Row],[treatment_sd]]/SQRT(Table1347456[[#This Row],[treatment_n]])</f>
        <v>1.5011106998930269E-3</v>
      </c>
      <c r="BC1580" s="14">
        <f>Table1347456[[#This Row],[control_sd]]/SQRT(Table1347456[[#This Row],[control_n]])</f>
        <v>1.2124355652982143E-3</v>
      </c>
      <c r="BD1580" s="15">
        <f>2.6/1000</f>
        <v>2.5999999999999999E-3</v>
      </c>
      <c r="BE1580" s="14">
        <f>2.1/1000</f>
        <v>2.1000000000000003E-3</v>
      </c>
      <c r="BF1580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7.093673918458783E-3</v>
      </c>
      <c r="BG1580" s="17">
        <f>SQRT(Table1347456[[#This Row],[v_from_sd_and_n]])</f>
        <v>8.4223950978678172E-2</v>
      </c>
      <c r="BH1580" s="13" t="s">
        <v>50</v>
      </c>
      <c r="BI1580" s="13">
        <v>5.0000000000000001E-3</v>
      </c>
      <c r="BJ1580" s="18">
        <f>ABS(_xlfn.NORM.S.INV(Table1347456[[#This Row],[p_value]]/2))</f>
        <v>2.8070337683438042</v>
      </c>
      <c r="BK1580" s="19">
        <f>(Table1347456[[#This Row],[lnrr]]/Table1347456[[#This Row],[z_from_p]])^2</f>
        <v>1.2240906116567812E-2</v>
      </c>
      <c r="BL1580" s="16">
        <f>Table1347456[[#This Row],[v_from_sd_and_n]]</f>
        <v>7.093673918458783E-3</v>
      </c>
      <c r="BM1580" s="20">
        <f>SQRT(Table1347456[[#This Row],[v]])</f>
        <v>8.4223950978678172E-2</v>
      </c>
      <c r="BN1580" s="20">
        <f>Table1347456[[#This Row],[lnrr]]-(1.96*Table1347456[[#This Row],[se]])</f>
        <v>0.14548742236715939</v>
      </c>
      <c r="BO1580" s="20">
        <f>Table1347456[[#This Row],[lnrr]]+(1.96 * Table1347456[[#This Row],[se]])</f>
        <v>0.47564531020357781</v>
      </c>
    </row>
    <row r="1581" spans="1:67">
      <c r="A1581" s="13" t="s">
        <v>471</v>
      </c>
      <c r="B1581" s="13" t="s">
        <v>472</v>
      </c>
      <c r="C1581" s="13" t="s">
        <v>43</v>
      </c>
      <c r="D1581" s="13" t="s">
        <v>90</v>
      </c>
      <c r="E1581" s="13" t="s">
        <v>91</v>
      </c>
      <c r="F1581" s="13" t="s">
        <v>587</v>
      </c>
      <c r="G1581" s="13" t="s">
        <v>473</v>
      </c>
      <c r="H1581" s="13">
        <v>14.4</v>
      </c>
      <c r="I1581" s="13">
        <v>640</v>
      </c>
      <c r="J1581" s="13" t="s">
        <v>656</v>
      </c>
      <c r="K1581" s="13" t="s">
        <v>969</v>
      </c>
      <c r="L1581" s="13" t="s">
        <v>970</v>
      </c>
      <c r="M1581" s="13" t="s">
        <v>803</v>
      </c>
      <c r="N1581" s="13" t="s">
        <v>317</v>
      </c>
      <c r="O1581" s="13" t="s">
        <v>644</v>
      </c>
      <c r="P1581" s="13" t="s">
        <v>85</v>
      </c>
      <c r="Q1581" s="13" t="s">
        <v>48</v>
      </c>
      <c r="R1581" s="4">
        <v>3</v>
      </c>
      <c r="S1581" s="13" t="s">
        <v>594</v>
      </c>
      <c r="T1581" s="13">
        <v>730</v>
      </c>
      <c r="U1581" s="4" t="s">
        <v>93</v>
      </c>
      <c r="V1581" s="4">
        <v>450</v>
      </c>
      <c r="W1581" s="4" t="s">
        <v>601</v>
      </c>
      <c r="X1581" s="4">
        <v>452</v>
      </c>
      <c r="Y1581" s="4">
        <v>22.5</v>
      </c>
      <c r="AA1581" s="4" t="s">
        <v>50</v>
      </c>
      <c r="AB1581" s="4">
        <v>225</v>
      </c>
      <c r="AC1581" s="4" t="s">
        <v>49</v>
      </c>
      <c r="AD1581" s="4">
        <v>0</v>
      </c>
      <c r="AE1581" s="4" t="s">
        <v>49</v>
      </c>
      <c r="AF1581" s="4">
        <v>0</v>
      </c>
      <c r="AG1581" s="4" t="s">
        <v>732</v>
      </c>
      <c r="AH1581" s="4" t="s">
        <v>731</v>
      </c>
      <c r="AI1581" s="4" t="s">
        <v>64</v>
      </c>
      <c r="AJ1581" s="13">
        <v>0</v>
      </c>
      <c r="AK1581" s="13">
        <v>20</v>
      </c>
      <c r="AP1581" s="13" t="s">
        <v>50</v>
      </c>
      <c r="AQ1581" s="13" t="s">
        <v>49</v>
      </c>
      <c r="AR1581" s="13" t="s">
        <v>50</v>
      </c>
      <c r="AS1581" s="13" t="s">
        <v>50</v>
      </c>
      <c r="AT1581" s="13" t="s">
        <v>992</v>
      </c>
      <c r="AU1581" s="4" t="s">
        <v>1000</v>
      </c>
      <c r="AV1581" s="23">
        <f>21.35/1000</f>
        <v>2.1350000000000001E-2</v>
      </c>
      <c r="AW1581" s="23">
        <f>13.14/1000</f>
        <v>1.3140000000000001E-2</v>
      </c>
      <c r="AX1581" s="14">
        <f>Table1347456[[#This Row],[treatment_mean]]/Table1347456[[#This Row],[control_mean]]</f>
        <v>1.6248097412480973</v>
      </c>
      <c r="AY1581" s="14">
        <f>LN(Table1347456[[#This Row],[rr]])</f>
        <v>0.48539072661816901</v>
      </c>
      <c r="AZ1581" s="13">
        <v>3</v>
      </c>
      <c r="BA1581" s="13">
        <v>3</v>
      </c>
      <c r="BB1581" s="14">
        <f>Table1347456[[#This Row],[treatment_sd]]/SQRT(Table1347456[[#This Row],[treatment_n]])</f>
        <v>1.3856406460551018E-3</v>
      </c>
      <c r="BC1581" s="14">
        <f>Table1347456[[#This Row],[control_sd]]/SQRT(Table1347456[[#This Row],[control_n]])</f>
        <v>1.7320508075688773E-4</v>
      </c>
      <c r="BD1581" s="15">
        <f>2.4/1000</f>
        <v>2.3999999999999998E-3</v>
      </c>
      <c r="BE1581" s="14">
        <f>0.3/1000</f>
        <v>2.9999999999999997E-4</v>
      </c>
      <c r="BF1581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4.3859182046907304E-3</v>
      </c>
      <c r="BG1581" s="17">
        <f>SQRT(Table1347456[[#This Row],[v_from_sd_and_n]])</f>
        <v>6.6226265217742206E-2</v>
      </c>
      <c r="BH1581" s="13" t="s">
        <v>50</v>
      </c>
      <c r="BI1581" s="13">
        <v>5.0000000000000001E-3</v>
      </c>
      <c r="BJ1581" s="18">
        <f>ABS(_xlfn.NORM.S.INV(Table1347456[[#This Row],[p_value]]/2))</f>
        <v>2.8070337683438042</v>
      </c>
      <c r="BK1581" s="19">
        <f>(Table1347456[[#This Row],[lnrr]]/Table1347456[[#This Row],[z_from_p]])^2</f>
        <v>2.9901135112078963E-2</v>
      </c>
      <c r="BL1581" s="16">
        <f>Table1347456[[#This Row],[v_from_sd_and_n]]</f>
        <v>4.3859182046907304E-3</v>
      </c>
      <c r="BM1581" s="20">
        <f>SQRT(Table1347456[[#This Row],[v]])</f>
        <v>6.6226265217742206E-2</v>
      </c>
      <c r="BN1581" s="20">
        <f>Table1347456[[#This Row],[lnrr]]-(1.96*Table1347456[[#This Row],[se]])</f>
        <v>0.35558724679139431</v>
      </c>
      <c r="BO1581" s="20">
        <f>Table1347456[[#This Row],[lnrr]]+(1.96 * Table1347456[[#This Row],[se]])</f>
        <v>0.61519420644494371</v>
      </c>
    </row>
    <row r="1582" spans="1:67">
      <c r="A1582" s="13" t="s">
        <v>471</v>
      </c>
      <c r="B1582" s="13" t="s">
        <v>472</v>
      </c>
      <c r="C1582" s="13" t="s">
        <v>43</v>
      </c>
      <c r="D1582" s="13" t="s">
        <v>90</v>
      </c>
      <c r="E1582" s="13" t="s">
        <v>91</v>
      </c>
      <c r="F1582" s="13" t="s">
        <v>587</v>
      </c>
      <c r="G1582" s="13" t="s">
        <v>473</v>
      </c>
      <c r="H1582" s="13">
        <v>14.4</v>
      </c>
      <c r="I1582" s="13">
        <v>640</v>
      </c>
      <c r="J1582" s="13" t="s">
        <v>656</v>
      </c>
      <c r="K1582" s="13" t="s">
        <v>969</v>
      </c>
      <c r="L1582" s="13" t="s">
        <v>970</v>
      </c>
      <c r="M1582" s="13" t="s">
        <v>803</v>
      </c>
      <c r="N1582" s="13" t="s">
        <v>317</v>
      </c>
      <c r="O1582" s="13" t="s">
        <v>644</v>
      </c>
      <c r="P1582" s="13" t="s">
        <v>85</v>
      </c>
      <c r="Q1582" s="13" t="s">
        <v>48</v>
      </c>
      <c r="R1582" s="4">
        <v>3</v>
      </c>
      <c r="S1582" s="13" t="s">
        <v>594</v>
      </c>
      <c r="T1582" s="13">
        <v>730</v>
      </c>
      <c r="U1582" s="4" t="s">
        <v>93</v>
      </c>
      <c r="V1582" s="4">
        <v>450</v>
      </c>
      <c r="W1582" s="4" t="s">
        <v>601</v>
      </c>
      <c r="X1582" s="4">
        <v>452</v>
      </c>
      <c r="Y1582" s="4">
        <v>22.5</v>
      </c>
      <c r="AA1582" s="4" t="s">
        <v>50</v>
      </c>
      <c r="AB1582" s="4">
        <v>300</v>
      </c>
      <c r="AC1582" s="4" t="s">
        <v>49</v>
      </c>
      <c r="AD1582" s="4">
        <v>0</v>
      </c>
      <c r="AE1582" s="4" t="s">
        <v>49</v>
      </c>
      <c r="AF1582" s="4">
        <v>0</v>
      </c>
      <c r="AG1582" s="4" t="s">
        <v>732</v>
      </c>
      <c r="AH1582" s="4" t="s">
        <v>731</v>
      </c>
      <c r="AI1582" s="4" t="s">
        <v>64</v>
      </c>
      <c r="AJ1582" s="13">
        <v>0</v>
      </c>
      <c r="AK1582" s="13">
        <v>20</v>
      </c>
      <c r="AP1582" s="13" t="s">
        <v>50</v>
      </c>
      <c r="AQ1582" s="13" t="s">
        <v>49</v>
      </c>
      <c r="AR1582" s="13" t="s">
        <v>50</v>
      </c>
      <c r="AS1582" s="13" t="s">
        <v>50</v>
      </c>
      <c r="AT1582" s="13" t="s">
        <v>992</v>
      </c>
      <c r="AU1582" s="4" t="s">
        <v>1000</v>
      </c>
      <c r="AV1582" s="23">
        <f>19.65/1000</f>
        <v>1.9649999999999997E-2</v>
      </c>
      <c r="AW1582" s="23">
        <f>17.28/1000</f>
        <v>1.728E-2</v>
      </c>
      <c r="AX1582" s="14">
        <f>Table1347456[[#This Row],[treatment_mean]]/Table1347456[[#This Row],[control_mean]]</f>
        <v>1.1371527777777777</v>
      </c>
      <c r="AY1582" s="14">
        <f>LN(Table1347456[[#This Row],[rr]])</f>
        <v>0.12852757493936059</v>
      </c>
      <c r="AZ1582" s="13">
        <v>3</v>
      </c>
      <c r="BA1582" s="13">
        <v>3</v>
      </c>
      <c r="BB1582" s="14">
        <f>Table1347456[[#This Row],[treatment_sd]]/SQRT(Table1347456[[#This Row],[treatment_n]])</f>
        <v>4.6188021535170068E-4</v>
      </c>
      <c r="BC1582" s="14">
        <f>Table1347456[[#This Row],[control_sd]]/SQRT(Table1347456[[#This Row],[control_n]])</f>
        <v>8.0829037686547614E-4</v>
      </c>
      <c r="BD1582" s="15">
        <f>0.8/1000</f>
        <v>8.0000000000000004E-4</v>
      </c>
      <c r="BE1582" s="14">
        <f>1.4/1000</f>
        <v>1.4E-3</v>
      </c>
      <c r="BF1582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2.7405018031109504E-3</v>
      </c>
      <c r="BG1582" s="17">
        <f>SQRT(Table1347456[[#This Row],[v_from_sd_and_n]])</f>
        <v>5.2349802321603377E-2</v>
      </c>
      <c r="BH1582" s="13" t="s">
        <v>50</v>
      </c>
      <c r="BI1582" s="13">
        <v>5.0000000000000001E-3</v>
      </c>
      <c r="BJ1582" s="18">
        <f>ABS(_xlfn.NORM.S.INV(Table1347456[[#This Row],[p_value]]/2))</f>
        <v>2.8070337683438042</v>
      </c>
      <c r="BK1582" s="19">
        <f>(Table1347456[[#This Row],[lnrr]]/Table1347456[[#This Row],[z_from_p]])^2</f>
        <v>2.0965119988122418E-3</v>
      </c>
      <c r="BL1582" s="16">
        <f>Table1347456[[#This Row],[v_from_sd_and_n]]</f>
        <v>2.7405018031109504E-3</v>
      </c>
      <c r="BM1582" s="20">
        <f>SQRT(Table1347456[[#This Row],[v]])</f>
        <v>5.2349802321603377E-2</v>
      </c>
      <c r="BN1582" s="20">
        <f>Table1347456[[#This Row],[lnrr]]-(1.96*Table1347456[[#This Row],[se]])</f>
        <v>2.5921962389017977E-2</v>
      </c>
      <c r="BO1582" s="20">
        <f>Table1347456[[#This Row],[lnrr]]+(1.96 * Table1347456[[#This Row],[se]])</f>
        <v>0.23113318748970321</v>
      </c>
    </row>
    <row r="1583" spans="1:67">
      <c r="A1583" s="13" t="s">
        <v>471</v>
      </c>
      <c r="B1583" s="13" t="s">
        <v>472</v>
      </c>
      <c r="C1583" s="13" t="s">
        <v>43</v>
      </c>
      <c r="D1583" s="13" t="s">
        <v>90</v>
      </c>
      <c r="E1583" s="13" t="s">
        <v>91</v>
      </c>
      <c r="F1583" s="13" t="s">
        <v>587</v>
      </c>
      <c r="G1583" s="13" t="s">
        <v>473</v>
      </c>
      <c r="H1583" s="13">
        <v>14.4</v>
      </c>
      <c r="I1583" s="13">
        <v>640</v>
      </c>
      <c r="K1583" s="13" t="s">
        <v>969</v>
      </c>
      <c r="L1583" s="13" t="s">
        <v>970</v>
      </c>
      <c r="N1583" s="13" t="s">
        <v>400</v>
      </c>
      <c r="O1583" s="13" t="s">
        <v>644</v>
      </c>
      <c r="P1583" s="13" t="s">
        <v>85</v>
      </c>
      <c r="Q1583" s="13" t="s">
        <v>48</v>
      </c>
      <c r="R1583" s="4">
        <v>3</v>
      </c>
      <c r="S1583" s="13" t="s">
        <v>594</v>
      </c>
      <c r="T1583" s="13">
        <v>730</v>
      </c>
      <c r="U1583" s="4" t="s">
        <v>93</v>
      </c>
      <c r="V1583" s="4">
        <v>450</v>
      </c>
      <c r="W1583" s="4" t="s">
        <v>601</v>
      </c>
      <c r="X1583" s="4">
        <v>452</v>
      </c>
      <c r="Y1583" s="4">
        <v>22.5</v>
      </c>
      <c r="AA1583" s="4" t="s">
        <v>49</v>
      </c>
      <c r="AB1583" s="4">
        <v>0</v>
      </c>
      <c r="AC1583" s="4" t="s">
        <v>49</v>
      </c>
      <c r="AD1583" s="4">
        <v>0</v>
      </c>
      <c r="AE1583" s="4" t="s">
        <v>49</v>
      </c>
      <c r="AF1583" s="4">
        <v>0</v>
      </c>
      <c r="AG1583" s="4" t="s">
        <v>732</v>
      </c>
      <c r="AH1583" s="4" t="s">
        <v>731</v>
      </c>
      <c r="AI1583" s="4" t="s">
        <v>64</v>
      </c>
      <c r="AJ1583" s="13">
        <v>0</v>
      </c>
      <c r="AK1583" s="13">
        <v>20</v>
      </c>
      <c r="AP1583" s="13" t="s">
        <v>50</v>
      </c>
      <c r="AQ1583" s="13" t="s">
        <v>49</v>
      </c>
      <c r="AR1583" s="13" t="s">
        <v>50</v>
      </c>
      <c r="AS1583" s="13" t="s">
        <v>50</v>
      </c>
      <c r="AT1583" s="13" t="s">
        <v>990</v>
      </c>
      <c r="AU1583" s="13" t="s">
        <v>998</v>
      </c>
      <c r="AV1583" s="14">
        <f>164.52/1000</f>
        <v>0.16452</v>
      </c>
      <c r="AW1583" s="14">
        <f>124.3/1000</f>
        <v>0.12429999999999999</v>
      </c>
      <c r="AX1583" s="14">
        <f>Table1347456[[#This Row],[treatment_mean]]/Table1347456[[#This Row],[control_mean]]</f>
        <v>1.3235720032180209</v>
      </c>
      <c r="AY1583" s="14">
        <f>LN(Table1347456[[#This Row],[rr]])</f>
        <v>0.28033414484555791</v>
      </c>
      <c r="AZ1583" s="13">
        <v>3</v>
      </c>
      <c r="BA1583" s="13">
        <v>3</v>
      </c>
      <c r="BB1583" s="14">
        <f>Table1347456[[#This Row],[treatment_sd]]/SQRT(Table1347456[[#This Row],[treatment_n]])</f>
        <v>2.3671361036774656E-3</v>
      </c>
      <c r="BC1583" s="14">
        <f>Table1347456[[#This Row],[control_sd]]/SQRT(Table1347456[[#This Row],[control_n]])</f>
        <v>5.1961524227066324E-4</v>
      </c>
      <c r="BD1583" s="15">
        <f>4.1/1000</f>
        <v>4.0999999999999995E-3</v>
      </c>
      <c r="BE1583" s="14">
        <f>0.9/1000</f>
        <v>8.9999999999999998E-4</v>
      </c>
      <c r="BF1583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2.2449362605135416E-4</v>
      </c>
      <c r="BG1583" s="17">
        <f>SQRT(Table1347456[[#This Row],[v_from_sd_and_n]])</f>
        <v>1.4983111360840717E-2</v>
      </c>
      <c r="BH1583" s="13" t="s">
        <v>50</v>
      </c>
      <c r="BI1583" s="13">
        <v>5.0000000000000001E-3</v>
      </c>
      <c r="BJ1583" s="18">
        <f>ABS(_xlfn.NORM.S.INV(Table1347456[[#This Row],[p_value]]/2))</f>
        <v>2.8070337683438042</v>
      </c>
      <c r="BK1583" s="19">
        <f>(Table1347456[[#This Row],[lnrr]]/Table1347456[[#This Row],[z_from_p]])^2</f>
        <v>9.9737096751349088E-3</v>
      </c>
      <c r="BL1583" s="16">
        <f>Table1347456[[#This Row],[v_from_sd_and_n]]</f>
        <v>2.2449362605135416E-4</v>
      </c>
      <c r="BM1583" s="20">
        <f>SQRT(Table1347456[[#This Row],[v]])</f>
        <v>1.4983111360840717E-2</v>
      </c>
      <c r="BN1583" s="20">
        <f>Table1347456[[#This Row],[lnrr]]-(1.96*Table1347456[[#This Row],[se]])</f>
        <v>0.2509672465783101</v>
      </c>
      <c r="BO1583" s="20">
        <f>Table1347456[[#This Row],[lnrr]]+(1.96 * Table1347456[[#This Row],[se]])</f>
        <v>0.30970104311280572</v>
      </c>
    </row>
    <row r="1584" spans="1:67">
      <c r="A1584" s="13" t="s">
        <v>471</v>
      </c>
      <c r="B1584" s="13" t="s">
        <v>472</v>
      </c>
      <c r="C1584" s="13" t="s">
        <v>43</v>
      </c>
      <c r="D1584" s="13" t="s">
        <v>90</v>
      </c>
      <c r="E1584" s="13" t="s">
        <v>91</v>
      </c>
      <c r="F1584" s="13" t="s">
        <v>587</v>
      </c>
      <c r="G1584" s="13" t="s">
        <v>473</v>
      </c>
      <c r="H1584" s="13">
        <v>14.4</v>
      </c>
      <c r="I1584" s="13">
        <v>640</v>
      </c>
      <c r="K1584" s="13" t="s">
        <v>969</v>
      </c>
      <c r="L1584" s="13" t="s">
        <v>970</v>
      </c>
      <c r="N1584" s="13" t="s">
        <v>400</v>
      </c>
      <c r="O1584" s="13" t="s">
        <v>644</v>
      </c>
      <c r="P1584" s="13" t="s">
        <v>85</v>
      </c>
      <c r="Q1584" s="13" t="s">
        <v>48</v>
      </c>
      <c r="R1584" s="4">
        <v>3</v>
      </c>
      <c r="S1584" s="13" t="s">
        <v>594</v>
      </c>
      <c r="T1584" s="13">
        <v>730</v>
      </c>
      <c r="U1584" s="4" t="s">
        <v>93</v>
      </c>
      <c r="V1584" s="4">
        <v>450</v>
      </c>
      <c r="W1584" s="4" t="s">
        <v>601</v>
      </c>
      <c r="X1584" s="4">
        <v>452</v>
      </c>
      <c r="Y1584" s="4">
        <v>22.5</v>
      </c>
      <c r="AA1584" s="4" t="s">
        <v>50</v>
      </c>
      <c r="AB1584" s="4">
        <v>150</v>
      </c>
      <c r="AC1584" s="4" t="s">
        <v>49</v>
      </c>
      <c r="AD1584" s="4">
        <v>0</v>
      </c>
      <c r="AE1584" s="4" t="s">
        <v>49</v>
      </c>
      <c r="AF1584" s="4">
        <v>0</v>
      </c>
      <c r="AG1584" s="4" t="s">
        <v>732</v>
      </c>
      <c r="AH1584" s="4" t="s">
        <v>731</v>
      </c>
      <c r="AI1584" s="4" t="s">
        <v>64</v>
      </c>
      <c r="AJ1584" s="13">
        <v>0</v>
      </c>
      <c r="AK1584" s="13">
        <v>20</v>
      </c>
      <c r="AP1584" s="13" t="s">
        <v>50</v>
      </c>
      <c r="AQ1584" s="13" t="s">
        <v>49</v>
      </c>
      <c r="AR1584" s="13" t="s">
        <v>50</v>
      </c>
      <c r="AS1584" s="13" t="s">
        <v>50</v>
      </c>
      <c r="AT1584" s="13" t="s">
        <v>992</v>
      </c>
      <c r="AU1584" s="4" t="s">
        <v>1000</v>
      </c>
      <c r="AV1584" s="14">
        <f>183.7/1000</f>
        <v>0.1837</v>
      </c>
      <c r="AW1584" s="14">
        <f>120.45/1000</f>
        <v>0.12045</v>
      </c>
      <c r="AX1584" s="14">
        <f>Table1347456[[#This Row],[treatment_mean]]/Table1347456[[#This Row],[control_mean]]</f>
        <v>1.5251141552511416</v>
      </c>
      <c r="AY1584" s="14">
        <f>LN(Table1347456[[#This Row],[rr]])</f>
        <v>0.4220692631601996</v>
      </c>
      <c r="AZ1584" s="13">
        <v>3</v>
      </c>
      <c r="BA1584" s="13">
        <v>3</v>
      </c>
      <c r="BB1584" s="14">
        <f>Table1347456[[#This Row],[treatment_sd]]/SQRT(Table1347456[[#This Row],[treatment_n]])</f>
        <v>1.5011106998930269E-3</v>
      </c>
      <c r="BC1584" s="14">
        <f>Table1347456[[#This Row],[control_sd]]/SQRT(Table1347456[[#This Row],[control_n]])</f>
        <v>1.2124355652982143E-3</v>
      </c>
      <c r="BD1584" s="15">
        <f>2.6/1000</f>
        <v>2.5999999999999999E-3</v>
      </c>
      <c r="BE1584" s="14">
        <f>2.1/1000</f>
        <v>2.1000000000000003E-3</v>
      </c>
      <c r="BF1584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1.6809595292192916E-4</v>
      </c>
      <c r="BG1584" s="17">
        <f>SQRT(Table1347456[[#This Row],[v_from_sd_and_n]])</f>
        <v>1.2965182332768374E-2</v>
      </c>
      <c r="BH1584" s="13" t="s">
        <v>50</v>
      </c>
      <c r="BI1584" s="13">
        <v>5.0000000000000001E-3</v>
      </c>
      <c r="BJ1584" s="18">
        <f>ABS(_xlfn.NORM.S.INV(Table1347456[[#This Row],[p_value]]/2))</f>
        <v>2.8070337683438042</v>
      </c>
      <c r="BK1584" s="19">
        <f>(Table1347456[[#This Row],[lnrr]]/Table1347456[[#This Row],[z_from_p]])^2</f>
        <v>2.2608522316948623E-2</v>
      </c>
      <c r="BL1584" s="16">
        <f>Table1347456[[#This Row],[v_from_sd_and_n]]</f>
        <v>1.6809595292192916E-4</v>
      </c>
      <c r="BM1584" s="20">
        <f>SQRT(Table1347456[[#This Row],[v]])</f>
        <v>1.2965182332768374E-2</v>
      </c>
      <c r="BN1584" s="20">
        <f>Table1347456[[#This Row],[lnrr]]-(1.96*Table1347456[[#This Row],[se]])</f>
        <v>0.3966575057879736</v>
      </c>
      <c r="BO1584" s="20">
        <f>Table1347456[[#This Row],[lnrr]]+(1.96 * Table1347456[[#This Row],[se]])</f>
        <v>0.44748102053242561</v>
      </c>
    </row>
    <row r="1585" spans="1:67">
      <c r="A1585" s="13" t="s">
        <v>471</v>
      </c>
      <c r="B1585" s="13" t="s">
        <v>472</v>
      </c>
      <c r="C1585" s="13" t="s">
        <v>43</v>
      </c>
      <c r="D1585" s="13" t="s">
        <v>90</v>
      </c>
      <c r="E1585" s="13" t="s">
        <v>91</v>
      </c>
      <c r="F1585" s="13" t="s">
        <v>587</v>
      </c>
      <c r="G1585" s="13" t="s">
        <v>473</v>
      </c>
      <c r="H1585" s="13">
        <v>14.4</v>
      </c>
      <c r="I1585" s="13">
        <v>640</v>
      </c>
      <c r="K1585" s="13" t="s">
        <v>969</v>
      </c>
      <c r="L1585" s="13" t="s">
        <v>970</v>
      </c>
      <c r="N1585" s="13" t="s">
        <v>400</v>
      </c>
      <c r="O1585" s="13" t="s">
        <v>644</v>
      </c>
      <c r="P1585" s="13" t="s">
        <v>85</v>
      </c>
      <c r="Q1585" s="13" t="s">
        <v>48</v>
      </c>
      <c r="R1585" s="4">
        <v>3</v>
      </c>
      <c r="S1585" s="13" t="s">
        <v>594</v>
      </c>
      <c r="T1585" s="13">
        <v>730</v>
      </c>
      <c r="U1585" s="4" t="s">
        <v>93</v>
      </c>
      <c r="V1585" s="4">
        <v>450</v>
      </c>
      <c r="W1585" s="4" t="s">
        <v>601</v>
      </c>
      <c r="X1585" s="4">
        <v>452</v>
      </c>
      <c r="Y1585" s="4">
        <v>22.5</v>
      </c>
      <c r="AA1585" s="4" t="s">
        <v>50</v>
      </c>
      <c r="AB1585" s="4">
        <v>225</v>
      </c>
      <c r="AC1585" s="4" t="s">
        <v>49</v>
      </c>
      <c r="AD1585" s="4">
        <v>0</v>
      </c>
      <c r="AE1585" s="4" t="s">
        <v>49</v>
      </c>
      <c r="AF1585" s="4">
        <v>0</v>
      </c>
      <c r="AG1585" s="4" t="s">
        <v>732</v>
      </c>
      <c r="AH1585" s="4" t="s">
        <v>731</v>
      </c>
      <c r="AI1585" s="4" t="s">
        <v>64</v>
      </c>
      <c r="AJ1585" s="13">
        <v>0</v>
      </c>
      <c r="AK1585" s="13">
        <v>20</v>
      </c>
      <c r="AP1585" s="13" t="s">
        <v>50</v>
      </c>
      <c r="AQ1585" s="13" t="s">
        <v>49</v>
      </c>
      <c r="AR1585" s="13" t="s">
        <v>50</v>
      </c>
      <c r="AS1585" s="13" t="s">
        <v>50</v>
      </c>
      <c r="AT1585" s="13" t="s">
        <v>992</v>
      </c>
      <c r="AU1585" s="4" t="s">
        <v>1000</v>
      </c>
      <c r="AV1585" s="14">
        <f>180.5/1000</f>
        <v>0.18049999999999999</v>
      </c>
      <c r="AW1585" s="14">
        <f>115.95/1000</f>
        <v>0.11595</v>
      </c>
      <c r="AX1585" s="14">
        <f>Table1347456[[#This Row],[treatment_mean]]/Table1347456[[#This Row],[control_mean]]</f>
        <v>1.5567054764984907</v>
      </c>
      <c r="AY1585" s="14">
        <f>LN(Table1347456[[#This Row],[rr]])</f>
        <v>0.44257171407139489</v>
      </c>
      <c r="AZ1585" s="13">
        <v>3</v>
      </c>
      <c r="BA1585" s="13">
        <v>3</v>
      </c>
      <c r="BB1585" s="14">
        <f>Table1347456[[#This Row],[treatment_sd]]/SQRT(Table1347456[[#This Row],[treatment_n]])</f>
        <v>4.3878620458411557E-3</v>
      </c>
      <c r="BC1585" s="14">
        <f>Table1347456[[#This Row],[control_sd]]/SQRT(Table1347456[[#This Row],[control_n]])</f>
        <v>2.5403411844343539E-3</v>
      </c>
      <c r="BD1585" s="15">
        <f>7.6/1000</f>
        <v>7.6E-3</v>
      </c>
      <c r="BE1585" s="14">
        <f>4.4/1000</f>
        <v>4.4000000000000003E-3</v>
      </c>
      <c r="BF1585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1.0709525593905226E-3</v>
      </c>
      <c r="BG1585" s="17">
        <f>SQRT(Table1347456[[#This Row],[v_from_sd_and_n]])</f>
        <v>3.2725411523623696E-2</v>
      </c>
      <c r="BH1585" s="13" t="s">
        <v>50</v>
      </c>
      <c r="BI1585" s="13">
        <v>5.0000000000000001E-3</v>
      </c>
      <c r="BJ1585" s="18">
        <f>ABS(_xlfn.NORM.S.INV(Table1347456[[#This Row],[p_value]]/2))</f>
        <v>2.8070337683438042</v>
      </c>
      <c r="BK1585" s="19">
        <f>(Table1347456[[#This Row],[lnrr]]/Table1347456[[#This Row],[z_from_p]])^2</f>
        <v>2.4858334790148665E-2</v>
      </c>
      <c r="BL1585" s="16">
        <f>Table1347456[[#This Row],[v_from_sd_and_n]]</f>
        <v>1.0709525593905226E-3</v>
      </c>
      <c r="BM1585" s="20">
        <f>SQRT(Table1347456[[#This Row],[v]])</f>
        <v>3.2725411523623696E-2</v>
      </c>
      <c r="BN1585" s="20">
        <f>Table1347456[[#This Row],[lnrr]]-(1.96*Table1347456[[#This Row],[se]])</f>
        <v>0.37842990748509242</v>
      </c>
      <c r="BO1585" s="20">
        <f>Table1347456[[#This Row],[lnrr]]+(1.96 * Table1347456[[#This Row],[se]])</f>
        <v>0.50671352065769737</v>
      </c>
    </row>
    <row r="1586" spans="1:67">
      <c r="A1586" s="13" t="s">
        <v>471</v>
      </c>
      <c r="B1586" s="13" t="s">
        <v>472</v>
      </c>
      <c r="C1586" s="13" t="s">
        <v>43</v>
      </c>
      <c r="D1586" s="13" t="s">
        <v>90</v>
      </c>
      <c r="E1586" s="13" t="s">
        <v>91</v>
      </c>
      <c r="F1586" s="13" t="s">
        <v>587</v>
      </c>
      <c r="G1586" s="13" t="s">
        <v>473</v>
      </c>
      <c r="H1586" s="13">
        <v>14.4</v>
      </c>
      <c r="I1586" s="13">
        <v>640</v>
      </c>
      <c r="K1586" s="13" t="s">
        <v>969</v>
      </c>
      <c r="L1586" s="13" t="s">
        <v>970</v>
      </c>
      <c r="N1586" s="13" t="s">
        <v>400</v>
      </c>
      <c r="O1586" s="13" t="s">
        <v>644</v>
      </c>
      <c r="P1586" s="13" t="s">
        <v>85</v>
      </c>
      <c r="Q1586" s="13" t="s">
        <v>48</v>
      </c>
      <c r="R1586" s="4">
        <v>3</v>
      </c>
      <c r="S1586" s="13" t="s">
        <v>594</v>
      </c>
      <c r="T1586" s="13">
        <v>730</v>
      </c>
      <c r="U1586" s="4" t="s">
        <v>93</v>
      </c>
      <c r="V1586" s="4">
        <v>450</v>
      </c>
      <c r="W1586" s="4" t="s">
        <v>601</v>
      </c>
      <c r="X1586" s="4">
        <v>452</v>
      </c>
      <c r="Y1586" s="4">
        <v>22.5</v>
      </c>
      <c r="AA1586" s="4" t="s">
        <v>50</v>
      </c>
      <c r="AB1586" s="4">
        <v>300</v>
      </c>
      <c r="AC1586" s="4" t="s">
        <v>49</v>
      </c>
      <c r="AD1586" s="4">
        <v>0</v>
      </c>
      <c r="AE1586" s="4" t="s">
        <v>49</v>
      </c>
      <c r="AF1586" s="4">
        <v>0</v>
      </c>
      <c r="AG1586" s="4" t="s">
        <v>732</v>
      </c>
      <c r="AH1586" s="4" t="s">
        <v>731</v>
      </c>
      <c r="AI1586" s="4" t="s">
        <v>64</v>
      </c>
      <c r="AJ1586" s="13">
        <v>0</v>
      </c>
      <c r="AK1586" s="13">
        <v>20</v>
      </c>
      <c r="AP1586" s="13" t="s">
        <v>50</v>
      </c>
      <c r="AQ1586" s="13" t="s">
        <v>49</v>
      </c>
      <c r="AR1586" s="13" t="s">
        <v>50</v>
      </c>
      <c r="AS1586" s="13" t="s">
        <v>50</v>
      </c>
      <c r="AT1586" s="2" t="s">
        <v>992</v>
      </c>
      <c r="AU1586" s="4" t="s">
        <v>1000</v>
      </c>
      <c r="AV1586" s="14">
        <f>190.55/1000</f>
        <v>0.19055000000000002</v>
      </c>
      <c r="AW1586" s="14">
        <f>120.25/1000</f>
        <v>0.12025</v>
      </c>
      <c r="AX1586" s="14">
        <f>Table1347456[[#This Row],[treatment_mean]]/Table1347456[[#This Row],[control_mean]]</f>
        <v>1.584615384615385</v>
      </c>
      <c r="AY1586" s="14">
        <f>LN(Table1347456[[#This Row],[rr]])</f>
        <v>0.46034171833399889</v>
      </c>
      <c r="AZ1586" s="13">
        <v>3</v>
      </c>
      <c r="BA1586" s="13">
        <v>3</v>
      </c>
      <c r="BB1586" s="14">
        <f>Table1347456[[#This Row],[treatment_sd]]/SQRT(Table1347456[[#This Row],[treatment_n]])</f>
        <v>1.0969655114602889E-3</v>
      </c>
      <c r="BC1586" s="14">
        <f>Table1347456[[#This Row],[control_sd]]/SQRT(Table1347456[[#This Row],[control_n]])</f>
        <v>5.773502691896258E-3</v>
      </c>
      <c r="BD1586" s="15">
        <f>1.9/1000</f>
        <v>1.9E-3</v>
      </c>
      <c r="BE1586" s="14">
        <f>10/1000</f>
        <v>0.01</v>
      </c>
      <c r="BF1586" s="16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2.3383409960021158E-3</v>
      </c>
      <c r="BG1586" s="17">
        <f>SQRT(Table1347456[[#This Row],[v_from_sd_and_n]])</f>
        <v>4.8356395605980762E-2</v>
      </c>
      <c r="BH1586" s="13" t="s">
        <v>50</v>
      </c>
      <c r="BI1586" s="13">
        <v>5.0000000000000001E-3</v>
      </c>
      <c r="BJ1586" s="18">
        <f>ABS(_xlfn.NORM.S.INV(Table1347456[[#This Row],[p_value]]/2))</f>
        <v>2.8070337683438042</v>
      </c>
      <c r="BK1586" s="19">
        <f>(Table1347456[[#This Row],[lnrr]]/Table1347456[[#This Row],[z_from_p]])^2</f>
        <v>2.6894618896761244E-2</v>
      </c>
      <c r="BL1586" s="16">
        <f>Table1347456[[#This Row],[v_from_sd_and_n]]</f>
        <v>2.3383409960021158E-3</v>
      </c>
      <c r="BM1586" s="20">
        <f>SQRT(Table1347456[[#This Row],[v]])</f>
        <v>4.8356395605980762E-2</v>
      </c>
      <c r="BN1586" s="20">
        <f>Table1347456[[#This Row],[lnrr]]-(1.96*Table1347456[[#This Row],[se]])</f>
        <v>0.3655631829462766</v>
      </c>
      <c r="BO1586" s="20">
        <f>Table1347456[[#This Row],[lnrr]]+(1.96 * Table1347456[[#This Row],[se]])</f>
        <v>0.55512025372172125</v>
      </c>
    </row>
    <row r="1587" spans="1:67">
      <c r="A1587" s="13" t="s">
        <v>607</v>
      </c>
      <c r="B1587" s="13" t="s">
        <v>608</v>
      </c>
      <c r="C1587" s="13" t="s">
        <v>341</v>
      </c>
      <c r="D1587" s="13" t="s">
        <v>609</v>
      </c>
      <c r="E1587" s="13" t="s">
        <v>44</v>
      </c>
      <c r="F1587" s="13" t="s">
        <v>591</v>
      </c>
      <c r="G1587" s="13" t="s">
        <v>46</v>
      </c>
      <c r="H1587" s="13" t="s">
        <v>46</v>
      </c>
      <c r="I1587" s="13">
        <v>118</v>
      </c>
      <c r="J1587" s="13" t="s">
        <v>649</v>
      </c>
      <c r="K1587" s="13" t="s">
        <v>971</v>
      </c>
      <c r="L1587" s="13" t="s">
        <v>972</v>
      </c>
      <c r="M1587" s="13" t="s">
        <v>801</v>
      </c>
      <c r="N1587" s="13" t="s">
        <v>625</v>
      </c>
      <c r="O1587" s="13" t="s">
        <v>644</v>
      </c>
      <c r="P1587" s="13" t="s">
        <v>85</v>
      </c>
      <c r="Q1587" s="13" t="s">
        <v>48</v>
      </c>
      <c r="R1587" s="4">
        <v>4</v>
      </c>
      <c r="S1587" s="13" t="s">
        <v>596</v>
      </c>
      <c r="T1587" s="13">
        <v>90</v>
      </c>
      <c r="U1587" s="4" t="s">
        <v>610</v>
      </c>
      <c r="V1587" s="4">
        <v>400</v>
      </c>
      <c r="W1587" s="4" t="s">
        <v>42</v>
      </c>
      <c r="X1587" s="4">
        <v>486.8</v>
      </c>
      <c r="Y1587" s="4">
        <v>4</v>
      </c>
      <c r="AA1587" s="4" t="s">
        <v>49</v>
      </c>
      <c r="AB1587" s="4">
        <v>0</v>
      </c>
      <c r="AC1587" s="4" t="s">
        <v>49</v>
      </c>
      <c r="AD1587" s="4">
        <v>0</v>
      </c>
      <c r="AE1587" s="4" t="s">
        <v>49</v>
      </c>
      <c r="AF1587" s="4">
        <v>0</v>
      </c>
      <c r="AG1587" s="4" t="s">
        <v>46</v>
      </c>
      <c r="AH1587" s="4" t="s">
        <v>721</v>
      </c>
      <c r="AI1587" s="4" t="s">
        <v>64</v>
      </c>
      <c r="AJ1587" s="13">
        <v>0</v>
      </c>
      <c r="AK1587" s="13">
        <v>15</v>
      </c>
      <c r="AM1587" s="13" t="s">
        <v>611</v>
      </c>
      <c r="AO1587" s="13" t="s">
        <v>612</v>
      </c>
      <c r="AP1587" s="13" t="s">
        <v>49</v>
      </c>
      <c r="AQ1587" s="13" t="s">
        <v>49</v>
      </c>
      <c r="AR1587" s="13" t="s">
        <v>50</v>
      </c>
      <c r="AS1587" s="13" t="s">
        <v>49</v>
      </c>
      <c r="AT1587" s="13" t="s">
        <v>990</v>
      </c>
      <c r="AU1587" s="13" t="s">
        <v>998</v>
      </c>
      <c r="AV1587" s="23">
        <f>50.9/1000</f>
        <v>5.0900000000000001E-2</v>
      </c>
      <c r="AW1587" s="23">
        <f>41.4/1000</f>
        <v>4.1399999999999999E-2</v>
      </c>
      <c r="AX1587" s="14">
        <f>Table1347456[[#This Row],[treatment_mean]]/Table1347456[[#This Row],[control_mean]]</f>
        <v>1.2294685990338166</v>
      </c>
      <c r="AY1587" s="14">
        <f>LN(Table1347456[[#This Row],[rr]])</f>
        <v>0.20658204272520847</v>
      </c>
      <c r="AZ1587" s="13">
        <v>4</v>
      </c>
      <c r="BA1587" s="13">
        <v>4</v>
      </c>
      <c r="BB1587" s="14">
        <v>0</v>
      </c>
      <c r="BC1587" s="14">
        <v>0</v>
      </c>
      <c r="BD1587" s="15">
        <v>0</v>
      </c>
      <c r="BE1587" s="14">
        <v>0</v>
      </c>
      <c r="BF158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87" s="17">
        <f>SQRT(Table1347456[[#This Row],[v_from_sd_and_n]])</f>
        <v>0</v>
      </c>
      <c r="BH1587" s="13" t="s">
        <v>613</v>
      </c>
      <c r="BI1587" s="13">
        <v>0.05</v>
      </c>
      <c r="BJ1587" s="18">
        <f>ABS(_xlfn.NORM.S.INV(Table1347456[[#This Row],[p_value]]/2))</f>
        <v>1.9599639845400538</v>
      </c>
      <c r="BK1587" s="19">
        <f>(Table1347456[[#This Row],[lnrr]]/Table1347456[[#This Row],[z_from_p]])^2</f>
        <v>1.1109357764456937E-2</v>
      </c>
      <c r="BL1587" s="16">
        <f>(Table1347456[[#This Row],[lnrr]]/Table1347456[[#This Row],[z_from_p]])^2</f>
        <v>1.1109357764456937E-2</v>
      </c>
      <c r="BM1587" s="20">
        <f>SQRT(Table1347456[[#This Row],[v]])</f>
        <v>0.10540093815738519</v>
      </c>
      <c r="BN1587" s="20">
        <f>Table1347456[[#This Row],[lnrr]]-(1.96*Table1347456[[#This Row],[se]])</f>
        <v>-3.7960632665035021E-6</v>
      </c>
      <c r="BO1587" s="20">
        <f>Table1347456[[#This Row],[lnrr]]+(1.96 * Table1347456[[#This Row],[se]])</f>
        <v>0.41316788151368344</v>
      </c>
    </row>
    <row r="1588" spans="1:67">
      <c r="A1588" s="13" t="s">
        <v>607</v>
      </c>
      <c r="B1588" s="13" t="s">
        <v>608</v>
      </c>
      <c r="C1588" s="13" t="s">
        <v>341</v>
      </c>
      <c r="D1588" s="13" t="s">
        <v>609</v>
      </c>
      <c r="E1588" s="13" t="s">
        <v>44</v>
      </c>
      <c r="F1588" s="13" t="s">
        <v>591</v>
      </c>
      <c r="G1588" s="13" t="s">
        <v>46</v>
      </c>
      <c r="H1588" s="13" t="s">
        <v>46</v>
      </c>
      <c r="I1588" s="13">
        <v>118</v>
      </c>
      <c r="J1588" s="13" t="s">
        <v>649</v>
      </c>
      <c r="K1588" s="13" t="s">
        <v>971</v>
      </c>
      <c r="L1588" s="13" t="s">
        <v>972</v>
      </c>
      <c r="M1588" s="13" t="s">
        <v>801</v>
      </c>
      <c r="N1588" s="13" t="s">
        <v>625</v>
      </c>
      <c r="O1588" s="13" t="s">
        <v>644</v>
      </c>
      <c r="P1588" s="13" t="s">
        <v>85</v>
      </c>
      <c r="Q1588" s="13" t="s">
        <v>48</v>
      </c>
      <c r="R1588" s="4">
        <v>4</v>
      </c>
      <c r="S1588" s="13" t="s">
        <v>596</v>
      </c>
      <c r="T1588" s="13">
        <v>90</v>
      </c>
      <c r="U1588" s="4" t="s">
        <v>610</v>
      </c>
      <c r="V1588" s="4">
        <v>400</v>
      </c>
      <c r="W1588" s="4" t="s">
        <v>42</v>
      </c>
      <c r="X1588" s="4">
        <v>486.8</v>
      </c>
      <c r="Y1588" s="4">
        <v>8</v>
      </c>
      <c r="AA1588" s="4" t="s">
        <v>49</v>
      </c>
      <c r="AB1588" s="4">
        <v>0</v>
      </c>
      <c r="AC1588" s="4" t="s">
        <v>49</v>
      </c>
      <c r="AD1588" s="4">
        <v>0</v>
      </c>
      <c r="AE1588" s="4" t="s">
        <v>49</v>
      </c>
      <c r="AF1588" s="4">
        <v>0</v>
      </c>
      <c r="AG1588" s="4" t="s">
        <v>46</v>
      </c>
      <c r="AH1588" s="4" t="s">
        <v>721</v>
      </c>
      <c r="AI1588" s="4" t="s">
        <v>64</v>
      </c>
      <c r="AJ1588" s="13">
        <v>0</v>
      </c>
      <c r="AK1588" s="13">
        <v>15</v>
      </c>
      <c r="AM1588" s="13" t="s">
        <v>611</v>
      </c>
      <c r="AO1588" s="13" t="s">
        <v>612</v>
      </c>
      <c r="AP1588" s="13" t="s">
        <v>49</v>
      </c>
      <c r="AQ1588" s="13" t="s">
        <v>49</v>
      </c>
      <c r="AR1588" s="13" t="s">
        <v>50</v>
      </c>
      <c r="AS1588" s="13" t="s">
        <v>49</v>
      </c>
      <c r="AT1588" s="13" t="s">
        <v>990</v>
      </c>
      <c r="AU1588" s="13" t="s">
        <v>998</v>
      </c>
      <c r="AV1588" s="23">
        <f>35.4/1000</f>
        <v>3.5400000000000001E-2</v>
      </c>
      <c r="AW1588" s="23">
        <f>41.4/1000</f>
        <v>4.1399999999999999E-2</v>
      </c>
      <c r="AX1588" s="14">
        <f>Table1347456[[#This Row],[treatment_mean]]/Table1347456[[#This Row],[control_mean]]</f>
        <v>0.85507246376811596</v>
      </c>
      <c r="AY1588" s="14">
        <f>LN(Table1347456[[#This Row],[rr]])</f>
        <v>-0.15656906069153992</v>
      </c>
      <c r="AZ1588" s="13">
        <v>4</v>
      </c>
      <c r="BA1588" s="13">
        <v>4</v>
      </c>
      <c r="BB1588" s="14">
        <v>0</v>
      </c>
      <c r="BC1588" s="14">
        <v>0</v>
      </c>
      <c r="BD1588" s="15">
        <v>0</v>
      </c>
      <c r="BE1588" s="14">
        <v>0</v>
      </c>
      <c r="BF158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88" s="17">
        <f>SQRT(Table1347456[[#This Row],[v_from_sd_and_n]])</f>
        <v>0</v>
      </c>
      <c r="BH1588" s="13" t="s">
        <v>613</v>
      </c>
      <c r="BI1588" s="13">
        <v>0.05</v>
      </c>
      <c r="BJ1588" s="18">
        <f>ABS(_xlfn.NORM.S.INV(Table1347456[[#This Row],[p_value]]/2))</f>
        <v>1.9599639845400538</v>
      </c>
      <c r="BK1588" s="19">
        <f>(Table1347456[[#This Row],[lnrr]]/Table1347456[[#This Row],[z_from_p]])^2</f>
        <v>6.3813962117135557E-3</v>
      </c>
      <c r="BL1588" s="16">
        <f>(Table1347456[[#This Row],[lnrr]]/Table1347456[[#This Row],[z_from_p]])^2</f>
        <v>6.3813962117135557E-3</v>
      </c>
      <c r="BM1588" s="20">
        <f>SQRT(Table1347456[[#This Row],[v]])</f>
        <v>7.988364170287654E-2</v>
      </c>
      <c r="BN1588" s="20">
        <f>Table1347456[[#This Row],[lnrr]]-(1.96*Table1347456[[#This Row],[se]])</f>
        <v>-0.31314099842917797</v>
      </c>
      <c r="BO1588" s="20">
        <f>Table1347456[[#This Row],[lnrr]]+(1.96 * Table1347456[[#This Row],[se]])</f>
        <v>2.8770460981097923E-6</v>
      </c>
    </row>
    <row r="1589" spans="1:67">
      <c r="A1589" s="13" t="s">
        <v>607</v>
      </c>
      <c r="B1589" s="13" t="s">
        <v>608</v>
      </c>
      <c r="C1589" s="13" t="s">
        <v>341</v>
      </c>
      <c r="D1589" s="13" t="s">
        <v>609</v>
      </c>
      <c r="E1589" s="13" t="s">
        <v>44</v>
      </c>
      <c r="F1589" s="13" t="s">
        <v>591</v>
      </c>
      <c r="G1589" s="13" t="s">
        <v>46</v>
      </c>
      <c r="H1589" s="13" t="s">
        <v>46</v>
      </c>
      <c r="I1589" s="13">
        <v>118</v>
      </c>
      <c r="J1589" s="13" t="s">
        <v>649</v>
      </c>
      <c r="K1589" s="13" t="s">
        <v>971</v>
      </c>
      <c r="L1589" s="13" t="s">
        <v>972</v>
      </c>
      <c r="M1589" s="13" t="s">
        <v>801</v>
      </c>
      <c r="N1589" s="13" t="s">
        <v>625</v>
      </c>
      <c r="O1589" s="13" t="s">
        <v>644</v>
      </c>
      <c r="P1589" s="13" t="s">
        <v>85</v>
      </c>
      <c r="Q1589" s="13" t="s">
        <v>48</v>
      </c>
      <c r="R1589" s="4">
        <v>4</v>
      </c>
      <c r="S1589" s="13" t="s">
        <v>596</v>
      </c>
      <c r="T1589" s="13">
        <v>90</v>
      </c>
      <c r="U1589" s="4" t="s">
        <v>610</v>
      </c>
      <c r="V1589" s="4">
        <v>400</v>
      </c>
      <c r="W1589" s="4" t="s">
        <v>42</v>
      </c>
      <c r="X1589" s="4">
        <v>486.8</v>
      </c>
      <c r="Y1589" s="4">
        <v>12</v>
      </c>
      <c r="AA1589" s="4" t="s">
        <v>49</v>
      </c>
      <c r="AB1589" s="4">
        <v>0</v>
      </c>
      <c r="AC1589" s="4" t="s">
        <v>49</v>
      </c>
      <c r="AD1589" s="4">
        <v>0</v>
      </c>
      <c r="AE1589" s="4" t="s">
        <v>49</v>
      </c>
      <c r="AF1589" s="4">
        <v>0</v>
      </c>
      <c r="AG1589" s="4" t="s">
        <v>46</v>
      </c>
      <c r="AH1589" s="4" t="s">
        <v>721</v>
      </c>
      <c r="AI1589" s="4" t="s">
        <v>64</v>
      </c>
      <c r="AJ1589" s="13">
        <v>0</v>
      </c>
      <c r="AK1589" s="13">
        <v>15</v>
      </c>
      <c r="AM1589" s="13" t="s">
        <v>611</v>
      </c>
      <c r="AO1589" s="13" t="s">
        <v>612</v>
      </c>
      <c r="AP1589" s="13" t="s">
        <v>49</v>
      </c>
      <c r="AQ1589" s="13" t="s">
        <v>49</v>
      </c>
      <c r="AR1589" s="13" t="s">
        <v>50</v>
      </c>
      <c r="AS1589" s="13" t="s">
        <v>49</v>
      </c>
      <c r="AT1589" s="13" t="s">
        <v>990</v>
      </c>
      <c r="AU1589" s="13" t="s">
        <v>998</v>
      </c>
      <c r="AV1589" s="23">
        <f>46.9/1000</f>
        <v>4.6899999999999997E-2</v>
      </c>
      <c r="AW1589" s="23">
        <f>41.4/1000</f>
        <v>4.1399999999999999E-2</v>
      </c>
      <c r="AX1589" s="14">
        <f>Table1347456[[#This Row],[treatment_mean]]/Table1347456[[#This Row],[control_mean]]</f>
        <v>1.1328502415458936</v>
      </c>
      <c r="AY1589" s="14">
        <f>LN(Table1347456[[#This Row],[rr]])</f>
        <v>0.12473679462096492</v>
      </c>
      <c r="AZ1589" s="13">
        <v>4</v>
      </c>
      <c r="BA1589" s="13">
        <v>4</v>
      </c>
      <c r="BB1589" s="14">
        <v>0</v>
      </c>
      <c r="BC1589" s="14">
        <v>0</v>
      </c>
      <c r="BD1589" s="15">
        <v>0</v>
      </c>
      <c r="BE1589" s="14">
        <v>0</v>
      </c>
      <c r="BF158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89" s="17">
        <f>SQRT(Table1347456[[#This Row],[v_from_sd_and_n]])</f>
        <v>0</v>
      </c>
      <c r="BH1589" s="13" t="s">
        <v>613</v>
      </c>
      <c r="BI1589" s="13">
        <v>0.05</v>
      </c>
      <c r="BJ1589" s="18">
        <f>ABS(_xlfn.NORM.S.INV(Table1347456[[#This Row],[p_value]]/2))</f>
        <v>1.9599639845400538</v>
      </c>
      <c r="BK1589" s="19">
        <f>(Table1347456[[#This Row],[lnrr]]/Table1347456[[#This Row],[z_from_p]])^2</f>
        <v>4.0503539562871931E-3</v>
      </c>
      <c r="BL1589" s="16">
        <f>(Table1347456[[#This Row],[lnrr]]/Table1347456[[#This Row],[z_from_p]])^2</f>
        <v>4.0503539562871931E-3</v>
      </c>
      <c r="BM1589" s="20">
        <f>SQRT(Table1347456[[#This Row],[v]])</f>
        <v>6.3642391189263098E-2</v>
      </c>
      <c r="BN1589" s="20">
        <f>Table1347456[[#This Row],[lnrr]]-(1.96*Table1347456[[#This Row],[se]])</f>
        <v>-2.2921099907535769E-6</v>
      </c>
      <c r="BO1589" s="20">
        <f>Table1347456[[#This Row],[lnrr]]+(1.96 * Table1347456[[#This Row],[se]])</f>
        <v>0.24947588135192059</v>
      </c>
    </row>
    <row r="1590" spans="1:67">
      <c r="A1590" s="13" t="s">
        <v>607</v>
      </c>
      <c r="B1590" s="13" t="s">
        <v>608</v>
      </c>
      <c r="C1590" s="13" t="s">
        <v>341</v>
      </c>
      <c r="D1590" s="13" t="s">
        <v>609</v>
      </c>
      <c r="E1590" s="13" t="s">
        <v>44</v>
      </c>
      <c r="F1590" s="13" t="s">
        <v>591</v>
      </c>
      <c r="G1590" s="13" t="s">
        <v>46</v>
      </c>
      <c r="H1590" s="13" t="s">
        <v>46</v>
      </c>
      <c r="I1590" s="13">
        <v>118</v>
      </c>
      <c r="J1590" s="13" t="s">
        <v>649</v>
      </c>
      <c r="K1590" s="13" t="s">
        <v>971</v>
      </c>
      <c r="L1590" s="13" t="s">
        <v>972</v>
      </c>
      <c r="M1590" s="13" t="s">
        <v>801</v>
      </c>
      <c r="N1590" s="13" t="s">
        <v>625</v>
      </c>
      <c r="O1590" s="13" t="s">
        <v>644</v>
      </c>
      <c r="P1590" s="13" t="s">
        <v>85</v>
      </c>
      <c r="Q1590" s="13" t="s">
        <v>48</v>
      </c>
      <c r="R1590" s="4">
        <v>4</v>
      </c>
      <c r="S1590" s="13" t="s">
        <v>596</v>
      </c>
      <c r="T1590" s="13">
        <v>90</v>
      </c>
      <c r="U1590" s="4" t="s">
        <v>610</v>
      </c>
      <c r="V1590" s="4">
        <v>400</v>
      </c>
      <c r="W1590" s="4" t="s">
        <v>42</v>
      </c>
      <c r="X1590" s="4">
        <v>486.8</v>
      </c>
      <c r="Y1590" s="4">
        <v>16</v>
      </c>
      <c r="AA1590" s="4" t="s">
        <v>49</v>
      </c>
      <c r="AB1590" s="4">
        <v>0</v>
      </c>
      <c r="AC1590" s="4" t="s">
        <v>49</v>
      </c>
      <c r="AD1590" s="4">
        <v>0</v>
      </c>
      <c r="AE1590" s="4" t="s">
        <v>49</v>
      </c>
      <c r="AF1590" s="4">
        <v>0</v>
      </c>
      <c r="AG1590" s="4" t="s">
        <v>46</v>
      </c>
      <c r="AH1590" s="4" t="s">
        <v>721</v>
      </c>
      <c r="AI1590" s="4" t="s">
        <v>64</v>
      </c>
      <c r="AJ1590" s="13">
        <v>0</v>
      </c>
      <c r="AK1590" s="13">
        <v>15</v>
      </c>
      <c r="AM1590" s="13" t="s">
        <v>611</v>
      </c>
      <c r="AO1590" s="13" t="s">
        <v>612</v>
      </c>
      <c r="AP1590" s="13" t="s">
        <v>49</v>
      </c>
      <c r="AQ1590" s="13" t="s">
        <v>49</v>
      </c>
      <c r="AR1590" s="13" t="s">
        <v>50</v>
      </c>
      <c r="AS1590" s="13" t="s">
        <v>49</v>
      </c>
      <c r="AT1590" s="13" t="s">
        <v>990</v>
      </c>
      <c r="AU1590" s="13" t="s">
        <v>998</v>
      </c>
      <c r="AV1590" s="23">
        <f>37.8/1000</f>
        <v>3.78E-2</v>
      </c>
      <c r="AW1590" s="23">
        <f>41.4/1000</f>
        <v>4.1399999999999999E-2</v>
      </c>
      <c r="AX1590" s="14">
        <f>Table1347456[[#This Row],[treatment_mean]]/Table1347456[[#This Row],[control_mean]]</f>
        <v>0.91304347826086962</v>
      </c>
      <c r="AY1590" s="14">
        <f>LN(Table1347456[[#This Row],[rr]])</f>
        <v>-9.0971778205726633E-2</v>
      </c>
      <c r="AZ1590" s="13">
        <v>4</v>
      </c>
      <c r="BA1590" s="13">
        <v>4</v>
      </c>
      <c r="BB1590" s="14">
        <v>0</v>
      </c>
      <c r="BC1590" s="14">
        <v>0</v>
      </c>
      <c r="BD1590" s="15">
        <v>0</v>
      </c>
      <c r="BE1590" s="14">
        <v>0</v>
      </c>
      <c r="BF159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90" s="17">
        <f>SQRT(Table1347456[[#This Row],[v_from_sd_and_n]])</f>
        <v>0</v>
      </c>
      <c r="BH1590" s="13" t="s">
        <v>613</v>
      </c>
      <c r="BI1590" s="13">
        <v>0.05</v>
      </c>
      <c r="BJ1590" s="18">
        <f>ABS(_xlfn.NORM.S.INV(Table1347456[[#This Row],[p_value]]/2))</f>
        <v>1.9599639845400538</v>
      </c>
      <c r="BK1590" s="19">
        <f>(Table1347456[[#This Row],[lnrr]]/Table1347456[[#This Row],[z_from_p]])^2</f>
        <v>2.1543545866818713E-3</v>
      </c>
      <c r="BL1590" s="16">
        <f>(Table1347456[[#This Row],[lnrr]]/Table1347456[[#This Row],[z_from_p]])^2</f>
        <v>2.1543545866818713E-3</v>
      </c>
      <c r="BM1590" s="20">
        <f>SQRT(Table1347456[[#This Row],[v]])</f>
        <v>4.6415025440926683E-2</v>
      </c>
      <c r="BN1590" s="20">
        <f>Table1347456[[#This Row],[lnrr]]-(1.96*Table1347456[[#This Row],[se]])</f>
        <v>-0.18194522806994293</v>
      </c>
      <c r="BO1590" s="20">
        <f>Table1347456[[#This Row],[lnrr]]+(1.96 * Table1347456[[#This Row],[se]])</f>
        <v>1.6716584896603326E-6</v>
      </c>
    </row>
    <row r="1591" spans="1:67">
      <c r="A1591" s="13" t="s">
        <v>607</v>
      </c>
      <c r="B1591" s="13" t="s">
        <v>608</v>
      </c>
      <c r="C1591" s="13" t="s">
        <v>341</v>
      </c>
      <c r="D1591" s="13" t="s">
        <v>609</v>
      </c>
      <c r="E1591" s="13" t="s">
        <v>44</v>
      </c>
      <c r="F1591" s="13" t="s">
        <v>591</v>
      </c>
      <c r="G1591" s="13" t="s">
        <v>46</v>
      </c>
      <c r="H1591" s="13" t="s">
        <v>46</v>
      </c>
      <c r="I1591" s="13">
        <v>118</v>
      </c>
      <c r="K1591" s="13" t="s">
        <v>971</v>
      </c>
      <c r="L1591" s="13" t="s">
        <v>972</v>
      </c>
      <c r="N1591" s="13" t="s">
        <v>626</v>
      </c>
      <c r="O1591" s="13" t="s">
        <v>644</v>
      </c>
      <c r="P1591" s="13" t="s">
        <v>85</v>
      </c>
      <c r="Q1591" s="13" t="s">
        <v>48</v>
      </c>
      <c r="R1591" s="4">
        <v>4</v>
      </c>
      <c r="S1591" s="13" t="s">
        <v>596</v>
      </c>
      <c r="T1591" s="13">
        <v>90</v>
      </c>
      <c r="U1591" s="4" t="s">
        <v>610</v>
      </c>
      <c r="V1591" s="4">
        <v>400</v>
      </c>
      <c r="W1591" s="4" t="s">
        <v>42</v>
      </c>
      <c r="X1591" s="4">
        <v>486.8</v>
      </c>
      <c r="Y1591" s="4">
        <v>4</v>
      </c>
      <c r="AA1591" s="4" t="s">
        <v>49</v>
      </c>
      <c r="AB1591" s="4">
        <v>0</v>
      </c>
      <c r="AC1591" s="4" t="s">
        <v>49</v>
      </c>
      <c r="AD1591" s="4">
        <v>0</v>
      </c>
      <c r="AE1591" s="4" t="s">
        <v>49</v>
      </c>
      <c r="AF1591" s="4">
        <v>0</v>
      </c>
      <c r="AG1591" s="4" t="s">
        <v>46</v>
      </c>
      <c r="AH1591" s="4" t="s">
        <v>721</v>
      </c>
      <c r="AI1591" s="4" t="s">
        <v>64</v>
      </c>
      <c r="AJ1591" s="13">
        <v>0</v>
      </c>
      <c r="AK1591" s="13">
        <v>15</v>
      </c>
      <c r="AM1591" s="13" t="s">
        <v>611</v>
      </c>
      <c r="AO1591" s="13" t="s">
        <v>612</v>
      </c>
      <c r="AP1591" s="13" t="s">
        <v>49</v>
      </c>
      <c r="AQ1591" s="13" t="s">
        <v>49</v>
      </c>
      <c r="AR1591" s="13" t="s">
        <v>50</v>
      </c>
      <c r="AS1591" s="13" t="s">
        <v>49</v>
      </c>
      <c r="AT1591" s="13" t="s">
        <v>990</v>
      </c>
      <c r="AU1591" s="13" t="s">
        <v>998</v>
      </c>
      <c r="AV1591" s="14">
        <f>483.8/1000</f>
        <v>0.48380000000000001</v>
      </c>
      <c r="AW1591" s="14">
        <f>307.4/1000</f>
        <v>0.30739999999999995</v>
      </c>
      <c r="AX1591" s="14">
        <f>Table1347456[[#This Row],[treatment_mean]]/Table1347456[[#This Row],[control_mean]]</f>
        <v>1.5738451528952508</v>
      </c>
      <c r="AY1591" s="14">
        <f>LN(Table1347456[[#This Row],[rr]])</f>
        <v>0.4535217670714316</v>
      </c>
      <c r="AZ1591" s="13">
        <v>4</v>
      </c>
      <c r="BA1591" s="13">
        <v>4</v>
      </c>
      <c r="BB1591" s="14">
        <v>0</v>
      </c>
      <c r="BC1591" s="14">
        <v>0</v>
      </c>
      <c r="BD1591" s="15">
        <v>0</v>
      </c>
      <c r="BE1591" s="14">
        <v>0</v>
      </c>
      <c r="BF159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91" s="17">
        <f>SQRT(Table1347456[[#This Row],[v_from_sd_and_n]])</f>
        <v>0</v>
      </c>
      <c r="BH1591" s="13" t="s">
        <v>613</v>
      </c>
      <c r="BI1591" s="13">
        <v>0.05</v>
      </c>
      <c r="BJ1591" s="18">
        <f>ABS(_xlfn.NORM.S.INV(Table1347456[[#This Row],[p_value]]/2))</f>
        <v>1.9599639845400538</v>
      </c>
      <c r="BK1591" s="19">
        <f>(Table1347456[[#This Row],[lnrr]]/Table1347456[[#This Row],[z_from_p]])^2</f>
        <v>5.3542678135601769E-2</v>
      </c>
      <c r="BL1591" s="16">
        <f>(Table1347456[[#This Row],[lnrr]]/Table1347456[[#This Row],[z_from_p]])^2</f>
        <v>5.3542678135601769E-2</v>
      </c>
      <c r="BM1591" s="20">
        <f>SQRT(Table1347456[[#This Row],[v]])</f>
        <v>0.23139290856809283</v>
      </c>
      <c r="BN1591" s="20">
        <f>Table1347456[[#This Row],[lnrr]]-(1.96*Table1347456[[#This Row],[se]])</f>
        <v>-8.3337220303514314E-6</v>
      </c>
      <c r="BO1591" s="20">
        <f>Table1347456[[#This Row],[lnrr]]+(1.96 * Table1347456[[#This Row],[se]])</f>
        <v>0.90705186786489356</v>
      </c>
    </row>
    <row r="1592" spans="1:67">
      <c r="A1592" s="13" t="s">
        <v>607</v>
      </c>
      <c r="B1592" s="13" t="s">
        <v>608</v>
      </c>
      <c r="C1592" s="13" t="s">
        <v>341</v>
      </c>
      <c r="D1592" s="13" t="s">
        <v>609</v>
      </c>
      <c r="E1592" s="13" t="s">
        <v>44</v>
      </c>
      <c r="F1592" s="13" t="s">
        <v>591</v>
      </c>
      <c r="G1592" s="13" t="s">
        <v>46</v>
      </c>
      <c r="H1592" s="13" t="s">
        <v>46</v>
      </c>
      <c r="I1592" s="13">
        <v>118</v>
      </c>
      <c r="K1592" s="13" t="s">
        <v>971</v>
      </c>
      <c r="L1592" s="13" t="s">
        <v>972</v>
      </c>
      <c r="N1592" s="13" t="s">
        <v>626</v>
      </c>
      <c r="O1592" s="13" t="s">
        <v>644</v>
      </c>
      <c r="P1592" s="13" t="s">
        <v>85</v>
      </c>
      <c r="Q1592" s="13" t="s">
        <v>48</v>
      </c>
      <c r="R1592" s="4">
        <v>4</v>
      </c>
      <c r="S1592" s="13" t="s">
        <v>596</v>
      </c>
      <c r="T1592" s="13">
        <v>90</v>
      </c>
      <c r="U1592" s="4" t="s">
        <v>610</v>
      </c>
      <c r="V1592" s="4">
        <v>400</v>
      </c>
      <c r="W1592" s="4" t="s">
        <v>42</v>
      </c>
      <c r="X1592" s="4">
        <v>486.8</v>
      </c>
      <c r="Y1592" s="4">
        <v>8</v>
      </c>
      <c r="AA1592" s="4" t="s">
        <v>49</v>
      </c>
      <c r="AB1592" s="4">
        <v>0</v>
      </c>
      <c r="AC1592" s="4" t="s">
        <v>49</v>
      </c>
      <c r="AD1592" s="4">
        <v>0</v>
      </c>
      <c r="AE1592" s="4" t="s">
        <v>49</v>
      </c>
      <c r="AF1592" s="4">
        <v>0</v>
      </c>
      <c r="AG1592" s="4" t="s">
        <v>46</v>
      </c>
      <c r="AH1592" s="4" t="s">
        <v>721</v>
      </c>
      <c r="AI1592" s="4" t="s">
        <v>64</v>
      </c>
      <c r="AJ1592" s="13">
        <v>0</v>
      </c>
      <c r="AK1592" s="13">
        <v>15</v>
      </c>
      <c r="AM1592" s="13" t="s">
        <v>611</v>
      </c>
      <c r="AO1592" s="13" t="s">
        <v>612</v>
      </c>
      <c r="AP1592" s="13" t="s">
        <v>49</v>
      </c>
      <c r="AQ1592" s="13" t="s">
        <v>49</v>
      </c>
      <c r="AR1592" s="13" t="s">
        <v>50</v>
      </c>
      <c r="AS1592" s="13" t="s">
        <v>49</v>
      </c>
      <c r="AT1592" s="13" t="s">
        <v>990</v>
      </c>
      <c r="AU1592" s="13" t="s">
        <v>998</v>
      </c>
      <c r="AV1592" s="14">
        <f>388.3/1000</f>
        <v>0.38830000000000003</v>
      </c>
      <c r="AW1592" s="14">
        <f>307.4/1000</f>
        <v>0.30739999999999995</v>
      </c>
      <c r="AX1592" s="14">
        <f>Table1347456[[#This Row],[treatment_mean]]/Table1347456[[#This Row],[control_mean]]</f>
        <v>1.2631750162654525</v>
      </c>
      <c r="AY1592" s="14">
        <f>LN(Table1347456[[#This Row],[rr]])</f>
        <v>0.23362840563312637</v>
      </c>
      <c r="AZ1592" s="13">
        <v>4</v>
      </c>
      <c r="BA1592" s="13">
        <v>4</v>
      </c>
      <c r="BB1592" s="14">
        <v>0</v>
      </c>
      <c r="BC1592" s="14">
        <v>0</v>
      </c>
      <c r="BD1592" s="15">
        <v>0</v>
      </c>
      <c r="BE1592" s="14">
        <v>0</v>
      </c>
      <c r="BF159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92" s="17">
        <f>SQRT(Table1347456[[#This Row],[v_from_sd_and_n]])</f>
        <v>0</v>
      </c>
      <c r="BH1592" s="13" t="s">
        <v>613</v>
      </c>
      <c r="BI1592" s="13">
        <v>0.05</v>
      </c>
      <c r="BJ1592" s="18">
        <f>ABS(_xlfn.NORM.S.INV(Table1347456[[#This Row],[p_value]]/2))</f>
        <v>1.9599639845400538</v>
      </c>
      <c r="BK1592" s="19">
        <f>(Table1347456[[#This Row],[lnrr]]/Table1347456[[#This Row],[z_from_p]])^2</f>
        <v>1.4208724983498329E-2</v>
      </c>
      <c r="BL1592" s="16">
        <f>(Table1347456[[#This Row],[lnrr]]/Table1347456[[#This Row],[z_from_p]])^2</f>
        <v>1.4208724983498329E-2</v>
      </c>
      <c r="BM1592" s="20">
        <f>SQRT(Table1347456[[#This Row],[v]])</f>
        <v>0.11920035647387271</v>
      </c>
      <c r="BN1592" s="20">
        <f>Table1347456[[#This Row],[lnrr]]-(1.96*Table1347456[[#This Row],[se]])</f>
        <v>-4.2930556641562756E-6</v>
      </c>
      <c r="BO1592" s="20">
        <f>Table1347456[[#This Row],[lnrr]]+(1.96 * Table1347456[[#This Row],[se]])</f>
        <v>0.46726110432191692</v>
      </c>
    </row>
    <row r="1593" spans="1:67">
      <c r="A1593" s="13" t="s">
        <v>607</v>
      </c>
      <c r="B1593" s="13" t="s">
        <v>608</v>
      </c>
      <c r="C1593" s="13" t="s">
        <v>341</v>
      </c>
      <c r="D1593" s="13" t="s">
        <v>609</v>
      </c>
      <c r="E1593" s="13" t="s">
        <v>44</v>
      </c>
      <c r="F1593" s="13" t="s">
        <v>591</v>
      </c>
      <c r="G1593" s="13" t="s">
        <v>46</v>
      </c>
      <c r="H1593" s="13" t="s">
        <v>46</v>
      </c>
      <c r="I1593" s="13">
        <v>118</v>
      </c>
      <c r="K1593" s="13" t="s">
        <v>971</v>
      </c>
      <c r="L1593" s="13" t="s">
        <v>972</v>
      </c>
      <c r="N1593" s="13" t="s">
        <v>626</v>
      </c>
      <c r="O1593" s="13" t="s">
        <v>644</v>
      </c>
      <c r="P1593" s="13" t="s">
        <v>85</v>
      </c>
      <c r="Q1593" s="13" t="s">
        <v>48</v>
      </c>
      <c r="R1593" s="4">
        <v>4</v>
      </c>
      <c r="S1593" s="13" t="s">
        <v>596</v>
      </c>
      <c r="T1593" s="13">
        <v>90</v>
      </c>
      <c r="U1593" s="4" t="s">
        <v>610</v>
      </c>
      <c r="V1593" s="4">
        <v>400</v>
      </c>
      <c r="W1593" s="4" t="s">
        <v>42</v>
      </c>
      <c r="X1593" s="4">
        <v>486.8</v>
      </c>
      <c r="Y1593" s="4">
        <v>12</v>
      </c>
      <c r="AA1593" s="4" t="s">
        <v>49</v>
      </c>
      <c r="AB1593" s="4">
        <v>0</v>
      </c>
      <c r="AC1593" s="4" t="s">
        <v>49</v>
      </c>
      <c r="AD1593" s="4">
        <v>0</v>
      </c>
      <c r="AE1593" s="4" t="s">
        <v>49</v>
      </c>
      <c r="AF1593" s="4">
        <v>0</v>
      </c>
      <c r="AG1593" s="4" t="s">
        <v>46</v>
      </c>
      <c r="AH1593" s="4" t="s">
        <v>721</v>
      </c>
      <c r="AI1593" s="4" t="s">
        <v>64</v>
      </c>
      <c r="AJ1593" s="13">
        <v>0</v>
      </c>
      <c r="AK1593" s="13">
        <v>15</v>
      </c>
      <c r="AM1593" s="13" t="s">
        <v>611</v>
      </c>
      <c r="AO1593" s="13" t="s">
        <v>612</v>
      </c>
      <c r="AP1593" s="13" t="s">
        <v>49</v>
      </c>
      <c r="AQ1593" s="13" t="s">
        <v>49</v>
      </c>
      <c r="AR1593" s="13" t="s">
        <v>50</v>
      </c>
      <c r="AS1593" s="13" t="s">
        <v>49</v>
      </c>
      <c r="AT1593" s="13" t="s">
        <v>990</v>
      </c>
      <c r="AU1593" s="13" t="s">
        <v>998</v>
      </c>
      <c r="AV1593" s="14">
        <f>461.1/1000</f>
        <v>0.46110000000000001</v>
      </c>
      <c r="AW1593" s="14">
        <f>307.4/1000</f>
        <v>0.30739999999999995</v>
      </c>
      <c r="AX1593" s="14">
        <f>Table1347456[[#This Row],[treatment_mean]]/Table1347456[[#This Row],[control_mean]]</f>
        <v>1.5000000000000002</v>
      </c>
      <c r="AY1593" s="14">
        <f>LN(Table1347456[[#This Row],[rr]])</f>
        <v>0.40546510810816455</v>
      </c>
      <c r="AZ1593" s="13">
        <v>4</v>
      </c>
      <c r="BA1593" s="13">
        <v>4</v>
      </c>
      <c r="BB1593" s="14">
        <v>0</v>
      </c>
      <c r="BC1593" s="14">
        <v>0</v>
      </c>
      <c r="BD1593" s="15">
        <v>0</v>
      </c>
      <c r="BE1593" s="14">
        <v>0</v>
      </c>
      <c r="BF159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93" s="17">
        <f>SQRT(Table1347456[[#This Row],[v_from_sd_and_n]])</f>
        <v>0</v>
      </c>
      <c r="BH1593" s="13" t="s">
        <v>613</v>
      </c>
      <c r="BI1593" s="13">
        <v>0.05</v>
      </c>
      <c r="BJ1593" s="18">
        <f>ABS(_xlfn.NORM.S.INV(Table1347456[[#This Row],[p_value]]/2))</f>
        <v>1.9599639845400538</v>
      </c>
      <c r="BK1593" s="19">
        <f>(Table1347456[[#This Row],[lnrr]]/Table1347456[[#This Row],[z_from_p]])^2</f>
        <v>4.2796750288594615E-2</v>
      </c>
      <c r="BL1593" s="16">
        <f>(Table1347456[[#This Row],[lnrr]]/Table1347456[[#This Row],[z_from_p]])^2</f>
        <v>4.2796750288594615E-2</v>
      </c>
      <c r="BM1593" s="20">
        <f>SQRT(Table1347456[[#This Row],[v]])</f>
        <v>0.20687375447019521</v>
      </c>
      <c r="BN1593" s="20">
        <f>Table1347456[[#This Row],[lnrr]]-(1.96*Table1347456[[#This Row],[se]])</f>
        <v>-7.4506534180618367E-6</v>
      </c>
      <c r="BO1593" s="20">
        <f>Table1347456[[#This Row],[lnrr]]+(1.96 * Table1347456[[#This Row],[se]])</f>
        <v>0.81093766686974722</v>
      </c>
    </row>
    <row r="1594" spans="1:67">
      <c r="A1594" s="13" t="s">
        <v>607</v>
      </c>
      <c r="B1594" s="13" t="s">
        <v>608</v>
      </c>
      <c r="C1594" s="13" t="s">
        <v>341</v>
      </c>
      <c r="D1594" s="13" t="s">
        <v>609</v>
      </c>
      <c r="E1594" s="13" t="s">
        <v>44</v>
      </c>
      <c r="F1594" s="13" t="s">
        <v>591</v>
      </c>
      <c r="G1594" s="13" t="s">
        <v>46</v>
      </c>
      <c r="H1594" s="13" t="s">
        <v>46</v>
      </c>
      <c r="I1594" s="13">
        <v>118</v>
      </c>
      <c r="K1594" s="13" t="s">
        <v>971</v>
      </c>
      <c r="L1594" s="13" t="s">
        <v>972</v>
      </c>
      <c r="N1594" s="13" t="s">
        <v>626</v>
      </c>
      <c r="O1594" s="13" t="s">
        <v>644</v>
      </c>
      <c r="P1594" s="13" t="s">
        <v>85</v>
      </c>
      <c r="Q1594" s="13" t="s">
        <v>48</v>
      </c>
      <c r="R1594" s="4">
        <v>4</v>
      </c>
      <c r="S1594" s="13" t="s">
        <v>596</v>
      </c>
      <c r="T1594" s="13">
        <v>90</v>
      </c>
      <c r="U1594" s="4" t="s">
        <v>610</v>
      </c>
      <c r="V1594" s="4">
        <v>400</v>
      </c>
      <c r="W1594" s="4" t="s">
        <v>42</v>
      </c>
      <c r="X1594" s="4">
        <v>486.8</v>
      </c>
      <c r="Y1594" s="4">
        <v>16</v>
      </c>
      <c r="AA1594" s="4" t="s">
        <v>49</v>
      </c>
      <c r="AB1594" s="4">
        <v>0</v>
      </c>
      <c r="AC1594" s="4" t="s">
        <v>49</v>
      </c>
      <c r="AD1594" s="4">
        <v>0</v>
      </c>
      <c r="AE1594" s="4" t="s">
        <v>49</v>
      </c>
      <c r="AF1594" s="4">
        <v>0</v>
      </c>
      <c r="AG1594" s="4" t="s">
        <v>46</v>
      </c>
      <c r="AH1594" s="4" t="s">
        <v>721</v>
      </c>
      <c r="AI1594" s="4" t="s">
        <v>64</v>
      </c>
      <c r="AJ1594" s="13">
        <v>0</v>
      </c>
      <c r="AK1594" s="13">
        <v>15</v>
      </c>
      <c r="AM1594" s="13" t="s">
        <v>611</v>
      </c>
      <c r="AO1594" s="13" t="s">
        <v>612</v>
      </c>
      <c r="AP1594" s="13" t="s">
        <v>49</v>
      </c>
      <c r="AQ1594" s="13" t="s">
        <v>49</v>
      </c>
      <c r="AR1594" s="13" t="s">
        <v>50</v>
      </c>
      <c r="AS1594" s="13" t="s">
        <v>49</v>
      </c>
      <c r="AT1594" s="13" t="s">
        <v>990</v>
      </c>
      <c r="AU1594" s="13" t="s">
        <v>998</v>
      </c>
      <c r="AV1594" s="14">
        <f>510/1000</f>
        <v>0.51</v>
      </c>
      <c r="AW1594" s="14">
        <f>307.4/1000</f>
        <v>0.30739999999999995</v>
      </c>
      <c r="AX1594" s="14">
        <f>Table1347456[[#This Row],[treatment_mean]]/Table1347456[[#This Row],[control_mean]]</f>
        <v>1.6590761223162007</v>
      </c>
      <c r="AY1594" s="14">
        <f>LN(Table1347456[[#This Row],[rr]])</f>
        <v>0.50626089461387613</v>
      </c>
      <c r="AZ1594" s="13">
        <v>4</v>
      </c>
      <c r="BA1594" s="13">
        <v>4</v>
      </c>
      <c r="BB1594" s="14">
        <v>0</v>
      </c>
      <c r="BC1594" s="14">
        <v>0</v>
      </c>
      <c r="BD1594" s="15">
        <v>0</v>
      </c>
      <c r="BE1594" s="14">
        <v>0</v>
      </c>
      <c r="BF159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94" s="17">
        <f>SQRT(Table1347456[[#This Row],[v_from_sd_and_n]])</f>
        <v>0</v>
      </c>
      <c r="BH1594" s="13" t="s">
        <v>613</v>
      </c>
      <c r="BI1594" s="13">
        <v>0.05</v>
      </c>
      <c r="BJ1594" s="18">
        <f>ABS(_xlfn.NORM.S.INV(Table1347456[[#This Row],[p_value]]/2))</f>
        <v>1.9599639845400538</v>
      </c>
      <c r="BK1594" s="19">
        <f>(Table1347456[[#This Row],[lnrr]]/Table1347456[[#This Row],[z_from_p]])^2</f>
        <v>6.6719469185649277E-2</v>
      </c>
      <c r="BL1594" s="16">
        <f>(Table1347456[[#This Row],[lnrr]]/Table1347456[[#This Row],[z_from_p]])^2</f>
        <v>6.6719469185649277E-2</v>
      </c>
      <c r="BM1594" s="20">
        <f>SQRT(Table1347456[[#This Row],[v]])</f>
        <v>0.25830112114671372</v>
      </c>
      <c r="BN1594" s="20">
        <f>Table1347456[[#This Row],[lnrr]]-(1.96*Table1347456[[#This Row],[se]])</f>
        <v>-9.3028336827227776E-6</v>
      </c>
      <c r="BO1594" s="20">
        <f>Table1347456[[#This Row],[lnrr]]+(1.96 * Table1347456[[#This Row],[se]])</f>
        <v>1.012531092061435</v>
      </c>
    </row>
    <row r="1595" spans="1:67">
      <c r="A1595" s="13" t="s">
        <v>607</v>
      </c>
      <c r="B1595" s="13" t="s">
        <v>608</v>
      </c>
      <c r="C1595" s="13" t="s">
        <v>341</v>
      </c>
      <c r="D1595" s="13" t="s">
        <v>609</v>
      </c>
      <c r="E1595" s="13" t="s">
        <v>44</v>
      </c>
      <c r="F1595" s="13" t="s">
        <v>591</v>
      </c>
      <c r="G1595" s="13" t="s">
        <v>46</v>
      </c>
      <c r="H1595" s="13" t="s">
        <v>46</v>
      </c>
      <c r="I1595" s="13">
        <v>118</v>
      </c>
      <c r="K1595" s="13" t="s">
        <v>971</v>
      </c>
      <c r="L1595" s="13" t="s">
        <v>972</v>
      </c>
      <c r="N1595" s="13" t="s">
        <v>53</v>
      </c>
      <c r="O1595" s="13" t="s">
        <v>54</v>
      </c>
      <c r="P1595" s="13" t="s">
        <v>85</v>
      </c>
      <c r="Q1595" s="13" t="s">
        <v>48</v>
      </c>
      <c r="R1595" s="4">
        <v>4</v>
      </c>
      <c r="S1595" s="13" t="s">
        <v>596</v>
      </c>
      <c r="T1595" s="13">
        <v>90</v>
      </c>
      <c r="U1595" s="4" t="s">
        <v>610</v>
      </c>
      <c r="V1595" s="4">
        <v>400</v>
      </c>
      <c r="W1595" s="4" t="s">
        <v>42</v>
      </c>
      <c r="X1595" s="4">
        <v>486.8</v>
      </c>
      <c r="Y1595" s="4">
        <v>4</v>
      </c>
      <c r="AA1595" s="4" t="s">
        <v>49</v>
      </c>
      <c r="AB1595" s="4">
        <v>0</v>
      </c>
      <c r="AC1595" s="4" t="s">
        <v>49</v>
      </c>
      <c r="AD1595" s="4">
        <v>0</v>
      </c>
      <c r="AE1595" s="4" t="s">
        <v>49</v>
      </c>
      <c r="AF1595" s="4">
        <v>0</v>
      </c>
      <c r="AG1595" s="4" t="s">
        <v>46</v>
      </c>
      <c r="AH1595" s="4" t="s">
        <v>721</v>
      </c>
      <c r="AI1595" s="4" t="s">
        <v>64</v>
      </c>
      <c r="AJ1595" s="13">
        <v>0</v>
      </c>
      <c r="AK1595" s="13">
        <v>15</v>
      </c>
      <c r="AM1595" s="13" t="s">
        <v>611</v>
      </c>
      <c r="AO1595" s="13" t="s">
        <v>612</v>
      </c>
      <c r="AP1595" s="13" t="s">
        <v>49</v>
      </c>
      <c r="AQ1595" s="13" t="s">
        <v>49</v>
      </c>
      <c r="AR1595" s="13" t="s">
        <v>50</v>
      </c>
      <c r="AS1595" s="13" t="s">
        <v>49</v>
      </c>
      <c r="AT1595" s="13" t="s">
        <v>990</v>
      </c>
      <c r="AU1595" s="13" t="s">
        <v>998</v>
      </c>
      <c r="AV1595" s="14">
        <f>21.44/1000</f>
        <v>2.1440000000000001E-2</v>
      </c>
      <c r="AW1595" s="14">
        <f>7.19/1000</f>
        <v>7.1900000000000002E-3</v>
      </c>
      <c r="AX1595" s="14">
        <f>Table1347456[[#This Row],[treatment_mean]]/Table1347456[[#This Row],[control_mean]]</f>
        <v>2.9819193324061195</v>
      </c>
      <c r="AY1595" s="14">
        <f>LN(Table1347456[[#This Row],[rr]])</f>
        <v>1.092567164469646</v>
      </c>
      <c r="AZ1595" s="13">
        <v>4</v>
      </c>
      <c r="BA1595" s="13">
        <v>4</v>
      </c>
      <c r="BB1595" s="14">
        <f>2.19/1000</f>
        <v>2.1900000000000001E-3</v>
      </c>
      <c r="BC1595" s="14">
        <v>0</v>
      </c>
      <c r="BD1595" s="15">
        <v>0</v>
      </c>
      <c r="BE1595" s="14">
        <v>0</v>
      </c>
      <c r="BF159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95" s="17">
        <f>SQRT(Table1347456[[#This Row],[v_from_sd_and_n]])</f>
        <v>0</v>
      </c>
      <c r="BH1595" s="13" t="s">
        <v>613</v>
      </c>
      <c r="BI1595" s="13">
        <v>0.05</v>
      </c>
      <c r="BJ1595" s="18">
        <f>ABS(_xlfn.NORM.S.INV(Table1347456[[#This Row],[p_value]]/2))</f>
        <v>1.9599639845400538</v>
      </c>
      <c r="BK1595" s="19">
        <f>(Table1347456[[#This Row],[lnrr]]/Table1347456[[#This Row],[z_from_p]])^2</f>
        <v>0.31074210725537565</v>
      </c>
      <c r="BL1595" s="16">
        <f>(Table1347456[[#This Row],[lnrr]]/Table1347456[[#This Row],[z_from_p]])^2</f>
        <v>0.31074210725537565</v>
      </c>
      <c r="BM1595" s="20">
        <f>SQRT(Table1347456[[#This Row],[v]])</f>
        <v>0.5574424699064251</v>
      </c>
      <c r="BN1595" s="20">
        <f>Table1347456[[#This Row],[lnrr]]-(1.96*Table1347456[[#This Row],[se]])</f>
        <v>-2.0076546947134233E-5</v>
      </c>
      <c r="BO1595" s="20">
        <f>Table1347456[[#This Row],[lnrr]]+(1.96 * Table1347456[[#This Row],[se]])</f>
        <v>2.1851544054862391</v>
      </c>
    </row>
    <row r="1596" spans="1:67">
      <c r="A1596" s="13" t="s">
        <v>607</v>
      </c>
      <c r="B1596" s="13" t="s">
        <v>608</v>
      </c>
      <c r="C1596" s="13" t="s">
        <v>341</v>
      </c>
      <c r="D1596" s="13" t="s">
        <v>609</v>
      </c>
      <c r="E1596" s="13" t="s">
        <v>44</v>
      </c>
      <c r="F1596" s="13" t="s">
        <v>591</v>
      </c>
      <c r="G1596" s="13" t="s">
        <v>46</v>
      </c>
      <c r="H1596" s="13" t="s">
        <v>46</v>
      </c>
      <c r="I1596" s="13">
        <v>118</v>
      </c>
      <c r="K1596" s="13" t="s">
        <v>971</v>
      </c>
      <c r="L1596" s="13" t="s">
        <v>972</v>
      </c>
      <c r="N1596" s="13" t="s">
        <v>53</v>
      </c>
      <c r="O1596" s="13" t="s">
        <v>54</v>
      </c>
      <c r="P1596" s="13" t="s">
        <v>85</v>
      </c>
      <c r="Q1596" s="13" t="s">
        <v>48</v>
      </c>
      <c r="R1596" s="4">
        <v>4</v>
      </c>
      <c r="S1596" s="13" t="s">
        <v>596</v>
      </c>
      <c r="T1596" s="13">
        <v>90</v>
      </c>
      <c r="U1596" s="4" t="s">
        <v>610</v>
      </c>
      <c r="V1596" s="4">
        <v>400</v>
      </c>
      <c r="W1596" s="4" t="s">
        <v>42</v>
      </c>
      <c r="X1596" s="4">
        <v>486.8</v>
      </c>
      <c r="Y1596" s="4">
        <v>8</v>
      </c>
      <c r="AA1596" s="4" t="s">
        <v>49</v>
      </c>
      <c r="AB1596" s="4">
        <v>0</v>
      </c>
      <c r="AC1596" s="4" t="s">
        <v>49</v>
      </c>
      <c r="AD1596" s="4">
        <v>0</v>
      </c>
      <c r="AE1596" s="4" t="s">
        <v>49</v>
      </c>
      <c r="AF1596" s="4">
        <v>0</v>
      </c>
      <c r="AG1596" s="4" t="s">
        <v>46</v>
      </c>
      <c r="AH1596" s="4" t="s">
        <v>721</v>
      </c>
      <c r="AI1596" s="4" t="s">
        <v>64</v>
      </c>
      <c r="AJ1596" s="13">
        <v>0</v>
      </c>
      <c r="AK1596" s="13">
        <v>15</v>
      </c>
      <c r="AM1596" s="13" t="s">
        <v>611</v>
      </c>
      <c r="AO1596" s="13" t="s">
        <v>612</v>
      </c>
      <c r="AP1596" s="13" t="s">
        <v>49</v>
      </c>
      <c r="AQ1596" s="13" t="s">
        <v>49</v>
      </c>
      <c r="AR1596" s="13" t="s">
        <v>50</v>
      </c>
      <c r="AS1596" s="13" t="s">
        <v>49</v>
      </c>
      <c r="AT1596" s="13" t="s">
        <v>990</v>
      </c>
      <c r="AU1596" s="13" t="s">
        <v>998</v>
      </c>
      <c r="AV1596" s="14">
        <f>7.58/1000</f>
        <v>7.5799999999999999E-3</v>
      </c>
      <c r="AW1596" s="14">
        <f>7.19/1000</f>
        <v>7.1900000000000002E-3</v>
      </c>
      <c r="AX1596" s="14">
        <f>Table1347456[[#This Row],[treatment_mean]]/Table1347456[[#This Row],[control_mean]]</f>
        <v>1.054242002781641</v>
      </c>
      <c r="AY1596" s="14">
        <f>LN(Table1347456[[#This Row],[rr]])</f>
        <v>5.282202792132485E-2</v>
      </c>
      <c r="AZ1596" s="13">
        <v>4</v>
      </c>
      <c r="BA1596" s="13">
        <v>4</v>
      </c>
      <c r="BB1596" s="14">
        <f>2.19/1000</f>
        <v>2.1900000000000001E-3</v>
      </c>
      <c r="BC1596" s="14">
        <v>0</v>
      </c>
      <c r="BD1596" s="15">
        <v>0</v>
      </c>
      <c r="BE1596" s="14">
        <v>0</v>
      </c>
      <c r="BF159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96" s="17">
        <f>SQRT(Table1347456[[#This Row],[v_from_sd_and_n]])</f>
        <v>0</v>
      </c>
      <c r="BH1596" s="13" t="s">
        <v>613</v>
      </c>
      <c r="BI1596" s="13">
        <v>0.05</v>
      </c>
      <c r="BJ1596" s="18">
        <f>ABS(_xlfn.NORM.S.INV(Table1347456[[#This Row],[p_value]]/2))</f>
        <v>1.9599639845400538</v>
      </c>
      <c r="BK1596" s="19">
        <f>(Table1347456[[#This Row],[lnrr]]/Table1347456[[#This Row],[z_from_p]])^2</f>
        <v>7.2632996055833248E-4</v>
      </c>
      <c r="BL1596" s="16">
        <f>(Table1347456[[#This Row],[lnrr]]/Table1347456[[#This Row],[z_from_p]])^2</f>
        <v>7.2632996055833248E-4</v>
      </c>
      <c r="BM1596" s="20">
        <f>SQRT(Table1347456[[#This Row],[v]])</f>
        <v>2.6950509467509747E-2</v>
      </c>
      <c r="BN1596" s="20">
        <f>Table1347456[[#This Row],[lnrr]]-(1.96*Table1347456[[#This Row],[se]])</f>
        <v>-9.7063499425453781E-7</v>
      </c>
      <c r="BO1596" s="20">
        <f>Table1347456[[#This Row],[lnrr]]+(1.96 * Table1347456[[#This Row],[se]])</f>
        <v>0.10564502647764396</v>
      </c>
    </row>
    <row r="1597" spans="1:67">
      <c r="A1597" s="13" t="s">
        <v>607</v>
      </c>
      <c r="B1597" s="13" t="s">
        <v>608</v>
      </c>
      <c r="C1597" s="13" t="s">
        <v>341</v>
      </c>
      <c r="D1597" s="13" t="s">
        <v>609</v>
      </c>
      <c r="E1597" s="13" t="s">
        <v>44</v>
      </c>
      <c r="F1597" s="13" t="s">
        <v>591</v>
      </c>
      <c r="G1597" s="13" t="s">
        <v>46</v>
      </c>
      <c r="H1597" s="13" t="s">
        <v>46</v>
      </c>
      <c r="I1597" s="13">
        <v>118</v>
      </c>
      <c r="K1597" s="13" t="s">
        <v>971</v>
      </c>
      <c r="L1597" s="13" t="s">
        <v>972</v>
      </c>
      <c r="N1597" s="13" t="s">
        <v>53</v>
      </c>
      <c r="O1597" s="13" t="s">
        <v>54</v>
      </c>
      <c r="P1597" s="13" t="s">
        <v>85</v>
      </c>
      <c r="Q1597" s="13" t="s">
        <v>48</v>
      </c>
      <c r="R1597" s="4">
        <v>4</v>
      </c>
      <c r="S1597" s="13" t="s">
        <v>596</v>
      </c>
      <c r="T1597" s="13">
        <v>90</v>
      </c>
      <c r="U1597" s="4" t="s">
        <v>610</v>
      </c>
      <c r="V1597" s="4">
        <v>400</v>
      </c>
      <c r="W1597" s="4" t="s">
        <v>42</v>
      </c>
      <c r="X1597" s="4">
        <v>486.8</v>
      </c>
      <c r="Y1597" s="4">
        <v>12</v>
      </c>
      <c r="AA1597" s="4" t="s">
        <v>49</v>
      </c>
      <c r="AB1597" s="4">
        <v>0</v>
      </c>
      <c r="AC1597" s="4" t="s">
        <v>49</v>
      </c>
      <c r="AD1597" s="4">
        <v>0</v>
      </c>
      <c r="AE1597" s="4" t="s">
        <v>49</v>
      </c>
      <c r="AF1597" s="4">
        <v>0</v>
      </c>
      <c r="AG1597" s="4" t="s">
        <v>46</v>
      </c>
      <c r="AH1597" s="4" t="s">
        <v>721</v>
      </c>
      <c r="AI1597" s="4" t="s">
        <v>64</v>
      </c>
      <c r="AJ1597" s="13">
        <v>0</v>
      </c>
      <c r="AK1597" s="13">
        <v>15</v>
      </c>
      <c r="AM1597" s="13" t="s">
        <v>611</v>
      </c>
      <c r="AO1597" s="13" t="s">
        <v>612</v>
      </c>
      <c r="AP1597" s="13" t="s">
        <v>49</v>
      </c>
      <c r="AQ1597" s="13" t="s">
        <v>49</v>
      </c>
      <c r="AR1597" s="13" t="s">
        <v>50</v>
      </c>
      <c r="AS1597" s="13" t="s">
        <v>49</v>
      </c>
      <c r="AT1597" s="13" t="s">
        <v>990</v>
      </c>
      <c r="AU1597" s="13" t="s">
        <v>998</v>
      </c>
      <c r="AV1597" s="14">
        <f>6.45/1000</f>
        <v>6.45E-3</v>
      </c>
      <c r="AW1597" s="14">
        <f>7.19/1000</f>
        <v>7.1900000000000002E-3</v>
      </c>
      <c r="AX1597" s="14">
        <f>Table1347456[[#This Row],[treatment_mean]]/Table1347456[[#This Row],[control_mean]]</f>
        <v>0.89707927677329624</v>
      </c>
      <c r="AY1597" s="14">
        <f>LN(Table1347456[[#This Row],[rr]])</f>
        <v>-0.1086110409252742</v>
      </c>
      <c r="AZ1597" s="13">
        <v>4</v>
      </c>
      <c r="BA1597" s="13">
        <v>4</v>
      </c>
      <c r="BB1597" s="14">
        <f>2.19/1000</f>
        <v>2.1900000000000001E-3</v>
      </c>
      <c r="BC1597" s="14">
        <v>0</v>
      </c>
      <c r="BD1597" s="15">
        <v>0</v>
      </c>
      <c r="BE1597" s="14">
        <v>0</v>
      </c>
      <c r="BF159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97" s="17">
        <f>SQRT(Table1347456[[#This Row],[v_from_sd_and_n]])</f>
        <v>0</v>
      </c>
      <c r="BH1597" s="13" t="s">
        <v>613</v>
      </c>
      <c r="BI1597" s="13">
        <v>0.05</v>
      </c>
      <c r="BJ1597" s="18">
        <f>ABS(_xlfn.NORM.S.INV(Table1347456[[#This Row],[p_value]]/2))</f>
        <v>1.9599639845400538</v>
      </c>
      <c r="BK1597" s="19">
        <f>(Table1347456[[#This Row],[lnrr]]/Table1347456[[#This Row],[z_from_p]])^2</f>
        <v>3.0708016827680241E-3</v>
      </c>
      <c r="BL1597" s="16">
        <f>(Table1347456[[#This Row],[lnrr]]/Table1347456[[#This Row],[z_from_p]])^2</f>
        <v>3.0708016827680241E-3</v>
      </c>
      <c r="BM1597" s="20">
        <f>SQRT(Table1347456[[#This Row],[v]])</f>
        <v>5.541481465066922E-2</v>
      </c>
      <c r="BN1597" s="20">
        <f>Table1347456[[#This Row],[lnrr]]-(1.96*Table1347456[[#This Row],[se]])</f>
        <v>-0.21722407764058588</v>
      </c>
      <c r="BO1597" s="20">
        <f>Table1347456[[#This Row],[lnrr]]+(1.96 * Table1347456[[#This Row],[se]])</f>
        <v>1.995790037470635E-6</v>
      </c>
    </row>
    <row r="1598" spans="1:67">
      <c r="A1598" s="13" t="s">
        <v>607</v>
      </c>
      <c r="B1598" s="13" t="s">
        <v>608</v>
      </c>
      <c r="C1598" s="13" t="s">
        <v>341</v>
      </c>
      <c r="D1598" s="13" t="s">
        <v>609</v>
      </c>
      <c r="E1598" s="13" t="s">
        <v>44</v>
      </c>
      <c r="F1598" s="13" t="s">
        <v>591</v>
      </c>
      <c r="G1598" s="13" t="s">
        <v>46</v>
      </c>
      <c r="H1598" s="13" t="s">
        <v>46</v>
      </c>
      <c r="I1598" s="13">
        <v>118</v>
      </c>
      <c r="K1598" s="13" t="s">
        <v>971</v>
      </c>
      <c r="L1598" s="13" t="s">
        <v>972</v>
      </c>
      <c r="N1598" s="13" t="s">
        <v>53</v>
      </c>
      <c r="O1598" s="13" t="s">
        <v>54</v>
      </c>
      <c r="P1598" s="13" t="s">
        <v>85</v>
      </c>
      <c r="Q1598" s="13" t="s">
        <v>48</v>
      </c>
      <c r="R1598" s="4">
        <v>4</v>
      </c>
      <c r="S1598" s="13" t="s">
        <v>596</v>
      </c>
      <c r="T1598" s="13">
        <v>90</v>
      </c>
      <c r="U1598" s="4" t="s">
        <v>610</v>
      </c>
      <c r="V1598" s="4">
        <v>400</v>
      </c>
      <c r="W1598" s="4" t="s">
        <v>42</v>
      </c>
      <c r="X1598" s="4">
        <v>486.8</v>
      </c>
      <c r="Y1598" s="4">
        <v>16</v>
      </c>
      <c r="AA1598" s="4" t="s">
        <v>49</v>
      </c>
      <c r="AB1598" s="4">
        <v>0</v>
      </c>
      <c r="AC1598" s="4" t="s">
        <v>49</v>
      </c>
      <c r="AD1598" s="4">
        <v>0</v>
      </c>
      <c r="AE1598" s="4" t="s">
        <v>49</v>
      </c>
      <c r="AF1598" s="4">
        <v>0</v>
      </c>
      <c r="AG1598" s="4" t="s">
        <v>46</v>
      </c>
      <c r="AH1598" s="4" t="s">
        <v>721</v>
      </c>
      <c r="AI1598" s="4" t="s">
        <v>64</v>
      </c>
      <c r="AJ1598" s="13">
        <v>0</v>
      </c>
      <c r="AK1598" s="13">
        <v>15</v>
      </c>
      <c r="AM1598" s="13" t="s">
        <v>611</v>
      </c>
      <c r="AO1598" s="13" t="s">
        <v>612</v>
      </c>
      <c r="AP1598" s="13" t="s">
        <v>49</v>
      </c>
      <c r="AQ1598" s="13" t="s">
        <v>49</v>
      </c>
      <c r="AR1598" s="13" t="s">
        <v>50</v>
      </c>
      <c r="AS1598" s="13" t="s">
        <v>49</v>
      </c>
      <c r="AT1598" s="13" t="s">
        <v>990</v>
      </c>
      <c r="AU1598" s="13" t="s">
        <v>998</v>
      </c>
      <c r="AV1598" s="14">
        <f>6.64/1000</f>
        <v>6.6400000000000001E-3</v>
      </c>
      <c r="AW1598" s="14">
        <f>7.19/1000</f>
        <v>7.1900000000000002E-3</v>
      </c>
      <c r="AX1598" s="14">
        <f>Table1347456[[#This Row],[treatment_mean]]/Table1347456[[#This Row],[control_mean]]</f>
        <v>0.92350486787204444</v>
      </c>
      <c r="AY1598" s="14">
        <f>LN(Table1347456[[#This Row],[rr]])</f>
        <v>-7.9579208244612898E-2</v>
      </c>
      <c r="AZ1598" s="13">
        <v>4</v>
      </c>
      <c r="BA1598" s="13">
        <v>4</v>
      </c>
      <c r="BB1598" s="14">
        <f>2.19/1000</f>
        <v>2.1900000000000001E-3</v>
      </c>
      <c r="BC1598" s="14">
        <v>0</v>
      </c>
      <c r="BD1598" s="15">
        <v>0</v>
      </c>
      <c r="BE1598" s="14">
        <v>0</v>
      </c>
      <c r="BF159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98" s="17">
        <f>SQRT(Table1347456[[#This Row],[v_from_sd_and_n]])</f>
        <v>0</v>
      </c>
      <c r="BH1598" s="13" t="s">
        <v>613</v>
      </c>
      <c r="BI1598" s="13">
        <v>0.05</v>
      </c>
      <c r="BJ1598" s="18">
        <f>ABS(_xlfn.NORM.S.INV(Table1347456[[#This Row],[p_value]]/2))</f>
        <v>1.9599639845400538</v>
      </c>
      <c r="BK1598" s="19">
        <f>(Table1347456[[#This Row],[lnrr]]/Table1347456[[#This Row],[z_from_p]])^2</f>
        <v>1.6485535002286357E-3</v>
      </c>
      <c r="BL1598" s="16">
        <f>(Table1347456[[#This Row],[lnrr]]/Table1347456[[#This Row],[z_from_p]])^2</f>
        <v>1.6485535002286357E-3</v>
      </c>
      <c r="BM1598" s="20">
        <f>SQRT(Table1347456[[#This Row],[v]])</f>
        <v>4.0602382937810877E-2</v>
      </c>
      <c r="BN1598" s="20">
        <f>Table1347456[[#This Row],[lnrr]]-(1.96*Table1347456[[#This Row],[se]])</f>
        <v>-0.1591598788027222</v>
      </c>
      <c r="BO1598" s="20">
        <f>Table1347456[[#This Row],[lnrr]]+(1.96 * Table1347456[[#This Row],[se]])</f>
        <v>1.4623134964170115E-6</v>
      </c>
    </row>
    <row r="1599" spans="1:67">
      <c r="A1599" s="13" t="s">
        <v>607</v>
      </c>
      <c r="B1599" s="13" t="s">
        <v>608</v>
      </c>
      <c r="C1599" s="13" t="s">
        <v>341</v>
      </c>
      <c r="D1599" s="13" t="s">
        <v>609</v>
      </c>
      <c r="E1599" s="13" t="s">
        <v>44</v>
      </c>
      <c r="F1599" s="13" t="s">
        <v>591</v>
      </c>
      <c r="G1599" s="13" t="s">
        <v>46</v>
      </c>
      <c r="H1599" s="13" t="s">
        <v>46</v>
      </c>
      <c r="I1599" s="13">
        <v>118</v>
      </c>
      <c r="J1599" s="13" t="s">
        <v>649</v>
      </c>
      <c r="K1599" s="13" t="s">
        <v>971</v>
      </c>
      <c r="L1599" s="13" t="s">
        <v>972</v>
      </c>
      <c r="M1599" s="13" t="s">
        <v>801</v>
      </c>
      <c r="N1599" s="13" t="s">
        <v>625</v>
      </c>
      <c r="O1599" s="13" t="s">
        <v>644</v>
      </c>
      <c r="P1599" s="13" t="s">
        <v>85</v>
      </c>
      <c r="Q1599" s="13" t="s">
        <v>48</v>
      </c>
      <c r="R1599" s="4">
        <v>4</v>
      </c>
      <c r="S1599" s="13" t="s">
        <v>596</v>
      </c>
      <c r="T1599" s="13">
        <v>90</v>
      </c>
      <c r="U1599" s="4" t="s">
        <v>610</v>
      </c>
      <c r="V1599" s="4">
        <v>400</v>
      </c>
      <c r="W1599" s="4" t="s">
        <v>42</v>
      </c>
      <c r="X1599" s="4">
        <v>486.8</v>
      </c>
      <c r="Y1599" s="4">
        <v>4</v>
      </c>
      <c r="AA1599" s="4" t="s">
        <v>49</v>
      </c>
      <c r="AB1599" s="4">
        <v>0</v>
      </c>
      <c r="AC1599" s="4" t="s">
        <v>49</v>
      </c>
      <c r="AD1599" s="4">
        <v>0</v>
      </c>
      <c r="AE1599" s="4" t="s">
        <v>49</v>
      </c>
      <c r="AF1599" s="4">
        <v>0</v>
      </c>
      <c r="AG1599" s="4" t="s">
        <v>46</v>
      </c>
      <c r="AH1599" s="4" t="s">
        <v>721</v>
      </c>
      <c r="AI1599" s="4" t="s">
        <v>64</v>
      </c>
      <c r="AJ1599" s="13">
        <v>15</v>
      </c>
      <c r="AK1599" s="13">
        <v>30</v>
      </c>
      <c r="AM1599" s="13" t="s">
        <v>611</v>
      </c>
      <c r="AO1599" s="13" t="s">
        <v>612</v>
      </c>
      <c r="AP1599" s="13" t="s">
        <v>49</v>
      </c>
      <c r="AQ1599" s="13" t="s">
        <v>49</v>
      </c>
      <c r="AR1599" s="13" t="s">
        <v>50</v>
      </c>
      <c r="AS1599" s="13" t="s">
        <v>49</v>
      </c>
      <c r="AT1599" s="13" t="s">
        <v>990</v>
      </c>
      <c r="AU1599" s="13" t="s">
        <v>998</v>
      </c>
      <c r="AV1599" s="23">
        <f>29.9/1000</f>
        <v>2.9899999999999999E-2</v>
      </c>
      <c r="AW1599" s="23">
        <f>28.7/1000</f>
        <v>2.87E-2</v>
      </c>
      <c r="AX1599" s="14">
        <f>Table1347456[[#This Row],[treatment_mean]]/Table1347456[[#This Row],[control_mean]]</f>
        <v>1.0418118466898953</v>
      </c>
      <c r="AY1599" s="14">
        <f>LN(Table1347456[[#This Row],[rr]])</f>
        <v>4.0961357631065204E-2</v>
      </c>
      <c r="AZ1599" s="13">
        <v>4</v>
      </c>
      <c r="BA1599" s="13">
        <v>4</v>
      </c>
      <c r="BB1599" s="14">
        <v>0</v>
      </c>
      <c r="BC1599" s="14">
        <v>0</v>
      </c>
      <c r="BD1599" s="15">
        <v>0</v>
      </c>
      <c r="BE1599" s="14">
        <v>0</v>
      </c>
      <c r="BF159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599" s="17">
        <f>SQRT(Table1347456[[#This Row],[v_from_sd_and_n]])</f>
        <v>0</v>
      </c>
      <c r="BH1599" s="13" t="s">
        <v>613</v>
      </c>
      <c r="BI1599" s="13">
        <v>0.05</v>
      </c>
      <c r="BJ1599" s="18">
        <f>ABS(_xlfn.NORM.S.INV(Table1347456[[#This Row],[p_value]]/2))</f>
        <v>1.9599639845400538</v>
      </c>
      <c r="BK1599" s="19">
        <f>(Table1347456[[#This Row],[lnrr]]/Table1347456[[#This Row],[z_from_p]])^2</f>
        <v>4.3676970059953709E-4</v>
      </c>
      <c r="BL1599" s="16">
        <f>(Table1347456[[#This Row],[lnrr]]/Table1347456[[#This Row],[z_from_p]])^2</f>
        <v>4.3676970059953709E-4</v>
      </c>
      <c r="BM1599" s="20">
        <f>SQRT(Table1347456[[#This Row],[v]])</f>
        <v>2.0899035877272834E-2</v>
      </c>
      <c r="BN1599" s="20">
        <f>Table1347456[[#This Row],[lnrr]]-(1.96*Table1347456[[#This Row],[se]])</f>
        <v>-7.526883895533909E-7</v>
      </c>
      <c r="BO1599" s="20">
        <f>Table1347456[[#This Row],[lnrr]]+(1.96 * Table1347456[[#This Row],[se]])</f>
        <v>8.1923467950519968E-2</v>
      </c>
    </row>
    <row r="1600" spans="1:67">
      <c r="A1600" s="13" t="s">
        <v>607</v>
      </c>
      <c r="B1600" s="13" t="s">
        <v>608</v>
      </c>
      <c r="C1600" s="13" t="s">
        <v>341</v>
      </c>
      <c r="D1600" s="13" t="s">
        <v>609</v>
      </c>
      <c r="E1600" s="13" t="s">
        <v>44</v>
      </c>
      <c r="F1600" s="13" t="s">
        <v>591</v>
      </c>
      <c r="G1600" s="13" t="s">
        <v>46</v>
      </c>
      <c r="H1600" s="13" t="s">
        <v>46</v>
      </c>
      <c r="I1600" s="13">
        <v>118</v>
      </c>
      <c r="J1600" s="13" t="s">
        <v>649</v>
      </c>
      <c r="K1600" s="13" t="s">
        <v>971</v>
      </c>
      <c r="L1600" s="13" t="s">
        <v>972</v>
      </c>
      <c r="M1600" s="13" t="s">
        <v>801</v>
      </c>
      <c r="N1600" s="13" t="s">
        <v>625</v>
      </c>
      <c r="O1600" s="13" t="s">
        <v>644</v>
      </c>
      <c r="P1600" s="13" t="s">
        <v>85</v>
      </c>
      <c r="Q1600" s="13" t="s">
        <v>48</v>
      </c>
      <c r="R1600" s="4">
        <v>4</v>
      </c>
      <c r="S1600" s="13" t="s">
        <v>596</v>
      </c>
      <c r="T1600" s="13">
        <v>90</v>
      </c>
      <c r="U1600" s="4" t="s">
        <v>610</v>
      </c>
      <c r="V1600" s="4">
        <v>400</v>
      </c>
      <c r="W1600" s="4" t="s">
        <v>42</v>
      </c>
      <c r="X1600" s="4">
        <v>486.8</v>
      </c>
      <c r="Y1600" s="4">
        <v>8</v>
      </c>
      <c r="AA1600" s="4" t="s">
        <v>49</v>
      </c>
      <c r="AB1600" s="4">
        <v>0</v>
      </c>
      <c r="AC1600" s="4" t="s">
        <v>49</v>
      </c>
      <c r="AD1600" s="4">
        <v>0</v>
      </c>
      <c r="AE1600" s="4" t="s">
        <v>49</v>
      </c>
      <c r="AF1600" s="4">
        <v>0</v>
      </c>
      <c r="AG1600" s="4" t="s">
        <v>46</v>
      </c>
      <c r="AH1600" s="4" t="s">
        <v>721</v>
      </c>
      <c r="AI1600" s="4" t="s">
        <v>64</v>
      </c>
      <c r="AJ1600" s="13">
        <v>15</v>
      </c>
      <c r="AK1600" s="13">
        <v>30</v>
      </c>
      <c r="AM1600" s="13" t="s">
        <v>611</v>
      </c>
      <c r="AO1600" s="13" t="s">
        <v>612</v>
      </c>
      <c r="AP1600" s="13" t="s">
        <v>49</v>
      </c>
      <c r="AQ1600" s="13" t="s">
        <v>49</v>
      </c>
      <c r="AR1600" s="13" t="s">
        <v>50</v>
      </c>
      <c r="AS1600" s="13" t="s">
        <v>49</v>
      </c>
      <c r="AT1600" s="13" t="s">
        <v>990</v>
      </c>
      <c r="AU1600" s="13" t="s">
        <v>998</v>
      </c>
      <c r="AV1600" s="23">
        <f>27.8/1000</f>
        <v>2.7800000000000002E-2</v>
      </c>
      <c r="AW1600" s="23">
        <f>28.7/1000</f>
        <v>2.87E-2</v>
      </c>
      <c r="AX1600" s="14">
        <f>Table1347456[[#This Row],[treatment_mean]]/Table1347456[[#This Row],[control_mean]]</f>
        <v>0.96864111498257843</v>
      </c>
      <c r="AY1600" s="14">
        <f>LN(Table1347456[[#This Row],[rr]])</f>
        <v>-3.1861102068984008E-2</v>
      </c>
      <c r="AZ1600" s="13">
        <v>4</v>
      </c>
      <c r="BA1600" s="13">
        <v>4</v>
      </c>
      <c r="BB1600" s="14">
        <v>0</v>
      </c>
      <c r="BC1600" s="14">
        <v>0</v>
      </c>
      <c r="BD1600" s="15">
        <v>0</v>
      </c>
      <c r="BE1600" s="14">
        <v>0</v>
      </c>
      <c r="BF160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600" s="17">
        <f>SQRT(Table1347456[[#This Row],[v_from_sd_and_n]])</f>
        <v>0</v>
      </c>
      <c r="BH1600" s="13" t="s">
        <v>613</v>
      </c>
      <c r="BI1600" s="13">
        <v>0.05</v>
      </c>
      <c r="BJ1600" s="18">
        <f>ABS(_xlfn.NORM.S.INV(Table1347456[[#This Row],[p_value]]/2))</f>
        <v>1.9599639845400538</v>
      </c>
      <c r="BK1600" s="19">
        <f>(Table1347456[[#This Row],[lnrr]]/Table1347456[[#This Row],[z_from_p]])^2</f>
        <v>2.6425633396918476E-4</v>
      </c>
      <c r="BL1600" s="16">
        <f>(Table1347456[[#This Row],[lnrr]]/Table1347456[[#This Row],[z_from_p]])^2</f>
        <v>2.6425633396918476E-4</v>
      </c>
      <c r="BM1600" s="20">
        <f>SQRT(Table1347456[[#This Row],[v]])</f>
        <v>1.6255963028045578E-2</v>
      </c>
      <c r="BN1600" s="20">
        <f>Table1347456[[#This Row],[lnrr]]-(1.96*Table1347456[[#This Row],[se]])</f>
        <v>-6.3722789603953334E-2</v>
      </c>
      <c r="BO1600" s="20">
        <f>Table1347456[[#This Row],[lnrr]]+(1.96 * Table1347456[[#This Row],[se]])</f>
        <v>5.8546598532410732E-7</v>
      </c>
    </row>
    <row r="1601" spans="1:67">
      <c r="A1601" s="13" t="s">
        <v>607</v>
      </c>
      <c r="B1601" s="13" t="s">
        <v>608</v>
      </c>
      <c r="C1601" s="13" t="s">
        <v>341</v>
      </c>
      <c r="D1601" s="13" t="s">
        <v>609</v>
      </c>
      <c r="E1601" s="13" t="s">
        <v>44</v>
      </c>
      <c r="F1601" s="13" t="s">
        <v>591</v>
      </c>
      <c r="G1601" s="13" t="s">
        <v>46</v>
      </c>
      <c r="H1601" s="13" t="s">
        <v>46</v>
      </c>
      <c r="I1601" s="13">
        <v>118</v>
      </c>
      <c r="J1601" s="13" t="s">
        <v>649</v>
      </c>
      <c r="K1601" s="13" t="s">
        <v>971</v>
      </c>
      <c r="L1601" s="13" t="s">
        <v>972</v>
      </c>
      <c r="M1601" s="13" t="s">
        <v>801</v>
      </c>
      <c r="N1601" s="13" t="s">
        <v>625</v>
      </c>
      <c r="O1601" s="13" t="s">
        <v>644</v>
      </c>
      <c r="P1601" s="13" t="s">
        <v>85</v>
      </c>
      <c r="Q1601" s="13" t="s">
        <v>48</v>
      </c>
      <c r="R1601" s="4">
        <v>4</v>
      </c>
      <c r="S1601" s="13" t="s">
        <v>596</v>
      </c>
      <c r="T1601" s="13">
        <v>90</v>
      </c>
      <c r="U1601" s="4" t="s">
        <v>610</v>
      </c>
      <c r="V1601" s="4">
        <v>400</v>
      </c>
      <c r="W1601" s="4" t="s">
        <v>42</v>
      </c>
      <c r="X1601" s="4">
        <v>486.8</v>
      </c>
      <c r="Y1601" s="4">
        <v>12</v>
      </c>
      <c r="AA1601" s="4" t="s">
        <v>49</v>
      </c>
      <c r="AB1601" s="4">
        <v>0</v>
      </c>
      <c r="AC1601" s="4" t="s">
        <v>49</v>
      </c>
      <c r="AD1601" s="4">
        <v>0</v>
      </c>
      <c r="AE1601" s="4" t="s">
        <v>49</v>
      </c>
      <c r="AF1601" s="4">
        <v>0</v>
      </c>
      <c r="AG1601" s="4" t="s">
        <v>46</v>
      </c>
      <c r="AH1601" s="4" t="s">
        <v>721</v>
      </c>
      <c r="AI1601" s="4" t="s">
        <v>64</v>
      </c>
      <c r="AJ1601" s="13">
        <v>15</v>
      </c>
      <c r="AK1601" s="13">
        <v>30</v>
      </c>
      <c r="AM1601" s="13" t="s">
        <v>611</v>
      </c>
      <c r="AO1601" s="13" t="s">
        <v>612</v>
      </c>
      <c r="AP1601" s="13" t="s">
        <v>49</v>
      </c>
      <c r="AQ1601" s="13" t="s">
        <v>49</v>
      </c>
      <c r="AR1601" s="13" t="s">
        <v>50</v>
      </c>
      <c r="AS1601" s="13" t="s">
        <v>49</v>
      </c>
      <c r="AT1601" s="13" t="s">
        <v>990</v>
      </c>
      <c r="AU1601" s="13" t="s">
        <v>998</v>
      </c>
      <c r="AV1601" s="23">
        <f>30.9/1000</f>
        <v>3.0899999999999997E-2</v>
      </c>
      <c r="AW1601" s="23">
        <f>28.7/1000</f>
        <v>2.87E-2</v>
      </c>
      <c r="AX1601" s="14">
        <f>Table1347456[[#This Row],[treatment_mean]]/Table1347456[[#This Row],[control_mean]]</f>
        <v>1.0766550522648082</v>
      </c>
      <c r="AY1601" s="14">
        <f>LN(Table1347456[[#This Row],[rr]])</f>
        <v>7.3859061138124182E-2</v>
      </c>
      <c r="AZ1601" s="13">
        <v>4</v>
      </c>
      <c r="BA1601" s="13">
        <v>4</v>
      </c>
      <c r="BB1601" s="14">
        <v>0</v>
      </c>
      <c r="BC1601" s="14">
        <v>0</v>
      </c>
      <c r="BD1601" s="15">
        <v>0</v>
      </c>
      <c r="BE1601" s="14">
        <v>0</v>
      </c>
      <c r="BF1601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601" s="17">
        <f>SQRT(Table1347456[[#This Row],[v_from_sd_and_n]])</f>
        <v>0</v>
      </c>
      <c r="BH1601" s="13" t="s">
        <v>613</v>
      </c>
      <c r="BI1601" s="13">
        <v>0.05</v>
      </c>
      <c r="BJ1601" s="18">
        <f>ABS(_xlfn.NORM.S.INV(Table1347456[[#This Row],[p_value]]/2))</f>
        <v>1.9599639845400538</v>
      </c>
      <c r="BK1601" s="19">
        <f>(Table1347456[[#This Row],[lnrr]]/Table1347456[[#This Row],[z_from_p]])^2</f>
        <v>1.4200753325319931E-3</v>
      </c>
      <c r="BL1601" s="16">
        <f>(Table1347456[[#This Row],[lnrr]]/Table1347456[[#This Row],[z_from_p]])^2</f>
        <v>1.4200753325319931E-3</v>
      </c>
      <c r="BM1601" s="20">
        <f>SQRT(Table1347456[[#This Row],[v]])</f>
        <v>3.7683886908491712E-2</v>
      </c>
      <c r="BN1601" s="20">
        <f>Table1347456[[#This Row],[lnrr]]-(1.96*Table1347456[[#This Row],[se]])</f>
        <v>-1.357202519577938E-6</v>
      </c>
      <c r="BO1601" s="20">
        <f>Table1347456[[#This Row],[lnrr]]+(1.96 * Table1347456[[#This Row],[se]])</f>
        <v>0.14771947947876796</v>
      </c>
    </row>
    <row r="1602" spans="1:67">
      <c r="A1602" s="13" t="s">
        <v>607</v>
      </c>
      <c r="B1602" s="13" t="s">
        <v>608</v>
      </c>
      <c r="C1602" s="13" t="s">
        <v>341</v>
      </c>
      <c r="D1602" s="13" t="s">
        <v>609</v>
      </c>
      <c r="E1602" s="13" t="s">
        <v>44</v>
      </c>
      <c r="F1602" s="13" t="s">
        <v>591</v>
      </c>
      <c r="G1602" s="13" t="s">
        <v>46</v>
      </c>
      <c r="H1602" s="13" t="s">
        <v>46</v>
      </c>
      <c r="I1602" s="13">
        <v>118</v>
      </c>
      <c r="J1602" s="13" t="s">
        <v>649</v>
      </c>
      <c r="K1602" s="13" t="s">
        <v>971</v>
      </c>
      <c r="L1602" s="13" t="s">
        <v>972</v>
      </c>
      <c r="M1602" s="13" t="s">
        <v>801</v>
      </c>
      <c r="N1602" s="13" t="s">
        <v>625</v>
      </c>
      <c r="O1602" s="13" t="s">
        <v>644</v>
      </c>
      <c r="P1602" s="13" t="s">
        <v>85</v>
      </c>
      <c r="Q1602" s="13" t="s">
        <v>48</v>
      </c>
      <c r="R1602" s="4">
        <v>4</v>
      </c>
      <c r="S1602" s="13" t="s">
        <v>596</v>
      </c>
      <c r="T1602" s="13">
        <v>90</v>
      </c>
      <c r="U1602" s="4" t="s">
        <v>610</v>
      </c>
      <c r="V1602" s="4">
        <v>400</v>
      </c>
      <c r="W1602" s="4" t="s">
        <v>42</v>
      </c>
      <c r="X1602" s="4">
        <v>486.8</v>
      </c>
      <c r="Y1602" s="4">
        <v>16</v>
      </c>
      <c r="AA1602" s="4" t="s">
        <v>49</v>
      </c>
      <c r="AB1602" s="4">
        <v>0</v>
      </c>
      <c r="AC1602" s="4" t="s">
        <v>49</v>
      </c>
      <c r="AD1602" s="4">
        <v>0</v>
      </c>
      <c r="AE1602" s="4" t="s">
        <v>49</v>
      </c>
      <c r="AF1602" s="4">
        <v>0</v>
      </c>
      <c r="AG1602" s="4" t="s">
        <v>46</v>
      </c>
      <c r="AH1602" s="4" t="s">
        <v>721</v>
      </c>
      <c r="AI1602" s="4" t="s">
        <v>64</v>
      </c>
      <c r="AJ1602" s="13">
        <v>15</v>
      </c>
      <c r="AK1602" s="13">
        <v>30</v>
      </c>
      <c r="AM1602" s="13" t="s">
        <v>611</v>
      </c>
      <c r="AO1602" s="13" t="s">
        <v>612</v>
      </c>
      <c r="AP1602" s="13" t="s">
        <v>49</v>
      </c>
      <c r="AQ1602" s="13" t="s">
        <v>49</v>
      </c>
      <c r="AR1602" s="13" t="s">
        <v>50</v>
      </c>
      <c r="AS1602" s="13" t="s">
        <v>49</v>
      </c>
      <c r="AT1602" s="13" t="s">
        <v>990</v>
      </c>
      <c r="AU1602" s="13" t="s">
        <v>998</v>
      </c>
      <c r="AV1602" s="23">
        <f>30.5/1000</f>
        <v>3.0499999999999999E-2</v>
      </c>
      <c r="AW1602" s="23">
        <f>28.7/1000</f>
        <v>2.87E-2</v>
      </c>
      <c r="AX1602" s="14">
        <f>Table1347456[[#This Row],[treatment_mean]]/Table1347456[[#This Row],[control_mean]]</f>
        <v>1.0627177700348431</v>
      </c>
      <c r="AY1602" s="14">
        <f>LN(Table1347456[[#This Row],[rr]])</f>
        <v>6.0829560847790447E-2</v>
      </c>
      <c r="AZ1602" s="13">
        <v>4</v>
      </c>
      <c r="BA1602" s="13">
        <v>4</v>
      </c>
      <c r="BB1602" s="14">
        <v>0</v>
      </c>
      <c r="BC1602" s="14">
        <v>0</v>
      </c>
      <c r="BD1602" s="15">
        <v>0</v>
      </c>
      <c r="BE1602" s="14">
        <v>0</v>
      </c>
      <c r="BF1602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602" s="17">
        <f>SQRT(Table1347456[[#This Row],[v_from_sd_and_n]])</f>
        <v>0</v>
      </c>
      <c r="BH1602" s="13" t="s">
        <v>613</v>
      </c>
      <c r="BI1602" s="13">
        <v>0.05</v>
      </c>
      <c r="BJ1602" s="18">
        <f>ABS(_xlfn.NORM.S.INV(Table1347456[[#This Row],[p_value]]/2))</f>
        <v>1.9599639845400538</v>
      </c>
      <c r="BK1602" s="19">
        <f>(Table1347456[[#This Row],[lnrr]]/Table1347456[[#This Row],[z_from_p]])^2</f>
        <v>9.6323705280964959E-4</v>
      </c>
      <c r="BL1602" s="16">
        <f>(Table1347456[[#This Row],[lnrr]]/Table1347456[[#This Row],[z_from_p]])^2</f>
        <v>9.6323705280964959E-4</v>
      </c>
      <c r="BM1602" s="20">
        <f>SQRT(Table1347456[[#This Row],[v]])</f>
        <v>3.1036060523359752E-2</v>
      </c>
      <c r="BN1602" s="20">
        <f>Table1347456[[#This Row],[lnrr]]-(1.96*Table1347456[[#This Row],[se]])</f>
        <v>-1.1177779946636157E-6</v>
      </c>
      <c r="BO1602" s="20">
        <f>Table1347456[[#This Row],[lnrr]]+(1.96 * Table1347456[[#This Row],[se]])</f>
        <v>0.12166023947357556</v>
      </c>
    </row>
    <row r="1603" spans="1:67">
      <c r="A1603" s="13" t="s">
        <v>607</v>
      </c>
      <c r="B1603" s="13" t="s">
        <v>608</v>
      </c>
      <c r="C1603" s="13" t="s">
        <v>341</v>
      </c>
      <c r="D1603" s="13" t="s">
        <v>609</v>
      </c>
      <c r="E1603" s="13" t="s">
        <v>44</v>
      </c>
      <c r="F1603" s="13" t="s">
        <v>591</v>
      </c>
      <c r="G1603" s="13" t="s">
        <v>46</v>
      </c>
      <c r="H1603" s="13" t="s">
        <v>46</v>
      </c>
      <c r="I1603" s="13">
        <v>118</v>
      </c>
      <c r="K1603" s="13" t="s">
        <v>971</v>
      </c>
      <c r="L1603" s="13" t="s">
        <v>972</v>
      </c>
      <c r="N1603" s="13" t="s">
        <v>626</v>
      </c>
      <c r="O1603" s="13" t="s">
        <v>644</v>
      </c>
      <c r="P1603" s="13" t="s">
        <v>85</v>
      </c>
      <c r="Q1603" s="13" t="s">
        <v>48</v>
      </c>
      <c r="R1603" s="4">
        <v>4</v>
      </c>
      <c r="S1603" s="13" t="s">
        <v>596</v>
      </c>
      <c r="T1603" s="13">
        <v>90</v>
      </c>
      <c r="U1603" s="4" t="s">
        <v>610</v>
      </c>
      <c r="V1603" s="4">
        <v>400</v>
      </c>
      <c r="W1603" s="4" t="s">
        <v>42</v>
      </c>
      <c r="X1603" s="4">
        <v>486.8</v>
      </c>
      <c r="Y1603" s="4">
        <v>4</v>
      </c>
      <c r="AA1603" s="4" t="s">
        <v>49</v>
      </c>
      <c r="AB1603" s="4">
        <v>0</v>
      </c>
      <c r="AC1603" s="4" t="s">
        <v>49</v>
      </c>
      <c r="AD1603" s="4">
        <v>0</v>
      </c>
      <c r="AE1603" s="4" t="s">
        <v>49</v>
      </c>
      <c r="AF1603" s="4">
        <v>0</v>
      </c>
      <c r="AG1603" s="4" t="s">
        <v>46</v>
      </c>
      <c r="AH1603" s="4" t="s">
        <v>721</v>
      </c>
      <c r="AI1603" s="4" t="s">
        <v>64</v>
      </c>
      <c r="AJ1603" s="13">
        <v>15</v>
      </c>
      <c r="AK1603" s="13">
        <v>30</v>
      </c>
      <c r="AM1603" s="13" t="s">
        <v>611</v>
      </c>
      <c r="AO1603" s="13" t="s">
        <v>612</v>
      </c>
      <c r="AP1603" s="13" t="s">
        <v>49</v>
      </c>
      <c r="AQ1603" s="13" t="s">
        <v>49</v>
      </c>
      <c r="AR1603" s="13" t="s">
        <v>50</v>
      </c>
      <c r="AS1603" s="13" t="s">
        <v>49</v>
      </c>
      <c r="AT1603" s="13" t="s">
        <v>990</v>
      </c>
      <c r="AU1603" s="13" t="s">
        <v>998</v>
      </c>
      <c r="AV1603" s="14">
        <f>121.4/1000</f>
        <v>0.12140000000000001</v>
      </c>
      <c r="AW1603" s="14">
        <f>98.5/1000</f>
        <v>9.8500000000000004E-2</v>
      </c>
      <c r="AX1603" s="14">
        <f>Table1347456[[#This Row],[treatment_mean]]/Table1347456[[#This Row],[control_mean]]</f>
        <v>1.23248730964467</v>
      </c>
      <c r="AY1603" s="14">
        <f>LN(Table1347456[[#This Row],[rr]])</f>
        <v>0.20903433044735467</v>
      </c>
      <c r="AZ1603" s="13">
        <v>4</v>
      </c>
      <c r="BA1603" s="13">
        <v>4</v>
      </c>
      <c r="BB1603" s="14">
        <v>0</v>
      </c>
      <c r="BC1603" s="14">
        <v>0</v>
      </c>
      <c r="BD1603" s="15">
        <v>0</v>
      </c>
      <c r="BE1603" s="14">
        <v>0</v>
      </c>
      <c r="BF1603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603" s="17">
        <f>SQRT(Table1347456[[#This Row],[v_from_sd_and_n]])</f>
        <v>0</v>
      </c>
      <c r="BH1603" s="13" t="s">
        <v>613</v>
      </c>
      <c r="BI1603" s="13">
        <v>0.05</v>
      </c>
      <c r="BJ1603" s="18">
        <f>ABS(_xlfn.NORM.S.INV(Table1347456[[#This Row],[p_value]]/2))</f>
        <v>1.9599639845400538</v>
      </c>
      <c r="BK1603" s="19">
        <f>(Table1347456[[#This Row],[lnrr]]/Table1347456[[#This Row],[z_from_p]])^2</f>
        <v>1.1374676482326167E-2</v>
      </c>
      <c r="BL1603" s="16">
        <f>(Table1347456[[#This Row],[lnrr]]/Table1347456[[#This Row],[z_from_p]])^2</f>
        <v>1.1374676482326167E-2</v>
      </c>
      <c r="BM1603" s="20">
        <f>SQRT(Table1347456[[#This Row],[v]])</f>
        <v>0.10665212835347529</v>
      </c>
      <c r="BN1603" s="20">
        <f>Table1347456[[#This Row],[lnrr]]-(1.96*Table1347456[[#This Row],[se]])</f>
        <v>-3.841125456899297E-6</v>
      </c>
      <c r="BO1603" s="20">
        <f>Table1347456[[#This Row],[lnrr]]+(1.96 * Table1347456[[#This Row],[se]])</f>
        <v>0.41807250202016621</v>
      </c>
    </row>
    <row r="1604" spans="1:67">
      <c r="A1604" s="13" t="s">
        <v>607</v>
      </c>
      <c r="B1604" s="13" t="s">
        <v>608</v>
      </c>
      <c r="C1604" s="13" t="s">
        <v>341</v>
      </c>
      <c r="D1604" s="13" t="s">
        <v>609</v>
      </c>
      <c r="E1604" s="13" t="s">
        <v>44</v>
      </c>
      <c r="F1604" s="13" t="s">
        <v>591</v>
      </c>
      <c r="G1604" s="13" t="s">
        <v>46</v>
      </c>
      <c r="H1604" s="13" t="s">
        <v>46</v>
      </c>
      <c r="I1604" s="13">
        <v>118</v>
      </c>
      <c r="K1604" s="13" t="s">
        <v>971</v>
      </c>
      <c r="L1604" s="13" t="s">
        <v>972</v>
      </c>
      <c r="N1604" s="13" t="s">
        <v>626</v>
      </c>
      <c r="O1604" s="13" t="s">
        <v>644</v>
      </c>
      <c r="P1604" s="13" t="s">
        <v>85</v>
      </c>
      <c r="Q1604" s="13" t="s">
        <v>48</v>
      </c>
      <c r="R1604" s="4">
        <v>4</v>
      </c>
      <c r="S1604" s="13" t="s">
        <v>596</v>
      </c>
      <c r="T1604" s="13">
        <v>90</v>
      </c>
      <c r="U1604" s="4" t="s">
        <v>610</v>
      </c>
      <c r="V1604" s="4">
        <v>400</v>
      </c>
      <c r="W1604" s="4" t="s">
        <v>42</v>
      </c>
      <c r="X1604" s="4">
        <v>486.8</v>
      </c>
      <c r="Y1604" s="4">
        <v>8</v>
      </c>
      <c r="AA1604" s="4" t="s">
        <v>49</v>
      </c>
      <c r="AB1604" s="4">
        <v>0</v>
      </c>
      <c r="AC1604" s="4" t="s">
        <v>49</v>
      </c>
      <c r="AD1604" s="4">
        <v>0</v>
      </c>
      <c r="AE1604" s="4" t="s">
        <v>49</v>
      </c>
      <c r="AF1604" s="4">
        <v>0</v>
      </c>
      <c r="AG1604" s="4" t="s">
        <v>46</v>
      </c>
      <c r="AH1604" s="4" t="s">
        <v>721</v>
      </c>
      <c r="AI1604" s="4" t="s">
        <v>64</v>
      </c>
      <c r="AJ1604" s="13">
        <v>15</v>
      </c>
      <c r="AK1604" s="13">
        <v>30</v>
      </c>
      <c r="AM1604" s="13" t="s">
        <v>611</v>
      </c>
      <c r="AO1604" s="13" t="s">
        <v>612</v>
      </c>
      <c r="AP1604" s="13" t="s">
        <v>49</v>
      </c>
      <c r="AQ1604" s="13" t="s">
        <v>49</v>
      </c>
      <c r="AR1604" s="13" t="s">
        <v>50</v>
      </c>
      <c r="AS1604" s="13" t="s">
        <v>49</v>
      </c>
      <c r="AT1604" s="13" t="s">
        <v>990</v>
      </c>
      <c r="AU1604" s="13" t="s">
        <v>998</v>
      </c>
      <c r="AV1604" s="14">
        <f>131.4/1000</f>
        <v>0.13140000000000002</v>
      </c>
      <c r="AW1604" s="14">
        <f>98.5/1000</f>
        <v>9.8500000000000004E-2</v>
      </c>
      <c r="AX1604" s="14">
        <f>Table1347456[[#This Row],[treatment_mean]]/Table1347456[[#This Row],[control_mean]]</f>
        <v>1.334010152284264</v>
      </c>
      <c r="AY1604" s="14">
        <f>LN(Table1347456[[#This Row],[rr]])</f>
        <v>0.28818955787246697</v>
      </c>
      <c r="AZ1604" s="13">
        <v>4</v>
      </c>
      <c r="BA1604" s="13">
        <v>4</v>
      </c>
      <c r="BB1604" s="14">
        <v>0</v>
      </c>
      <c r="BC1604" s="14">
        <v>0</v>
      </c>
      <c r="BD1604" s="15">
        <v>0</v>
      </c>
      <c r="BE1604" s="14">
        <v>0</v>
      </c>
      <c r="BF1604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604" s="17">
        <f>SQRT(Table1347456[[#This Row],[v_from_sd_and_n]])</f>
        <v>0</v>
      </c>
      <c r="BH1604" s="13" t="s">
        <v>613</v>
      </c>
      <c r="BI1604" s="13">
        <v>0.05</v>
      </c>
      <c r="BJ1604" s="18">
        <f>ABS(_xlfn.NORM.S.INV(Table1347456[[#This Row],[p_value]]/2))</f>
        <v>1.9599639845400538</v>
      </c>
      <c r="BK1604" s="19">
        <f>(Table1347456[[#This Row],[lnrr]]/Table1347456[[#This Row],[z_from_p]])^2</f>
        <v>2.1620229486599276E-2</v>
      </c>
      <c r="BL1604" s="16">
        <f>(Table1347456[[#This Row],[lnrr]]/Table1347456[[#This Row],[z_from_p]])^2</f>
        <v>2.1620229486599276E-2</v>
      </c>
      <c r="BM1604" s="20">
        <f>SQRT(Table1347456[[#This Row],[v]])</f>
        <v>0.14703819057169901</v>
      </c>
      <c r="BN1604" s="20">
        <f>Table1347456[[#This Row],[lnrr]]-(1.96*Table1347456[[#This Row],[se]])</f>
        <v>-5.2956480630639291E-6</v>
      </c>
      <c r="BO1604" s="20">
        <f>Table1347456[[#This Row],[lnrr]]+(1.96 * Table1347456[[#This Row],[se]])</f>
        <v>0.57638441139299701</v>
      </c>
    </row>
    <row r="1605" spans="1:67">
      <c r="A1605" s="13" t="s">
        <v>607</v>
      </c>
      <c r="B1605" s="13" t="s">
        <v>608</v>
      </c>
      <c r="C1605" s="13" t="s">
        <v>341</v>
      </c>
      <c r="D1605" s="13" t="s">
        <v>609</v>
      </c>
      <c r="E1605" s="13" t="s">
        <v>44</v>
      </c>
      <c r="F1605" s="13" t="s">
        <v>591</v>
      </c>
      <c r="G1605" s="13" t="s">
        <v>46</v>
      </c>
      <c r="H1605" s="13" t="s">
        <v>46</v>
      </c>
      <c r="I1605" s="13">
        <v>118</v>
      </c>
      <c r="K1605" s="13" t="s">
        <v>971</v>
      </c>
      <c r="L1605" s="13" t="s">
        <v>972</v>
      </c>
      <c r="N1605" s="13" t="s">
        <v>626</v>
      </c>
      <c r="O1605" s="13" t="s">
        <v>644</v>
      </c>
      <c r="P1605" s="13" t="s">
        <v>85</v>
      </c>
      <c r="Q1605" s="13" t="s">
        <v>48</v>
      </c>
      <c r="R1605" s="4">
        <v>4</v>
      </c>
      <c r="S1605" s="13" t="s">
        <v>596</v>
      </c>
      <c r="T1605" s="13">
        <v>90</v>
      </c>
      <c r="U1605" s="4" t="s">
        <v>610</v>
      </c>
      <c r="V1605" s="4">
        <v>400</v>
      </c>
      <c r="W1605" s="4" t="s">
        <v>42</v>
      </c>
      <c r="X1605" s="4">
        <v>486.8</v>
      </c>
      <c r="Y1605" s="4">
        <v>12</v>
      </c>
      <c r="AA1605" s="4" t="s">
        <v>49</v>
      </c>
      <c r="AB1605" s="4">
        <v>0</v>
      </c>
      <c r="AC1605" s="4" t="s">
        <v>49</v>
      </c>
      <c r="AD1605" s="4">
        <v>0</v>
      </c>
      <c r="AE1605" s="4" t="s">
        <v>49</v>
      </c>
      <c r="AF1605" s="4">
        <v>0</v>
      </c>
      <c r="AG1605" s="4" t="s">
        <v>46</v>
      </c>
      <c r="AH1605" s="4" t="s">
        <v>721</v>
      </c>
      <c r="AI1605" s="4" t="s">
        <v>64</v>
      </c>
      <c r="AJ1605" s="13">
        <v>15</v>
      </c>
      <c r="AK1605" s="13">
        <v>30</v>
      </c>
      <c r="AM1605" s="13" t="s">
        <v>611</v>
      </c>
      <c r="AO1605" s="13" t="s">
        <v>612</v>
      </c>
      <c r="AP1605" s="13" t="s">
        <v>49</v>
      </c>
      <c r="AQ1605" s="13" t="s">
        <v>49</v>
      </c>
      <c r="AR1605" s="13" t="s">
        <v>50</v>
      </c>
      <c r="AS1605" s="13" t="s">
        <v>49</v>
      </c>
      <c r="AT1605" s="13" t="s">
        <v>990</v>
      </c>
      <c r="AU1605" s="13" t="s">
        <v>998</v>
      </c>
      <c r="AV1605" s="14">
        <f>158.5/1000</f>
        <v>0.1585</v>
      </c>
      <c r="AW1605" s="14">
        <f>98.5/1000</f>
        <v>9.8500000000000004E-2</v>
      </c>
      <c r="AX1605" s="14">
        <f>Table1347456[[#This Row],[treatment_mean]]/Table1347456[[#This Row],[control_mean]]</f>
        <v>1.6091370558375635</v>
      </c>
      <c r="AY1605" s="14">
        <f>LN(Table1347456[[#This Row],[rr]])</f>
        <v>0.47569804513929215</v>
      </c>
      <c r="AZ1605" s="13">
        <v>4</v>
      </c>
      <c r="BA1605" s="13">
        <v>4</v>
      </c>
      <c r="BB1605" s="14">
        <v>0</v>
      </c>
      <c r="BC1605" s="14">
        <v>0</v>
      </c>
      <c r="BD1605" s="15">
        <v>0</v>
      </c>
      <c r="BE1605" s="14">
        <v>0</v>
      </c>
      <c r="BF1605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605" s="17">
        <f>SQRT(Table1347456[[#This Row],[v_from_sd_and_n]])</f>
        <v>0</v>
      </c>
      <c r="BH1605" s="13" t="s">
        <v>613</v>
      </c>
      <c r="BI1605" s="13">
        <v>0.05</v>
      </c>
      <c r="BJ1605" s="18">
        <f>ABS(_xlfn.NORM.S.INV(Table1347456[[#This Row],[p_value]]/2))</f>
        <v>1.9599639845400538</v>
      </c>
      <c r="BK1605" s="19">
        <f>(Table1347456[[#This Row],[lnrr]]/Table1347456[[#This Row],[z_from_p]])^2</f>
        <v>5.8906951945004914E-2</v>
      </c>
      <c r="BL1605" s="16">
        <f>(Table1347456[[#This Row],[lnrr]]/Table1347456[[#This Row],[z_from_p]])^2</f>
        <v>5.8906951945004914E-2</v>
      </c>
      <c r="BM1605" s="20">
        <f>SQRT(Table1347456[[#This Row],[v]])</f>
        <v>0.24270754406281836</v>
      </c>
      <c r="BN1605" s="20">
        <f>Table1347456[[#This Row],[lnrr]]-(1.96*Table1347456[[#This Row],[se]])</f>
        <v>-8.7412238318207436E-6</v>
      </c>
      <c r="BO1605" s="20">
        <f>Table1347456[[#This Row],[lnrr]]+(1.96 * Table1347456[[#This Row],[se]])</f>
        <v>0.95140483150241617</v>
      </c>
    </row>
    <row r="1606" spans="1:67">
      <c r="A1606" s="13" t="s">
        <v>607</v>
      </c>
      <c r="B1606" s="13" t="s">
        <v>608</v>
      </c>
      <c r="C1606" s="13" t="s">
        <v>341</v>
      </c>
      <c r="D1606" s="13" t="s">
        <v>609</v>
      </c>
      <c r="E1606" s="13" t="s">
        <v>44</v>
      </c>
      <c r="F1606" s="13" t="s">
        <v>591</v>
      </c>
      <c r="G1606" s="13" t="s">
        <v>46</v>
      </c>
      <c r="H1606" s="13" t="s">
        <v>46</v>
      </c>
      <c r="I1606" s="13">
        <v>118</v>
      </c>
      <c r="K1606" s="13" t="s">
        <v>971</v>
      </c>
      <c r="L1606" s="13" t="s">
        <v>972</v>
      </c>
      <c r="N1606" s="13" t="s">
        <v>626</v>
      </c>
      <c r="O1606" s="13" t="s">
        <v>644</v>
      </c>
      <c r="P1606" s="13" t="s">
        <v>85</v>
      </c>
      <c r="Q1606" s="13" t="s">
        <v>48</v>
      </c>
      <c r="R1606" s="4">
        <v>4</v>
      </c>
      <c r="S1606" s="13" t="s">
        <v>596</v>
      </c>
      <c r="T1606" s="13">
        <v>90</v>
      </c>
      <c r="U1606" s="4" t="s">
        <v>610</v>
      </c>
      <c r="V1606" s="4">
        <v>400</v>
      </c>
      <c r="W1606" s="4" t="s">
        <v>42</v>
      </c>
      <c r="X1606" s="4">
        <v>486.8</v>
      </c>
      <c r="Y1606" s="4">
        <v>16</v>
      </c>
      <c r="AA1606" s="4" t="s">
        <v>49</v>
      </c>
      <c r="AB1606" s="4">
        <v>0</v>
      </c>
      <c r="AC1606" s="4" t="s">
        <v>49</v>
      </c>
      <c r="AD1606" s="4">
        <v>0</v>
      </c>
      <c r="AE1606" s="4" t="s">
        <v>49</v>
      </c>
      <c r="AF1606" s="4">
        <v>0</v>
      </c>
      <c r="AG1606" s="4" t="s">
        <v>46</v>
      </c>
      <c r="AH1606" s="4" t="s">
        <v>721</v>
      </c>
      <c r="AI1606" s="4" t="s">
        <v>64</v>
      </c>
      <c r="AJ1606" s="13">
        <v>15</v>
      </c>
      <c r="AK1606" s="13">
        <v>30</v>
      </c>
      <c r="AM1606" s="13" t="s">
        <v>611</v>
      </c>
      <c r="AO1606" s="13" t="s">
        <v>612</v>
      </c>
      <c r="AP1606" s="13" t="s">
        <v>49</v>
      </c>
      <c r="AQ1606" s="13" t="s">
        <v>49</v>
      </c>
      <c r="AR1606" s="13" t="s">
        <v>50</v>
      </c>
      <c r="AS1606" s="13" t="s">
        <v>49</v>
      </c>
      <c r="AT1606" s="13" t="s">
        <v>990</v>
      </c>
      <c r="AU1606" s="13" t="s">
        <v>998</v>
      </c>
      <c r="AV1606" s="14">
        <f>158.4/1000</f>
        <v>0.15840000000000001</v>
      </c>
      <c r="AW1606" s="14">
        <f>98.5/1000</f>
        <v>9.8500000000000004E-2</v>
      </c>
      <c r="AX1606" s="14">
        <f>Table1347456[[#This Row],[treatment_mean]]/Table1347456[[#This Row],[control_mean]]</f>
        <v>1.6081218274111675</v>
      </c>
      <c r="AY1606" s="14">
        <f>LN(Table1347456[[#This Row],[rr]])</f>
        <v>0.47506693120228227</v>
      </c>
      <c r="AZ1606" s="13">
        <v>4</v>
      </c>
      <c r="BA1606" s="13">
        <v>4</v>
      </c>
      <c r="BB1606" s="14">
        <v>0</v>
      </c>
      <c r="BC1606" s="14">
        <v>0</v>
      </c>
      <c r="BD1606" s="15">
        <v>0</v>
      </c>
      <c r="BE1606" s="14">
        <v>0</v>
      </c>
      <c r="BF1606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606" s="17">
        <f>SQRT(Table1347456[[#This Row],[v_from_sd_and_n]])</f>
        <v>0</v>
      </c>
      <c r="BH1606" s="13" t="s">
        <v>613</v>
      </c>
      <c r="BI1606" s="13">
        <v>0.05</v>
      </c>
      <c r="BJ1606" s="18">
        <f>ABS(_xlfn.NORM.S.INV(Table1347456[[#This Row],[p_value]]/2))</f>
        <v>1.9599639845400538</v>
      </c>
      <c r="BK1606" s="19">
        <f>(Table1347456[[#This Row],[lnrr]]/Table1347456[[#This Row],[z_from_p]])^2</f>
        <v>5.8750750601869968E-2</v>
      </c>
      <c r="BL1606" s="16">
        <f>(Table1347456[[#This Row],[lnrr]]/Table1347456[[#This Row],[z_from_p]])^2</f>
        <v>5.8750750601869968E-2</v>
      </c>
      <c r="BM1606" s="20">
        <f>SQRT(Table1347456[[#This Row],[v]])</f>
        <v>0.24238554123930323</v>
      </c>
      <c r="BN1606" s="20">
        <f>Table1347456[[#This Row],[lnrr]]-(1.96*Table1347456[[#This Row],[se]])</f>
        <v>-8.7296267520242665E-6</v>
      </c>
      <c r="BO1606" s="20">
        <f>Table1347456[[#This Row],[lnrr]]+(1.96 * Table1347456[[#This Row],[se]])</f>
        <v>0.95014259203131657</v>
      </c>
    </row>
    <row r="1607" spans="1:67">
      <c r="A1607" s="13" t="s">
        <v>607</v>
      </c>
      <c r="B1607" s="13" t="s">
        <v>608</v>
      </c>
      <c r="C1607" s="13" t="s">
        <v>341</v>
      </c>
      <c r="D1607" s="13" t="s">
        <v>609</v>
      </c>
      <c r="E1607" s="13" t="s">
        <v>44</v>
      </c>
      <c r="F1607" s="13" t="s">
        <v>591</v>
      </c>
      <c r="G1607" s="13" t="s">
        <v>46</v>
      </c>
      <c r="H1607" s="13" t="s">
        <v>46</v>
      </c>
      <c r="I1607" s="13">
        <v>118</v>
      </c>
      <c r="K1607" s="13" t="s">
        <v>971</v>
      </c>
      <c r="L1607" s="13" t="s">
        <v>972</v>
      </c>
      <c r="N1607" s="13" t="s">
        <v>53</v>
      </c>
      <c r="O1607" s="13" t="s">
        <v>54</v>
      </c>
      <c r="P1607" s="13" t="s">
        <v>85</v>
      </c>
      <c r="Q1607" s="13" t="s">
        <v>48</v>
      </c>
      <c r="R1607" s="4">
        <v>4</v>
      </c>
      <c r="S1607" s="13" t="s">
        <v>596</v>
      </c>
      <c r="T1607" s="13">
        <v>90</v>
      </c>
      <c r="U1607" s="4" t="s">
        <v>610</v>
      </c>
      <c r="V1607" s="4">
        <v>400</v>
      </c>
      <c r="W1607" s="4" t="s">
        <v>42</v>
      </c>
      <c r="X1607" s="4">
        <v>486.8</v>
      </c>
      <c r="Y1607" s="4">
        <v>4</v>
      </c>
      <c r="AA1607" s="4" t="s">
        <v>49</v>
      </c>
      <c r="AB1607" s="4">
        <v>0</v>
      </c>
      <c r="AC1607" s="4" t="s">
        <v>49</v>
      </c>
      <c r="AD1607" s="4">
        <v>0</v>
      </c>
      <c r="AE1607" s="4" t="s">
        <v>49</v>
      </c>
      <c r="AF1607" s="4">
        <v>0</v>
      </c>
      <c r="AG1607" s="4" t="s">
        <v>46</v>
      </c>
      <c r="AH1607" s="4" t="s">
        <v>721</v>
      </c>
      <c r="AI1607" s="4" t="s">
        <v>64</v>
      </c>
      <c r="AJ1607" s="13">
        <v>15</v>
      </c>
      <c r="AK1607" s="13">
        <v>30</v>
      </c>
      <c r="AM1607" s="13" t="s">
        <v>611</v>
      </c>
      <c r="AO1607" s="13" t="s">
        <v>612</v>
      </c>
      <c r="AP1607" s="13" t="s">
        <v>49</v>
      </c>
      <c r="AQ1607" s="13" t="s">
        <v>49</v>
      </c>
      <c r="AR1607" s="13" t="s">
        <v>50</v>
      </c>
      <c r="AS1607" s="13" t="s">
        <v>49</v>
      </c>
      <c r="AT1607" s="13" t="s">
        <v>990</v>
      </c>
      <c r="AU1607" s="13" t="s">
        <v>998</v>
      </c>
      <c r="AV1607" s="14">
        <f>6.28/1000</f>
        <v>6.28E-3</v>
      </c>
      <c r="AW1607" s="14">
        <f>3.86/1000</f>
        <v>3.8599999999999997E-3</v>
      </c>
      <c r="AX1607" s="14">
        <f>Table1347456[[#This Row],[treatment_mean]]/Table1347456[[#This Row],[control_mean]]</f>
        <v>1.6269430051813472</v>
      </c>
      <c r="AY1607" s="14">
        <f>LN(Table1347456[[#This Row],[rr]])</f>
        <v>0.48670279700336783</v>
      </c>
      <c r="AZ1607" s="13">
        <v>4</v>
      </c>
      <c r="BA1607" s="13">
        <v>4</v>
      </c>
      <c r="BB1607" s="14">
        <f>2.19/1000</f>
        <v>2.1900000000000001E-3</v>
      </c>
      <c r="BC1607" s="14">
        <v>0</v>
      </c>
      <c r="BD1607" s="15">
        <v>0</v>
      </c>
      <c r="BE1607" s="14">
        <v>0</v>
      </c>
      <c r="BF1607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607" s="17">
        <f>SQRT(Table1347456[[#This Row],[v_from_sd_and_n]])</f>
        <v>0</v>
      </c>
      <c r="BH1607" s="13" t="s">
        <v>613</v>
      </c>
      <c r="BI1607" s="13">
        <v>0.05</v>
      </c>
      <c r="BJ1607" s="18">
        <f>ABS(_xlfn.NORM.S.INV(Table1347456[[#This Row],[p_value]]/2))</f>
        <v>1.9599639845400538</v>
      </c>
      <c r="BK1607" s="19">
        <f>(Table1347456[[#This Row],[lnrr]]/Table1347456[[#This Row],[z_from_p]])^2</f>
        <v>6.1663972898738241E-2</v>
      </c>
      <c r="BL1607" s="16">
        <f>(Table1347456[[#This Row],[lnrr]]/Table1347456[[#This Row],[z_from_p]])^2</f>
        <v>6.1663972898738241E-2</v>
      </c>
      <c r="BM1607" s="20">
        <f>SQRT(Table1347456[[#This Row],[v]])</f>
        <v>0.24832231655398643</v>
      </c>
      <c r="BN1607" s="20">
        <f>Table1347456[[#This Row],[lnrr]]-(1.96*Table1347456[[#This Row],[se]])</f>
        <v>-8.9434424455636652E-6</v>
      </c>
      <c r="BO1607" s="20">
        <f>Table1347456[[#This Row],[lnrr]]+(1.96 * Table1347456[[#This Row],[se]])</f>
        <v>0.97341453744918116</v>
      </c>
    </row>
    <row r="1608" spans="1:67">
      <c r="A1608" s="13" t="s">
        <v>607</v>
      </c>
      <c r="B1608" s="13" t="s">
        <v>608</v>
      </c>
      <c r="C1608" s="13" t="s">
        <v>341</v>
      </c>
      <c r="D1608" s="13" t="s">
        <v>609</v>
      </c>
      <c r="E1608" s="13" t="s">
        <v>44</v>
      </c>
      <c r="F1608" s="13" t="s">
        <v>591</v>
      </c>
      <c r="G1608" s="13" t="s">
        <v>46</v>
      </c>
      <c r="H1608" s="13" t="s">
        <v>46</v>
      </c>
      <c r="I1608" s="13">
        <v>118</v>
      </c>
      <c r="K1608" s="13" t="s">
        <v>971</v>
      </c>
      <c r="L1608" s="13" t="s">
        <v>972</v>
      </c>
      <c r="N1608" s="13" t="s">
        <v>53</v>
      </c>
      <c r="O1608" s="13" t="s">
        <v>54</v>
      </c>
      <c r="P1608" s="13" t="s">
        <v>85</v>
      </c>
      <c r="Q1608" s="13" t="s">
        <v>48</v>
      </c>
      <c r="R1608" s="4">
        <v>4</v>
      </c>
      <c r="S1608" s="13" t="s">
        <v>596</v>
      </c>
      <c r="T1608" s="13">
        <v>90</v>
      </c>
      <c r="U1608" s="4" t="s">
        <v>610</v>
      </c>
      <c r="V1608" s="4">
        <v>400</v>
      </c>
      <c r="W1608" s="4" t="s">
        <v>42</v>
      </c>
      <c r="X1608" s="4">
        <v>486.8</v>
      </c>
      <c r="Y1608" s="4">
        <v>8</v>
      </c>
      <c r="AA1608" s="4" t="s">
        <v>49</v>
      </c>
      <c r="AB1608" s="4">
        <v>0</v>
      </c>
      <c r="AC1608" s="4" t="s">
        <v>49</v>
      </c>
      <c r="AD1608" s="4">
        <v>0</v>
      </c>
      <c r="AE1608" s="4" t="s">
        <v>49</v>
      </c>
      <c r="AF1608" s="4">
        <v>0</v>
      </c>
      <c r="AG1608" s="4" t="s">
        <v>46</v>
      </c>
      <c r="AH1608" s="4" t="s">
        <v>721</v>
      </c>
      <c r="AI1608" s="4" t="s">
        <v>64</v>
      </c>
      <c r="AJ1608" s="13">
        <v>15</v>
      </c>
      <c r="AK1608" s="13">
        <v>30</v>
      </c>
      <c r="AM1608" s="13" t="s">
        <v>611</v>
      </c>
      <c r="AO1608" s="13" t="s">
        <v>612</v>
      </c>
      <c r="AP1608" s="13" t="s">
        <v>49</v>
      </c>
      <c r="AQ1608" s="13" t="s">
        <v>49</v>
      </c>
      <c r="AR1608" s="13" t="s">
        <v>50</v>
      </c>
      <c r="AS1608" s="13" t="s">
        <v>49</v>
      </c>
      <c r="AT1608" s="13" t="s">
        <v>990</v>
      </c>
      <c r="AU1608" s="13" t="s">
        <v>998</v>
      </c>
      <c r="AV1608" s="14">
        <f>4.63/1000</f>
        <v>4.6299999999999996E-3</v>
      </c>
      <c r="AW1608" s="14">
        <f>3.86/1000</f>
        <v>3.8599999999999997E-3</v>
      </c>
      <c r="AX1608" s="14">
        <f>Table1347456[[#This Row],[treatment_mean]]/Table1347456[[#This Row],[control_mean]]</f>
        <v>1.1994818652849741</v>
      </c>
      <c r="AY1608" s="14">
        <f>LN(Table1347456[[#This Row],[rr]])</f>
        <v>0.18188968462140326</v>
      </c>
      <c r="AZ1608" s="13">
        <v>4</v>
      </c>
      <c r="BA1608" s="13">
        <v>4</v>
      </c>
      <c r="BB1608" s="14">
        <f>2.19/1000</f>
        <v>2.1900000000000001E-3</v>
      </c>
      <c r="BC1608" s="14">
        <v>0</v>
      </c>
      <c r="BD1608" s="15">
        <v>0</v>
      </c>
      <c r="BE1608" s="14">
        <v>0</v>
      </c>
      <c r="BF1608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608" s="17">
        <f>SQRT(Table1347456[[#This Row],[v_from_sd_and_n]])</f>
        <v>0</v>
      </c>
      <c r="BH1608" s="13" t="s">
        <v>613</v>
      </c>
      <c r="BI1608" s="13">
        <v>0.05</v>
      </c>
      <c r="BJ1608" s="18">
        <f>ABS(_xlfn.NORM.S.INV(Table1347456[[#This Row],[p_value]]/2))</f>
        <v>1.9599639845400538</v>
      </c>
      <c r="BK1608" s="19">
        <f>(Table1347456[[#This Row],[lnrr]]/Table1347456[[#This Row],[z_from_p]])^2</f>
        <v>8.6123160278197431E-3</v>
      </c>
      <c r="BL1608" s="16">
        <f>(Table1347456[[#This Row],[lnrr]]/Table1347456[[#This Row],[z_from_p]])^2</f>
        <v>8.6123160278197431E-3</v>
      </c>
      <c r="BM1608" s="20">
        <f>SQRT(Table1347456[[#This Row],[v]])</f>
        <v>9.2802564769621232E-2</v>
      </c>
      <c r="BN1608" s="20">
        <f>Table1347456[[#This Row],[lnrr]]-(1.96*Table1347456[[#This Row],[se]])</f>
        <v>-3.3423270543453398E-6</v>
      </c>
      <c r="BO1608" s="20">
        <f>Table1347456[[#This Row],[lnrr]]+(1.96 * Table1347456[[#This Row],[se]])</f>
        <v>0.36378271156986086</v>
      </c>
    </row>
    <row r="1609" spans="1:67">
      <c r="A1609" s="13" t="s">
        <v>607</v>
      </c>
      <c r="B1609" s="13" t="s">
        <v>608</v>
      </c>
      <c r="C1609" s="13" t="s">
        <v>341</v>
      </c>
      <c r="D1609" s="13" t="s">
        <v>609</v>
      </c>
      <c r="E1609" s="13" t="s">
        <v>44</v>
      </c>
      <c r="F1609" s="13" t="s">
        <v>591</v>
      </c>
      <c r="G1609" s="13" t="s">
        <v>46</v>
      </c>
      <c r="H1609" s="13" t="s">
        <v>46</v>
      </c>
      <c r="I1609" s="13">
        <v>118</v>
      </c>
      <c r="K1609" s="13" t="s">
        <v>971</v>
      </c>
      <c r="L1609" s="13" t="s">
        <v>972</v>
      </c>
      <c r="N1609" s="13" t="s">
        <v>53</v>
      </c>
      <c r="O1609" s="13" t="s">
        <v>54</v>
      </c>
      <c r="P1609" s="13" t="s">
        <v>85</v>
      </c>
      <c r="Q1609" s="13" t="s">
        <v>48</v>
      </c>
      <c r="R1609" s="4">
        <v>4</v>
      </c>
      <c r="S1609" s="13" t="s">
        <v>596</v>
      </c>
      <c r="T1609" s="13">
        <v>90</v>
      </c>
      <c r="U1609" s="4" t="s">
        <v>610</v>
      </c>
      <c r="V1609" s="4">
        <v>400</v>
      </c>
      <c r="W1609" s="4" t="s">
        <v>42</v>
      </c>
      <c r="X1609" s="4">
        <v>486.8</v>
      </c>
      <c r="Y1609" s="4">
        <v>12</v>
      </c>
      <c r="AA1609" s="4" t="s">
        <v>49</v>
      </c>
      <c r="AB1609" s="4">
        <v>0</v>
      </c>
      <c r="AC1609" s="4" t="s">
        <v>49</v>
      </c>
      <c r="AD1609" s="4">
        <v>0</v>
      </c>
      <c r="AE1609" s="4" t="s">
        <v>49</v>
      </c>
      <c r="AF1609" s="4">
        <v>0</v>
      </c>
      <c r="AG1609" s="4" t="s">
        <v>46</v>
      </c>
      <c r="AH1609" s="4" t="s">
        <v>721</v>
      </c>
      <c r="AI1609" s="4" t="s">
        <v>64</v>
      </c>
      <c r="AJ1609" s="13">
        <v>15</v>
      </c>
      <c r="AK1609" s="13">
        <v>30</v>
      </c>
      <c r="AM1609" s="13" t="s">
        <v>611</v>
      </c>
      <c r="AO1609" s="13" t="s">
        <v>612</v>
      </c>
      <c r="AP1609" s="13" t="s">
        <v>49</v>
      </c>
      <c r="AQ1609" s="13" t="s">
        <v>49</v>
      </c>
      <c r="AR1609" s="13" t="s">
        <v>50</v>
      </c>
      <c r="AS1609" s="13" t="s">
        <v>49</v>
      </c>
      <c r="AT1609" s="13" t="s">
        <v>990</v>
      </c>
      <c r="AU1609" s="13" t="s">
        <v>998</v>
      </c>
      <c r="AV1609" s="14">
        <f>3.78/1000</f>
        <v>3.7799999999999999E-3</v>
      </c>
      <c r="AW1609" s="14">
        <f>3.86/1000</f>
        <v>3.8599999999999997E-3</v>
      </c>
      <c r="AX1609" s="14">
        <f>Table1347456[[#This Row],[treatment_mean]]/Table1347456[[#This Row],[control_mean]]</f>
        <v>0.97927461139896377</v>
      </c>
      <c r="AY1609" s="14">
        <f>LN(Table1347456[[#This Row],[rr]])</f>
        <v>-2.0943173845243135E-2</v>
      </c>
      <c r="AZ1609" s="13">
        <v>4</v>
      </c>
      <c r="BA1609" s="13">
        <v>4</v>
      </c>
      <c r="BB1609" s="14">
        <f>2.19/1000</f>
        <v>2.1900000000000001E-3</v>
      </c>
      <c r="BC1609" s="14">
        <v>0</v>
      </c>
      <c r="BD1609" s="15">
        <v>0</v>
      </c>
      <c r="BE1609" s="14">
        <v>0</v>
      </c>
      <c r="BF1609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609" s="17">
        <f>SQRT(Table1347456[[#This Row],[v_from_sd_and_n]])</f>
        <v>0</v>
      </c>
      <c r="BH1609" s="13" t="s">
        <v>613</v>
      </c>
      <c r="BI1609" s="13">
        <v>0.05</v>
      </c>
      <c r="BJ1609" s="18">
        <f>ABS(_xlfn.NORM.S.INV(Table1347456[[#This Row],[p_value]]/2))</f>
        <v>1.9599639845400538</v>
      </c>
      <c r="BK1609" s="19">
        <f>(Table1347456[[#This Row],[lnrr]]/Table1347456[[#This Row],[z_from_p]])^2</f>
        <v>1.1417967787373579E-4</v>
      </c>
      <c r="BL1609" s="16">
        <f>(Table1347456[[#This Row],[lnrr]]/Table1347456[[#This Row],[z_from_p]])^2</f>
        <v>1.1417967787373579E-4</v>
      </c>
      <c r="BM1609" s="20">
        <f>SQRT(Table1347456[[#This Row],[v]])</f>
        <v>1.0685489126555498E-2</v>
      </c>
      <c r="BN1609" s="20">
        <f>Table1347456[[#This Row],[lnrr]]-(1.96*Table1347456[[#This Row],[se]])</f>
        <v>-4.1886732533291907E-2</v>
      </c>
      <c r="BO1609" s="20">
        <f>Table1347456[[#This Row],[lnrr]]+(1.96 * Table1347456[[#This Row],[se]])</f>
        <v>3.8484280564035633E-7</v>
      </c>
    </row>
    <row r="1610" spans="1:67">
      <c r="A1610" s="13" t="s">
        <v>607</v>
      </c>
      <c r="B1610" s="13" t="s">
        <v>608</v>
      </c>
      <c r="C1610" s="13" t="s">
        <v>341</v>
      </c>
      <c r="D1610" s="13" t="s">
        <v>609</v>
      </c>
      <c r="E1610" s="13" t="s">
        <v>44</v>
      </c>
      <c r="F1610" s="13" t="s">
        <v>591</v>
      </c>
      <c r="G1610" s="13" t="s">
        <v>46</v>
      </c>
      <c r="H1610" s="13" t="s">
        <v>46</v>
      </c>
      <c r="I1610" s="13">
        <v>118</v>
      </c>
      <c r="K1610" s="13" t="s">
        <v>971</v>
      </c>
      <c r="L1610" s="13" t="s">
        <v>972</v>
      </c>
      <c r="N1610" s="13" t="s">
        <v>53</v>
      </c>
      <c r="O1610" s="13" t="s">
        <v>54</v>
      </c>
      <c r="P1610" s="13" t="s">
        <v>85</v>
      </c>
      <c r="Q1610" s="13" t="s">
        <v>48</v>
      </c>
      <c r="R1610" s="4">
        <v>4</v>
      </c>
      <c r="S1610" s="13" t="s">
        <v>596</v>
      </c>
      <c r="T1610" s="13">
        <v>90</v>
      </c>
      <c r="U1610" s="4" t="s">
        <v>610</v>
      </c>
      <c r="V1610" s="4">
        <v>400</v>
      </c>
      <c r="W1610" s="4" t="s">
        <v>42</v>
      </c>
      <c r="X1610" s="4">
        <v>486.8</v>
      </c>
      <c r="Y1610" s="4">
        <v>16</v>
      </c>
      <c r="AA1610" s="4" t="s">
        <v>49</v>
      </c>
      <c r="AB1610" s="4">
        <v>0</v>
      </c>
      <c r="AC1610" s="4" t="s">
        <v>49</v>
      </c>
      <c r="AD1610" s="4">
        <v>0</v>
      </c>
      <c r="AE1610" s="4" t="s">
        <v>49</v>
      </c>
      <c r="AF1610" s="4">
        <v>0</v>
      </c>
      <c r="AG1610" s="4" t="s">
        <v>46</v>
      </c>
      <c r="AH1610" s="4" t="s">
        <v>721</v>
      </c>
      <c r="AI1610" s="4" t="s">
        <v>64</v>
      </c>
      <c r="AJ1610" s="13">
        <v>15</v>
      </c>
      <c r="AK1610" s="13">
        <v>30</v>
      </c>
      <c r="AM1610" s="13" t="s">
        <v>611</v>
      </c>
      <c r="AO1610" s="13" t="s">
        <v>612</v>
      </c>
      <c r="AP1610" s="13" t="s">
        <v>49</v>
      </c>
      <c r="AQ1610" s="13" t="s">
        <v>49</v>
      </c>
      <c r="AR1610" s="13" t="s">
        <v>50</v>
      </c>
      <c r="AS1610" s="13" t="s">
        <v>49</v>
      </c>
      <c r="AT1610" s="13" t="s">
        <v>990</v>
      </c>
      <c r="AU1610" s="13" t="s">
        <v>998</v>
      </c>
      <c r="AV1610" s="14">
        <f>4.74/1000</f>
        <v>4.7400000000000003E-3</v>
      </c>
      <c r="AW1610" s="14">
        <f>3.86/1000</f>
        <v>3.8599999999999997E-3</v>
      </c>
      <c r="AX1610" s="14">
        <f>Table1347456[[#This Row],[treatment_mean]]/Table1347456[[#This Row],[control_mean]]</f>
        <v>1.2279792746113991</v>
      </c>
      <c r="AY1610" s="14">
        <f>LN(Table1347456[[#This Row],[rr]])</f>
        <v>0.20536995223024576</v>
      </c>
      <c r="AZ1610" s="13">
        <v>4</v>
      </c>
      <c r="BA1610" s="13">
        <v>4</v>
      </c>
      <c r="BB1610" s="14">
        <f>2.19/1000</f>
        <v>2.1900000000000001E-3</v>
      </c>
      <c r="BC1610" s="14">
        <v>0</v>
      </c>
      <c r="BD1610" s="15">
        <v>0</v>
      </c>
      <c r="BE1610" s="14">
        <v>0</v>
      </c>
      <c r="BF1610" s="22">
        <f>Table1347456[[#This Row],[treatment_sd]]^2/(Table1347456[[#This Row],[treatment_n]]*(Table1347456[[#This Row],[treatment_mean]]^2))+Table1347456[[#This Row],[control_sd]]^2/(Table1347456[[#This Row],[control_n]]*(Table1347456[[#This Row],[control_mean]]^2))</f>
        <v>0</v>
      </c>
      <c r="BG1610" s="17">
        <f>SQRT(Table1347456[[#This Row],[v_from_sd_and_n]])</f>
        <v>0</v>
      </c>
      <c r="BH1610" s="13" t="s">
        <v>49</v>
      </c>
      <c r="BI1610" s="13">
        <v>0.05</v>
      </c>
      <c r="BJ1610" s="18">
        <f>ABS(_xlfn.NORM.S.INV(Table1347456[[#This Row],[p_value]]/2))</f>
        <v>1.9599639845400538</v>
      </c>
      <c r="BK1610" s="19">
        <f>(Table1347456[[#This Row],[lnrr]]/Table1347456[[#This Row],[z_from_p]])^2</f>
        <v>1.097937508840258E-2</v>
      </c>
      <c r="BL1610" s="16">
        <f>(Table1347456[[#This Row],[lnrr]]/Table1347456[[#This Row],[z_from_p]])^2</f>
        <v>1.097937508840258E-2</v>
      </c>
      <c r="BM1610" s="20">
        <f>SQRT(Table1347456[[#This Row],[v]])</f>
        <v>0.10478251327584474</v>
      </c>
      <c r="BN1610" s="20">
        <f>Table1347456[[#This Row],[lnrr]]-(1.96*Table1347456[[#This Row],[se]])</f>
        <v>-3.7737904099444108E-6</v>
      </c>
      <c r="BO1610" s="20">
        <f>Table1347456[[#This Row],[lnrr]]+(1.96 * Table1347456[[#This Row],[se]])</f>
        <v>0.41074367825090147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 Bekchanova</dc:creator>
  <cp:lastModifiedBy>Madina Bekchanova</cp:lastModifiedBy>
  <dcterms:created xsi:type="dcterms:W3CDTF">2022-08-16T10:09:04Z</dcterms:created>
  <dcterms:modified xsi:type="dcterms:W3CDTF">2023-10-20T09:39:11Z</dcterms:modified>
</cp:coreProperties>
</file>