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66925"/>
  <mc:AlternateContent xmlns:mc="http://schemas.openxmlformats.org/markup-compatibility/2006">
    <mc:Choice Requires="x15">
      <x15ac:absPath xmlns:x15ac="http://schemas.microsoft.com/office/spreadsheetml/2010/11/ac" url="https://d.docs.live.net/ed6d4c58bd5ef587/BACK-UPS/Desktop-15Nov2021/TOMATO-WEED-VIROMES-PAPER-2022Jan07/SUPPLEMENTARY-FILES/"/>
    </mc:Choice>
  </mc:AlternateContent>
  <xr:revisionPtr revIDLastSave="603" documentId="13_ncr:1_{73322B17-562B-4B27-A5A2-E8289CA7B9D7}" xr6:coauthVersionLast="47" xr6:coauthVersionMax="47" xr10:uidLastSave="{6E77E79F-3096-4461-ACC6-0CF26F6F4D55}"/>
  <bookViews>
    <workbookView xWindow="-23148" yWindow="-108" windowWidth="23256" windowHeight="12576" xr2:uid="{00000000-000D-0000-FFFF-FFFF00000000}"/>
  </bookViews>
  <sheets>
    <sheet name="SI-Additonal File 02" sheetId="5" r:id="rId1"/>
    <sheet name="S. Table 4" sheetId="1" r:id="rId2"/>
    <sheet name="S. Table 5" sheetId="2" r:id="rId3"/>
    <sheet name="S. Table 6" sheetId="4" r:id="rId4"/>
  </sheets>
  <externalReferences>
    <externalReference r:id="rId5"/>
  </externalReferences>
  <definedNames>
    <definedName name="_xlnm._FilterDatabase" localSheetId="1" hidden="1">'S. Table 4'!$A$5:$E$131</definedName>
    <definedName name="_xlnm._FilterDatabase" localSheetId="2" hidden="1">'S. Table 5'!$A$4:$P$487</definedName>
    <definedName name="_xlnm._FilterDatabase" localSheetId="3" hidden="1">'S. Table 6'!$A$2:$F$346</definedName>
    <definedName name="asd" localSheetId="1">'[1]Validation data'!#REF!</definedName>
    <definedName name="asd" localSheetId="2">'[1]Validation data'!#REF!</definedName>
    <definedName name="asd">'[1]Validation data'!#REF!</definedName>
    <definedName name="asdf" localSheetId="1">'[1]Validation data'!#REF!</definedName>
    <definedName name="asdf" localSheetId="2">'[1]Validation data'!#REF!</definedName>
    <definedName name="asdf">'[1]Validation data'!#REF!</definedName>
    <definedName name="asdfg"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sdfg"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sdfg"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asf" localSheetId="1">'[1]Validation data'!#REF!</definedName>
    <definedName name="asf" localSheetId="2">'[1]Validation data'!#REF!</definedName>
    <definedName name="asf">'[1]Validation data'!#REF!</definedName>
    <definedName name="Confirmations"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Confirmations"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lant_species" localSheetId="1">'[1]Validation data'!#REF!</definedName>
    <definedName name="Plant_species" localSheetId="2">'[1]Validation data'!#REF!</definedName>
    <definedName name="Plant_species">'[1]Validation data'!#REF!</definedName>
    <definedName name="Plant_species_cultivars" localSheetId="1">'[1]Validation data'!#REF!</definedName>
    <definedName name="Plant_species_cultivars" localSheetId="2">'[1]Validation data'!#REF!</definedName>
    <definedName name="Plant_species_cultivars">'[1]Validation data'!#REF!</definedName>
    <definedName name="sd"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d"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d"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pecies" localSheetId="1">'[1]Validation data'!#REF!</definedName>
    <definedName name="Species" localSheetId="2">'[1]Validation data'!#REF!</definedName>
    <definedName name="Species">'[1]Validation 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66" i="2" l="1"/>
  <c r="I268" i="2" l="1"/>
  <c r="I267" i="2"/>
  <c r="I266" i="2"/>
  <c r="I224" i="2"/>
  <c r="I223" i="2"/>
  <c r="I222" i="2"/>
  <c r="I23" i="2"/>
  <c r="BU10" i="1"/>
  <c r="I189" i="2"/>
  <c r="I97" i="2"/>
  <c r="E4" i="4" l="1"/>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E239" i="4"/>
  <c r="E240" i="4"/>
  <c r="E241" i="4"/>
  <c r="E242" i="4"/>
  <c r="E243" i="4"/>
  <c r="E244" i="4"/>
  <c r="E245" i="4"/>
  <c r="E246" i="4"/>
  <c r="E247" i="4"/>
  <c r="E248" i="4"/>
  <c r="E249" i="4"/>
  <c r="E250" i="4"/>
  <c r="E251" i="4"/>
  <c r="E252" i="4"/>
  <c r="E253" i="4"/>
  <c r="E254" i="4"/>
  <c r="E255" i="4"/>
  <c r="E256" i="4"/>
  <c r="E257" i="4"/>
  <c r="E258" i="4"/>
  <c r="E259" i="4"/>
  <c r="E260" i="4"/>
  <c r="E261" i="4"/>
  <c r="E262" i="4"/>
  <c r="E263" i="4"/>
  <c r="E264" i="4"/>
  <c r="E265" i="4"/>
  <c r="E266" i="4"/>
  <c r="E267" i="4"/>
  <c r="E268" i="4"/>
  <c r="E269" i="4"/>
  <c r="E270" i="4"/>
  <c r="E271" i="4"/>
  <c r="E272" i="4"/>
  <c r="E273" i="4"/>
  <c r="E274" i="4"/>
  <c r="E275" i="4"/>
  <c r="E276" i="4"/>
  <c r="E277" i="4"/>
  <c r="E278" i="4"/>
  <c r="E279" i="4"/>
  <c r="E280" i="4"/>
  <c r="E281" i="4"/>
  <c r="E282" i="4"/>
  <c r="E283" i="4"/>
  <c r="E284" i="4"/>
  <c r="E285" i="4"/>
  <c r="E286" i="4"/>
  <c r="E287" i="4"/>
  <c r="E288" i="4"/>
  <c r="E289" i="4"/>
  <c r="E290" i="4"/>
  <c r="E291" i="4"/>
  <c r="E292" i="4"/>
  <c r="E293" i="4"/>
  <c r="E294" i="4"/>
  <c r="E295" i="4"/>
  <c r="E296" i="4"/>
  <c r="E297" i="4"/>
  <c r="E298" i="4"/>
  <c r="E299" i="4"/>
  <c r="E300" i="4"/>
  <c r="E301" i="4"/>
  <c r="E302" i="4"/>
  <c r="E303" i="4"/>
  <c r="E304" i="4"/>
  <c r="E305" i="4"/>
  <c r="E306" i="4"/>
  <c r="E307" i="4"/>
  <c r="E308" i="4"/>
  <c r="E309" i="4"/>
  <c r="E310" i="4"/>
  <c r="E311" i="4"/>
  <c r="E312" i="4"/>
  <c r="E313" i="4"/>
  <c r="E314" i="4"/>
  <c r="E315" i="4"/>
  <c r="E316" i="4"/>
  <c r="E317" i="4"/>
  <c r="E318" i="4"/>
  <c r="E319" i="4"/>
  <c r="E320" i="4"/>
  <c r="E321" i="4"/>
  <c r="E322" i="4"/>
  <c r="E323" i="4"/>
  <c r="E324" i="4"/>
  <c r="E325" i="4"/>
  <c r="E326" i="4"/>
  <c r="E327" i="4"/>
  <c r="E328" i="4"/>
  <c r="E329" i="4"/>
  <c r="E330" i="4"/>
  <c r="E331" i="4"/>
  <c r="E332" i="4"/>
  <c r="E333" i="4"/>
  <c r="E334" i="4"/>
  <c r="E335" i="4"/>
  <c r="E336" i="4"/>
  <c r="E337" i="4"/>
  <c r="E338" i="4"/>
  <c r="E339" i="4"/>
  <c r="E340" i="4"/>
  <c r="E341" i="4"/>
  <c r="E342" i="4"/>
  <c r="E343" i="4"/>
  <c r="E344" i="4"/>
  <c r="E345" i="4"/>
  <c r="E346" i="4"/>
  <c r="E3" i="4"/>
  <c r="F4" i="1" l="1"/>
  <c r="I313" i="2" l="1"/>
  <c r="I487" i="2"/>
  <c r="I486" i="2"/>
  <c r="I484" i="2"/>
  <c r="I485" i="2"/>
  <c r="I482" i="2"/>
  <c r="I480" i="2"/>
  <c r="I481" i="2"/>
  <c r="I475" i="2"/>
  <c r="I461" i="2"/>
  <c r="I460" i="2"/>
  <c r="I459" i="2"/>
  <c r="I458" i="2"/>
  <c r="I457" i="2"/>
  <c r="I456" i="2"/>
  <c r="I448" i="2"/>
  <c r="I446" i="2"/>
  <c r="I440" i="2"/>
  <c r="I399" i="2"/>
  <c r="I398" i="2"/>
  <c r="I397" i="2"/>
  <c r="I396" i="2"/>
  <c r="I395" i="2"/>
  <c r="I390" i="2"/>
  <c r="I382" i="2"/>
  <c r="I379" i="2"/>
  <c r="I363" i="2"/>
  <c r="I361" i="2"/>
  <c r="I360" i="2"/>
  <c r="I335" i="2"/>
  <c r="I324" i="2"/>
  <c r="I323" i="2"/>
  <c r="I322" i="2"/>
  <c r="I321" i="2"/>
  <c r="I320" i="2"/>
  <c r="I297" i="2"/>
  <c r="I296" i="2"/>
  <c r="I293" i="2"/>
  <c r="I292" i="2"/>
  <c r="I233" i="2"/>
  <c r="I232" i="2"/>
  <c r="I231" i="2"/>
  <c r="I284" i="2"/>
  <c r="I285" i="2"/>
  <c r="I288" i="2"/>
  <c r="I287" i="2"/>
  <c r="I286" i="2"/>
  <c r="I133" i="2"/>
  <c r="I132" i="2"/>
  <c r="I113" i="2"/>
  <c r="I111" i="2"/>
  <c r="I463" i="2"/>
  <c r="I334" i="2"/>
  <c r="I333" i="2"/>
  <c r="I88" i="2"/>
  <c r="I244" i="2"/>
  <c r="I243" i="2"/>
  <c r="I181" i="2" l="1"/>
  <c r="I179" i="2"/>
  <c r="I178" i="2"/>
  <c r="I177" i="2"/>
  <c r="I260" i="2" l="1"/>
  <c r="I217" i="2"/>
  <c r="I193" i="2"/>
  <c r="I190" i="2"/>
  <c r="I183" i="2"/>
  <c r="I182" i="2"/>
  <c r="I175" i="2"/>
  <c r="I174" i="2"/>
  <c r="I173" i="2"/>
  <c r="I170" i="2"/>
  <c r="I164" i="2"/>
  <c r="I160" i="2"/>
  <c r="I159" i="2"/>
  <c r="I147" i="2"/>
  <c r="I143" i="2"/>
  <c r="I142" i="2"/>
  <c r="I141" i="2"/>
  <c r="I140" i="2"/>
  <c r="I87" i="2"/>
  <c r="I86" i="2"/>
  <c r="I85" i="2"/>
  <c r="I59" i="2"/>
  <c r="I52" i="2"/>
  <c r="I51" i="2"/>
  <c r="I50" i="2"/>
  <c r="I27" i="2"/>
  <c r="I26" i="2"/>
  <c r="I302" i="2"/>
  <c r="M164" i="2"/>
  <c r="H164" i="2"/>
  <c r="M147" i="2"/>
  <c r="H147" i="2"/>
  <c r="M140" i="2"/>
  <c r="H140" i="2"/>
  <c r="I34" i="2"/>
  <c r="I15" i="2"/>
  <c r="I12" i="2"/>
  <c r="I11" i="2"/>
  <c r="I10" i="2"/>
  <c r="I13" i="2" l="1"/>
  <c r="H260" i="2" l="1"/>
  <c r="I172" i="2" l="1"/>
  <c r="H170" i="2"/>
  <c r="I169" i="2"/>
  <c r="I168" i="2"/>
  <c r="I167" i="2"/>
  <c r="I166" i="2"/>
  <c r="I163" i="2"/>
  <c r="I162" i="2"/>
  <c r="I158" i="2"/>
  <c r="I157" i="2"/>
  <c r="I156" i="2"/>
  <c r="I155" i="2"/>
  <c r="I154" i="2"/>
  <c r="I153" i="2"/>
  <c r="I152" i="2"/>
  <c r="I151" i="2"/>
  <c r="I150" i="2"/>
  <c r="I149" i="2"/>
  <c r="I146" i="2"/>
  <c r="I145" i="2"/>
  <c r="I139" i="2"/>
  <c r="I138" i="2"/>
  <c r="I137" i="2"/>
  <c r="I136" i="2"/>
  <c r="I131" i="2"/>
  <c r="I130" i="2"/>
  <c r="I129" i="2"/>
  <c r="I128" i="2"/>
  <c r="I127" i="2"/>
  <c r="I126" i="2"/>
  <c r="I125" i="2"/>
  <c r="I124" i="2"/>
  <c r="I123" i="2"/>
  <c r="I122" i="2"/>
  <c r="I120" i="2"/>
  <c r="I119" i="2"/>
  <c r="I118" i="2"/>
  <c r="I117" i="2"/>
  <c r="I116" i="2"/>
  <c r="I115" i="2"/>
  <c r="I109" i="2"/>
  <c r="I108" i="2"/>
  <c r="I107" i="2"/>
  <c r="I105" i="2"/>
  <c r="I104" i="2"/>
  <c r="I103" i="2"/>
  <c r="I102" i="2"/>
  <c r="I101" i="2"/>
  <c r="I99" i="2"/>
  <c r="I98" i="2"/>
  <c r="I96" i="2"/>
  <c r="I95" i="2"/>
  <c r="I94" i="2"/>
  <c r="I93" i="2"/>
  <c r="I91" i="2"/>
  <c r="I90" i="2"/>
  <c r="I84" i="2"/>
  <c r="I83" i="2"/>
  <c r="I82" i="2"/>
  <c r="I81" i="2"/>
  <c r="I25" i="2"/>
  <c r="I76" i="2"/>
  <c r="I75" i="2"/>
  <c r="I74" i="2"/>
  <c r="I73" i="2"/>
  <c r="I72" i="2"/>
  <c r="I71" i="2"/>
  <c r="I69" i="2"/>
  <c r="I67" i="2"/>
  <c r="I65" i="2"/>
  <c r="I64" i="2"/>
  <c r="I63" i="2"/>
  <c r="I61" i="2"/>
  <c r="I60" i="2"/>
  <c r="I58" i="2"/>
  <c r="I57" i="2"/>
  <c r="I56" i="2"/>
  <c r="I55" i="2"/>
  <c r="I54" i="2"/>
  <c r="I49" i="2"/>
  <c r="I48" i="2"/>
  <c r="I43" i="2"/>
  <c r="I42" i="2"/>
  <c r="I41" i="2"/>
  <c r="I36" i="2"/>
  <c r="I35" i="2"/>
  <c r="I32" i="2"/>
  <c r="I30" i="2"/>
  <c r="I31" i="2"/>
  <c r="I29" i="2"/>
  <c r="I24" i="2"/>
  <c r="I22" i="2" l="1"/>
  <c r="I21" i="2"/>
  <c r="I20" i="2"/>
  <c r="I19" i="2"/>
  <c r="I18" i="2"/>
  <c r="BU6" i="1" l="1"/>
  <c r="I16" i="2" l="1"/>
  <c r="BU3" i="1" l="1"/>
  <c r="I8" i="2" l="1"/>
  <c r="I7" i="2"/>
  <c r="I6" i="2"/>
  <c r="I185" i="2"/>
  <c r="I478" i="2" l="1"/>
  <c r="I477" i="2"/>
  <c r="I476" i="2"/>
  <c r="I474" i="2"/>
  <c r="I473" i="2"/>
  <c r="I472" i="2"/>
  <c r="I471" i="2"/>
  <c r="I470" i="2"/>
  <c r="I468" i="2"/>
  <c r="I467" i="2"/>
  <c r="I466" i="2"/>
  <c r="I465" i="2"/>
  <c r="I464" i="2"/>
  <c r="I454" i="2"/>
  <c r="I453" i="2"/>
  <c r="I452" i="2"/>
  <c r="I451" i="2"/>
  <c r="I450" i="2"/>
  <c r="I449" i="2"/>
  <c r="I445" i="2"/>
  <c r="I444" i="2"/>
  <c r="I443" i="2"/>
  <c r="I442" i="2"/>
  <c r="I439" i="2"/>
  <c r="I437" i="2"/>
  <c r="I436" i="2"/>
  <c r="I435" i="2"/>
  <c r="I434" i="2"/>
  <c r="I433" i="2"/>
  <c r="I431" i="2"/>
  <c r="I430" i="2"/>
  <c r="I429" i="2"/>
  <c r="I427" i="2"/>
  <c r="I426" i="2"/>
  <c r="I424" i="2"/>
  <c r="I423" i="2"/>
  <c r="I422" i="2"/>
  <c r="I421" i="2"/>
  <c r="I420" i="2"/>
  <c r="I419" i="2"/>
  <c r="I417" i="2"/>
  <c r="I416" i="2"/>
  <c r="I415" i="2"/>
  <c r="I414" i="2"/>
  <c r="I413" i="2"/>
  <c r="I412" i="2"/>
  <c r="I407" i="2"/>
  <c r="I406" i="2"/>
  <c r="I405" i="2"/>
  <c r="I404" i="2"/>
  <c r="I403" i="2"/>
  <c r="I402" i="2"/>
  <c r="I401" i="2"/>
  <c r="I393" i="2"/>
  <c r="I392" i="2"/>
  <c r="I391" i="2"/>
  <c r="I389" i="2"/>
  <c r="I388" i="2"/>
  <c r="I387" i="2"/>
  <c r="I386" i="2"/>
  <c r="I385" i="2"/>
  <c r="I384" i="2"/>
  <c r="I383" i="2"/>
  <c r="I380" i="2"/>
  <c r="I378" i="2"/>
  <c r="I377" i="2"/>
  <c r="I376" i="2"/>
  <c r="I375" i="2"/>
  <c r="I374" i="2"/>
  <c r="I372" i="2"/>
  <c r="I371" i="2"/>
  <c r="I370" i="2"/>
  <c r="I369" i="2"/>
  <c r="I368" i="2"/>
  <c r="I367" i="2"/>
  <c r="I366" i="2"/>
  <c r="I359" i="2"/>
  <c r="I358" i="2"/>
  <c r="I356" i="2"/>
  <c r="I355" i="2"/>
  <c r="I354" i="2"/>
  <c r="I353" i="2"/>
  <c r="I352" i="2"/>
  <c r="I351" i="2"/>
  <c r="I350" i="2"/>
  <c r="I349" i="2"/>
  <c r="I348" i="2"/>
  <c r="I347" i="2"/>
  <c r="I346" i="2"/>
  <c r="I344" i="2"/>
  <c r="I343" i="2"/>
  <c r="I342" i="2"/>
  <c r="I341" i="2"/>
  <c r="I340" i="2"/>
  <c r="I339" i="2"/>
  <c r="I338" i="2"/>
  <c r="I337" i="2"/>
  <c r="I332" i="2"/>
  <c r="I331" i="2"/>
  <c r="I330" i="2"/>
  <c r="I329" i="2"/>
  <c r="I328" i="2"/>
  <c r="I327" i="2"/>
  <c r="I319" i="2"/>
  <c r="I318" i="2"/>
  <c r="I317" i="2"/>
  <c r="I316" i="2"/>
  <c r="I309" i="2"/>
  <c r="I307" i="2"/>
  <c r="I306" i="2"/>
  <c r="I304" i="2"/>
  <c r="I303" i="2"/>
  <c r="I291" i="2"/>
  <c r="I283" i="2"/>
  <c r="I282" i="2"/>
  <c r="I281" i="2"/>
  <c r="I280" i="2"/>
  <c r="I279" i="2"/>
  <c r="I278" i="2"/>
  <c r="I277" i="2"/>
  <c r="I276" i="2"/>
  <c r="I274" i="2"/>
  <c r="I273" i="2"/>
  <c r="I272" i="2"/>
  <c r="I270" i="2"/>
  <c r="I269" i="2"/>
  <c r="I265" i="2"/>
  <c r="I264" i="2"/>
  <c r="I263" i="2"/>
  <c r="I262" i="2"/>
  <c r="I259" i="2"/>
  <c r="I258" i="2"/>
  <c r="I257" i="2"/>
  <c r="I256" i="2"/>
  <c r="I255" i="2"/>
  <c r="I253" i="2"/>
  <c r="I252" i="2"/>
  <c r="I251" i="2"/>
  <c r="I250" i="2"/>
  <c r="I249" i="2"/>
  <c r="I247" i="2"/>
  <c r="I246" i="2"/>
  <c r="I242" i="2"/>
  <c r="I240" i="2"/>
  <c r="I239" i="2"/>
  <c r="I238" i="2"/>
  <c r="I237" i="2"/>
  <c r="I236" i="2"/>
  <c r="I235" i="2"/>
  <c r="I229" i="2"/>
  <c r="I228" i="2"/>
  <c r="I227" i="2"/>
  <c r="I225" i="2"/>
  <c r="I221" i="2"/>
  <c r="I220" i="2"/>
  <c r="I219" i="2"/>
  <c r="I216" i="2"/>
  <c r="I215" i="2"/>
  <c r="I214" i="2"/>
  <c r="I213" i="2"/>
  <c r="I212" i="2"/>
  <c r="I211" i="2"/>
  <c r="I209" i="2"/>
  <c r="I208" i="2"/>
  <c r="I207" i="2"/>
  <c r="I206" i="2"/>
  <c r="I205" i="2"/>
  <c r="I204" i="2"/>
  <c r="I202" i="2"/>
  <c r="I201" i="2"/>
  <c r="I200" i="2"/>
  <c r="I198" i="2"/>
  <c r="I197" i="2"/>
  <c r="I196" i="2"/>
  <c r="I195" i="2"/>
  <c r="I192" i="2"/>
  <c r="I188" i="2"/>
  <c r="I187" i="2"/>
  <c r="BU7" i="1"/>
  <c r="BU8" i="1"/>
  <c r="BU9" i="1"/>
  <c r="BU11" i="1"/>
  <c r="BU12" i="1"/>
  <c r="BU13" i="1"/>
  <c r="BU14" i="1"/>
  <c r="BU15" i="1"/>
  <c r="BU16" i="1"/>
  <c r="BU18" i="1"/>
  <c r="BU17" i="1"/>
  <c r="BU19" i="1"/>
  <c r="BU20" i="1"/>
  <c r="BU21" i="1"/>
  <c r="BU22" i="1"/>
  <c r="BU23" i="1"/>
  <c r="BU24" i="1"/>
  <c r="BU25" i="1"/>
  <c r="BU26" i="1"/>
  <c r="BU27" i="1"/>
  <c r="BU28" i="1"/>
  <c r="BU29" i="1"/>
  <c r="BU30" i="1"/>
  <c r="BU31" i="1"/>
  <c r="BU32" i="1"/>
  <c r="BU33" i="1"/>
  <c r="BU34" i="1"/>
  <c r="BU35" i="1"/>
  <c r="BU36" i="1"/>
  <c r="BU37" i="1"/>
  <c r="BU38" i="1"/>
  <c r="BU40" i="1"/>
  <c r="BU41" i="1"/>
  <c r="BU42" i="1"/>
  <c r="BU39" i="1"/>
  <c r="BU43" i="1"/>
  <c r="BU44" i="1"/>
  <c r="BU45" i="1"/>
  <c r="BU46" i="1"/>
  <c r="BU47" i="1"/>
  <c r="BU48" i="1"/>
  <c r="BU49" i="1"/>
  <c r="BU50" i="1"/>
  <c r="BU51" i="1"/>
  <c r="BU52" i="1"/>
  <c r="BU53" i="1"/>
  <c r="BU54" i="1"/>
  <c r="BU55" i="1"/>
  <c r="BU56" i="1"/>
  <c r="BU57" i="1"/>
  <c r="BU58" i="1"/>
  <c r="BU60" i="1"/>
  <c r="BU61" i="1"/>
  <c r="BU62" i="1"/>
  <c r="BU59" i="1"/>
  <c r="BU63" i="1"/>
  <c r="BU64" i="1"/>
  <c r="BU65" i="1"/>
  <c r="BU66" i="1"/>
  <c r="BU67" i="1"/>
  <c r="BU68" i="1"/>
  <c r="BU69" i="1"/>
  <c r="BU70" i="1"/>
  <c r="BU121"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2" i="1"/>
  <c r="BU111" i="1"/>
  <c r="BU113" i="1"/>
  <c r="BU114" i="1"/>
  <c r="BU115" i="1"/>
  <c r="BU116" i="1"/>
  <c r="BU117" i="1"/>
  <c r="BU118" i="1"/>
  <c r="BU119" i="1"/>
  <c r="BU120" i="1"/>
  <c r="BU122" i="1"/>
  <c r="BU123" i="1"/>
  <c r="BU124" i="1"/>
  <c r="BU125" i="1"/>
  <c r="BU126" i="1"/>
  <c r="BU127" i="1"/>
  <c r="BU128" i="1"/>
  <c r="BU129" i="1"/>
  <c r="BU130" i="1"/>
  <c r="BU131" i="1"/>
  <c r="AG4" i="1"/>
  <c r="AH4" i="1"/>
  <c r="AI4" i="1"/>
  <c r="AJ4" i="1"/>
  <c r="AK4" i="1"/>
  <c r="AL4" i="1"/>
  <c r="AM4" i="1"/>
  <c r="AN4" i="1"/>
  <c r="AO4" i="1"/>
  <c r="AP4" i="1"/>
  <c r="AQ4" i="1"/>
  <c r="AR4" i="1"/>
  <c r="AS4" i="1"/>
  <c r="AT4" i="1"/>
  <c r="AU4" i="1"/>
  <c r="AV4" i="1"/>
  <c r="AW4" i="1"/>
  <c r="AX4" i="1"/>
  <c r="AY4" i="1"/>
  <c r="AZ4" i="1"/>
  <c r="BA4" i="1"/>
  <c r="BB4" i="1"/>
  <c r="BC4" i="1"/>
  <c r="BD4" i="1"/>
  <c r="BE4" i="1"/>
  <c r="BF4" i="1"/>
  <c r="BG4" i="1"/>
  <c r="BH4" i="1"/>
  <c r="BI4" i="1"/>
  <c r="BJ4" i="1"/>
  <c r="BK4" i="1"/>
  <c r="BL4" i="1"/>
  <c r="BM4" i="1"/>
  <c r="BN4" i="1"/>
  <c r="BO4" i="1"/>
  <c r="BP4" i="1"/>
  <c r="BQ4" i="1"/>
  <c r="BR4" i="1"/>
  <c r="BS4" i="1"/>
  <c r="BT4" i="1"/>
  <c r="AF4" i="1"/>
  <c r="G4" i="1"/>
  <c r="I4" i="1"/>
  <c r="J4" i="1"/>
  <c r="K4" i="1"/>
  <c r="L4" i="1"/>
  <c r="M4" i="1"/>
  <c r="N4" i="1"/>
  <c r="O4" i="1"/>
  <c r="P4" i="1"/>
  <c r="Q4" i="1"/>
  <c r="R4" i="1"/>
  <c r="S4" i="1"/>
  <c r="T4" i="1"/>
  <c r="U4" i="1"/>
  <c r="V4" i="1"/>
  <c r="W4" i="1"/>
  <c r="X4" i="1"/>
  <c r="Y4" i="1"/>
  <c r="AA4" i="1"/>
  <c r="Z4" i="1"/>
  <c r="AB4" i="1"/>
  <c r="AC4" i="1"/>
  <c r="AD4" i="1"/>
  <c r="AE4" i="1"/>
  <c r="H4" i="1"/>
  <c r="BU4" i="1" l="1"/>
</calcChain>
</file>

<file path=xl/sharedStrings.xml><?xml version="1.0" encoding="utf-8"?>
<sst xmlns="http://schemas.openxmlformats.org/spreadsheetml/2006/main" count="6682" uniqueCount="2172">
  <si>
    <t>Sampling location ID →</t>
  </si>
  <si>
    <t>BER19</t>
  </si>
  <si>
    <t>NGO19</t>
  </si>
  <si>
    <t>BUK19</t>
  </si>
  <si>
    <t>KOP19</t>
  </si>
  <si>
    <t>PAR19</t>
  </si>
  <si>
    <t>BOL19</t>
  </si>
  <si>
    <t>POR19</t>
  </si>
  <si>
    <t>KOR19</t>
  </si>
  <si>
    <t>BER20</t>
  </si>
  <si>
    <t>STR20</t>
  </si>
  <si>
    <t>BOL20</t>
  </si>
  <si>
    <t>MIR20</t>
  </si>
  <si>
    <t>KOP20</t>
  </si>
  <si>
    <t>SKO20</t>
  </si>
  <si>
    <t>KOR20</t>
  </si>
  <si>
    <t>PLE20</t>
  </si>
  <si>
    <t>JUR20</t>
  </si>
  <si>
    <t>TUR20</t>
  </si>
  <si>
    <t>Total</t>
  </si>
  <si>
    <t>Number of plants in the composite sample →</t>
  </si>
  <si>
    <t>plant samples</t>
  </si>
  <si>
    <r>
      <t xml:space="preserve">Number of viruses detected </t>
    </r>
    <r>
      <rPr>
        <sz val="10"/>
        <color theme="1"/>
        <rFont val="Arial Narrow"/>
        <family val="2"/>
        <charset val="238"/>
      </rPr>
      <t>(&lt;20 kb genome only) →</t>
    </r>
  </si>
  <si>
    <t>virus genomes (all isolates, full or partial)</t>
  </si>
  <si>
    <t xml:space="preserve">
Order</t>
  </si>
  <si>
    <t xml:space="preserve">
Family</t>
  </si>
  <si>
    <t xml:space="preserve">
Genus</t>
  </si>
  <si>
    <r>
      <rPr>
        <b/>
        <sz val="12"/>
        <color theme="1"/>
        <rFont val="Arial Narrow"/>
        <family val="2"/>
        <charset val="238"/>
      </rPr>
      <t xml:space="preserve">
Virus name</t>
    </r>
    <r>
      <rPr>
        <sz val="12"/>
        <color theme="1"/>
        <rFont val="Arial Narrow"/>
        <family val="2"/>
        <charset val="238"/>
      </rPr>
      <t xml:space="preserve"> (or tentative name for new species)</t>
    </r>
    <r>
      <rPr>
        <b/>
        <sz val="11"/>
        <color theme="1"/>
        <rFont val="Arial Narrow"/>
        <family val="2"/>
        <charset val="238"/>
      </rPr>
      <t xml:space="preserve">
</t>
    </r>
    <r>
      <rPr>
        <b/>
        <u/>
        <sz val="10"/>
        <rFont val="Arial Narrow"/>
        <family val="2"/>
        <charset val="238"/>
      </rPr>
      <t/>
    </r>
  </si>
  <si>
    <r>
      <t xml:space="preserve">SRA accession 
number →
</t>
    </r>
    <r>
      <rPr>
        <b/>
        <sz val="4"/>
        <color theme="1"/>
        <rFont val="Arial Narrow"/>
        <family val="2"/>
        <charset val="238"/>
      </rPr>
      <t>___________________________________________</t>
    </r>
    <r>
      <rPr>
        <b/>
        <sz val="6"/>
        <color theme="1"/>
        <rFont val="Arial Narrow"/>
        <family val="2"/>
        <charset val="238"/>
      </rPr>
      <t xml:space="preserve">
</t>
    </r>
    <r>
      <rPr>
        <b/>
        <sz val="12"/>
        <color theme="1"/>
        <rFont val="Arial Narrow"/>
        <family val="2"/>
        <charset val="238"/>
      </rPr>
      <t>Unique virus 
abbreviation ↓</t>
    </r>
  </si>
  <si>
    <t>SRR16552271</t>
  </si>
  <si>
    <t>SRR16552270</t>
  </si>
  <si>
    <t>SRR16552235</t>
  </si>
  <si>
    <t>SRR16552224</t>
  </si>
  <si>
    <t>SRR16552261</t>
  </si>
  <si>
    <t>SRR16552250</t>
  </si>
  <si>
    <t>SRR16552286</t>
  </si>
  <si>
    <t>SRR16552275</t>
  </si>
  <si>
    <t>SRR16552273</t>
  </si>
  <si>
    <t>SRR16552272</t>
  </si>
  <si>
    <t>SRR16552269</t>
  </si>
  <si>
    <t>SRR16552244</t>
  </si>
  <si>
    <t>SRR16552243</t>
  </si>
  <si>
    <t>SRR16552242</t>
  </si>
  <si>
    <t>SRR16552241</t>
  </si>
  <si>
    <t>SRR16552240</t>
  </si>
  <si>
    <t>SRR16552239</t>
  </si>
  <si>
    <t>SRR16552238</t>
  </si>
  <si>
    <t>SRR16552237</t>
  </si>
  <si>
    <t>SRR16552236</t>
  </si>
  <si>
    <t>SRR16552234</t>
  </si>
  <si>
    <t>SRR16552233</t>
  </si>
  <si>
    <t>SRR16552232</t>
  </si>
  <si>
    <t>SRR16552231</t>
  </si>
  <si>
    <t>SRR16552230</t>
  </si>
  <si>
    <t>SRR16552229</t>
  </si>
  <si>
    <t>SRR16552226</t>
  </si>
  <si>
    <t>SRR16552225</t>
  </si>
  <si>
    <t>SRR16552223</t>
  </si>
  <si>
    <t>SRR16552222</t>
  </si>
  <si>
    <t>SRR16552221</t>
  </si>
  <si>
    <t>SRR16552268</t>
  </si>
  <si>
    <t>SRR16552267</t>
  </si>
  <si>
    <t>SRR16552266</t>
  </si>
  <si>
    <t>SRR16552265</t>
  </si>
  <si>
    <t>SRR16552264</t>
  </si>
  <si>
    <t>SRR16552263</t>
  </si>
  <si>
    <t>SRR16552262</t>
  </si>
  <si>
    <t>SRR16552260</t>
  </si>
  <si>
    <t>SRR16552259</t>
  </si>
  <si>
    <t>SRR16552258</t>
  </si>
  <si>
    <t>SRR16552257</t>
  </si>
  <si>
    <t>SRR16552256</t>
  </si>
  <si>
    <t>SRR16552255</t>
  </si>
  <si>
    <t>SRR16552254</t>
  </si>
  <si>
    <t>SRR16552253</t>
  </si>
  <si>
    <t>SRR16552252</t>
  </si>
  <si>
    <t>SRR16552251</t>
  </si>
  <si>
    <t>SRR16552249</t>
  </si>
  <si>
    <t>SRR16552248</t>
  </si>
  <si>
    <t>SRR16552247</t>
  </si>
  <si>
    <t>SRR16552246</t>
  </si>
  <si>
    <t>SRR16552245</t>
  </si>
  <si>
    <t>SRR16552291</t>
  </si>
  <si>
    <t>SRR16552290</t>
  </si>
  <si>
    <t>SRR16552289</t>
  </si>
  <si>
    <t>SRR16552288</t>
  </si>
  <si>
    <t>SRR16552287</t>
  </si>
  <si>
    <t>SRR16552285</t>
  </si>
  <si>
    <t>SRR16552284</t>
  </si>
  <si>
    <t>SRR16552283</t>
  </si>
  <si>
    <t>SRR16552282</t>
  </si>
  <si>
    <t>SRR16552281</t>
  </si>
  <si>
    <t>SRR16552280</t>
  </si>
  <si>
    <t>SRR16552279</t>
  </si>
  <si>
    <t>SRR16552278</t>
  </si>
  <si>
    <t>SRR16552277</t>
  </si>
  <si>
    <r>
      <t xml:space="preserve">Number of isolates 
</t>
    </r>
    <r>
      <rPr>
        <sz val="10"/>
        <color theme="1"/>
        <rFont val="Arial Narrow"/>
        <family val="2"/>
        <charset val="238"/>
      </rPr>
      <t>(full or partial genome)</t>
    </r>
  </si>
  <si>
    <r>
      <t xml:space="preserve">GenBank Accession Numbers 
</t>
    </r>
    <r>
      <rPr>
        <sz val="12"/>
        <color theme="1"/>
        <rFont val="Arial Narrow"/>
        <family val="2"/>
        <charset val="238"/>
      </rPr>
      <t>( NOTE: Only isolates with full genomes, marked here with "A", were submitted in GenBank.
  Multiple GenBank accession numbers are listed successively → )</t>
    </r>
  </si>
  <si>
    <t>Bunyavirales</t>
  </si>
  <si>
    <t>Tospoviridae</t>
  </si>
  <si>
    <t>Orthotospovirus</t>
  </si>
  <si>
    <t>TSWV</t>
  </si>
  <si>
    <t>A</t>
  </si>
  <si>
    <t>Mercurialis orthotospovirus 1</t>
  </si>
  <si>
    <t>MerV1</t>
  </si>
  <si>
    <t>unclassified</t>
  </si>
  <si>
    <t>TaBLV1</t>
  </si>
  <si>
    <t>Fimoviridae</t>
  </si>
  <si>
    <t>Emaravirus</t>
  </si>
  <si>
    <t>Artemesia fimovirus 1</t>
  </si>
  <si>
    <t>ArtV1</t>
  </si>
  <si>
    <t>Durnavirales</t>
  </si>
  <si>
    <t>Amalgaviridae</t>
  </si>
  <si>
    <t>Amalgavirus</t>
  </si>
  <si>
    <t>Southern tomato virus</t>
  </si>
  <si>
    <t>STV</t>
  </si>
  <si>
    <t>B</t>
  </si>
  <si>
    <t>Partitiviridae</t>
  </si>
  <si>
    <t>Deltapartitivirus</t>
  </si>
  <si>
    <t>PaDPV1</t>
  </si>
  <si>
    <t>PaDPV2</t>
  </si>
  <si>
    <t>PaDPV3</t>
  </si>
  <si>
    <t>PaDPV4</t>
  </si>
  <si>
    <t>PaDPV5</t>
  </si>
  <si>
    <t>PaDPV6</t>
  </si>
  <si>
    <t>Gammapartitivirus</t>
  </si>
  <si>
    <t>Eysiphe necator associated partitivirus 2</t>
  </si>
  <si>
    <t>EnaPV2</t>
  </si>
  <si>
    <t>Geplafuvirales</t>
  </si>
  <si>
    <t>Geminiviridae</t>
  </si>
  <si>
    <r>
      <t xml:space="preserve">Calystegia geminivirus 1, </t>
    </r>
    <r>
      <rPr>
        <sz val="11"/>
        <color theme="1"/>
        <rFont val="Arial Narrow"/>
        <family val="2"/>
      </rPr>
      <t>partial</t>
    </r>
    <r>
      <rPr>
        <sz val="11"/>
        <rFont val="Arial Narrow"/>
        <family val="2"/>
      </rPr>
      <t xml:space="preserve"> genome</t>
    </r>
  </si>
  <si>
    <t>CGV1</t>
  </si>
  <si>
    <t>Ghabrivirales</t>
  </si>
  <si>
    <t>Totiviridae</t>
  </si>
  <si>
    <t>Erysiphales associated totivirus 24</t>
  </si>
  <si>
    <t>EaTV24</t>
  </si>
  <si>
    <t>Koper totivirus 1</t>
  </si>
  <si>
    <t>KTV1</t>
  </si>
  <si>
    <t>Koper totivirus 2</t>
  </si>
  <si>
    <t>KTV2</t>
  </si>
  <si>
    <t>Koper totivirus 3</t>
  </si>
  <si>
    <t>KTV3</t>
  </si>
  <si>
    <t>Martellivirales</t>
  </si>
  <si>
    <t>Bromoviridae</t>
  </si>
  <si>
    <t>Cucumovirus</t>
  </si>
  <si>
    <t>CMV</t>
  </si>
  <si>
    <t>PSV</t>
  </si>
  <si>
    <t>TAV</t>
  </si>
  <si>
    <t>Ilarvirus</t>
  </si>
  <si>
    <t>Solanum nigrum ilarvirus 1</t>
  </si>
  <si>
    <t>SnIV1</t>
  </si>
  <si>
    <t>TIV1</t>
  </si>
  <si>
    <t>Prunus virus I</t>
  </si>
  <si>
    <t>PrVI</t>
  </si>
  <si>
    <t>Closteroviridae</t>
  </si>
  <si>
    <t>Closterovirus</t>
  </si>
  <si>
    <t>BYV</t>
  </si>
  <si>
    <t>PaClV1</t>
  </si>
  <si>
    <t>PaClV2</t>
  </si>
  <si>
    <t>Crinivirus</t>
  </si>
  <si>
    <t>PaCrV1</t>
  </si>
  <si>
    <t>Endornaviridae</t>
  </si>
  <si>
    <t>Alphaendornavirus</t>
  </si>
  <si>
    <t>TaAEV1</t>
  </si>
  <si>
    <t>Plant associated alphaendornavirus 1</t>
  </si>
  <si>
    <t>PaAEV1</t>
  </si>
  <si>
    <t>Kitaviridae</t>
  </si>
  <si>
    <t>Blunervirus</t>
  </si>
  <si>
    <t>ToFBV</t>
  </si>
  <si>
    <t>Virgaviridae</t>
  </si>
  <si>
    <t>Tobamovirus</t>
  </si>
  <si>
    <t>ToMV</t>
  </si>
  <si>
    <t>PaTLV1</t>
  </si>
  <si>
    <t>Plantago tobamovirus 1</t>
  </si>
  <si>
    <t>PTV1</t>
  </si>
  <si>
    <t>Mononegavirales</t>
  </si>
  <si>
    <t>Rhabdoviridae</t>
  </si>
  <si>
    <t>Alphanucleorhabdovirus</t>
  </si>
  <si>
    <t>EMDV</t>
  </si>
  <si>
    <t>Physostegia chlorotic mottle virus</t>
  </si>
  <si>
    <t>PhCMoV</t>
  </si>
  <si>
    <t>Betanucleorhabdovirus</t>
  </si>
  <si>
    <t>TBRV1</t>
  </si>
  <si>
    <t>Lispivirdae</t>
  </si>
  <si>
    <t>Leveillula taurica associated rhabdo-like virus 1</t>
  </si>
  <si>
    <t>LtaRLV1</t>
  </si>
  <si>
    <t>Cytorhabdovirus</t>
  </si>
  <si>
    <t>Pastinaca cytorhabdovirus 1</t>
  </si>
  <si>
    <t>PaCRV1</t>
  </si>
  <si>
    <t>TBRV2</t>
  </si>
  <si>
    <t>Picris betanucleorhabdovirus 1</t>
  </si>
  <si>
    <t>PBRV1</t>
  </si>
  <si>
    <t>Cirsium cytorhabdovirus 1</t>
  </si>
  <si>
    <t>CCRV1</t>
  </si>
  <si>
    <t>Taraxacum betanucleorhabdovirus 1</t>
  </si>
  <si>
    <t>Picris cytorhabdovirus 1</t>
  </si>
  <si>
    <t>PiCRV1</t>
  </si>
  <si>
    <t>Taraxacum cytorhabdovirus 1</t>
  </si>
  <si>
    <t>TCRV1</t>
  </si>
  <si>
    <t>TARV1</t>
  </si>
  <si>
    <t>Ortervirales</t>
  </si>
  <si>
    <t>Caulimoviridae</t>
  </si>
  <si>
    <t>Caulimovirus</t>
  </si>
  <si>
    <t>PaCaV1</t>
  </si>
  <si>
    <t xml:space="preserve"> </t>
  </si>
  <si>
    <t>Soymovirus</t>
  </si>
  <si>
    <t>PaSoV1</t>
  </si>
  <si>
    <t>Patatavirales</t>
  </si>
  <si>
    <t>Potyviridae</t>
  </si>
  <si>
    <t>Potyvirus</t>
  </si>
  <si>
    <t>PVY</t>
  </si>
  <si>
    <t>CTLV</t>
  </si>
  <si>
    <t>LMV</t>
  </si>
  <si>
    <t>Henbane mosaic virus</t>
  </si>
  <si>
    <t>HMV</t>
  </si>
  <si>
    <t>WMV</t>
  </si>
  <si>
    <t>Macluravirus</t>
  </si>
  <si>
    <t>Plantago potyvirus 1</t>
  </si>
  <si>
    <t>PlaPV1</t>
  </si>
  <si>
    <t>Rumex potyvirus 1</t>
  </si>
  <si>
    <t>RumPV1</t>
  </si>
  <si>
    <t>Mentha macluravirus 1</t>
  </si>
  <si>
    <t>MenMV1</t>
  </si>
  <si>
    <t>Picornavirales</t>
  </si>
  <si>
    <t>Dicistroviridae</t>
  </si>
  <si>
    <t>Novo Mesto dicistrovirus 1</t>
  </si>
  <si>
    <t>NMDV1</t>
  </si>
  <si>
    <t>Novo Mesto dicistrovirus 2</t>
  </si>
  <si>
    <t>NMDV2</t>
  </si>
  <si>
    <t>Ljubljana dicistrovirus 1</t>
  </si>
  <si>
    <t>LDV1</t>
  </si>
  <si>
    <t>Iflaviridae</t>
  </si>
  <si>
    <t>Iflavirus</t>
  </si>
  <si>
    <t>TMaV</t>
  </si>
  <si>
    <t>La Jolla virus</t>
  </si>
  <si>
    <t>LJV</t>
  </si>
  <si>
    <t>Novo Mesto iflavirus 1</t>
  </si>
  <si>
    <t>NMIV1</t>
  </si>
  <si>
    <t>Picornaviridae</t>
  </si>
  <si>
    <t>Aphis glycines virus 1</t>
  </si>
  <si>
    <t>AGV1</t>
  </si>
  <si>
    <t>Hubei picorna-like virus 36</t>
  </si>
  <si>
    <t>HuPiLV36</t>
  </si>
  <si>
    <t>Novo Mesto picornavirus 1</t>
  </si>
  <si>
    <t>NMPV1</t>
  </si>
  <si>
    <t>Secoviridae</t>
  </si>
  <si>
    <t>Fabavirus</t>
  </si>
  <si>
    <t>BBWV1</t>
  </si>
  <si>
    <t>Waikavirus</t>
  </si>
  <si>
    <t>PaWV1</t>
  </si>
  <si>
    <t>PaWV2</t>
  </si>
  <si>
    <t>Sequivirus</t>
  </si>
  <si>
    <t>PaSV1</t>
  </si>
  <si>
    <t>PaSV2</t>
  </si>
  <si>
    <t>PaSV3</t>
  </si>
  <si>
    <t>Serpentovirales</t>
  </si>
  <si>
    <t>Aspiviridae</t>
  </si>
  <si>
    <t>Ophiovirus</t>
  </si>
  <si>
    <t>Ranunculus white mottle ophiovirus</t>
  </si>
  <si>
    <t>RWMV</t>
  </si>
  <si>
    <t>Sobelivirales</t>
  </si>
  <si>
    <t>Solemoviridae</t>
  </si>
  <si>
    <t>Polerovirus</t>
  </si>
  <si>
    <t>Hubei polero-like virus 2</t>
  </si>
  <si>
    <t>HuPLV2</t>
  </si>
  <si>
    <t>BVG</t>
  </si>
  <si>
    <t>PaPoV1</t>
  </si>
  <si>
    <t>PaPoV2</t>
  </si>
  <si>
    <t>PaPoV3</t>
  </si>
  <si>
    <t>Tolivirales</t>
  </si>
  <si>
    <t>Tombusviridae</t>
  </si>
  <si>
    <t>Alphanecrovirus</t>
  </si>
  <si>
    <t>OLV1</t>
  </si>
  <si>
    <t>OMMV</t>
  </si>
  <si>
    <t>TNVA</t>
  </si>
  <si>
    <t>TBSV</t>
  </si>
  <si>
    <t>Luteovirus</t>
  </si>
  <si>
    <t>Soybean dwarf virus</t>
  </si>
  <si>
    <t>SbDV</t>
  </si>
  <si>
    <t>Umbravirus</t>
  </si>
  <si>
    <t>Pastinaca umbravirus 1</t>
  </si>
  <si>
    <t>PasUV1</t>
  </si>
  <si>
    <t>Picris umbravirus 1</t>
  </si>
  <si>
    <t>PicUV1</t>
  </si>
  <si>
    <t>Aureusvirus</t>
  </si>
  <si>
    <t>Convolvulus aureusvirus 1</t>
  </si>
  <si>
    <t>ConAV1</t>
  </si>
  <si>
    <t>Pelarspovirus</t>
  </si>
  <si>
    <t>Calystegia pelarspovirus 1</t>
  </si>
  <si>
    <t>CalPV1</t>
  </si>
  <si>
    <t>Alphacarmovirus</t>
  </si>
  <si>
    <t>Cichorium alphacarmovirus 1</t>
  </si>
  <si>
    <t>CicAV1</t>
  </si>
  <si>
    <t>Tymovirales</t>
  </si>
  <si>
    <t>Alphaflexiviridae</t>
  </si>
  <si>
    <t>Potexvirus</t>
  </si>
  <si>
    <t>WCMV</t>
  </si>
  <si>
    <t>Pastinaca potexvirus 1</t>
  </si>
  <si>
    <t>PasPV1</t>
  </si>
  <si>
    <t>Betaflexiviridae</t>
  </si>
  <si>
    <t>Carlavirus</t>
  </si>
  <si>
    <t>PVM</t>
  </si>
  <si>
    <t>PVS</t>
  </si>
  <si>
    <t>Vitivirus</t>
  </si>
  <si>
    <t>TomV1</t>
  </si>
  <si>
    <t>Albetovirus</t>
  </si>
  <si>
    <t>TomAV1</t>
  </si>
  <si>
    <t>Taraxacum viroid-like circular RNA 1</t>
  </si>
  <si>
    <t>TVCR1</t>
  </si>
  <si>
    <t>PaVCR1</t>
  </si>
  <si>
    <t>PaVCR2</t>
  </si>
  <si>
    <t>PaVCR3</t>
  </si>
  <si>
    <t>PaVCR4</t>
  </si>
  <si>
    <t>satellite RNAs</t>
  </si>
  <si>
    <t>PTaR1</t>
  </si>
  <si>
    <t>PTaR2</t>
  </si>
  <si>
    <t>PTaR3</t>
  </si>
  <si>
    <t>Cymbidium ringspot virus satellite RNA</t>
  </si>
  <si>
    <t>TBSV-satRNA-C</t>
  </si>
  <si>
    <t>TBSV-satRNA-B10</t>
  </si>
  <si>
    <t>TBSV-satRNA-L</t>
  </si>
  <si>
    <t>Erysiphe necator ourmia-like virus 82</t>
  </si>
  <si>
    <t>EnOLV82</t>
  </si>
  <si>
    <t>PaBLV1</t>
  </si>
  <si>
    <t>PaBLV2</t>
  </si>
  <si>
    <t>Plasmopara viticola lesion associated monoambiguivirus 1</t>
  </si>
  <si>
    <t>PvLAMV1</t>
  </si>
  <si>
    <t>Leveillula taurica associated noda-like virus 1</t>
  </si>
  <si>
    <t>LtaNLV1</t>
  </si>
  <si>
    <t>Koper noda-like virus 1</t>
  </si>
  <si>
    <t>KNLV1</t>
  </si>
  <si>
    <t>Koper noda-like virus 2</t>
  </si>
  <si>
    <t>KNLV2</t>
  </si>
  <si>
    <t>Koper noda-like virus 3</t>
  </si>
  <si>
    <t>KNLV3</t>
  </si>
  <si>
    <t>Koper noda-like virus 4</t>
  </si>
  <si>
    <t>KNLV4</t>
  </si>
  <si>
    <t>Koper picorna-like virus 1</t>
  </si>
  <si>
    <t>KPLV1</t>
  </si>
  <si>
    <t>TaPLV1</t>
  </si>
  <si>
    <t>TaTLV1</t>
  </si>
  <si>
    <t>Erysiphe necator associated ambiguivirus 2</t>
  </si>
  <si>
    <t xml:space="preserve">EnaAV2 </t>
  </si>
  <si>
    <t>PaTLV2</t>
  </si>
  <si>
    <t>Sanxia tombus-like virus 7</t>
  </si>
  <si>
    <t>STLV7</t>
  </si>
  <si>
    <t>Erysiphe necator associated ssRNA virus 9</t>
  </si>
  <si>
    <t>EnaSRV9</t>
  </si>
  <si>
    <t>PaVLV1</t>
  </si>
  <si>
    <t>PaVLV2</t>
  </si>
  <si>
    <t>TaVLV1</t>
  </si>
  <si>
    <t>SRA/Library ID</t>
  </si>
  <si>
    <r>
      <t>Virus name</t>
    </r>
    <r>
      <rPr>
        <b/>
        <vertAlign val="superscript"/>
        <sz val="11"/>
        <color rgb="FFC00000"/>
        <rFont val="Arial Narrow"/>
        <family val="2"/>
        <charset val="238"/>
      </rPr>
      <t>1</t>
    </r>
    <r>
      <rPr>
        <b/>
        <sz val="11"/>
        <rFont val="Arial Narrow"/>
        <family val="2"/>
        <charset val="238"/>
      </rPr>
      <t xml:space="preserve">
</t>
    </r>
    <r>
      <rPr>
        <sz val="10"/>
        <rFont val="Arial Narrow"/>
        <family val="2"/>
        <charset val="238"/>
      </rPr>
      <t xml:space="preserve">(or tentative name for new species that are in 
</t>
    </r>
    <r>
      <rPr>
        <b/>
        <sz val="10"/>
        <color theme="7" tint="-0.249977111117893"/>
        <rFont val="Arial Narrow"/>
        <family val="2"/>
        <charset val="238"/>
      </rPr>
      <t>yellow highlight</t>
    </r>
    <r>
      <rPr>
        <sz val="10"/>
        <rFont val="Arial Narrow"/>
        <family val="2"/>
        <charset val="238"/>
      </rPr>
      <t>; genome segment name is 
indicated if present)</t>
    </r>
  </si>
  <si>
    <t xml:space="preserve">Unique virus abbreviation </t>
  </si>
  <si>
    <r>
      <t>Best hit from BLASTn analysis</t>
    </r>
    <r>
      <rPr>
        <b/>
        <vertAlign val="superscript"/>
        <sz val="10"/>
        <color rgb="FFC00000"/>
        <rFont val="Arial Narrow"/>
        <family val="2"/>
        <charset val="238"/>
      </rPr>
      <t>2</t>
    </r>
    <r>
      <rPr>
        <b/>
        <sz val="10"/>
        <rFont val="Arial Narrow"/>
        <family val="2"/>
        <charset val="238"/>
      </rPr>
      <t xml:space="preserve"> of mapping consensus</t>
    </r>
    <r>
      <rPr>
        <b/>
        <vertAlign val="superscript"/>
        <sz val="10"/>
        <color rgb="FFC00000"/>
        <rFont val="Arial Narrow"/>
        <family val="2"/>
        <charset val="238"/>
      </rPr>
      <t>3</t>
    </r>
  </si>
  <si>
    <t>OR</t>
  </si>
  <si>
    <r>
      <t>Remapping reads to final consensus genome sequence</t>
    </r>
    <r>
      <rPr>
        <b/>
        <vertAlign val="superscript"/>
        <sz val="10"/>
        <color rgb="FFC00000"/>
        <rFont val="Arial Narrow"/>
        <family val="2"/>
        <charset val="238"/>
      </rPr>
      <t>4</t>
    </r>
    <r>
      <rPr>
        <b/>
        <sz val="10"/>
        <color rgb="FFC00000"/>
        <rFont val="Arial Narrow"/>
        <family val="2"/>
        <charset val="238"/>
      </rPr>
      <t xml:space="preserve"> </t>
    </r>
    <r>
      <rPr>
        <b/>
        <sz val="10"/>
        <rFont val="Arial Narrow"/>
        <family val="2"/>
        <charset val="238"/>
      </rPr>
      <t>and final BLASTn analysis for verification</t>
    </r>
    <r>
      <rPr>
        <b/>
        <vertAlign val="superscript"/>
        <sz val="10"/>
        <color rgb="FFC00000"/>
        <rFont val="Arial Narrow"/>
        <family val="2"/>
        <charset val="238"/>
      </rPr>
      <t>2</t>
    </r>
  </si>
  <si>
    <r>
      <t>Fraction of reads</t>
    </r>
    <r>
      <rPr>
        <b/>
        <vertAlign val="superscript"/>
        <sz val="9"/>
        <color rgb="FFC00000"/>
        <rFont val="Arial Narrow"/>
        <family val="2"/>
        <charset val="238"/>
      </rPr>
      <t>5</t>
    </r>
    <r>
      <rPr>
        <sz val="9"/>
        <rFont val="Arial Narrow"/>
        <family val="2"/>
        <charset val="238"/>
      </rPr>
      <t xml:space="preserve"> mapped</t>
    </r>
  </si>
  <si>
    <t>Average mapping depth</t>
  </si>
  <si>
    <t>GenBank accession no.</t>
  </si>
  <si>
    <t>Percent identity</t>
  </si>
  <si>
    <r>
      <t>Genome covered</t>
    </r>
    <r>
      <rPr>
        <b/>
        <vertAlign val="superscript"/>
        <sz val="9"/>
        <color rgb="FFC00000"/>
        <rFont val="Arial Narrow"/>
        <family val="2"/>
        <charset val="238"/>
      </rPr>
      <t>6</t>
    </r>
  </si>
  <si>
    <t>KX184817</t>
  </si>
  <si>
    <t>-</t>
  </si>
  <si>
    <t>9709/9719</t>
  </si>
  <si>
    <t>full genome assembled</t>
  </si>
  <si>
    <t xml:space="preserve">ToMV </t>
  </si>
  <si>
    <t>MN267904</t>
  </si>
  <si>
    <t>6384/6383</t>
  </si>
  <si>
    <t>MN095716</t>
  </si>
  <si>
    <t>partial genome obtained (was not deposited)</t>
  </si>
  <si>
    <t>JF927761</t>
  </si>
  <si>
    <t>9684/9701</t>
  </si>
  <si>
    <t>Physostegia chlorotic mottle alphanucleorhabdovirus</t>
  </si>
  <si>
    <t>KY706238</t>
  </si>
  <si>
    <t>13318/13319</t>
  </si>
  <si>
    <t>KM823531</t>
  </si>
  <si>
    <t>13577/13188</t>
  </si>
  <si>
    <t>new species, full genome assembled</t>
  </si>
  <si>
    <t>6364/6383</t>
  </si>
  <si>
    <t>MN216389</t>
  </si>
  <si>
    <t>D00356</t>
  </si>
  <si>
    <t>3558/3557</t>
  </si>
  <si>
    <t>AJ517801</t>
  </si>
  <si>
    <t>3052/3050</t>
  </si>
  <si>
    <t>AJ517802</t>
  </si>
  <si>
    <t>2216/2216</t>
  </si>
  <si>
    <t>6341/6383</t>
  </si>
  <si>
    <t>KX882844</t>
  </si>
  <si>
    <t>6083/6083</t>
  </si>
  <si>
    <t>MH182675</t>
  </si>
  <si>
    <t>14445/14728</t>
  </si>
  <si>
    <t xml:space="preserve">NC_038846 </t>
  </si>
  <si>
    <t>1555/1575</t>
  </si>
  <si>
    <t>MK731958</t>
  </si>
  <si>
    <t>1544/1583</t>
  </si>
  <si>
    <t>MK731957</t>
  </si>
  <si>
    <t>1510/1517</t>
  </si>
  <si>
    <t>6383/6383</t>
  </si>
  <si>
    <t>LC480248</t>
  </si>
  <si>
    <t>13177/15597</t>
  </si>
  <si>
    <t xml:space="preserve">NC_040586 </t>
  </si>
  <si>
    <t>11022/12313</t>
  </si>
  <si>
    <t>MH459180</t>
  </si>
  <si>
    <t>8841/8293</t>
  </si>
  <si>
    <t>MF422618</t>
  </si>
  <si>
    <t>3414/3437</t>
  </si>
  <si>
    <t>MK376952</t>
  </si>
  <si>
    <t>3277/3699</t>
  </si>
  <si>
    <t>Ranunculus white mottle ophiovirus, RNA1</t>
  </si>
  <si>
    <t xml:space="preserve">NC_043389 </t>
  </si>
  <si>
    <t>7622/4018</t>
  </si>
  <si>
    <t>first full sequence of genome segment assembled</t>
  </si>
  <si>
    <t>Ranunculus white mottle ophiovirus, RNA2</t>
  </si>
  <si>
    <t>AF335430</t>
  </si>
  <si>
    <t>1787/263</t>
  </si>
  <si>
    <t>Ranunculus white mottle ophiovirus, RNA3</t>
  </si>
  <si>
    <t>AY542957</t>
  </si>
  <si>
    <t>1486/1063</t>
  </si>
  <si>
    <t>Ranunculus white mottle ophiovirus, RNA4</t>
  </si>
  <si>
    <t>KY769704</t>
  </si>
  <si>
    <t>1324/1381</t>
  </si>
  <si>
    <t>MN216350</t>
  </si>
  <si>
    <t>5820/5771</t>
  </si>
  <si>
    <t>full genome assembled, probable divergent strain</t>
  </si>
  <si>
    <t>MN216379</t>
  </si>
  <si>
    <t>3435/3303</t>
  </si>
  <si>
    <t>EnaAV2</t>
  </si>
  <si>
    <t>MN627469</t>
  </si>
  <si>
    <t>3198/3222</t>
  </si>
  <si>
    <t>not applicable</t>
  </si>
  <si>
    <t>556/ -</t>
  </si>
  <si>
    <t>viroid-like circular RNA (putative new viroid species)</t>
  </si>
  <si>
    <t>491/ -</t>
  </si>
  <si>
    <t>KT85253</t>
  </si>
  <si>
    <t>3364/3437</t>
  </si>
  <si>
    <t>M21958</t>
  </si>
  <si>
    <t>4755/4776</t>
  </si>
  <si>
    <t>Leveillula taurica-associated rhabdo-like virus</t>
  </si>
  <si>
    <t>MN609860</t>
  </si>
  <si>
    <t>13978/14003</t>
  </si>
  <si>
    <t>FJ666076</t>
  </si>
  <si>
    <t>483/615</t>
  </si>
  <si>
    <t>partial genome obtained</t>
  </si>
  <si>
    <t>AF022788</t>
  </si>
  <si>
    <t>590/612</t>
  </si>
  <si>
    <t>AF022787</t>
  </si>
  <si>
    <t>884/822</t>
  </si>
  <si>
    <t>new species, best hit covers only 55% of the genome</t>
  </si>
  <si>
    <t>CymRSV-satRNA</t>
  </si>
  <si>
    <t>D00720</t>
  </si>
  <si>
    <t>607/618</t>
  </si>
  <si>
    <t>5836/5771</t>
  </si>
  <si>
    <t>3386/3303</t>
  </si>
  <si>
    <t>AF543212</t>
  </si>
  <si>
    <t>9528/9797</t>
  </si>
  <si>
    <t>KX906928</t>
  </si>
  <si>
    <t>KX906929</t>
  </si>
  <si>
    <t xml:space="preserve">MK517476 </t>
  </si>
  <si>
    <t>Mercurialis orthotospovirus 1, L segment</t>
  </si>
  <si>
    <t>JN560178</t>
  </si>
  <si>
    <t>9024/8877</t>
  </si>
  <si>
    <t>Mercurialis orthotospovirus 1, M segment</t>
  </si>
  <si>
    <t>JN560177</t>
  </si>
  <si>
    <t>5232/4786</t>
  </si>
  <si>
    <t>Mercurialis orthotospovirus 1, S segment</t>
  </si>
  <si>
    <t>AY686718</t>
  </si>
  <si>
    <t>2887/2734</t>
  </si>
  <si>
    <t>PaToLV1</t>
  </si>
  <si>
    <t>NC_032449</t>
  </si>
  <si>
    <t>6434/6969</t>
  </si>
  <si>
    <t>new species, has virga-like domains, BLASTx hit is shown</t>
  </si>
  <si>
    <t>MN627473</t>
  </si>
  <si>
    <t>3489/3506</t>
  </si>
  <si>
    <t>full genome assembled, possibly a divergent strain</t>
  </si>
  <si>
    <t>MN035426</t>
  </si>
  <si>
    <t>3586/3685</t>
  </si>
  <si>
    <t>QED42936</t>
  </si>
  <si>
    <t>3627/ -</t>
  </si>
  <si>
    <t>Eysiphe necator associated partitivirus 2, RNA1</t>
  </si>
  <si>
    <t>MN605492</t>
  </si>
  <si>
    <t>1723/1735</t>
  </si>
  <si>
    <t>Eysiphe necator associated partitivirus 2, RNA2</t>
  </si>
  <si>
    <t>MN605493</t>
  </si>
  <si>
    <t>1534/1557</t>
  </si>
  <si>
    <t>MN556995</t>
  </si>
  <si>
    <t>6159/6099</t>
  </si>
  <si>
    <t>MW648508</t>
  </si>
  <si>
    <t>3150/3115</t>
  </si>
  <si>
    <t>new species, best hit covers only 37% of genome</t>
  </si>
  <si>
    <t>MK948595</t>
  </si>
  <si>
    <t>3436/3437</t>
  </si>
  <si>
    <t>3684/3684</t>
  </si>
  <si>
    <t>3646/3669</t>
  </si>
  <si>
    <t>KY769774</t>
  </si>
  <si>
    <t>L06057</t>
  </si>
  <si>
    <t>1261/1239</t>
  </si>
  <si>
    <t>MN609858</t>
  </si>
  <si>
    <t>3430/3314</t>
  </si>
  <si>
    <t>3372/3506</t>
  </si>
  <si>
    <t>3572/3685</t>
  </si>
  <si>
    <t>new species, has virga-like domains</t>
  </si>
  <si>
    <t>9055/8877</t>
  </si>
  <si>
    <t>4714/4786</t>
  </si>
  <si>
    <t>3407/2734</t>
  </si>
  <si>
    <t>3413/3437</t>
  </si>
  <si>
    <t>MT434819</t>
  </si>
  <si>
    <t>5767/5778</t>
  </si>
  <si>
    <t>MT434820</t>
  </si>
  <si>
    <t>3542/3610</t>
  </si>
  <si>
    <t>MT434821</t>
  </si>
  <si>
    <t>2756/2761</t>
  </si>
  <si>
    <t>MT434822</t>
  </si>
  <si>
    <t>1886/1900</t>
  </si>
  <si>
    <t>8979/8877</t>
  </si>
  <si>
    <t>4758/4786</t>
  </si>
  <si>
    <t>3463/2734</t>
  </si>
  <si>
    <t>GQ401365</t>
  </si>
  <si>
    <t>6295/6311</t>
  </si>
  <si>
    <t>KT868949</t>
  </si>
  <si>
    <t>6025/6017</t>
  </si>
  <si>
    <t>KR706247</t>
  </si>
  <si>
    <t>5669/5643</t>
  </si>
  <si>
    <t>5811/5811</t>
  </si>
  <si>
    <t>3629/3643</t>
  </si>
  <si>
    <t>2872/2872</t>
  </si>
  <si>
    <t>1945/1946</t>
  </si>
  <si>
    <t>HQ677625</t>
  </si>
  <si>
    <t>3933/3933</t>
  </si>
  <si>
    <t>MW546937</t>
  </si>
  <si>
    <t>1512/1583</t>
  </si>
  <si>
    <t>MW546938</t>
  </si>
  <si>
    <t>1471/1459</t>
  </si>
  <si>
    <t>MK610257</t>
  </si>
  <si>
    <t>DQ083996</t>
  </si>
  <si>
    <t>MK517476</t>
  </si>
  <si>
    <t>8653/8653</t>
  </si>
  <si>
    <t>KM015260</t>
  </si>
  <si>
    <t>8983/8680</t>
  </si>
  <si>
    <t>Leveillula taurica-associated noda-like virus 1</t>
  </si>
  <si>
    <t>MN609862</t>
  </si>
  <si>
    <t>4483/4289</t>
  </si>
  <si>
    <t>2 sequences (MN609862-63) map to the assembled contig</t>
  </si>
  <si>
    <t>MZ443622</t>
  </si>
  <si>
    <t>1500/1506</t>
  </si>
  <si>
    <t>3427/3314</t>
  </si>
  <si>
    <t>no good hit</t>
  </si>
  <si>
    <t>5277/ -</t>
  </si>
  <si>
    <t>8656/8653</t>
  </si>
  <si>
    <t>MH170889</t>
  </si>
  <si>
    <t>9534/9490</t>
  </si>
  <si>
    <t>KT962089</t>
  </si>
  <si>
    <t>5584/5620</t>
  </si>
  <si>
    <t>Solanum nigrum ilarvirus 1, RNA1</t>
  </si>
  <si>
    <t>MN216370</t>
  </si>
  <si>
    <t>Solanum nigrum ilarvirus 1, RNA2</t>
  </si>
  <si>
    <t>MN216373</t>
  </si>
  <si>
    <t>Solanum nigrum ilarvirus 1, RNA3</t>
  </si>
  <si>
    <t>MN216376</t>
  </si>
  <si>
    <t>GU327735</t>
  </si>
  <si>
    <t>6009/5803</t>
  </si>
  <si>
    <t>LC460456</t>
  </si>
  <si>
    <t>5896/5964</t>
  </si>
  <si>
    <t>MH898500</t>
  </si>
  <si>
    <t>13072/14419</t>
  </si>
  <si>
    <t>LC434065</t>
  </si>
  <si>
    <t>4368/4193</t>
  </si>
  <si>
    <t>KT946712</t>
  </si>
  <si>
    <t>4357/4196</t>
  </si>
  <si>
    <t>MF136436</t>
  </si>
  <si>
    <t>2962/1867</t>
  </si>
  <si>
    <t>KX883211</t>
  </si>
  <si>
    <t>2524/5082</t>
  </si>
  <si>
    <t>3408/3437</t>
  </si>
  <si>
    <t>8657/8653</t>
  </si>
  <si>
    <t>4430/4289</t>
  </si>
  <si>
    <t>3412/3437</t>
  </si>
  <si>
    <t>8562/8653</t>
  </si>
  <si>
    <t>9471/9490</t>
  </si>
  <si>
    <t>MN714669</t>
  </si>
  <si>
    <t>5151/9979</t>
  </si>
  <si>
    <t>MK279493</t>
  </si>
  <si>
    <t>4988/5174</t>
  </si>
  <si>
    <t>MN532659</t>
  </si>
  <si>
    <t>2300/2339</t>
  </si>
  <si>
    <t>SRR16552228  /  P29Pv19-PK2</t>
  </si>
  <si>
    <t>Phaseolus vulgaris alphaendornavirus 1</t>
  </si>
  <si>
    <t>PvAEV1</t>
  </si>
  <si>
    <t>NC_039217</t>
  </si>
  <si>
    <t>MK948542</t>
  </si>
  <si>
    <t>13901/13981</t>
  </si>
  <si>
    <t>Phaseolus vulgaris alphaendornavirus 2</t>
  </si>
  <si>
    <t>PvAEV2</t>
  </si>
  <si>
    <t>NC_038422</t>
  </si>
  <si>
    <t>MF281671</t>
  </si>
  <si>
    <t>14417/14780</t>
  </si>
  <si>
    <t>Phaseolus vulgaris alphaendornavirus 3</t>
  </si>
  <si>
    <t>PvAEV3</t>
  </si>
  <si>
    <t>NC_040558</t>
  </si>
  <si>
    <t>8831/15205</t>
  </si>
  <si>
    <t>SRR16552227  /  P30Pv19-PK1</t>
  </si>
  <si>
    <t>13900/13981</t>
  </si>
  <si>
    <t>14168/14780</t>
  </si>
  <si>
    <t>7633/15205</t>
  </si>
  <si>
    <t>SRR16552226  /  P31BER20-AT</t>
  </si>
  <si>
    <t>3438/3438</t>
  </si>
  <si>
    <t>SRR16552221  /  P32STR20-AT</t>
  </si>
  <si>
    <t>AB185833</t>
  </si>
  <si>
    <t>9688/9698</t>
  </si>
  <si>
    <t>MH937416</t>
  </si>
  <si>
    <t>8477/8485</t>
  </si>
  <si>
    <t>MF543022</t>
  </si>
  <si>
    <t>13414/14432</t>
  </si>
  <si>
    <t>SRR16552265  /  P33BOL20-AT</t>
  </si>
  <si>
    <t>MH323437</t>
  </si>
  <si>
    <t>13436/13546</t>
  </si>
  <si>
    <t>MK948545</t>
  </si>
  <si>
    <t>SRR16552262  /  P34MIR20-AT</t>
  </si>
  <si>
    <t>3415/3438</t>
  </si>
  <si>
    <t>NC_039075</t>
  </si>
  <si>
    <t>3392/3378</t>
  </si>
  <si>
    <t>KY695013</t>
  </si>
  <si>
    <t>2866/2931</t>
  </si>
  <si>
    <t>KY695014</t>
  </si>
  <si>
    <t>2181/2296</t>
  </si>
  <si>
    <t>SRR16552258  /  P35KOP20-AT</t>
  </si>
  <si>
    <t>3414/3414</t>
  </si>
  <si>
    <t>full genome assembled (was not deposited, possible recombinant)</t>
  </si>
  <si>
    <t>MN611610</t>
  </si>
  <si>
    <t>2627/2859</t>
  </si>
  <si>
    <t>SRR16552254  /  P36SKO20-AT</t>
  </si>
  <si>
    <t>9698/9698</t>
  </si>
  <si>
    <t>3357/3357</t>
  </si>
  <si>
    <t>KC019300</t>
  </si>
  <si>
    <t>3048/3049</t>
  </si>
  <si>
    <t>2215/2216</t>
  </si>
  <si>
    <t>13453/14432</t>
  </si>
  <si>
    <t>SRR16552249  /  P37KOR20-AT</t>
  </si>
  <si>
    <t>JX678982</t>
  </si>
  <si>
    <t>8523/8523</t>
  </si>
  <si>
    <t>HE962478</t>
  </si>
  <si>
    <t>3359/3358</t>
  </si>
  <si>
    <t>MG021461</t>
  </si>
  <si>
    <t>3055/3050</t>
  </si>
  <si>
    <t xml:space="preserve">2216/2216 </t>
  </si>
  <si>
    <t>6552/6969</t>
  </si>
  <si>
    <t>new species, has virga-like domains (RdRP,CP), full genome</t>
  </si>
  <si>
    <t>1494/1506</t>
  </si>
  <si>
    <t>new species, best hit has only 41% genome covered</t>
  </si>
  <si>
    <t>SRR16552245  /  P38PLE20-AT</t>
  </si>
  <si>
    <t>MN216361</t>
  </si>
  <si>
    <t>9609/9609</t>
  </si>
  <si>
    <t>3436/3436</t>
  </si>
  <si>
    <t>SRR16552287  /  P39JUR20-AT</t>
  </si>
  <si>
    <t>6383/6386</t>
  </si>
  <si>
    <t>KX184847</t>
  </si>
  <si>
    <t>9719/9719</t>
  </si>
  <si>
    <t>KX883970</t>
  </si>
  <si>
    <t>9977/9856</t>
  </si>
  <si>
    <t>SRR16552281  /  P40TUR20-AT</t>
  </si>
  <si>
    <t>SRR16552225  /  P41.1BER20-ST</t>
  </si>
  <si>
    <t>JF927755</t>
  </si>
  <si>
    <t>9689/9697</t>
  </si>
  <si>
    <t xml:space="preserve"> 6383/6383</t>
  </si>
  <si>
    <t>KT438549</t>
  </si>
  <si>
    <t>3411/3463</t>
  </si>
  <si>
    <t>3357/3360</t>
  </si>
  <si>
    <t>D00355</t>
  </si>
  <si>
    <t>3045/3048</t>
  </si>
  <si>
    <t>SRR16552223  /  P41.2BER20-ST</t>
  </si>
  <si>
    <t>9687/9698</t>
  </si>
  <si>
    <t>8507/8523</t>
  </si>
  <si>
    <t>SRR16552222  /  P42BER20-SW</t>
  </si>
  <si>
    <t xml:space="preserve"> 6381/6383</t>
  </si>
  <si>
    <t>MT317175</t>
  </si>
  <si>
    <t>3297/3360</t>
  </si>
  <si>
    <t>SRR16552268  /  P43.1STR20-ST</t>
  </si>
  <si>
    <t>3413/3414</t>
  </si>
  <si>
    <t>KY847961</t>
  </si>
  <si>
    <t>9628/9630</t>
  </si>
  <si>
    <t>4778/4776</t>
  </si>
  <si>
    <t>KC905081</t>
  </si>
  <si>
    <t>13406/13154</t>
  </si>
  <si>
    <t>SRR16552267  /  P43.2STR20-ST</t>
  </si>
  <si>
    <t>KT852573</t>
  </si>
  <si>
    <t>LN680656</t>
  </si>
  <si>
    <t>13097/13100</t>
  </si>
  <si>
    <t>JF927760</t>
  </si>
  <si>
    <t>9690/9697</t>
  </si>
  <si>
    <t>8485/8485</t>
  </si>
  <si>
    <t>SRR16552266  /  P44STR20-SW</t>
  </si>
  <si>
    <t>MN914158</t>
  </si>
  <si>
    <t>10040/10040</t>
  </si>
  <si>
    <t>LC380687</t>
  </si>
  <si>
    <t>3347/3354</t>
  </si>
  <si>
    <t>LC380688</t>
  </si>
  <si>
    <t>2940/2943</t>
  </si>
  <si>
    <t>LC380680</t>
  </si>
  <si>
    <t>2185/2185</t>
  </si>
  <si>
    <t>5766/5771</t>
  </si>
  <si>
    <t>3341/3303</t>
  </si>
  <si>
    <t>SRR16552264  /  P45BOL20-ST</t>
  </si>
  <si>
    <t>MH094752</t>
  </si>
  <si>
    <t>11692/11683</t>
  </si>
  <si>
    <t>MN628271</t>
  </si>
  <si>
    <t>5400/5400</t>
  </si>
  <si>
    <t>SRR16552263  /  P46BOL20-SW</t>
  </si>
  <si>
    <t>4411/4196</t>
  </si>
  <si>
    <t>MG967280</t>
  </si>
  <si>
    <t>4448/4512</t>
  </si>
  <si>
    <t>3866/3965</t>
  </si>
  <si>
    <t>Prunus virus I, RNA1</t>
  </si>
  <si>
    <t>MW579753</t>
  </si>
  <si>
    <t>3444/3470</t>
  </si>
  <si>
    <t>Prunus virus I, RNA2</t>
  </si>
  <si>
    <t>MW579754</t>
  </si>
  <si>
    <t>2947/2876</t>
  </si>
  <si>
    <t>Prunus virus I, RNA3</t>
  </si>
  <si>
    <t>MW579755</t>
  </si>
  <si>
    <t>2222/2249</t>
  </si>
  <si>
    <t>BK014301</t>
  </si>
  <si>
    <t>15193/13719</t>
  </si>
  <si>
    <t>MT952336</t>
  </si>
  <si>
    <t>6548/ -</t>
  </si>
  <si>
    <t>new species, putatively bisegmented, best hit covered only 2% of genome</t>
  </si>
  <si>
    <t>CP048848</t>
  </si>
  <si>
    <t>3622/ -</t>
  </si>
  <si>
    <t>new species, putatively bisegmented, best hit covered only 1% of genome</t>
  </si>
  <si>
    <t>MW892835</t>
  </si>
  <si>
    <t>7823/8637</t>
  </si>
  <si>
    <t>KT069221</t>
  </si>
  <si>
    <t>7876/8210</t>
  </si>
  <si>
    <t>1499/1583</t>
  </si>
  <si>
    <t>1503/1459</t>
  </si>
  <si>
    <t>SRR16552260  /  P47MIR20-ST</t>
  </si>
  <si>
    <t>ATP79731</t>
  </si>
  <si>
    <t>7864/8911</t>
  </si>
  <si>
    <t>no good hit in BLASTn, shown here is best hit in BLASTx</t>
  </si>
  <si>
    <t>QNT38480</t>
  </si>
  <si>
    <t>4910/4955</t>
  </si>
  <si>
    <t>SRR16552259  /  P48MIR20-SW</t>
  </si>
  <si>
    <t>JN674402</t>
  </si>
  <si>
    <t>5860/5862</t>
  </si>
  <si>
    <t>Artemesia fimovirus 1, RNA1</t>
  </si>
  <si>
    <t>BBM96177</t>
  </si>
  <si>
    <t>7249/ 7291</t>
  </si>
  <si>
    <t>new species, BLASTx hits to RNA1 of Perilla mosaic virus are shown</t>
  </si>
  <si>
    <t>Artemesia fimovirus 1, RNA2</t>
  </si>
  <si>
    <t>BBM96178</t>
  </si>
  <si>
    <t>2057/2092</t>
  </si>
  <si>
    <t>new species, BLASTx hits to RNA2 of Perilla mosaic virus are shown</t>
  </si>
  <si>
    <t>Artemesia fimovirus 1, RNA3</t>
  </si>
  <si>
    <t>BBM96179</t>
  </si>
  <si>
    <t>1088/1080</t>
  </si>
  <si>
    <t>new species, BLASTx hits to RNA3 of Perilla mosaic virus are shown</t>
  </si>
  <si>
    <t>Artemesia fimovirus 1, RNA4</t>
  </si>
  <si>
    <t>BBM96181</t>
  </si>
  <si>
    <t>1325/1294</t>
  </si>
  <si>
    <t>new species, BLASTx hits to RNA4 of Perilla mosaic virus are shown</t>
  </si>
  <si>
    <t>Artemesia fimovirus 1, RNA5</t>
  </si>
  <si>
    <t>BBM96182</t>
  </si>
  <si>
    <t>902/1066</t>
  </si>
  <si>
    <t>new species, BLASTx hits to RNA5 of Perilla mosaic virus are shown</t>
  </si>
  <si>
    <t>MH460557</t>
  </si>
  <si>
    <t>16522/17313</t>
  </si>
  <si>
    <t>KX883177</t>
  </si>
  <si>
    <t>4558/4557</t>
  </si>
  <si>
    <t xml:space="preserve">MN611610                </t>
  </si>
  <si>
    <t>SRR16552257  /  P49KOP20-ST</t>
  </si>
  <si>
    <t>3669/3669</t>
  </si>
  <si>
    <t>3686/3686</t>
  </si>
  <si>
    <t>full genome but probable recombinant (was not deposited)</t>
  </si>
  <si>
    <t>SRR16552256  /  P50.1KOP20-SW</t>
  </si>
  <si>
    <t>NC_043389</t>
  </si>
  <si>
    <t>7677/4018</t>
  </si>
  <si>
    <t>AF355430</t>
  </si>
  <si>
    <t>1839/263</t>
  </si>
  <si>
    <t>1476/1063</t>
  </si>
  <si>
    <t>1315/1315</t>
  </si>
  <si>
    <t>KP714073</t>
  </si>
  <si>
    <t>10253/9722</t>
  </si>
  <si>
    <t>3456/3506</t>
  </si>
  <si>
    <t>3147/3147</t>
  </si>
  <si>
    <t>new species, only 37% of genome covered by best hit</t>
  </si>
  <si>
    <t>MT482496</t>
  </si>
  <si>
    <t>3195/3195</t>
  </si>
  <si>
    <t>new species, only 16% of genome covered by best hit</t>
  </si>
  <si>
    <t>MK533155</t>
  </si>
  <si>
    <t>3482/3482</t>
  </si>
  <si>
    <t>new species, only 65% of genome covered by best hit</t>
  </si>
  <si>
    <t>KX883237</t>
  </si>
  <si>
    <t>3459/3459</t>
  </si>
  <si>
    <t>new species, only 4% of genome covered by best hit</t>
  </si>
  <si>
    <t>3561/ -</t>
  </si>
  <si>
    <t>MH898486</t>
  </si>
  <si>
    <t>1566/1590</t>
  </si>
  <si>
    <t>MT159330</t>
  </si>
  <si>
    <t>1443/1410</t>
  </si>
  <si>
    <t>SRR16552256  /  P50.2KOP20-SW</t>
  </si>
  <si>
    <t>KJ161185</t>
  </si>
  <si>
    <t>10065/10065</t>
  </si>
  <si>
    <t>MN428836</t>
  </si>
  <si>
    <t>5240/4999</t>
  </si>
  <si>
    <t>KX882939</t>
  </si>
  <si>
    <t>4794/4958</t>
  </si>
  <si>
    <t>MH898523</t>
  </si>
  <si>
    <t>9644/8026</t>
  </si>
  <si>
    <t>X15828</t>
  </si>
  <si>
    <t>9571/8178</t>
  </si>
  <si>
    <t>MH231181</t>
  </si>
  <si>
    <t>3952/3867</t>
  </si>
  <si>
    <t>MN611580</t>
  </si>
  <si>
    <t>2227/2257</t>
  </si>
  <si>
    <t>Calystegia geminivirus 1, partial genome</t>
  </si>
  <si>
    <t>AF224760</t>
  </si>
  <si>
    <t>1208/2632</t>
  </si>
  <si>
    <t>new species, partial DNA-A (rep-encoding) genome assembled</t>
  </si>
  <si>
    <t>580/ -</t>
  </si>
  <si>
    <t>SRR16552253  /  P51.1SKO20-ST</t>
  </si>
  <si>
    <t>MN216357</t>
  </si>
  <si>
    <t>9525/9649</t>
  </si>
  <si>
    <t>HE793684</t>
  </si>
  <si>
    <t>3048/3050</t>
  </si>
  <si>
    <t>2203/2216</t>
  </si>
  <si>
    <t>NC_043088</t>
  </si>
  <si>
    <t>MT454065</t>
  </si>
  <si>
    <t>7501/7565</t>
  </si>
  <si>
    <t>13423/14432</t>
  </si>
  <si>
    <t>SRR16552252  /  P51.2SKO20-ST</t>
  </si>
  <si>
    <t>9699/9698</t>
  </si>
  <si>
    <t>LC380669</t>
  </si>
  <si>
    <t>3412/3414</t>
  </si>
  <si>
    <t>KF432414</t>
  </si>
  <si>
    <t>3070/3096</t>
  </si>
  <si>
    <t>AJ277268</t>
  </si>
  <si>
    <t>2385/2386</t>
  </si>
  <si>
    <t>3007/3049</t>
  </si>
  <si>
    <t>2201/2216</t>
  </si>
  <si>
    <t>MH779472</t>
  </si>
  <si>
    <t>10155/10127</t>
  </si>
  <si>
    <t>SRR16552251  /  P52SKO20-SW</t>
  </si>
  <si>
    <t>AJ890347</t>
  </si>
  <si>
    <t>9677/9701</t>
  </si>
  <si>
    <t>10079/10065</t>
  </si>
  <si>
    <t>full genome assembled, divergent strain</t>
  </si>
  <si>
    <t>OU015520</t>
  </si>
  <si>
    <t>NC_040483</t>
  </si>
  <si>
    <t>1581/1569</t>
  </si>
  <si>
    <t>MT159292</t>
  </si>
  <si>
    <t>1602/1418</t>
  </si>
  <si>
    <t>1468/1459</t>
  </si>
  <si>
    <t>SRR16552248  /  P53.1KOR20-ST</t>
  </si>
  <si>
    <t>3359/3360</t>
  </si>
  <si>
    <t>HF572915</t>
  </si>
  <si>
    <t>3046/3046</t>
  </si>
  <si>
    <t>new species, has virga-like domains (RdRP, CP), full genome</t>
  </si>
  <si>
    <t>SRR16552247  /  P53.2KOR20-ST</t>
  </si>
  <si>
    <t>3358/3357</t>
  </si>
  <si>
    <t>2211/2216</t>
  </si>
  <si>
    <t>1496/1506</t>
  </si>
  <si>
    <t>SRR16552246  /  P54KOR20-SW</t>
  </si>
  <si>
    <t>AF190581</t>
  </si>
  <si>
    <t>15469/15468</t>
  </si>
  <si>
    <t>9490/9490</t>
  </si>
  <si>
    <t>4354/4193</t>
  </si>
  <si>
    <t>4006/3867</t>
  </si>
  <si>
    <t>KT238881</t>
  </si>
  <si>
    <t>11512/11649</t>
  </si>
  <si>
    <t>NC_038320</t>
  </si>
  <si>
    <t>9988/9905</t>
  </si>
  <si>
    <t>KP405232</t>
  </si>
  <si>
    <t>8250/~8287</t>
  </si>
  <si>
    <t>KY075646</t>
  </si>
  <si>
    <t>12216/13389</t>
  </si>
  <si>
    <t>274/ -</t>
  </si>
  <si>
    <t>2903/1867</t>
  </si>
  <si>
    <t>2505/5082</t>
  </si>
  <si>
    <t>new species, only 3% of genome covered by best hit</t>
  </si>
  <si>
    <t>2515/1867</t>
  </si>
  <si>
    <t>SRR16552291  /  P55.1PLE20-ST</t>
  </si>
  <si>
    <t>3361/3357</t>
  </si>
  <si>
    <t>3055/3052</t>
  </si>
  <si>
    <t>2217/2216</t>
  </si>
  <si>
    <t>SRR16552290  /  P55.2PLE20-ST</t>
  </si>
  <si>
    <t>DQ008213</t>
  </si>
  <si>
    <t>9666/9666</t>
  </si>
  <si>
    <t>KP008130</t>
  </si>
  <si>
    <t>8913/8914</t>
  </si>
  <si>
    <t>KU179608</t>
  </si>
  <si>
    <t>4766/4767</t>
  </si>
  <si>
    <t>DQ376178</t>
  </si>
  <si>
    <t>2929/2927</t>
  </si>
  <si>
    <t>MK948541</t>
  </si>
  <si>
    <t>13303/13320</t>
  </si>
  <si>
    <t>SRR16552289  /  P55.3PLE20-ST</t>
  </si>
  <si>
    <t>3437/3438</t>
  </si>
  <si>
    <t>EU604672</t>
  </si>
  <si>
    <t>2927/2927</t>
  </si>
  <si>
    <t>SRR16552288  /  P56PLE20-SW</t>
  </si>
  <si>
    <t>8986/8680</t>
  </si>
  <si>
    <t>MK778804</t>
  </si>
  <si>
    <t>10368/10068</t>
  </si>
  <si>
    <t>13736/14421</t>
  </si>
  <si>
    <t>KM817650</t>
  </si>
  <si>
    <t>13781/13490</t>
  </si>
  <si>
    <t>MT559284</t>
  </si>
  <si>
    <t>9940/9795</t>
  </si>
  <si>
    <t>MT559283</t>
  </si>
  <si>
    <t>10227/9786</t>
  </si>
  <si>
    <t>SRR16552285  /  P57.1JUR20-ST</t>
  </si>
  <si>
    <t>SRR16552284  /  P57.2JUR20-ST</t>
  </si>
  <si>
    <t>LC487710</t>
  </si>
  <si>
    <t>JF927751</t>
  </si>
  <si>
    <t>9697/9697</t>
  </si>
  <si>
    <t>6381/6386</t>
  </si>
  <si>
    <t>SRR16552283  /  P58.1JUR20-SW</t>
  </si>
  <si>
    <t>6370/6383</t>
  </si>
  <si>
    <t>3521/3445</t>
  </si>
  <si>
    <t>2842/2757</t>
  </si>
  <si>
    <t>2277/2242</t>
  </si>
  <si>
    <t>KX525268</t>
  </si>
  <si>
    <t>1593/1586</t>
  </si>
  <si>
    <t>KY923704</t>
  </si>
  <si>
    <t>1512/1525</t>
  </si>
  <si>
    <t>KX884398</t>
  </si>
  <si>
    <t>10055/9785</t>
  </si>
  <si>
    <t>SRR16552282  /  P58.2JUR20-SW</t>
  </si>
  <si>
    <t>6345/6383</t>
  </si>
  <si>
    <t>LC500285</t>
  </si>
  <si>
    <t>14528/14878</t>
  </si>
  <si>
    <t>3895/3956</t>
  </si>
  <si>
    <t>MT745591</t>
  </si>
  <si>
    <t>8897/8446</t>
  </si>
  <si>
    <t>new species, but only 45% genome covered by best hit</t>
  </si>
  <si>
    <t>SRR16552280  /  P59.1TUR20-ST</t>
  </si>
  <si>
    <t>2926/2927</t>
  </si>
  <si>
    <t>9951/9856</t>
  </si>
  <si>
    <t>MH614316</t>
  </si>
  <si>
    <t>10189/-</t>
  </si>
  <si>
    <t>new species, but best hit covers only 10% of the genome</t>
  </si>
  <si>
    <t>SRR16552279  /  P59.2TUR20-ST</t>
  </si>
  <si>
    <t>KX636164</t>
  </si>
  <si>
    <t>13313/13320</t>
  </si>
  <si>
    <t>D10066</t>
  </si>
  <si>
    <t>8813/8897</t>
  </si>
  <si>
    <t>2925/2927</t>
  </si>
  <si>
    <t>SRR16552278  /  P59.3TUR20-ST</t>
  </si>
  <si>
    <t>9726/9698</t>
  </si>
  <si>
    <t>full genome assembled, NTN strain</t>
  </si>
  <si>
    <t>2926/2627</t>
  </si>
  <si>
    <t>SRR16552277  /  P60TUR20-SW</t>
  </si>
  <si>
    <t>MN399741</t>
  </si>
  <si>
    <t>5774/5774</t>
  </si>
  <si>
    <t>NC_038560</t>
  </si>
  <si>
    <t>8170/8174</t>
  </si>
  <si>
    <t>447/ -</t>
  </si>
  <si>
    <t>9047/8174</t>
  </si>
  <si>
    <t>13680/14424</t>
  </si>
  <si>
    <t>MK729664</t>
  </si>
  <si>
    <t>8849/8868</t>
  </si>
  <si>
    <t>SRR16552276  /  P61Pv-PK1</t>
  </si>
  <si>
    <t>13903/13981</t>
  </si>
  <si>
    <t>14240/14780</t>
  </si>
  <si>
    <t>7881/15205</t>
  </si>
  <si>
    <t>SRR16552274  /  P62Pv-PK2</t>
  </si>
  <si>
    <t>14224/14780</t>
  </si>
  <si>
    <t>7707/15205</t>
  </si>
  <si>
    <t>possible sequencing crosstalk</t>
  </si>
  <si>
    <t>Length (bases)</t>
  </si>
  <si>
    <t>P06_Contig-1008</t>
  </si>
  <si>
    <t>ACAGGGCTGTCGGCCTATCTACGGTGTCGTCATGGGACGCCCCTCCTCCTTTTCACGGACTGGGGACCGTCCAGCTGAAGCTGGGTGGAGTTAGCGTTAACCTCGCCTCGGTGTAAACCGAGCCGGTCTCAAGCCCGGGTTAAGAGGGAGAGGCGTTGGTGTTGACGGGGGTCCTACGGGGTCCTGGTCGGTACCGTAAGGAAGTTGGAGCTGGCCAGACACGCGCGCGGAGACCCATTCATTTGGGAGCTCTCCGCCGCACCGTCTGACTCGGCGAGTCTCGGCTCGTCGAGCCGTATAACGCGCGATGCCAGTTCCTTCCGAGTAGTGCCACACGGGTACGGGGTCGGAGCTCTGCGCACCCTTTTCCAGCAAACCGTGGTCGTGTGACCACGTCGGGAAACCGGCGTGGCCGGCGGGAGCGCATAAAAGCCGAAGCCGATGCACTACTTCCTTACCCCATGGCGCACCGTCAGGTTGATCTGATGTTG</t>
  </si>
  <si>
    <t>P06_Contig-131</t>
  </si>
  <si>
    <t>TAACTCCACCCAGCTTCAGCTGGACGGTCCCCAGTCCGTGAAAAGGAGGAGGGGCGTCCCATGACGACACCGTAGATAGGCCGACAGCCCTGTCAACATCAGATCAACCTGACGGTGCGCCATGGGGTAAGGAAGTAGTGCATCGGCTTCGGCTTTTATGCGCTCCCGCCGGCCACGCCGGTTTCCCGACGTGGTCACACGACCACGGTTTGCTGGAAAAGGGTGCGCAGAGCTCCGACCCCGTACCCGTGTGGCACTACTCGGAAGGAACTGGCATCGCGCGTTATACGGCTCGACGAGCCGAGACTCGCCGAGTCAGACGGTGCGGCGGAGAGCTCCCAAATGAATGGGTCTCCGCGCGCGTGTCTGGCCAGCTCCAACTTCCTTACGGTACCGACCAGGACCCCGTAGGACCCCCGTCAACACCAACGCCTCTCCCTCTTAACCCGGGCTTGAGACCGGCTCGGTTTACACCGAGGCGAGGTTAACGC</t>
  </si>
  <si>
    <t>P06_Contig-16</t>
  </si>
  <si>
    <t>CTTGTGACCGGCGCGAGGCGGCCCTCCGTAAACGGAGGCCGTAACAACACGGCTGCATTTGGACTAGTGGTTCCCTCCTTCCCATCATCTCCAGAGGGCTTCCTGCTTGGACGGATAAAGGTCACACTCACATCACTATCTATAGTGGATGCAAGCCACGCAACGATTACTCGAAGCGTGAGTCAGTTCAGACCTCTTCTCTCGGGGTTGGTTCTTTCACTTGCGAACTTAGCTAAAGTTCTACCAACGGCCTGGTATTGGCCCGAGGAAGGACGCATTGTTAAGAGGCGCCGGTGATTGGATCGAACTCCTTTTATGAGGAGCCAGGTCTGAATGACCGTTCTAAATCCGCCACTCCGCCCGAAGGGGAGTGCAGGTCTCAAGCCCTGATGAAGGATGAGAGGAACGACTAGCGTCTATAGCAGCTAAGCTATTGTCGCGTCACCACACCTGTCCGTAAAGGCATGGTGGACTTAAGCTATTAGACGTTTTGTCTTTTAGAAGGTCCCACTCTGCATCACTTCCTAAGAAGTGTCCCGGG</t>
  </si>
  <si>
    <t>P06_Contig-4077</t>
  </si>
  <si>
    <t>TATATAATATAGACAAAATTTAAAATTTTAATGATAGATCTAATGATAAAAAATATTGTGTCAGCCGGGGAAGCAGGAAAAGGGAATTAAGTGATTCGCCTTTTTTATTCTATCTTTGAAAGGTTGAAAAATACTATATGTTCGTAATCTACTAATCTAATTAAGTTCATTTTTCAAAAACACGATAAAATTACGTCCTACACGATTAGTAACGATAGCATCGATAGCATT</t>
  </si>
  <si>
    <t>P06_Contig-4110</t>
  </si>
  <si>
    <t>CGCGCCGGTCACAAGCCCGGGACACTTCTTAGGAAGTGATGCAGAGTGGGACCTTCTAAAAGACAAAACGTCTAATAGCTTAAGTCCACCATGCCTTTACGGACAGGTGTGGTGACGCGACAATAGCTTAGCTGCTATAGACGCTAGTCGTTCCTCTCATCCTTCATCAGGGCTTGAGACCTGCACTCCCCTTCGGGCGGAGTGGCGGATTTAGAACGGTCATTCAGACCTGGCTCCTCATAAAAGGAGTTCGATCCAATCACCGGCGCCTCTTAACAATGCGTCCTTCCTCGGGCCAATACCAGGCCGTTGGTAGAACTTTAGCTAAGTTCGCAAGTGAAAGAACCAACCCCGAGAGAAGAGGTCTGAACTGACTCACGCTTCGAGTAATCGTTGCGTGGCTTGCATCCACTATAGATAGTGATGTGAGTGTGACCTTTATCCGTCCAAGCAGGAAGCCCTCTGGAGATGATGGGAAGGAGGGAACCACTAGTCCAAATGCAGCCGTGTTGTTACGGCCTCCGTTTACGGAGGGCCGCCT</t>
  </si>
  <si>
    <t>P06_Contig-653</t>
  </si>
  <si>
    <t>GGAGGTGACCCGTAGTAGCAATCGGTAGTCGGTATTTACGTAATGACCCCCTGGCCATATGGTAGCATATGGTCTGCGAAGGACGGAGGTGATTGGCTCGGGTGGGAGGTGCTGGTTTCGGTAGTGAATCATGTCTGCTTGATAGATTTCGTAGAAAATGCTTTGTATTTGTACACCAGTGGATTGCATGGATTCACACAATGACTATGCGGTTCCCGTTGTGTGCAACGACTTGGCAATCATATGGTCTTTTTGGCAGACGATCTAGTATTCAAGCTTGAGCCAGTATCGGTCCATCAGGTTTTGTCTGGCGCGTGTG</t>
  </si>
  <si>
    <t>P07_Contig-1</t>
  </si>
  <si>
    <t>CAACACCATTTTATGTCTCCTCTCCTTATCTTATATTCATCGATAAGGATGGCACACCTTATCCCTAAGTTACGGTGTCATTTTGCCGAGTTCCTTAATGATTGTTAGCTCAAACGCCTTCGTATTCTCTACTAGCTTACTTGTGGTAGTTTTTAGGTACGGTTTTAGTATATACAAGGAAGTAGTATCTTCTTTTTAGTTTATAACCTAGAACAATTTCTCCATTTCCTCATTGCTCCTTTCTTGTATATTATATTAAGGCTTAGAGGAAGGTTCCCCTATATTCAAACAGATTAATCCATTTTACTTTTAGGCTTTTCTACTTTCATTCACACTACTAATAGAATCTCGTTTGATTTATTTTCCTAAAGCTACTAAGATACTTCAATTCACTTCGTTTTTTTTTTTTTTTATAAAAAAAAAAAAAACAAGGAAAAATAAAACTTCAACTGTTTAAAAAAAACATAACTCAATGAATATTAATAATGAGCAATTTCTGCTCAATGAGCAATTAAATAGCCGCAGTATATTAACTGTGCTAAGGTAGCATAATAATTAGTTTTTTAATTAAAAACTAGAATGAATGAAAAAATGAAGGTTTAACTTTTTTTGTTTAAAAGATAAAAATTAAACTTTAAGTTAAAAAGCTTAAATAAATAAAAAAGACAAAAAGACCCTTTAGAACTTTATAAAAAGCAAATTATAACAAAAACGCCTTTTATTTGGTTGGGGAGACAATAAAACACAAACAACTTATATTAAAACC</t>
  </si>
  <si>
    <t>P07_Contig-16</t>
  </si>
  <si>
    <t>TAATAAACTTATTATATTAACTCTCATTCCTGCAAGTTGCTGGTTCAGCCGTTAGGCCATTGACCAAGATTCCTCACTGCTGTACTAGACGTATTGGGGTTTTTTCAGACCCAGTGTGGCCAATAGACCTCTCAGTCCTGACTACGGACACAAGCTAAATATGCCATTACCATACTTACTACTTATCCGGCGGTTATTAATAATCAACTAGGAGCGAAATACTCTTTCTTTTAAACCACTTATTATTGCTATAATTAACCTAACTTTATTTATACAAAATCTAACTGGGGTAAAAATTATCATTATTATAAATAAAGAATAACAAATTGTTCTTATAAGGGATTTATTTTGCCTTACTCTTAGGTAGCCATAATACCAATTACTCACCTGTACACCACTTCAATATAGCTAATTAAAAAAAAAAAATGAAAAAAAAAAAAA</t>
  </si>
  <si>
    <t>P08_Contig-1504</t>
  </si>
  <si>
    <t>AAAAAATATGGCCTACTCAAAGGCTTTACTCCTTGGTTTCCTCTTAGCGATAACTCTACTCATTTCTTCTGAGGTGTCAGCTCGTATGCTTGCTGAGACTACTCAAAACACTCCGTCCGAGGAGGAGGCCAAGTATTACCATGGCGGTGGTGGCTATTACCATGGAGGAGGTGGCTACCACGGAGGAGGTGGCTATCATGGAGGAGGTGGGTATCACGGTGGAGGATACCACGGTGGACACGGTGGCCATTACCCACCCCAAGAAAAGGATACCAAGACAGCCGAAGAGCAGAAGGGTAATTGATTTGAGCTGTATCTATACCCAATGCAAGTGAAAAAAAA</t>
  </si>
  <si>
    <t>P08_Contig-3034</t>
  </si>
  <si>
    <t>CATGGAAGCCCACAAGTCCATGGCAGCCAACACGGCCATGGAAGCCCACAGATGCATGGCAACCCACACGGAAATGGCCATGGGAGTCCACATGCTCTTGGGAAACCACAGGGCTATGGAAATTCACATGGCTATGGTAATCCCCACGGCTATGAAAACTCATTCAACCATGGAAGCCCACAAGGCCATGGCTATGAGAACTCATTTAAC</t>
  </si>
  <si>
    <t>P08_Contig-40</t>
  </si>
  <si>
    <t>AAAAAACATTTCTTACTGTAGAAATAAAAGAAATAAAAAATAGATGGAAAAAATTGCGTCCAATAGGATTTGAACCTATACCAAAGGTTTAGAAGACCTCTGTCCTATCCATTAGACAATGGACGCCATTCATTCCGATTTTTCGTATTCTTGTGTTTGATTGAACACAAAAAATCGGATGGTATGTGAGAAATTTTTTGGAATTGTATATTCAATGATTCATTAATTCGAATCATAATTATTATCTATATAATATTATATATAATAATATGAATTAAAATGAATAGAAGCTCTGATAGAATATTTTGAAAAGGG</t>
  </si>
  <si>
    <t>P08_Contig-437</t>
  </si>
  <si>
    <t>TGACATCGGTTGCGGTTGCGTTGCCTCTGTGCACTGAGTCGCGTGTATTGCCTTGGTGATGTGCTCTTACTCACATCTGACCACAGACGTGTATGCTCCTCGTGGGTGTGCACCGAGGACGGTGTGTGTGGACTCTCGTGTGCCCCCGACGGTGCTCGACCTTTGTTGCCCCGACCCAGGCTTCCCTTGAAAATCGGTGTTTCGAAGGATTATCAGGGTTAATGCCCGTCCAGTGACTGGTTTTGCAAGGCGCAGCCCACGGATATGCCGATGCTCCCTTGGAGCGGACGCAT</t>
  </si>
  <si>
    <t>P08_Contig-450</t>
  </si>
  <si>
    <t>TTGGTTTAGATTGGTCATCGAATCCGAATATTAACTATTCGGAGTCGTTATTTGACGAAGAAGTCTTGTACGATGTGTGATTAAATAAAAAAGGATGTTCTATAGAACGATTCCCCCTTTTTAGTTGATTTTATTCAACGATTGACCAAACGAAAATATTAATAAATAATAAATTGTATGAACTTAGATCAATCAAATCAATTTCTATGCAACGATTCGGCCCAATCAATTTATCCATTTATTATCTTATCAATTTAGGTTGCGTGATAATGATAAAGAAAGGGAAAGGATAATTTCGAAAAAAGGGGATTCATAAATGGTTCGTAGAGGCGAGGTCGAACTAGGTATATGGAATTGAATGGCTATAAGTTAACTCTTGTCAAGGGTTAGACGCATCCTTATCAAATCAGCTTGAATTGAAGATGAGGGAAGAG</t>
  </si>
  <si>
    <t>P08_Contig-4656</t>
  </si>
  <si>
    <t>AAAATAGTTGACGGCTTCATGCATATTACTCGATTGATTAACATAAGAGTTTGAAATAACTTCTACTTACAAAAAAGGATTTATTTAAAAATAGGAATCCTTTATGATATAAAATAGATATATTACCACTTGGTTTTTTTTAAACGGAGCCTGGATACTTCATTTTTTGAGTCCAACCAAAGTTAACCATAAATTATTCTAAAATG</t>
  </si>
  <si>
    <t>P09_Contig-16</t>
  </si>
  <si>
    <t>GTGAAAAGAAGCGGCCTATCATACTGAACAACTTTTGTTTTGGAACCATTTCTGTATCTCCAATAGTTTAGGTGGGCTCCTGGTGGTACACCTGGTGGTCTACATCTATACTCCAGACCCTCGAATGGTGATAAAAAGTAGCCTATGTCCGTTCTCGGTATGCTAGCAATCTCTGTGCCAAGTTTCATGAAGATCGGTTCAGCGGTTTGGCC</t>
  </si>
  <si>
    <t>P10_Contig-16</t>
  </si>
  <si>
    <t>GTTGGGATATCGGAGTAGCAATCTCCGGCGTAAAGGCGCACCGAACCTTTACGTCAGGGATTTGCTCGCCTTAGCGCATAATCTCCCTGACCCCAACGTCTTCGCAACGTTGTCCATCACGCCACTCCCTCTTTATCCGGGCTTGTGACCGGTCGGGTTCCCCAATGAAGGGTACCCGAGCGAGGTTAGCGTAACTCCACCCCTTCCCTCACGGGAAGGTGCCGGTCCCCAGTCCGGATAAAGGAGGAGGGCGCAGATGTTAGGGAGTTTGCAAGCAATACGGATAGGCAATAGCCGAAACTACCACCCATACCCTCCGGAATGCTTGCTGCTCCCGCGTCGCGAACCACCATTCCCCCTCGTCGCGGCACTTTGTACCAACGCGAGTAAGGGGAGCTCGCCTGAGTCCTGACGCACTCAAGGGCGAGTCATAGCGGGGAAGATGCTCCCGATGGAAGGGTGTGGGGGGTCCATCCGCTATGGGTGTGGTGCAC</t>
  </si>
  <si>
    <t>P10_Contig-43</t>
  </si>
  <si>
    <t>TATTGCCTATCCGTATTGCTTGCAAACTCCCTAACATCTGCGCCCTCCTCCTTTATCCGGACTGGGGACCGGCACCTTCCCGTGAGGGAAGGGGTGGAGTTACGCTAACCTCGCTCGGGTACCCTTCATTGGGGAACCCGACCGGTCACAAGCCCGGATAAAGAGGGAGTGGCGTGATGGACAACGTTGCGAAGACGTTGGGGTCAGGGAGATTATGCGCTAAGGCGAGCAAATCCCTGACGTAAAGGTTCGGTGCGCCTTTACGCCGGAGATTGCTACTCCGATATCCCAACGTGCACCACACCCATAGCGGATGGACCCCCCACACCCTTCCATCGGGAGCATCTTCCCCGCTATGACTCGCCCTTGAGTGCGTCAGGACTCAGGCGAGCTCCCCTTACTCGCGTTGGTACAAAGTGCCGCGACGAGGGGGAATGGTGGTTCGCGACGCGGGAGCAGCAAGCATTCCGGAGGGTATGGGTGGTAGTTTCGGC</t>
  </si>
  <si>
    <t>P11_Contig-1</t>
  </si>
  <si>
    <t>GCTCTTTGCCTCCCCCCCCGCTGTGTAATATTCGTTTTTTCCTTTAAAGTCCTGCCAGGGGGTAAAATTATTTTTCCCCTATTTTTTAAAGCATCCTTGAGAAAGAAACCTTAGGCTCCCCTTGCCTCCTATTGATAGGGCACACACCGAAGGTTTCCGCAAAGGCAAACATCAGGTTATATATTATAAGATCACCCTCTTCCAGATATAATATAAGGCATTTATTAACCTCACTTTAAGGTAGCCAAAATATCCTTTACTCACCTGTACACCACTTCAATATACATAATTTATATAAATTAAATAAATAAGAGCACTTATTTATTTAACTAGTAGTAACACTTGTGTATAGATGGGAATATTATGCAGGAAACCCTAAATAATAAATTATATTTTTCTGTGCTGCGCACACCTTCGGATCCGAAGGTGTGCGCAGCACAGAAAAATATAATTTATTATTTAGGGTTTCCTGCATAATATTCCCATCTATACACAAGTGTTACTACTAGTTAAATAAATAAGTGCTCTTATTTATTTAATTTATATAAATTATGTATATTGAAGTGGTGTACAGGTGAGTAAGTGGTGTTATGGCTACCTAAGAGTAAGGCAAAATAAATCCCTTATAATAACAATTTATTATTATTTATTAATACTAGATCTAACCACCCCAGTTGTCGATTATATCTAAAAGGTTAGATATAAAGGTTAATAATATTAAGAATAAATGTGTTTAAAAGAAATAGTATTTC</t>
  </si>
  <si>
    <t>P11_Contig-165</t>
  </si>
  <si>
    <t>GGAGTCCGCGAGGAGCCCGAAGGCTCCCAGCGCGTTCCATCATCGAGTTGAACCTGGGCGGACACGAGAAACAACTCTTAGGAACGCTATTCCGCTAATGCACATTCCGTCATCGAGTTGCTCCGGGGCGGCTTATGCCCAAAGCAACCCTTAGAAATATGCAACGGAGGGGCAAAACAACGGAAGAAGGGACCACTCACGCACATCTCGCATTGCGCACGTCGCTTACGTTAACCATTAATTAGCAAGACCCCAGCTCAGAAAAACTGTGCACAATAGGCCACACCAATTTAGGTCTTCGCTAGAAACGGCCGCGTCGATAAGTACGAAAAGAACACAAAACAAAGCCCACATTAGCTGCCGCTAGCACGCGAACGCGCCTCAAATCGGTTGGCAAAAGCCAAAGCCCGCCAACCGACACCGTCAGCAAATCCGGTTACCTCGCTTGCTAGGATTCGACCGGCGTGTCTTTTTACTTCCACTGTGCCCGAATCGTCGTTTGCTCAGTAACC</t>
  </si>
  <si>
    <t>P11_Contig-2004</t>
  </si>
  <si>
    <t>AGTTTAAATTCTAATACCCTAGCTACGCAGGGGTAGAATACATTAGTTATATTGCCCTAGCAACCAGCTCTAAAGTATAGAGTCCTGCCTTACCTTTCATAGGGCAAAACAGAATGATTCATTTTTCAACACGAAAACAGCAGGTCATTAGTACCGTACTAGTCCCCCCCCGGATAGTAGCAAGAAAAAAAAACAAAAACA</t>
  </si>
  <si>
    <t>P11_Contig-277</t>
  </si>
  <si>
    <t>ATAAATATCTCAGAGTTTTTTAGTCTTTTTTGAAATTAACTCAATTAAACCCCAATAAATACTAATAATTGTATTATTATTAGGTAGGGACAAATCCTATCCCTAGCGTAGCTTTTTCAAAAATCCAAGACCTTTCCTTAATGCATCTTGTGATCATATGCCCCGCTTACGCGACTGATAGACGTGTAAATCAAACAGTAAAGCAAGATTAAGCCATTAAACTTTTAAAGTAAAATAATAATCATTTTCTTAATACCTTCCAAAAGGGTTAGCATATTAAGAAAACAAATTAAAACCCTACTATTGTTAGGGTTTTATTTACTACTATTTTCCATATAGGTAAAATCTTACTTAAAAAAAAATAAATAAATCTAACTTAATAGATAAATAACTGAATATATTGATAGCAATACATTACAGATTAAAATAAAAAATACATTATACAAGTAAAAGCAAAAGCTTTTGCTATATAATATATTTATATATTGACAAATTTTATTGCCA</t>
  </si>
  <si>
    <t>P11_Contig-2980</t>
  </si>
  <si>
    <t>TCTTACCGGGGGGGGTTACCTCCCGTTGTTATTCTGGCCTAGGCGTAGCGCGTCCTGGGTGCCACTCTATGTGGAATTCCGGTATCACTTCGTCCAGGAGTGATTCGTAGCTTATTCTTCGCGCTTTGTAAACTCAGCGATTATTTTTAGCTCGAAATGTAGTAGTAGTTTTTGTGTAGGTTTTTGTGGTGATAAGAACATAAAGGGATTTGTTTTCTCTTCATTGCCCCGGTTCATTCCTCATAAGTGGCGTTGCCCGTTCTCATTTTGTG</t>
  </si>
  <si>
    <t>P11_Contig-764</t>
  </si>
  <si>
    <t>AATATTTACAATATTTGTTGCTAGATTTACACCTTGTTTTATTTGTCTGGTTCCGTCTTGCATTATTCGCTTACCCCACTGGTGTTATTAATTCGCCTATTCAAGCCGGAACCCTTTTTTTTTTCCGTAAACTACAGGATAAAATCCCTCATATATTCATTAAAAAGTAAATGTAGTTAATCGATTTTTTTTGCTGCGCATAAAA</t>
  </si>
  <si>
    <t>P11_Contig-88</t>
  </si>
  <si>
    <t>CTCGATGATGGAACGCGCTGGGAGCCTTCGGGCTCCTCGCGGACTCTGGTTACTGAGCAAACGACGATTCGGGCACAGTGGAAGTAAAAAGACACGCCGGTCGAATCCTAGCAAGCGAGGTAACCGGATTTGCTGACGGTGTCGGTTGGCGGGCTTTGGCTTTTGCCAACCGATTTGAGGCGCGTTCGCGTGCTAGCGGCAGCTAATGTGGGTTTTGTTGTGTGTTCTCTTTGCACTTATCGATGCGGGCGTTTCTAACGAAGACCTAAATTGGTGTGGCCTATTGTGCACAGTTTTTCTGAGCTGGGGTCTTGCTAATTAATGGTTAACGTAAGCGACGTGTGCAATGCGAGATGTGCGTGAGTGGTCCCTTCTTCCGTTGTTTTGCCCCTCCGTTGCATATTTCCAAGGGTTGCTTTGGGCATAAGCCGCCCCGGAGCATCTCGATGACGGAATGTGCATTAGCGGAATAGCGTTCCTAAGAGTTGTTTCTCGTGTCCGCCCAGGTTCAA</t>
  </si>
  <si>
    <t>P11_Contig-947</t>
  </si>
  <si>
    <t>AGGTAGTCCGGTACAAGTAACTGATTTAGAAACAAATACTAAAGTAATTTATGATACAGCAAATAAAGCCGCCCAAAGTTTACTTTGTAGTACTTCTACGGTTAATTCGTACAGAAGTAAAAAATATATTTTTTTTATAAAAAATATACAATATTTAATTGTATCTGTAACCAGGAATTTATCCATAATAACTTGTCGCCAGGG</t>
  </si>
  <si>
    <t>P13_Contig-5</t>
  </si>
  <si>
    <t>GTGAATTGCAGTCAAACGGTGTCTTCTAACTACCTCCTAGGCATGGGGCGCATTTATAGGATAAGTAAGTGCTATCTGTCAGTATATGGTGAACTGTCTGTGGAAGCTTCAGGAAGCTTTGGTCCCGCAACGACGATAAACTGCCGCAAGGAAATCCGCAAATATAAATCTGCGATGAGTGTCTTGCATTAGTTCGGTGGCACCGGTT</t>
  </si>
  <si>
    <t>P14_Contig-101</t>
  </si>
  <si>
    <t>AAGTATTAATAGTATAAAAAATTAAAATAACAAAACCAAGAAAAAATTATTATTCAATTAGTAAATTATAAAAAAACAAAAGTAGTGGAGAGAATTGGAGGAGAGAGAATATGAAATTAATAAAATATAATTTATGTTGGGTCCACTAAGTGAGAGAAATTAATTAAATATTGTAAAAACTTTCCAAATAAGGAAATGGAGC</t>
  </si>
  <si>
    <t>P14_Contig-1047</t>
  </si>
  <si>
    <t>AAAATTTGTTAATTATTTAAAATATTTTTGCAACAATAAATTTTTTAATTAATTTTCTCTTTTAAATTCGAGAAATTTTACCCATAAAATTTTTTTTAATAAACTCTGATACACAAGATACAATAAATAAAATTTACTTTTAAATGAATTTTTTTTTCATATATTTCAAATTTATTTTACAATACTTTAATACACTATAAATAAA</t>
  </si>
  <si>
    <t>P14_Contig-161</t>
  </si>
  <si>
    <t>AGTGGCTGAGAATATACCTTCATTCAACAGATTTTTGGTTGCATGCTCTGGGTCTGGAATCTTTGCTCTTCTCTTTTGCATTTCCGCTGCCTGCGTTCTTTCTTCGTGTCCGTTCGTATCGCAAAGCGGGTCGACGCCAGCTATAGCTATAATGGTTGAAAAGAGGGGGGCCAACCAAGACCCCCTCGCTTTGTTCGATAAAGCAAACGATTCGTTCCGACAACTTCGGACCAGATTAACCCTTTGAATTAGCCGATCTTACAAAATCGATCGGGCGGGCTGGTTGGGAAGGGGTTATTAGCGGAGAAAAGAATCGCTGAGAGATAGATTCTACTATTTAGTCAGGACGAATG</t>
  </si>
  <si>
    <t>P14_Contig-281</t>
  </si>
  <si>
    <t>TGGTCCCTTCTTCCGTTGTTTTGCCCCTCCGTTGCATATTTCCAAGGGTTGTTTCGGGCATAAGCCGCCCGGAGCAACTCGATGACGGAATGTGCATTAGCGGAATAGCGTTCCTAAGAGTTGTTTCTCGTGTCCGCCCAGGTTCAACTCAATGATGGAACGCGCTGGGAGCCTTTGGGCTCCTCGCGGACTCCGGTTACTGAGCAAACGACGATTGGGGCACAGTGGAAGTAAAGACACGCCGGTCGAATCCTAGCAAGCGATGTAACCGGATTTGCTGATGGTGTCGGTTGGCGGGCCTTGGCTTTTGCCAACCGATTTGAGGCGCGTTCGCATGCTAGCGGCAGCTAATGTGGGCTTTGTTTTGTGTTCTTTTCGTACTTATCGACGTGGCCGTTTCTAGCGAAGACCTAAATTGGTGTGGCCTATTGTGCACAGTTTTTCTGAGCTGGGGTCTTGCTAATTAATGGTTAACGTAAACGACGTGTGCAATGCGAGATGTGCGTGAT</t>
  </si>
  <si>
    <t>P14_Contig-931</t>
  </si>
  <si>
    <t>GGAAAAAATAGAAGTTACTAAATAAATTGAAAATGAATTTCAATTTGTAAATGAAATTAGAAATGAAATAAAAAAAGGAACACAACGATTTCTAAACTATATTTCAAATTGAAGTAATTTCAGTATAGAATTCCCGTCCTAGATCTTCATTTTCGATTCTACCCACACCCCTCTATTCTGAATAGACTATTCATTTCATTGAAGAATTTTGAATAATAGAATATTCATTGAATTCGACCTTGAGCCCGAATCTTGACTCCACCCTTATTCTTTCTCTTTCCTCCCTTCTAAAAAAAAG</t>
  </si>
  <si>
    <t>P17_Contig-193</t>
  </si>
  <si>
    <t>TGCGAGATGTGCGTGAGTGGTCCCTTCTTCCGTTGTTTTGCCCCTCCGTTGCATATTTCCAAGGGTTGCTTTGGGCATAAGCCGCCCCGGAGCATCTCGATGACGGAATGTGCATTAGCGGAATAGCGTTCCTAAGAGTTGTTTCTCGTGTCCGCCCAGGTTCAACTCAATGATGGAACGCGCTGGGAGCCTTCGGGCTCCCCGCGGACTCCGGTTACTGAGCAAACGACGATTCGGGCACAGTGGAAGTAAAAAGACACGCCGGTCGAATCCTAGCAAGCGATGTAACCGGATTTGCTGACGGTGTCGGTTGGCGGGCTTTGGCTTTTGCCAACCGATTTGAGGCGCGTTCGCGTGCTAGCGGCAGCTAATGTGGGCTTTGTTTTGTGTTCTTTTCGTACTTATCGACGCGGCCGTTTCTAGCGAAGACCTAAATTGGTGTGGCCTATTGTGCACAGTTTTTCTGAGCTGGGGTCTTGCTAATTAATGGTTAACGTAAGCGACGTGCGCAA</t>
  </si>
  <si>
    <t>P17_Contig-38</t>
  </si>
  <si>
    <t>AGCATCATGACGTAATTGTTCGCGGCCTGGAGTCGTGTTCGCTGTCGATGCTATCTCTTTGTTGGTTATGAACGGATGCGGGACTTTTTCGGTGACAATCGTTGCTGACCTCCGCTTGTGGTTCTTAGAGCTTGTTGTGGTCGTTGGTGGCCTTTGTCCAAGGGTTGCTGGAAGGTTAAGCCAAGAGTGTTGGGAACGTTAGCCCCCGGTCTTAGCCCTTATTCGGTTCTCATCAAACGGGGTA</t>
  </si>
  <si>
    <t>P17_Contig-49</t>
  </si>
  <si>
    <t>AATAACGGAAGAAGGGACCACTCACGCACATCTCGCATTGCGCACGTCGCTTACGTTAACCATTAATTAGCAAGACCCCAGCTCAGAAAAACTGTGCACAATAGGCCACACCAATTTAGGTCTTCGCTAGAAACGGCCGCGTCGATAAGTACGAAAAGAACACAAAACAAAGCCCACATTAGCTGCCGCTAGCACGCGAACGCGCCTCAAATCGGTTGGCAAAAGCCAAAGCCCGCCAACCGACACCGTCAGCAAATCCGGTTACCTCGCTTGCTAGGATTCGACCGGCGTGTCTTTTTACTTCCACTGTGCCCGAATCGTCGTTTGCTCAGTAACCGGAGTCCGCGAGGAGCCCGAAGGCTCCCAGCGCGTTCCATCATTGAGTTGAACCTGGGCGGACACGAGAAACAACTCTTAGGAACGCTATTCCGCTAATGCACATTCCGTCATCGAGTTGCTCCGGGGCGGCTTATGCCCAAAGCAACCCTTGGAAATATGCAACGGAGGGGCAA</t>
  </si>
  <si>
    <t>P17_Contig-81</t>
  </si>
  <si>
    <t>CAACCCTTGGACAAAGGCCACCAACGACCACAACAAGCTCTAAGATCCACAAGCGGAGGTCAGCAACGATTGTCACCGAAAAAGTCCCGCATCCGTTCATAACCAACAAAGAGATAGCATCGACAGCGAACACGACTCCAGGCCGCGAACAATTACGTCATGATGCTAACCCCGTTTGATGAGAACCGAATAAGGGCTAAGACCGGGGGCTAACGTTCCCAACACTCTTGGCTTCACCGTCCAC</t>
  </si>
  <si>
    <t>P18_Contig-11</t>
  </si>
  <si>
    <t>AGGAGTTCAACCAAATCGAGTCTGGTCTGGTGTTGGAGGGTGACTTGGTTTACGAGTCGCAAAACAACAAGCAGCACTACGCCGGTTTGTTGCCAAAGATGGTGCGCGTCAACATGTCCATGCCAGTGATGGGCAAGACCGTGAACGTGATCGAGATCACTCTGCGCCAAAACCAAATGGACGAGGAGCTCTTGGGCGCCCTCAAGTTGGCCAAGTTCACCGGCGCCGAGTCGGTGTCGAAGGTCGTTGACTCGTTCAAGCAATCGGCCGAGCGTCAGCAACAACAACAACAACCACAACTCGTCAAGAAGATCGCCAAGCGCAACGCCGCCCTCAAGGCTTTGGCCAACATTCCAGGCTGGATGCTGAAGCAATGCCAGGACGTGCAACAGGTTGTCGAGGAGATCGCCATGAACAAGCAAGAGCTCAAGACCTCGCGCCAGTCGGCCATCGAGTGCTTGGAGCAAAACGAGCAGGTCGTCCAGAAGCTCAAGCAGCTCACCTTCGACCAGGAGGAGCCAATCGAGGTCCGTGTGGCCGCCTACCGCGCCTTGATGACTTCCGTCTACGCCGGCGTGCAGCAACAGGAGCAGAAGCAACAGTTGGCCACCGAGATCGTGGACTCAATTGTGAAGCACTGCGAGGAGTCGCGCAACCAGCAACAGGACGACCAGTTTGTCCTCTACGCCATCTCGCACCTTGACAACATCCGCACCTCGCAACAGCAGGAGCACCAGGCCATCA</t>
  </si>
  <si>
    <t>P18_Contig-20</t>
  </si>
  <si>
    <t>CCGTATCCTCCAGCCGAGGCTCCGTATCCAGAGTTTCCTGATGAGGCTCCGCCGTAGCCGCCTTGGTTTCCACCTTGAGCGCCGTAGCCTGACGATTGTTGTTGTTGGCCGTAGCCTGACTCTTGTTGAGCGGCAGCTCCGCCGTATCCACCGGCTGAGGCTCCGTTTCCGGCACCGTATCCGCCCGCCGAGGCACCACCGTGTCCCGAGCTAGCGGCTCCACCGTAACCGGCGGCGGCCTTGGTGGTCTTGACTGGGATCACTGGCAAGTAGAGCACCTTGTAGCTGGCCTTTCCGGCGCCACCGTGTCCACCCTGGTTGCCTGAT</t>
  </si>
  <si>
    <t>P18_Contig-3</t>
  </si>
  <si>
    <t>TCGTCAGGTAACTCAGGATACGGAGCTATGAGCTCTGGTAACTCCGGTTACGGTGCCTCGTCGGGCGCTGCCGCCGGTGGATACGGAGCCGGAAACGGAGCTTCAGCTGGTGGATACGGATCAGGCAACCAGGGTGGACACGGTGGCGCCGGAAAGGCCAGCTACAAGGTGCTCTACTTGCCAGTGATCCCAGTCAAGACCACCAAGGCCGCCGCCGGTTACGGTGGAGCCGCTAGCTCGGGACACGGTGGTGCCTCGGCGGGCGGATACGGTGCCGGAAACGGAGCCTCAGCCGGTGGATACGGCGGAGCTGCCGCTCAACAAGAGTCAGGCTACGGCCAACAACAACAA</t>
  </si>
  <si>
    <t>P18_Contig-30</t>
  </si>
  <si>
    <t>AAAAAAAAAACCCCCCGGGCCCCCCCCCCCTAAGGAAGGAAAAAAAAAAAAAAGAAAGAAAAACATTTTTTCCATTAAGGAATAAAATATTCTTGGTTTATTTAACTCGGCAACAACTACGGACTGTTTAACAAAAACAACGCTCGTGTTATTTCGAGCAAACCCTGCCCGGTGGGTCACACTAAACGGCCGCTAGTCGCTAAGGTAGCGTAATCATATGCCCGTTGATTGCGGGCCAGAATGAAAGGGGAAACCTAAAATACCTTGATAAGCCAAATAATGAAATCAAAGTCTAAAAAATTACAGACTTTACCCTAAGACGAGAAGACCCTCAGAGCTATTACCAAAGGTATTGTTTGGGGAATACACTCACTTAAATTTTGAGAATTAAAAAAATAATAACACAAATAATAAGCTACCTAAGGGATAACAGAGCAATTGAAGTTTTTAGACCTTATATAAACTTCCTTTTGCGACCTCGATGTTGAATTCCCAAATCGCTACCCTGCAGCAGGGGTGGGTGAAAGGACTGTTCGTCCTTGTTTGGGACTTGATTGAGTTCAGATCGGCGAGAGCCAGATCGGATTTTATCTTGGGTATTATGAAGAAGCGTGCAGTACGAAAGGAACTACGCTCAGCTGAGGCTCTAG</t>
  </si>
  <si>
    <t>P18_Contig-39</t>
  </si>
  <si>
    <t>TTGCTCTGTTATCCCTTAGGTAGCTTATTATTTGTGTTATTATTTTTTTAATTCTCAAAATTTAAGTGAGTGTATTCCCCAAACAATACCTTTGGTAATAGCTCTGAGGGTCTTCTCGTCTTAGGGTAAAGTCTGTAATTTTTTAGACTTTGATTTCATTATTTGGCTTATCAAGGTATTTTAGGTTTCCCCTTTCATTCTGGCCCGCAATCAACGGGCATATGATTACGCTACCTTAGCGACTAGCGGCCGTTTAGTGTGACCCGCCGGGCAGGGT</t>
  </si>
  <si>
    <t>P18_Contig-5</t>
  </si>
  <si>
    <t>ACCGAAGGAGTACTATCTATTTAAAACCTATTTACCCAATGTTCCGCTACCCCATAAATAATACTTAAATAACCTTTAAGTATAGTAAACTAGGATTATACCTAATATAATTATTATGGACAAGGTGTCGGTGTTTTGTTTTAGATCCGTTAAATTTTCGGTGCTTTCAACTTTTAATGTTAAACCAGTGCTCTGTTACGAGGTCTTCAAAAAATGGCCGCTTCTAAGCCTATTTCCTGGTTGTATAGTTTAAATACTTCCTTACTTTCACTTAACAAAAACTTTGGAACCTTAAACACTTGTTCTGGGCTGTTTCCCTTTAGACATACAACCTTATCGTACTATGTCCGATTATGCAAAATCCATCATTGCCCTTTCGAGAGCAAATTCTCGCCGATAAAATCTTCACGATTCCCCGATGTATACAAAACCATGCCATCATCCTTAGCGCTTTGCTCGCAAAGCGCTAAGGATGATGGCATGGTTTTTGTATACATCGGGGAATCCCGAAGATTTTATCGGCGAGAATTTGCTCTCGAAAGGGCAATGATGGATTTTGCATAATCGGACATAGTACGATAAGGTTGTATGTCTAAAGGGAAACAGCCCAGAACAAGTGTTTAAGGTTCCAAAGTTTTTGTTAAGTGAAAGTAAGGAAGTATTTAAACTATACAACCAGGAAATAGGCTTAGAAGCGGCCATTTTTTAAAGACCTCGTAACAGAGCACTGGTTTAACATTAAAAGTTGAAAGC</t>
  </si>
  <si>
    <t>P20_Contig-100</t>
  </si>
  <si>
    <t>TAGCCATGGCCGTAACCTCCAAAGACCCCATGTCCACCGTGTCCGCTATGCCCATGAGAAAGCTTGTGTGCTCCATACGCAGCTGCTGCGGCAGCGGCACCTCCAGCTAGAACTGTGCCCATCCCCATGTGTCCACCACCATGGCTGCCCCCATAACCCTGGTGAGATGAGCCGGGGTAACCTGCAGGGGGATATCCACCCTGTGGCGGGTAGCCACCAGGTTGAGGGTACCCATGCTGTGGCGGG</t>
  </si>
  <si>
    <t>P20_Contig-1001</t>
  </si>
  <si>
    <t>TTGGCCGCGGTGTGGAGTTGTGTTTGATGACAGCCGGGATACAACAAGCTGGTAATAAAACAACGGATGAACTCTCTGAGAGACCGAATGAGTGTTTATATGCAGCACAGCGTGTAGAAGAAAATGATCCTAATCAATCTTCCAACTTTCGGAGTTGAGATGGGGGGAGTTTGGATACGGGGAACCGGTCTGTGTAGGCTTTTGGCTGTGTGTTTGCGAAACAGTT</t>
  </si>
  <si>
    <t>P20_Contig-1062</t>
  </si>
  <si>
    <t>GCATGGGTACCCTCAACCTGGTGGCTACCCACCGCAGGGTGGCTATCCCCCTGCAGGTTACCCCGGCTCATCTCACCAGGGTCATGGGGGCAGCCATGGTGGTGGACACATGGGGATGGGCACAGTTCTAGCTGGAGGTGCTGCTGCCGCAGCAGCTGCTTATGGAGCACACAAGCTTTCTCATGGGCATAGCGGACACGGTGGACATGGGGTCTTTGGAGGTTACGGCCATGGCTATGGCAGCCACGGCTATGGCGGCCATGGCAAGTTCAA</t>
  </si>
  <si>
    <t>P20_Contig-128</t>
  </si>
  <si>
    <t>AACCGAATAAGGGCTAAGACCGGGGGCAAACGTTCCCAACACTCTTGGCTTAACCTTCCAGCAACCCTTGGACAAAGGCCACCAACGACCACAACAATCTCTAAGACCCACAAGCGGAGGTCAGCAACGATTGTCACCGAAAAAGTCCCGCATCCGTTCATAACCAACAAAGAGATAGCATCGACAACGAACACGACTCCAGGCCGCGAACAATTACGTCATGATGCTTACCCCGTTTGATGAG</t>
  </si>
  <si>
    <t>P20_Contig-1540</t>
  </si>
  <si>
    <t>TATATATATATATATACATACATACACAACAAAGTACATTCTTGCGGTTGGACTAACATCAACTGGCTATGTCGGTAAAACCTTTAAATATTGTTGTTATTATTATTATTACGAAGAGGAGGCTGTGATGATATATAATTTAATTCTAGTCGGAGCAAACCCAAATGGGCTTGGGAATATTTGACCCGTATCTTGGCTGGGCAACGTGGATGGTATGCGAG</t>
  </si>
  <si>
    <t>P20_Contig-1839</t>
  </si>
  <si>
    <t>CAGCCAAAAGCCTACACAGACCGGTTCCCCGTATCCAAACTCCCCCCATCTCAACTCCGAAAGTTGGAAGATTGATTAGGATCATTTTCTTCTACACGCTGTGCTGCATATAAACACTCATTCGGTCTCTCAGAGAGTTCATCCGTTGTTTTATTACCAGCTTGTTGTATCCCGGCTGTCATCAAACACAACTCCACACCGCGGCCAAAACTGTTTCGCAAACACA</t>
  </si>
  <si>
    <t>P20_Contig-194</t>
  </si>
  <si>
    <t>AATAAAGAAGAAGGAAGGAAAGATAAATAGAAGTTATTAACTTGAAATCCAATTATGAAAACTTTCGCTGCAATCAATATACTAAAAAAATTTCTAAACTTTATTTCAAATTCAAATCACAGTATTTCATTTACATTTAAGTACCTTGTTTGTATAAGAGTCTTGTCGTAGATCTAGGCCCCACCCTGTTTATTCTACCTCCATCCCTAGTTAATTTTTGAATTGAATAATTTATTTAATTCAAACTTGAACCCAAGTCTCGAAGCTGTTGAATACACCTTTTCTTTTTTTCTCTTTCCTCCCTATTATTCTAAAAGGAAAAGGGGAAAAAAGAGAAAAAGGAGGCAAAGGATTAGTCACAAATATTTAATTGTATCTCGAATCTCCGTTATTTGGTACCGTATCAATAACTAGAATCAAAAAAAGGGGAATGTCAATGCATCTGGGAAAAAACGATTAATCTCTATC</t>
  </si>
  <si>
    <t>P20_Contig-2057</t>
  </si>
  <si>
    <t>ATGAGAACACGACAATGACTCGTCGAGCCCCCAACATGCATCGGATAAGGAATGTCTTTTAAATGCTCTAGTCGAACTAAATCGTTAAAAGAGCAAAAGAAATACATTAGCCAGCCGCATGCCAAGGCTCTAAAATCATTGTGGAGTTTTCTTAGTGTCCCACCATAATATTTTAAAAAAACAGGCGACAAATCGTAAAAAAGTTGTTGCTAGCACGGGCATGTTGTGCCCGTGCTAGATCGGGCATTTTAAAAAAAGGATTTGCTTTGGGCCAAAATAAGGTAGGTCACT</t>
  </si>
  <si>
    <t>P20_Contig-2557</t>
  </si>
  <si>
    <t>GCTACAATGAAAGTGATATTGATCTGAGTGAAAGCTATGATTCAGACAACAGCAGTGACAATAACGATAGATCAGATCTCTTGAGTCGAAGTGAAACTGCCAGTCAAGTACCGGAAAACAACGAAGACAACGAAATATCTTTTACTACGCCTACGACTACTACTTCAAAGCCTACGGATGAAACAACTATTTATGATATTGATGCGCAAGAAAGGATTACCGTTTCAGAGCCTACTAAAAAGCCAAGAGCCAGTTCTAATTCAACTAGCTCAGGTGGTATAGATGATAGCGGCTACGGCTCTGGCAGTGACTCTTCAACTAGCTATGATGGCAACACAAGTACAGATGACAAGACTACTTCTTCAACAACCTATAGCACTTATGATAACAATTCTGGGAGTAATGAAGACGGTGACAATAAGAGTTGTACCCCTCCTGATAACCATTCTTCAAGTGATTCAGACTCTAGCCCTGGGAGTGACTCTGAAAGTGTGCGTACCATTGATGATAGCTCTGGCAACAAAGAGACAGAAGTAAGAACTGTTCGTTCAGATGGCAATGGCAGCTACTATGATAGCACTTCTTATAGTACAGTAGACAAGACTACTAACCATTCTTCAACTAGCTCTAGCTCTGGCACTACTTCTTCAACTAGCTCTGACTCTAGCTCTAGTAGTGATGGCAACAACAATGATGACTCTTTAACAACCATTTCGAGTGATGATAGCTCTGGTGGCAACGATG</t>
  </si>
  <si>
    <t>P20_Contig-304</t>
  </si>
  <si>
    <t>GTTGGTGGCCTTTGTCCAAGGGTTGGTGGACGGTGAAGCCAAGAGTGTTGGGAACGTTTGCCCCCGGTCTTAGCCCTTATTCGGTTCTCATCAAACGGGGTTAGCATCATGACGTAATTGTTCGCGGCCTGGAGTCGTGTTCGCTGTCGATGCTATCTCTTTGTTGGTTATGAACGGATGCGGGACTTTTTCGGTGACAATCGTTGCTGACCTCCGCTTGTGGGTCTTAGAGATTGTTGTGGTC</t>
  </si>
  <si>
    <t>P20_Contig-326</t>
  </si>
  <si>
    <t>AGCCTAGCCTCGTTCTTCTTTAGATCCCTTGTTTCACTCCGATAGTATCCTAGATTGCGTCAATGCAGAGGAAATGATTGCATTTTCATACTATTCAATTTTACATAAGTGAACTGAGAAACCATAATTATGGTTTCTCAGTTCACTTATGTAAAATTGAATAGTATGAAAATGCAATCATTTCCTCTGCATTGACGCAATCTAGGATACTATCGGAGTGAAAAAAGGGTCTAAAGAAGAACAGAGGCTAGGCTATATTAGTAACAAGTAAACCCCTTGTGTGTCTGTAAAGAGTCTTCCAATATTTTTATTTGGGGATAAACATAAATCGTAAGGTCTGAGACAACCCATAAAGCACTTGATCATATCATATCGCGATCAGCTTTTTATA</t>
  </si>
  <si>
    <t>P20_Contig-327</t>
  </si>
  <si>
    <t>TTTCACTTCGACTCAAGAGATCTGATCTATCGTTATTGTCACTGCTGTTGTCTGAATCATAGCTTTCACTCAGATCAATATCACTTTCATTGTAGCCATCGTTGCCACCAGAGCTATCATCACTCGAAATGGTTGTTAAAGAGTCATCATTGTTGTTGCCATCACTACTAGAGCTAGAGTCAGAGCTAGTTGAAGAAGTAGTGCCAGAGCTAGAGCTAGTTGAAGAATGGTTAGTAGTCTTGTCTACTGTACTATAAGAAGTGCTATCATAGTAGCTGCCATTGCCATCTGAACGAACAGTTCTTACTTCTGTCTCTTTGTTGCCAGAGCTATCATCAATGGTACGCACACTTTCAGAGTCACTCCCAGGGCTAGAGTCTGAATCACTTGAAGAATGGTTATCAGGAGGGGTACAACTCTTATTGTCACCGTCTTCATTACTCCCAGAATTGTTATCATAAGTGCTATAGGTTGTTGAAGAAGTAGTCTTGTCATCTGTACTTGTGTTGCCATCATAGCTAGTTGAAGAGTCACTGCCAGAGCCGTAGCCGCTATCATCTATACCACCTGAGCTAGTTGAATTAGAACTGGCTCTTGGCTTTTTAGTAGGCTCTGAAACGGTAATCCTTTCTTGCGCATCAATATCATAAATAGTTGTTTCATCCGTAGGCTTTGAAGTAGTAGTCGTAGGCGTAGTAAAAGATATTTCGTTGTCTTCGTTGTTTTCCGGTACTTGACTGGCAG</t>
  </si>
  <si>
    <t>P20_Contig-363</t>
  </si>
  <si>
    <t>AATAAGTTGGGCTTGTTGTCTACTCGAGTGTATCGATAAACCAGTCATCTCAACATTCCAAATTCCTATGTTTCTAGCCAGCAGCCTATTACGTAAACAGCTTTGTCAACGTTGACATATACATTGGAAAATGAATCCTTTGGCCAGGTTCAGTAAAGAGAAATCGCAGGATAAACCTGTGGTGGGGAACGCGAGTGTAACGTTATGCTAACTATGTTATTTCGGGCAAGGCTTCGCCGTTTGAGAAGACCAGCAACCCCAAGGGTTTGTTTTTTTGTTTTTTTTTTCTTTTTTGCTG</t>
  </si>
  <si>
    <t>P20_Contig-372</t>
  </si>
  <si>
    <t>TCAATTATACTGCTGGGCGTAACATACCTTCAAGTCAGTCTTCTTTGCTGTGGGCAGCAGGGCTTCTCTTGATGTAATGCCGTCTCATTGTCAAATTGGTTGTCTTTGAATGGACTCTCGTGAGCAGCAGGTTTAGTGGTGCTCTCTTCCTTTTGCCTTAGTATTGCACATTGTCTACTGAAGTTCTGAAACTCGACCGTTGTTGTGAACTCCAATATCTTCCTTCTCATCACTGGGAGGCCCTTGA</t>
  </si>
  <si>
    <t>P20_Contig-4413</t>
  </si>
  <si>
    <t>ATGAAGAGTATGCAAGTGAGTAGAATGCCACCATAGGTACTATTAATGAGGAGAGATAGCCTACCTTCGGCCTACCGCTATCGGTTGAGCTATAAAAGAAAAGGCATTTCCTCTCCTTTCCAGTCGAGCAAGTAAACTCCCTCATGCTTGCTTTGTGGTGCCTAGTCCAAACTCATCTGCGCTAGCTCTTGTACACTATGGAAAGAGTAGCTTTCTGTTCTT</t>
  </si>
  <si>
    <t>P20_Contig-6332</t>
  </si>
  <si>
    <t>CTGACTTGAAGGTATGTTACGCCCAGCAGTATAATTGATCAAGGGCCTCCCAGTGATGAGAAGGAAGATATTGGAGTTCACAACAACGGTCGAGTTTCAGAACTTCAGTAGACAATGTGCAATACTAAGGCAAAAGGAAGAGAGCACCACTAAACCTGCTGCTCACGAGAGTCCATTCAAAGACAACCAATTTGACAATGAGACGGCATTACATCAAGAGAAGCCCTGCTGCCCACAGCAAAGAAGA</t>
  </si>
  <si>
    <t>P20_Contig-663</t>
  </si>
  <si>
    <t>TCTTCTGCGGGCACTCCTTGAGCTTCGTTTGTCTCTCCAGTTAAGGTTACACTTTCACCACCATACGGTAAGTTAGCAGGTACATCAGCATCCACTGCATCTTCATATCTTTCGTGTTCTTCCGTGGGCACTTCTGAAGCATCAGCTTCTGCATCAATACTATCTTGATGAACTTCAAGTCTTCCATTCTTCAGCTCCTTTACCTTAAGTTCAGCAAATGCTTCAGGG</t>
  </si>
  <si>
    <t>P20_Contig-68</t>
  </si>
  <si>
    <t>GGCGGCCGTCTACGCCGACAAGTACTCCCTCAGCGGCTGCGGCTACGGCTACGGCGGCTACGGCGGCGAGCAGGAGCACTTCAAGAGGGAGGAGAAGCAGCACAAGCAAAAGGAACGCCTCGGCGAGTTCGGCGCCCTCGCCGGCGGCGCCTTCGCACTGTACGAGGGTCACCGCGCGAAGAAGGACCCGGAGCACGCGCAGAGGCACAAGATCGAGGCCGGCGTGGCGGC</t>
  </si>
  <si>
    <t>P20_Contig-726</t>
  </si>
  <si>
    <t>TAGAGCATTTAAAAGACATTCCTTATCCGATGCATGTTGTGGGCTCGACGAGTCATTGTCGTGTTCTCATTGTGACCTACCTTATTTTGGCCCAAAGCAAAACCTTTTTTTAAAATGCCCGATCTAGCACGGGCACAACATGCCCGTGCTAGCAACAACTTTTTTACGATTTGTCGCCTGTTTTTTTAAAATATTATGGTGGGACACTAAGAAAACTCCACAATGATTT</t>
  </si>
  <si>
    <t>P23_Contig-10304</t>
  </si>
  <si>
    <t>TAGGCTATAATATATAAGGGGGAATACCGCTTTCAATTTCAAAGAGCTCTATTTCCGCTACAAAATGAATCCGTTTAAATAAGCCTTCCTCCCAGTACCAACTGATAATTGGACAGGGAAGTTGTAAATCCGTGAGAACTTCGGCTAGAAGAGAGGGGTCTAGCGCGCCCGCCTCTTCCTTCGCTGCTTTCGTACACCAGGGGGATAGAAGCCCACGGAGCGG</t>
  </si>
  <si>
    <t>P23_Contig-1078</t>
  </si>
  <si>
    <t>TTCAACGGGGTGGCGATCATCTCTCCCCGGAATATTCATCATGATGGCACCTACCTCATCATGGTAACAATTACCTCACCGGGGTAACTCAATGTTCAACATGGTGTCGATCAACTTACCATGGACGCATTCAACTTGGTGGCAACACCTCACCAAGGACAATTGCCTTTCATTAGGTCTTACATTTCACATGAGGGCAACATCCTCCTCATTACTAGTTATCTCACCGGGATAACATTTTCAA</t>
  </si>
  <si>
    <t>P23_Contig-11287</t>
  </si>
  <si>
    <t>GGCTTGACGAGGACGTCAAAAGTTTAAGTGGAGGAATTTGTAACACCTCAGTCCCACATCGAGTAGATTGATTCGTCGAGTTGCCGGAGGTAGGAACACGAAAGCTGATGGTATTATCCCATAATGGACAGAGGTCCGGAGGTGGGGACACGAAACCAACCGGTATTATCCCACAATGGCTAGGGAGGAACGATCTTGGAACCTATAGGATATTCGTTCA</t>
  </si>
  <si>
    <t>P23_Contig-1159</t>
  </si>
  <si>
    <t>CACAATCAACCAATTATTTGATTGCTCCAAAATGTGGCAGGGGCTTCCAGTCTTGTCTTGTTTAATTCTCTGATTTGTGAGGAGGGTCTTAATCAAATCTGACGATTGCCTCCCCAACTTAGATAGGTTATGAAAGTATGTAGTTAACCCTTTCTTATCAGAAATTCATTTAATTCTTTGTTTAACCGCATGTGAGTACAGTTCACCCTTTAATAACTAAGCAATGGTAGTCCCGGACTTCGAAAACAGGTAGTGCGAGCCCTCCTCCTTCACAACCC</t>
  </si>
  <si>
    <t>P23_Contig-118</t>
  </si>
  <si>
    <t>CCCGGTGAGGTAATCTTAGCCATGAAGAGGTAGGTACTCTCATGTTGAATGCATCCGGGGTGATTTGATCACCACCCCGTTGAAGTAAAAAGTTATCCCGGTGAGATAACTAGTAATGAGGAGGATGTTGCCCTCATGTGAAATGTAAGACCTAATGAAAGGCATTTGTCCTTGGTGAGGTGTTGCCACCAAGTTGAATGCGTCCATGGTAAGTTGATCGACACCATGTTGAACATTGAGTTACCCCGGTGAGGTAATTGTTACCATGATGAGGTAGGTGCCATCATGATGAATATTCCGGGGAGAGATGATCGCCACCCCGTTGAAGTTAAAAGTTAT</t>
  </si>
  <si>
    <t>P23_Contig-13897</t>
  </si>
  <si>
    <t>TTTCTAATAGAGTCGTTAGTTCCGCAGCTCTTGGAGAGTTTTTCATTTGAAATGTTTTTGTATGTTTCTAGAGTCAAGGGAGAATGCCGTTTTCAAAAGGTATCCCTCTTCTGTTTCGATTTATGCTGCTTTTCTAGTTGAAGCTGCCTGGAGATTCAAATCATTTTCATTCTGCTTTATAGTAGCAAGTATTGCATTGCATAG</t>
  </si>
  <si>
    <t>P23_Contig-145</t>
  </si>
  <si>
    <t>CCTCTACCATAGCATCAGTAGCGCCATCTGTTAGTAGTTTTAAAGAGGTATGAAAAGCCTTGGCTAAAAGACTCGTATTTTTTTTAATGTAGATTTTTACATTTAATGTTAGGAAGAATGTTCTTGTGTTTGTGACGGTTTTTTATTTAATGATTTATAATTTGGGGAGTTTAAAACTTTAGTTTCATAATACTATCGATTTTTATTTTTGTCATGAGGGGTCAGCACATGTTAAACCACAGCCTCTTCCTAGGGGGCCTTACCTTTCCAAGTTAGTGGTAACCTTATAGTATTAATCAACCTAAAGCCAGTCATGTTTAATGTATAAAAGTTAAGATTTTATATAACATAATATGTTATATAATTGAGTTATAGACCTAGCTGTCTTCTAATTTAAGAAATCTATGAGATATAAATATAGCTACATCTCGTGTATCAGACTTTGGCCTTAAACCACTTAACTTTTATTAACTAATAGATAAAGACATGACTGCATCTAAATCTATTAGTCTTAGTGTATTTATAATACACAAATAATGAATTATAAATAATTTAACTACCCTCCCCGCCGGGTACTTAGAAATAATTATAATTCACTGATAATTAATCTAAATAATTTAACCTTTTTATAAAGCTAAATTTATTAGTCGTTATGTATATATCACGTACATAATTTATTAATCCAGATCATCACAAGTCCCTGAACCCTCTGCTACAGTATCTGAAAAGGTAGGAACAACACCTTCC</t>
  </si>
  <si>
    <t>P23_Contig-2046</t>
  </si>
  <si>
    <t>ACTCGATGTGGGACTGAGGTGTTACAAATTCCTCCACTTAAACTTTTGACGTCCTCGTCAAGCCTGAACGAATATCCTATAGGTTCCAAGATCGTTCCTCCCTAGCCATTGTGGGATAATACCACCAGCCTTCGTGTCCCCACCTCCGGACCTCTGTCCATTATGGGATAATACCATCAGCTTTCGTGTTCCTACCTCCGGCAACTCGACGAATCAATCT</t>
  </si>
  <si>
    <t>P23_Contig-2180</t>
  </si>
  <si>
    <t>TACTTTCATAACCTATATAAGTTGGGGAGGCAATCATCAGACCCGATTAAGACCCCACTCACAAATCAGAGAATTAAACAAGACAAGACTGGAAGCCCCTGCCACATTTTGGAGCAATCAAATAATTGGTTGATTGTGGGGTTGTGAAGGAGGAGGGCTCGCACTACCTGTTTTCGAAGTCCGGGACTACCATTGCTTAGTTATTAAAGGGTGAACTGTACTCACATGCGGTTAAACAAAGAATTAAATGAATTTCTGATAAGAAAGGGTTAACTACA</t>
  </si>
  <si>
    <t>P23_Contig-2209</t>
  </si>
  <si>
    <t>GGTGCAGGGTTAGGTAGTCGACCTTTGGAACTGGTGAAAAATTGTTTGAAAAAAAGAAGCTGCAAATTTTGCAAAGATTATACACCTCCGGTCTTACTATGATTATCATCAGGAACTCACAAATAACAGAAGTTTGCTGATAACGAATGTGAGTTCTCAGTTTTTAATGAGCTAATGGATTCATGGTGATTGTTTAACTTGTCGAGATGTTGTTCAGGACTATGTCCAC</t>
  </si>
  <si>
    <t>P23_Contig-240</t>
  </si>
  <si>
    <t>CAATCTACCTTTACATCAATTGTCCATCTTTAACTTAAATAATACCCCAACTTTTTTGATATTCCAAAGTTTTGGTGGAGAAGTTTGTTAGGGACGCCTAATAGCCCAATTTACTACTACCTTGCTAATCATCAACCCACGCGGTCAAACTTTCCTTAAAAATTACGATCGTTCTGATTCGGTCTTAATTAGAACTACGTGAGTCAGTAAGATGAAAATAGTCGCTGACCAGACTTGATCCCTGAGTTTTACTCTGGGTACGTAGGCAGCTAGTATATACTACTGGTGCAGTCAAAATAACTGACTCCAATTGTCAGTTAACCTTCTTCAACACAACTCCCTGGATACTTTCATACTCAAGGTTGTGGTGGAGCAGGCTGTTTGGGACGCCTAACAACTTGATTTACTGCAATCTTGGAGTATGTACAACCTTGGGAATTAACCCTCTTTTGGTCAAAAGTACAATTTTTTCCTTAATCCGAACGACGTGAGTTAGAGAATCGAGAATTGTTAGTGACTGGAACTACGCTTTGGGTGCATAGGCAACCAAGAACTATTTCGATATTCTAAGATTAGGGCGGAGAAGGTTGTTCGGGACGCCGAACAACTCAATTCAATGTGATCTTGCGAATCGTCAATCTACGTGGAGAAAA</t>
  </si>
  <si>
    <t>P23_Contig-3220</t>
  </si>
  <si>
    <t>TACTATATGAGATGAATAGAGGGTATCGCATATTTGGTTCAGTCAACAGGATTGTAGTTGGTTGTGATCAAGGAACCATCATGGGAGAAGTTATAAATGCTTAAAGTTAAAGATTCTGTGTATGTCTTCATCATCAGTCCTGGTGGAAAAGCTACTCAGCTATATTAATGCTTCTGGTTTGTATTTTGATTGTTGTGTTTTGTAAGAATAAGTCTGTGACATGTGTGACAGTCATAGAAGATATCGAATAATGTTCCAACAC</t>
  </si>
  <si>
    <t>P23_Contig-33</t>
  </si>
  <si>
    <t>TTCTGTGAGATTCACCTTTACTTGATGATCGACCTTGTGCCTTTTGACATTCTGTTTGTACATTATCAGCAACCATTTGATTGGCCACCTCAATGGTTTTAACCTTGCCTTTGCTTTTTAGGTCTTCTGACAAGTGGCTTTGCTGCTGCAAATAAGAAGAAGATTTTGAACTCTTTTTCCTTGGCAGTGGATCAACGCGTAAACAAACAGGAGGCAGTTTAGAAGATTTCTTTGGTGAATCTGGTGTTGGTTTTTCAAGAGAAATGGATTTTGCTAGGCTTTTCTTTTCCTCATTGGTGCCCAGTGGAATGACAACATGGTTCGTGCTTGTCTCGCTGCCCAAACCATCATCAATTTTTCTTTTCTCCTCCTCCTCCTCATCATCATCATCGTCGTCTGCTGATTCTTCCTATCTTCATCTTCGACTGCAGGATGTTTGTTCTGTTCTTGTTCGCACATGTCTTTCCGTGCTTGAAGGGATGATCATGAAACCTATTCAACAGGAAGGTACGAACGAGCATGAGGAATTGACCACAACAGCAGCCGATTGTCAGGAGAAAGGAAGTCCAGTTTCCTTTTTGAGAAAGGGGCACGCATCTCAGATGATTTCTCTCTATGAGAGTAAACCATCAAATATAGTTTTTGAGAAAGCAGCTCGAGTTGATGCATCAGTTATTGTGCAATCAGGGTTTCCTCAACCTACTCTTACTGGAGATGGGAAGTTGATTGGGTGTGAGAATCGACAGGGTAAAGATAAGCAATTAAC</t>
  </si>
  <si>
    <t>P23_Contig-34000</t>
  </si>
  <si>
    <t>GACTCAGAATATAGTTGTTTCGGATGCATTTCCTGCACTTTATTAACTCTCACACATTGATGGTTCTGAGTTGCAGGAAGGGAATGTCCGTCCTGTTTTTTGGTCCATTTTGTTGGCTGACATTGATGGTTCGGGAAAATACCTTTCATTAGAAAGAAATTACAACGCAGTTATTCAAGAACATTGCACATTAATTCAAACTTGTGGATTTACAAGTACAGTTTAGGCA</t>
  </si>
  <si>
    <t>P23_Contig-3924</t>
  </si>
  <si>
    <t>ATAATGATCATATATGGTTCCAAACGTCATTATATGACCCTAATATGTATCCCTAGGGTCTCAAGACTTTTCGCCACCGGGCCCCGTAACCTCAAAATTCCTCAAAAAGCGTGGATTATAGCCTTCAATTTTGGAATTTTTTCGCCCGGAAATAAAAATTGCCGAGATGTTTACCATGGTTCCTAATACCCTCCGGGAGTCCAATTGAGTGGGTGGAACCATCCAATTTGCCTTTAAACGACCAATTTACCGGTTTACAACTTGCACCGATTTCATTAACTCAAGCCTACCACGAACATTTATGACAACAA</t>
  </si>
  <si>
    <t>P23_Contig-448</t>
  </si>
  <si>
    <t>TTCCTTCGGCAGCAGGTTCAACTTCCAGCCCATATACTGGCAATGTATTGCACTCTGCGACATCTTTCTGTTCCTCAACACCTTGTCCATCTTGCACAAATACAGGACCAACAGCTTCATCGGTGTGTAACAGAGGCATGTCATTTGTCACAAACACTGGCAACTCAGACCCATCCTCTTGAGTGGCAGGGTCATCTTTGTTGAGTGCTTCAGTGTCTCCCTGCATCTCAGAGTTCACCTCCGTATCTACCATAACAATTGCTTCAGAGGATTCTTCAAGCTCACATGCCGGTGCTTCGGTCAAGTCTTGGGCACGTTCAAATCCCTCAACACTTGATTTATCCTCCACAGATTCAAGTACCTCAACACTTGGTTTATCCTCCACAGGTACATAGTTGATAGATTCTAGTTCCCCAAGCCTATTTTCAGCTGCCTGGCTCACATTTCCATGATTATCGACCGCATAAACTCCTGATTCATTTTCTGACTCAAACAAGCTATGATTTTTGGACTCGACTTCCCCAGTCTCTGCAGACACTGCTGCCTCTGCTGAGAATTGTTCCTGTTCTTGAAATTGACATTCCAGTTTTTCTGTCTCTGCAGTATGCTCCATTCCAGAGTCATTTTCAATGGATGACTCCATGGGCAAGTGCACTGCTTCTAGTTGCAGTGGCTCCGGGTAGCCAGCTTCCTCTACCAGTTTAGCAGGATCCAACAGAGAACCGTTTCCAGACTCAATGGACTCTGCCTTCTCCACCAGAAGTTGTTCCT</t>
  </si>
  <si>
    <t>P23_Contig-455</t>
  </si>
  <si>
    <t>TTCTATTAGCCTAAGCGTCTTCGCTAACTCGCTCGCCTACTATACAATACATTAAGTAGGGTAGGCTAACTCAGCCGCTTACTTCTACTAATGTAGGGCTAAGTAGCCGCCTTTTGAATTGAATCTTAAGTAGTCTATCAGTGTGCGAAGCGGCTTTGCCCCTTTTCAGTAGGGGGCGAAAGGTTAGACCTTAGAAAGTCAGCGAACAGCGGTTCATGTAGGTATGGCGTTCCCCCTTGACTCTCCTAACGTCGAGCTAAGTGACTTCGTAACCTTTGCGTAGCGTAGTAGAATGAAGGCTACGCACCGACGCTCTCTTATCGA</t>
  </si>
  <si>
    <t>P23_Contig-4886</t>
  </si>
  <si>
    <t>AACTTTCACATGCATATTTTTGATTAGGTCAACAACCCATTTCGTGATAGGTGCAGGAGTCCGATGGACATGGCACCACATCCAAAAAATAGGTCTAGCAGATTCATTTCTATTGGTTTATTGCTCCCTGCGTCTTTGTGAATATCATCACTTTCACTTTAGATGGTCGAATTACATCTGTTTTCAACTTTAGTGCCAACTTCTTCTTTGGGTTTGCTACTCCCCACATCTTGCTCAATATCAACACTCACTTGAAATGGCCAAATTAGATCCAGTTTCACCTTTAGGTCCATCTTGTTCTTTGAGTTTCTTACTCCCTACATCTTGCTGAATGTCATTACTCTCACTTGAGATGGTCAAATAAAATCCATTTTC</t>
  </si>
  <si>
    <t>P23_Contig-508</t>
  </si>
  <si>
    <t>ACCTCCGACCTCCGATCTCCCGAGGGTGATAGAAAATGGATGACCTCTTGAAGGACCACTCTACCTCTGTACGGCTACCCGAATTGTCTAAGGACAACTGGCTTGAGTGGAAGGACCTTATATACGACATACTGGAATCAAAGGACCTCCTCTCAACGATTAAACCTGGAGCCGAAACAAAGAAGGACTTAGTTAAGGATGCAAAAGCAAGGGCTATAATCAAGTCTGCTGCTGGTCCTAATTACCGCGTGC</t>
  </si>
  <si>
    <t>P23_Contig-5451</t>
  </si>
  <si>
    <t>TCGGTTCTCATCAAACGGGGTTAGCATCATGACGTAATTGTTCGCGGCCTGGAGTCGTGTTCGCTGTCGATGCTATCTTTTTGTTGGTTATGAACCGATGCGGGACTTTTTCGGTGACAATCGTTGCTGACCTCCGCTTGTGGTTCTTAGAGCTTGTTGTGGTCGTTGGTGGCCTTTGTCCAAGGGTTGCTGGAAGGTTAAGCCAAGAGTGTTGGGAACGTTAGCCCCCGGTCTTAGCCCTTAT</t>
  </si>
  <si>
    <t>P23_Contig-646</t>
  </si>
  <si>
    <t>AAAAGCCAGAGGTATTCACACTAACGTAGAAACCGGATACTTCCCTCCGACCGACGGGTACCAACTCCAATGAAGGTATCGGAGGAAAAAGCACGGTAGAAGAACAGTGGAAATAAAGCTGAAACTAAAACCTAGCTGATAGTAGTGGAATAGGTGTCACGGTATGGGTTAGCTATAGGGGTCTCCGTCAGTGCTTAAAACATGTGTATGAAAGCATCTTAGACCAGTGGGGTGGCTAAGAGAAAATCCCCGCGCCCAGAGAGCAGCATTGCCCACACATTTGGGATATTCACTAGTGTGATTTTTCAAATGCAAGATGATAGTTACTGTGACTATTGCAACTTAAGCTAGGTGATACGATCCGACATGCTAGCCGACTCTGAACCGCTACTGTTGTAAAAAGGCAGTAGCATGCCATGGTATACTGCGACACGACGGCTCCATACTGGGAATCAAGTGGCTTCGCTTTTCATTCAACAAAAGACAAGACAAGAAAATACATAACAACCGAGAGGGGAAAAAGCGCTCTTTCTACCACTAGTGGGTAGCCAGCGATCTTTGATCGCTGTTAGCGGGGC</t>
  </si>
  <si>
    <t>P23_Contig-6685</t>
  </si>
  <si>
    <t>TAATTATAGTCAAATTCGTTTAAACTCTCGGGCTGAGTGACGTCCCTGCTCATAACTGTAAGTCTGTAACTATATCTCCAGTTGAATTATGCCATATGGACCCTTTTATCTGTTTTATACTTGTGTATCTGTATCAGTGACTTGCAATTGACCACGGAGAAACTGAACATTGCTGATTATGAAGATAGATACGTAATTACAGCAACACCGCATTTTAAACAAGGAAAAGAAATAACTGCATTGCATATAAAACCGAAATTACATCCCATTAGACATTAGATATAATTAGACATTAC</t>
  </si>
  <si>
    <t>P23_Contig-730</t>
  </si>
  <si>
    <t>TGAGGACAAGAACACCGACCCCGCTGTGTACCCAGGTCACGATGGCCACACCACCTACCCCGTCCCACCGAAGGAGACCCCGTACTACCCAGGCAAACCTTCAGCAACTTACCAGTTGACCACGACCCTGAGCACTTACTACACTCAGCCTAACGGACAGCCAACATACATCCCTCTCCCCGACGAGCCTGTTGAGGAGTGCGATCCTTTGACCGAGGACTGTAATGGCGAAGTTGACCCAGTGCCAGAGTGCAACCCTGA</t>
  </si>
  <si>
    <t>P23_Contig-7699</t>
  </si>
  <si>
    <t>TCTCCCATGATGGTTCCTTGATCACAACCAACTACAATCCTGTTGACTGAACCAAATATGCGATACCCTCTATTCATCTCATATAGTAGTGTTGGAACATTATTCGATATCTTCTATGACTGTCACACATGTCACAGACTTATTCTTACAAAACACAACAATCAAAATACAAACCAGAAGCATTAATATAGCTGAGTAGCTTTTCCACCAGGACTGATGATGAAGACATACACAGAATCTTTAACTTTAAGCATTTATAACT</t>
  </si>
  <si>
    <t>P23_Contig-805</t>
  </si>
  <si>
    <t>ACCACAACAAGCTCTAAGAACCACAAGCGGAGGTCAGCAACGATTGTCACCGAAAAAGTCCCGCATCGGTTCATAACCAACAAAAAGATAGCATCGACAGTGAACACGACTCCAGGCCGCGAACAATTACGTCATGATGGTAACCCCGTTTGATGAGAACCGAATAAGGGCTAAGACCGGGGGCTAACGTTCCCAACACTCTTGGCTTAACCTTCCAGCAACCCTTGGACAAAGGCCACCAACA</t>
  </si>
  <si>
    <t>P23_Contig-93</t>
  </si>
  <si>
    <t>AGAAACGAGTAGGAAAGAAGGCAGTTGCTTCAAAGGAGGTTGCACCCCCACCAAAAGATGAGTCGGAAGATGATGAAGCTGCTAGTGACTCGGATGCAGAGCCCCAAAAACGAACAGAAAAGAAAGCCTTTGATGCAGAGGAGGATGTTAAAGCTCCACCAAAAGATGACTCAGAAGATGATGACGCTGCTAGCGACTCAGATGCAGAGCCAC</t>
  </si>
  <si>
    <t>P23_Contig-944</t>
  </si>
  <si>
    <t>GTAGTTCCAGTCACTAACAATTCTCGATTCTCTTGACTCACGTAGTTCTGACTTAAGGCAGATAGCAATTCTCGATTCTCTAACTCACGTCGTTCGGATTAAGGAAAAAATTGTACTTTTGACCAAAAAAGAGTTAATTCCAAAGGTTGTACATACTCCAAGATTGCAGTAAATCAAGTTGTTAGGCGTCCCAAACAGCCTGCTCCACCACAACCTTGAGATATGAAAGTATCCAGGGAGTTGTGTTGAAGAAGGTTAACTGACAATTGGAGTCAGTTATTTTGACTGCACCAGTAGTATATACTAGCTGCCTACGTACCCAGAGTAAAGCTCAGGGATCAAGTCTGGTCAGCGACTATTTTCAACTTACTGACTCACGTAGTTCTAATTAAGACCGAATCAGAACGATCGTAATTTTTAAGGAAAGTTTGACCGCGTGGGTTGATGATTAGCAAGGTAGTAGTGAATCAGGCTATTAGGCGTCCCTAACAAACTTCTCCACCAAAACCTTGGAATATCAAAAAAGTTGGGGTATTATTTAAGTTAAAGATGGACAATTGATGTGAAGGTAGATTGTTTTCTCCACGTGGATTGACGATTCACAAGATCACATTGAATTGAGTTGTTGGGCGTCCCCAACAACCTTCTCCGCCCTAATCTTGGAATATCAAAATAGTTGGGGTGGTGTTTATTGGTTGATTTTGCACCAAAAGT</t>
  </si>
  <si>
    <t>P23_Contig-979</t>
  </si>
  <si>
    <t>TTATCGTGGGTTATCGATTTATAAACAGGTTCCTCTAATTAGATAAATGCCGCCAGGATATAAAGGTTGAAATTCCTTAATTTTTAATATACAAGGGTATCTAATCCTTTTTTATATCAAAATTTTTGCTTATTTTGTTTATTATTTGAAATAAATTTTTTAAATTATATTTATATGTAACCCATTTAATCTTTATAATAGTCTACACCATTACCTATTTTTTTATACATTTTTTAGAATAAAATTTTTTAATCTAATCCTCATGGAGGTATATAAGATTTTTTAAAAAGTGAAAT</t>
  </si>
  <si>
    <t>P3-1_Contig-1135</t>
  </si>
  <si>
    <t>GTGGGTTGCTACTGTTAGGCTCGGTTAACGGGTAAAATGGACTTAGATGATTAAGTTGCATGAAACCTAGCTCTAAACATGGGTTATGAGTAAACTGAGACTACTGGAGTTGGACCTAACCTTAGGGAACCTTAGTGAATCCTCTTGAGTGGTTTTAGACGGCTGGAACAAGACTTGGACGAAACTGCCCTCTGCAGGGCGATCTGCCCGTTGGGCGATCTCCCGCTAAGGCGGTTTCCACAATAGGCGATCTCCTTGGAGATCGCCCAGTGTGGAGATCGCCCTAACAGGCTGATTTTGCCTAAGTGTTGTGTCTTAGTAGAGAACGAGTTGTAACAGGTTAGTTATGACTTGTTACAGTTGAGGCTGGTGTTAGAGGACAGTGACTGAGCTTGAGGATTGGAGCTTGTTGCTGGCTGTGAGGTGAGTTCTATGACAGTCCCCCTTTCTATACGTTTTTGGGCTGGCATGCATACCCTAATGAGAAGTAAAATGTGAAGTGTTTTGAAGTAAATTGAGTAGACTTGTAGGAAGTGAAGTAGTATGCCTTTGCATGCTAATTGTGTAGGGAGTGAAGTAGTATGCTATTGTATGCTAATGTATGAAGGAAGCGGTATGCCATCGTGTATGCTATGTTGTGTGATCTATCCTACGGGACCGGGGTATGGATAGTCTTTGTGACTTGAAGTATATAAACGGGAGCTTGGGTTCGCGACTCATGTTGTAGCTTGGGATTATATCCCATGTTGGTAGCTCTGATCA</t>
  </si>
  <si>
    <t>P3-1_Contig-1186</t>
  </si>
  <si>
    <t>GATTGTTTCTTCAATCGAGCGTCATTCTAGGGTTTGTTGAGATTTGGGGCTTTTACGGTCTGATCCTTTTGTTTAGATCTGTTATAGATCTGGTGTTGGATCGTGTAGCAGTGAAGGTTCTTGACAGACTCTGTGTTAGGGTTTTCAGTCTAAACCCTAAGAGAAGTGTTCTTTTGCTCGTGGATTGAAGATTGCTTGCTGGTACCTGGTGTACGCATCTGTTGACGTGGATCTTGAGCTGTGGAATACCCTAACTTGGGCGCTCCCTCGGTGA</t>
  </si>
  <si>
    <t>P3-1_Contig-1949</t>
  </si>
  <si>
    <t>GCCGGCGATCCTATAGGGGCAGAGGCTCCCGGAACATAGCCGGACGGTGAAGATGCCGGCGACCCTTTTGCCGGAGAGGTTCCCGGAGAATTGCCGTACGGTGATGATGTGGGCGAACCATTTGGCGCGAAAGCTCCTGGAGCATTTCCGGACGGTGAGCTTGCCGGCGATACTCTTGTAGGAGAACCTCCCGGCACGTTACCGGACGGTGAATTG</t>
  </si>
  <si>
    <t>P3-1_Contig-2062</t>
  </si>
  <si>
    <t>AGAGGGTTATTCCTACACCGCCATGGCTGCAACTCCTGTTGCCCCGCCAAGATACGGGTCAGGTCACTCCATACCGGATGAATGTAGAAAAACCTTCATCATCATCACAGCCTACATAAACAGCATTCATAATAATAATAGCAACAACAACGACAACAGCATGAACAGGAAACAGTTGATCTGAGGTTCAACCAAGCTGCAAACTCGAGGTTAGGTTTGAGCAGATCAACAATGGATACCCATAAGAAATTCCAGCAAAGATCATAGAATTGGAAACGGTGAATGATGATGATGATTACGACGATGATTCAATGTTGCACAGAAAACATCAGAGCCAGAAGGGTCGGGTAATTGCCCTTACCATTCTGGGCAATGATTCATCAGAATTGTAAACTGGCAATTAGGGTTGTTGATGGAAAATGAAATCATCGGCATGCAG</t>
  </si>
  <si>
    <t>P3-1_Contig-2628</t>
  </si>
  <si>
    <t>TCATTTCGTTCCTCCATGGAGAACCCTTTATTCTAAGTCACAAGATAAGAATTCACTATCTTTCTTTGATTACAGGATTAAGATTCATTTATATCTATATAATATTTCTATATATTTAGATTTATAGCTATGAAATCGCGGCTTGATAAAAATTTTCATTTCGTTGCATCCAAGATTTTTGTTCCAACAATCGTATGAAGAATGGATGCGAGAAAAAGACTC</t>
  </si>
  <si>
    <t>P3-1_Contig-28</t>
  </si>
  <si>
    <t>TTTACTACCAGATTGATTAATTGCTTGGTTGTGTTTTATCAACTCCTTGGTTAAGACTTGGCTGAACACTAGAACTGGGATGCATCTTGAACACTGGCCAAGCTTCGTTGATAGGGTCTTGTTCTAAAAACAGCTTAATCTGGTCAGTCTTGTAGTTTACTTGATTTGTTGGTGTTTATCTGTTATTGACTGTGATTTGGTGTTATTGTTAATATTCTTGATTGTGTACTTAGGTTTCTGCTGAGTAATTTGTTCTGCTGTGTGTTTTTATTTTGTTCTGCTGAGTAATCTGGTGTTAAGTTCTTGTTAAGTGTTTGTTCTGTTTCTGTTTGATCAATATGGCTCCTGTAGATGGGGTTGTTGTTAATACTGCTACACGGATTAATAAGCTAGATGGGTCTGATCCAC</t>
  </si>
  <si>
    <t>P3-1_Contig-4263</t>
  </si>
  <si>
    <t>CAAAATGTAATCAAGCCGACCAATGCCACAGATTAGGTATGCAACACAGTAACCCACTAGATGATCAAGGCAAAACAGCCAAGAACACAACTGAAAAGGTAAGAACGCGTAGAAGTTGCTGCTCAAGCAGACATCCAACCACCCGAAACAAACCAAACACCACTCATGCACCTTTACGGTTTGCATTCCCGAAGACCGACCAACTTTTAACCACCCACCAAGCACAAAGGCCAAGCAAGCACCCAAAAGCCAGAACAACCCC</t>
  </si>
  <si>
    <t>P3-1_Contig-717</t>
  </si>
  <si>
    <t>TTTTTTTAAAAAAATAATGTCGTATGCAAAAGTTATGGAATTTTTAAATTGGTGGGGGAAATTGGCATGTGCCTTGCATGTGGAGAGAGAAAGTCAACAAATGTGTTTTCCCCTTTATACCCTTTCCCTTTTGGTCCCCACTTGACACATGTCATGCTCAGAATCCTTCCTACCCTTCCTAGCCTAAATTGACTTCCTAGAATAACCTCACCCTAACTTTTTTT</t>
  </si>
  <si>
    <t>P3-2_Contig-1269</t>
  </si>
  <si>
    <t>CTCTTATTCTAGACTGCGGGCAAGGCAATTGCATTGGTCTCTGTGCGTTCCAATCCTGCTTTCTTTGGTCTGGGTGATCACGAGCAAAGGCAATCACAGAGACCTTCACACGTTCCTATTCCACAAGTCACAAATGCATCAATAGTCTTCTATTGTGACAGCAGGCAAGGCTATTGCATTAAAATCTGTGCGTTCCGATACCGATTACACCAGTTCCGCCGCGGGCGAGGGCCATTGCAGAACCAGGCTGCACATTCCCTGC</t>
  </si>
  <si>
    <t>P3-2_Contig-14</t>
  </si>
  <si>
    <t>CTGAAGCACAAGGCGTGAGGGCCTTAAACCTCTTTAACCCCAAGTCGCTAGTGGTAACCCTAGTGCAAACCCCGAAGGCAAGAACGGTCGCCCCTGCGGCGTGCCGTCCCCTTCTCTGGCAGGACTTCGGTTCTCGCGCATTTATACCTTTGCCTTGACCGGCAGAGTTGGCGTTCAAAGATGCTCTGTAATCTTTCCTTGGTAGTAGAGGCGAACTAAAGAAAAGGCAGAACGACGTTCGACTAGGGATGTTATGCTGATTCTTTAGCTCCTTGCACGGAGTGGTCCTTGACTGGGTCGTCTTCGTGGTCTCGCTGCCTTGGATTGCTTTGCATCTCGACGCCGTAATAAAATTACCTAGTCAATTCAGCTTTGCTGCGGTCCTCTGCTGCTTGCAGCATGACAAGTTATGCAGCGCCCTTAGCCGAGGACGTGGGTGGACTGGTGTGAAACAACGGAAATCAGAAACTCTTCGGAGGAGTAAGTTGAGCCGATGCAGGATGCGCTCAGGAAGCCAGCCTTGAGTGAATCGACGCTTGAGGGCGTACAATACCTCAACTATTTG</t>
  </si>
  <si>
    <t>P3-2_Contig-1530</t>
  </si>
  <si>
    <t>TTATTTGGTAAAACTACGTTGCTCGTCTTCCATTTTTAGTCCAAAAAGTGGATAGCTTTTCTAGACGGAGGGTACTAGTTTACTATCTACAGGAACAACATCTACTGGTTTTCTTGCTAATGCATACAGAACGCAAAGGAAACCCTTAACGTGATGGCCTTAATTTATGCAATGATTACATCTGATCCATTTCTGGCTTCTGGCTTCGCCTTTCTACATAGAATCTAATTCGCATGAATCTCCTTCCCAGTTTGTAATAAATACGATGACTTATCTTTCTTCTTTTGTGCATGCCATTTAGCTGTGTGTTAGCAAGCTTAGTTTCTAAGAA</t>
  </si>
  <si>
    <t>P3-2_Contig-154</t>
  </si>
  <si>
    <t>GATGACGAACAATCGACCGGGTGGATCGCGGGACGTGTATGGTGGGCTTTGGTTTGACGAAGGGTTGTTAATGCCCTTCTGATTGGCTGTTAGGCGACAGGAATGTGCAGCTGGTTCTGCAATGGCCCTCGCCCGCGGCGGAACTGGTGTAATCGGTATCGGAACGCACAGATTTTAATGCAATAGCCTTGCCCGCTGTCACAATAGAAGACTATTGATGCATTTGTGACTTGTGGAATAGGAACGTGCAGAGGGGTCTGTGATTGCCTTTGCTCGTGATCACCCAGACCAAAGAAAGCAGGATCGGAACGCACAGAGACTAATGCAATTGCCTTGCCCGCAGTCTAGAATAAGAGCGAAGCCCATCT</t>
  </si>
  <si>
    <t>P3-2_Contig-1640</t>
  </si>
  <si>
    <t>TTACTAACGATCGTTTTTCTGCTTCTTCCACACTTGGACCGCGGGCAAAGGCCATTGCAGAACCAGCTGCACATTCCTGTCGCCTAACAGCCAATCAGAAGGGCATTAACAACCCTTCGTCAAACCAAAGCCCACCATACACGTCCCGCGATCCACCCGGTCGATTGTTCGTCATCCGGGTGGTTCCCGCGCCCACTCTTTGGAGAAAAGAGCTCACGCAGGCGACCACAGAGTCGTAACGGCGCGCTTGTCAAGCGCA</t>
  </si>
  <si>
    <t>P3-2_Contig-371</t>
  </si>
  <si>
    <t>ACGGGTTCACAAAAGATTAAGGGGTCAAACTTACTTACTTTTACTTTTACGATAAAAAGGACAGTTTTAGGCTTAGCCGGTTTTTGGCTTAGCAGCCTTTTTGGATGTAAAGATAAGAGTAAACTGAGAATGATTACCTAAATGAGTAAGGTAAAATAATATAATTTTTACTTAAATGAGTAATATTATCGCCTTGTCCTAGATAAACCAATTATTAATTAATGATTAAGTATCTAATGTTAGACCCGAAGCCTAGTGATCTTACCATGATCAGGGTTATAAAGGCCCGA</t>
  </si>
  <si>
    <t>P3-2_Contig-515</t>
  </si>
  <si>
    <t>AGAGAGTCAATACTTAAAGTAGGAATAAAATTGATTTCACTAAACATAGTTAGTAAATCGAGGCATACTTTTTAATTTAAGTATCCTTATTTTCCTGTCTTTTCAACTCATTTCTATCTAATCCATTTTTTTGGGCTCGGCTATTCATCTAGCCGAGCCCTTCGCCTTTATGACACTGAGCCTGGCAAAACAATAACAATAAAAAACTCTATTCTATTTGCCGAGTAAAAGG</t>
  </si>
  <si>
    <t>P3-2_Contig-608</t>
  </si>
  <si>
    <t>TTTTTCTTGTTTTCCTACAATTTTTAAGATCATTTTCTTTTCTAGCTATAACACGATTGGTGTTCCATCCTTTGTTGATAATAAGAATTGTTTGTCTTGTTCTCTTGTTGATAGATCTAAGAAAACTCATACACGAATAGGCCTTGTCCATCCTGGTTTGTTTCCAGCTAGGTCTCTTCTGTCAATCCCTTGGCATAGTCTTGCTTTTGTAAAAAAAAAAAAAATAGTAAAAAAAAAGAAAGTCTGTCTGGTCTGGTGTAGCTAATGTGACTTTCTCGATCTATAGTTCTTCTTCTTTCTCTCTCTTGACCAATGCTCTGGCTTCCCTCACTCAAAAAATCAGCCGTTGTGACACAGGTGTCTCGAGGTAGGCCGTGGATTGAATAGAGAAAGAAGGAAGTGCTTGCGCCTTAGGAATCTTGCGCTAAGGCTTGAACTTGCTGCATTCTAGTTTCCAGGAGCGCACTGGAGTTTGATCTTTCAGTCGTTCATTCTTCAAGGCATAATCTTTCGTGACAAGCGGAAGACGGAGGAGCAGGCAAGAAGAGCAAGTATAGTGAAAGTATCCTCATGGGCCAAACAAAAAGAGGTTGAGCCCCAACGTCAAATTAATGCATTGATTCAAGGGGTACCCGTGCAAACATCGTCTATCTCTCTGGTCAAGTGGCTCCGCTCTTAGGGAGAGAATCTACGGATTCTGTGAAAGGGCTTCCCTATCTATGATTGAGCTCTCGCTCTTACTCTTTCTATCAGTCGTGT</t>
  </si>
  <si>
    <t>P3-2_Contig-784</t>
  </si>
  <si>
    <t>GAAGAAAGCGATTCTGAAGAAGAGGTTAAGGCTGCCCCTGCTAAGAAACCTGCAGCAGCTGCTGCTGCAACCAAGAAGGCTGATTCTGATGATGAAAGCTCTGAAGAGGAGAGTTCATCTGATGATGAGGAACCTCAGAAGAAGAAGAGTAAGCCAACTGAGACAAAAGCTGCTGCTAAACCAGTAGCAAAGAAAGAAGAGAGCTCATCTGATGAGGAAGAGGAAAGCTCTGATGAAGAGCCAGCAAAGCCTCAAGCTGCTAAAAAGGTAGCTGCAAAGAAAGATAGCAGCTCTGATGAAGAGTCTGAAGAAGGTGATGAG</t>
  </si>
  <si>
    <t>P3-2_Contig-838</t>
  </si>
  <si>
    <t>TTAATTGTGTCATCCAAAAGGGTCTTAGGTTTTACATGACCTGTTTTTGTGCTACACACTGAATGATGTGTGAGGTGGGGTCTAAATAGCATTCAAGTAGCTTGGTGATGTGGTGTGCGGAGATAGCTAACTTAATGATAGAAGATTAGATCCTGTTATGATTAGATTATGGAAATTGGTGTGATAGAAGTAGGTTGCAACAAAACTGGAGTAGGAAGACATAAATCTGTGTGTCATTTCAACAAACATGGAGACAGTTTCTCCCTCTTCTAACATAGTGAGAACCACCTGCAGCTGAAATCTGATATGCTAAGTGTCATTAGGCAGTGATAGTTAGGTTCTTACTTCTCAGACTCTCTAATTTGTTAATTAACAAAAACAATCTATGTCGACTCCAAAGCTCCCTCTATTTACTAACTCAAGCATTCCCTCCCAAATCCTCTTTCCCTGTGTCAAGTTCATGTGTTGCAGTCCATCCAGTCAGACTTGAAAGCCAATGGTTCTTCATGTTTGGTAAGCCTTAAAGTATGGGTGGGATTACTTTTAAGTTGTGATGGTTTTTTCCTGAAGAAGATTTGGTGCAGAACTGCTGTTGAGGTAGGCTTGTCCTTGATGGGCAGGACCATTAACTCGATATGTGCATCACTAGTCCTTTCTCCCTGTCTTTTTTGTTTTCTTTTTTCTTTTTGAGGACGTACTTGATTTTGTGATCTATTGCTTTTACCTTAGGTTATGCCACCTTTTAGTGGTATC</t>
  </si>
  <si>
    <t>P3-2_Contig-987</t>
  </si>
  <si>
    <t>TCAGACATGGGCTTCTTGAGTGTTGCGCCCCGGCTCAACTTACTCCTCCGAAGAGTTTCTGATTTCCGTTGTTTCACACCAGTCCACCCACGTCCTCGGCTAAGGGCGCTGCATAACTTGTCATGCTGCAAGCAGCAGAGGACCGCAGCACAGCAGGCTGGCTAGGTAATTTGATTACAGCGTCGAGATGCTTTCACTCTAAGGCAAGAAGACCACGAAACGACCCAGTCAAGGATCGATCCATGCAAGGAGGAAAGAATAGGCAAACGTCCCTAGTCGAACGTCGTTCTGCCTTTTCTTTAGTTCGCCTCTACTACCAAGGAAAGATTACAGAGCATCTTTGAACGCCAACTCTGCCGGTCAAGGCAAAGGTATAAATGCGCGAGAACCGAAGTCCTGCCAGAGAAGGGGACGGCACGCCGCAGGGGCGACCGTTCTTGCCTTCGGGGTTTGCACTAGGGTTACCACTAGCGACTTGGGGTTAAAGAGGTTTAAGGCCCTCACGCCTTGTGCG</t>
  </si>
  <si>
    <t>P37_Contig-189</t>
  </si>
  <si>
    <t>TCTTTTTCGTTACTCGTGTCAGCATTCTCGCTTGGGATATACTGGACTAGCGCTAAATAGCGCTCAAACTACGTTGTAGTTATCTTTAAACTTATGTACGTCGACTAGTTATTATTTACTAATAGTAGTGCTTTTTTCTTCCTAGTACAATACTTTTATATTTCCTTTGTTTCTAGTCCTATTTACCCAATGTTCCGCTACCCCATAAATAATACGCAACTAGTGTTTACGTATATTACATAGGATTACCTTTTGCTTATAATCATTACCCATACCACTCACTTGCGGGTTTTGTAAATACAGCGAAACTTCCTACAGCAAAGGTAACCTAG</t>
  </si>
  <si>
    <t>P37_Contig-724</t>
  </si>
  <si>
    <t>TTGGCTACAGTGAAATACCACTACTCTCATAGTTTCTTTACTTACACGGTTAAAGGGAAGTTGGGATAGTGTCTCTCTCACTTGGGTTTACCTCAGGGTTCGGGAAGGCCTCCTATCCTTAAATTCTAGAGCAAAGTGTGGGTACTTTCATCAATGCTCAAGACCCTATGACTTGTCTTGTTCTTCGGGACTTGATGAGACTTAGACTTGAGTTTGAAAGGTAACGTGGGTGTACCGTAAAGAAACTTGTTTCTGGTGCATACTACAATCTGCATGATCCTCACCGTGGACATTGTCAGGCGGGGAGT</t>
  </si>
  <si>
    <t>P38_Contig-38</t>
  </si>
  <si>
    <t>TATCTTATTGCAAAGTGCTTTGTTTTAATTAAACAGTCGTACAACGCCATTTTATGTCTCCTCTCCTTATCTTATATTCATCGATAAGGATGGCACACCTTATCCCTAAGTTACGGTGTCATTTTGCCGAGTTCCTTAATGATTGTTAACTCAAACGCCTTTGTATACTCTACTTGCTTACTTGTGGTAGTATCTAGGTACGGTTATTTACTATTTA</t>
  </si>
  <si>
    <t>P40_Contig-32</t>
  </si>
  <si>
    <t>CTTACTGCGTCTTGCGGTCTTTATGCCCTGCTTACGCAACTGATAGACGTGTATGTCAAACAGTAAAGCAAGATTAAGCCATTAAACTTTTAAAGTAAAATAATAATCATTTTCTTAATATCAAAAGCATATTAAGAAAATAAACTAAAACACTACTGTCACTTTATAAACATTGTCTTAGTGTTTTATTTACATCTATTTTCCATATAGTTAAAAT</t>
  </si>
  <si>
    <t>P42_Contig-1275</t>
  </si>
  <si>
    <t>TTCTTTCCCCAGTGTTCCTGGCATATATGGTTTTTAGACCACAATAAGTTCTTCAACAGCTACAGTTTGACCCGCAACTGCAGTTTGATCCGCAGCTGCAGTTGTCGCACTCCTGGTTGTAGTTCTTCTCGCAACTGCAAGAGTCACCGCATTTGCAGGAGGAGCCACATCCACAGTTAGAACCTGCCATTTCTTCTTTGTTGATTATAGATTGTTGTAGTTTCTTTTCTTCTTCTTC</t>
  </si>
  <si>
    <t>P42_Contig-1579</t>
  </si>
  <si>
    <t>GCATGGACCTGGTATTGGGGGAATGTTAGCTGGAGGGGCTGCAGGTGCGGCACTTGCTTATGGTGCTACTCATTTGTTACATGGAGGTTCTCATCACGGAGGTGGTCATTATGGAGGACATGTTGGTCATTATGGACATGGTGGTCATCATGGTCATGGCAAGTTCAAGCACGGGAAATTCAAACACGGGAAGCATTTCAAGCATGGGAA</t>
  </si>
  <si>
    <t>P42_Contig-1912</t>
  </si>
  <si>
    <t>AGTGCAGAATCTTTTATTCGAATGACTATTCGGTTCCCGTTGTGTGCGATGACTTGGCATTCATATGGTCTTCTAAGCAGACGAACTAGTATTCAAGCTTGAGCCAGCATCGGTCCATCAGGTTTTGTCTGGCGCGTGTGGGAGTTATTGGTTTCGGTGGCGAATCATGTCTGCTTGATAGATTTCGTAGAAAATGCTTTGTACTCGTACACCAGTGGATTGCATAGACTCAGAATTTTGATATAGCCTAGTGCCTAGCTCTTGTTTGAGTCCTAACGGTTCT</t>
  </si>
  <si>
    <t>P42_Contig-262</t>
  </si>
  <si>
    <t>GTTGTTTTGCCCCTCGTTGCATATTTCCAAGGGTTGCTTTGGGCATAAGCCGCCCCGGAGCATCTCGATGACGGAATGTGCATTAGCGGAATAGCGTTCCTAAGAGTTGTTTCTCGTGTCCGCCCAGGTTCAACTCAATGATGGAACGCGCTGGGAGCCTTTGGGCTCCTCGCGGACTCCGGTTATTGCGCAAACGACGGTTCGGGCACAGTGGAAGTAAAAAGACACGCCGGTCGAATCCTAGCAAGCGTAGTAACCGGATTTGCTGACGGTGTCGGTTGGCGGTCTTTGGCTTTTGCCAACCGATTTGAGGCGCGTTCGCGTGCTAGCGGCAGCTAATGTGGGTTTTGTTGTGTGTTCTCTTTGCACTTATCGACGCAGGCGTTTCTATCGAAGACCTAAATTGGTGTGGCCTATTGTGCACAGTTTTTCTGAGCTGGGGTCTTGCTAATTAATGGTTAACGTAAGCGACGTGTGCAATGCGAGATGTGCGTGAGTGGTCCCTTCTTCC</t>
  </si>
  <si>
    <t>P42_Contig-280</t>
  </si>
  <si>
    <t>GTTGATTGTCTGCTTGTGCAGGAACTGCCATGCGTTCTTACCTCTTCAATTGTCCCTTACGATGATTATATGGTGAAAACCACGAATATTTTTTGTACAAAACATTTTTAAACAATCATTTGGTGGGTTCATGATTTCGTATCGTGTGGTGCATTCTGGGGGTTGTTCTGTCTTATGATTGCTTTCTCACGCATGTTGCCGAGGGGGTAGTTGTCTGGTAGGCGATCTTCGGGGATGATTTCCATAAAGGTGCATGAGTGGTGTTTGGTTTGTTACGGGTG</t>
  </si>
  <si>
    <t>P42_Contig-317</t>
  </si>
  <si>
    <t>TGAATTGTCTTCTTATGACTCATCAATCAGATAGATTCGTTTTTTGAAAGAACTGTTCAAGGAAAAAGCAACCCCCTCGCCCAGTACCAGTTCATCCTCAGACCTGCCCCCCCTCTTCTTCCATCAACTAAATGGATTCTGAGATCTTGTTCATGAGATTAAGAAAAAGAACTCTCTTTCTAAATTATTCTAATTTTTATGTATAGTAAATTACTAATCTTTTCTTTTTCTCTGTTAGAAAAGAGAGAGTTTCCAATTTTTTACTTCACTTCAATACTCAATACAATAATAATATTCAATAAAATAAATAGGAGACTGGAAATTAGAGTCTTTTTCTCGCATCCACTCTTCATACGATTGTCGGAACAAAAATCTTGGATGCAACGAAATGGAAATTTTTATAAAGCCGCGAGCTATAAATCTAAATATAGAAATATTATATAGATATAAATTAATCTTGATCCTAAAGAAAGATAGTGAAAATTTTTCTTATCTTGTGACTTAGAATAAAGGGTTCTCCGTGGAGGAACGAAATGACAATTTGTTCCTATAGAACATCTAGGAACAAGACGAT</t>
  </si>
  <si>
    <t>P42_Contig-424</t>
  </si>
  <si>
    <t>TAACCGGAGTCCGCGAGGAGCCCGAAGGCTCCCAGCACGTTCCATCATCGAGTTGAACCTGGGCGGACGCGAGAAACAACCCTTAGGAACGCTATTCCGCTAATGCACATTCCGTCATCGAGTTGCTCCGGGGCGGCTTATGCCCAAAGCAACCCTTAGAAATATGCAACGGAGGGGCAAAACAACGGAAGAAGGGACCACTCACGCACATCTCGCATTGCACACGTCGCTTACGTTAACCATTAATTAGCAAGACCCCAGCTCAGAAAAACTGTGCACAATAGGCCACACCAATTTAGGTCTTCGATAGAAACGCCTGCGTCGATAAGTGCAAAGAGAACACACAACAAAACCCACATTAGCTGCCGCTAGCACGCGAACGCGCCTCAAATCGGTTGGCAAAAGCCAAAGCCCGCCAACCAACACCGTCAGCAAATCCGGTTACATCGCTTGCTAGGATTCGACCGGCGTGTCTTTTTACTTCCACTGTGCCCGAATCGTCGTTTGCTCAG</t>
  </si>
  <si>
    <t>P42_Contig-482</t>
  </si>
  <si>
    <t>ACCATATGAATGCCAGGTCATCGCACACAACGGGAACCACATAGTCATTGTGTGAATCCATGCAATCCACTGGTGTACGAGTACAAAGCATTTTCCACGAAATCTATCAAGCAGACATGATTCACTACCGAAACCAGCACCTCCCACCCGAGCCAATCACCTCCGTCCTTCGCAGACCATATGCTAGCATATGGCCAGGGGGTCATTACGAAAATACCGACTACCGATTGCTACTACGGGTCACCTTCGGGTCATTGCGCCAGTCACCTTTGGGTTCTTCGCAG</t>
  </si>
  <si>
    <t>P42_Contig-491</t>
  </si>
  <si>
    <t>CAAGATGAATTTCTATGTTAAGTAGAGTTCGTCGATGTATATCTATCGGATGTGGCTTCATGTACCAAATATTTTTATATCGACGCAGCCGGTATTTTTATTTTGGTTACCACGGTGTAGTGGAGAATGGATGCAAAAAAGAGACTTTGATTTCCAATCTTGTATTTTTTATTGAATTTACCAACAAAATAGCAAATAATCTCTCTATCTAAGAGATAAGACTTAAATGTGTTTTTTGATCATACATGGTAAGATCGATGCTCGCGTTTTCCATTTATCTGCAGTAAAAGAAAAGAGACATAACAAAGAAGACACTCAAAAATTATATATATGGAATTGGAATAGTTTAGTACACCTAGAAATTAGAACAATATAGAAATATCTTTCTTTTTATCAATCTAACGAA</t>
  </si>
  <si>
    <t>P42_Contig-512</t>
  </si>
  <si>
    <t>ATATCTTAAAAAGAAAAATAGGATAACTCCCCTTTTCCTGGGCGGGTCAACAAAGTCATGAAATATTTCGATTTACTTTTTCTATAAAAAAATGGATTTACCTGGACTAATACATGATTTTCTTTTAGTTTTTCTGGGATTCGGTCTTCTAGTAGGAGGTCTGGGAGTGGTATTACTTCCCAACCCAATATTTTCAGCCTTTTCCTTAGGATTTGTTCTTGTTTGT</t>
  </si>
  <si>
    <t>P42_Contig-608</t>
  </si>
  <si>
    <t>TATTTTGTTGTGAACCGAGTAATTCATAGAATTGTTTATATCTAAAATAATAACATCTCCTTCCTTTATATGATCCCCTATAGTTATATACATACAAATAAATAGATTGACTGGAATTTCAGACATCGGCCCGACGATGATCCTTTTTTCAAAAGAGCGCAAATTTTTTTACGTTTACACATGCATAAGAGCTTTTTTATTTATGTTTGTAGGAATCTATGTGTTATACAATATTCTACCAAATGGGTCTTATCGAATCGAAGTTTTTAAAATAAAAAAAGGAGTGATACGATTAGGTCTCAGCCGATCTAAAAAATCT</t>
  </si>
  <si>
    <t>P42_Contig-707</t>
  </si>
  <si>
    <t>GCCTACCAGACAACTACCCCCTCGGCAACATGCGTGAGAAAGCAATCATAAGACAGAACAACCCCCAGAATGCACCACACGATACGAAATCATGAACCCACCAAATGATTGTTTAAAAATGTTTTGTACAAAAAATATTCGTGGTTTTCACCATATAATCATCGTAAGGGACAATTGAAGAGGTAAGAACGCATGGCAGTTCCTGCACAAGCAGACAATCAACCACCCGTAACAAACCAAACACCACTCATGCACCTTTATGGAAATCATCCCCGAAGATC</t>
  </si>
  <si>
    <t>P42_Contig-807</t>
  </si>
  <si>
    <t>AGTGCTGAAAGCATATAGGCACGAAGTTTACTTTAAAATATTCTTAAATATACGTCAGAGAATACTACGAAAAATGGGGGGGGCTGGGGTGTTCATTAATAAATATTTCCCAGCGATCGATAAAAAAACTAGTTCCCTCGATTTATCCCCCCTTCCTTCGGCGGGGGGGATTAGGGAGGGGACCGGAGGCGTCCCCCTCGGCTCGAGCCGGGAACCTAGTTCCGCCTCGCGCGGGACTAACCTGGAAAGCACTAGGATGTTACTAACACTTTAGTAGATATATAACATAGGCACGGCAGGAACGCTATGTTAGTTAAAATA</t>
  </si>
  <si>
    <t>P43-2_Contig-43</t>
  </si>
  <si>
    <t>TGGAAATGTTATTTGCCTGTTTCAGGGTGCCTTTGTGCCAATTCTGTAGTGTTTTTTTTAGATGTCCCAGTTAATGCATTCAGATCCAAAGCATCTACTTTCAAAAATAAATTGAAAAACTTTGTATCTGTGCCATACTTCTAAAATTGACTCAATACCACACTTACATTTTTATTGTTATTAGTGGTGAAGCAATGAAAATTAGTTCATACT</t>
  </si>
  <si>
    <t>P43-2_Contig-60</t>
  </si>
  <si>
    <t>TCAATTTTAGAAGTATGGCACAGTTACAAAGTTTTTCAATTTATTTTTGAAAGTAGATGCTTTGGATCTGAATGCATTAACTGGGACATCTAAAAAAAACACTACAGAATTGGCACAAAGGCACCCTGAAACAGGCAAATAACATTTCCAAGTATGAACTAATTTTCATTGCTTCACCACCAATAACAATAAAAATGTAAGTGTGGTATTGAG</t>
  </si>
  <si>
    <t>P44_Contig-12</t>
  </si>
  <si>
    <t>ATAAAATTGACTCGATGGCGGATTTCTTTGACTTGTGTGTCTGGGCTTTTGTACGTGCGGTGCATGAGTGGCGCTTGGCTTGTGGCGATTTGTTGGTTCCCTGCTCCGGCAGCGACAACATCTCTCCCTAGCCTTTTCATTTTGTGGCCGATGATGTCAATCGTCGGCCGTGTCGGGTTTTCTGTGTTGCATACCTACGCGATGGTATTCGGTCGGTTATAATGGGGAAAGGTCCACTAAGTGGTGCTCCACGCCGTGTATGCGCGCGCGGATTCCAGCACGAGGTGGATCCTTTAGGCGGTCGTCGTGCTACCACAATCCTCGCACTTCGGTTCGATGGTTTGATGGCTCATGACGGTCTGCTTGACATCTTGGGTGCGGAATATTACATGGATATGGGGTCTAGCGCCCCTATTTGTCCCGTATAGCAAGCGTTTACGCTTTGTTCCCCCGAGATAGTTGGCGCGCACGCGTGACGCTGTTGATGAGGCGCAAGGTGTTAATGCTGCTACGCGAGTTGGCCGACCAAAAGGGGCGATTAGGCGCGCTGACACGGGCGCAAGCGACAGTCCGTGCGCGAAGAAGGTCGCAACGTCCGGGTGAGGTACCGACCGAGGGGTTGAGGGATTTTTCGTGCCAATCGGGACTTGCTTGGGCGTGCTTGCCGGAGATTGCCGAGTTGGGTC</t>
  </si>
  <si>
    <t>P44_Contig-296</t>
  </si>
  <si>
    <t>CGACCGGAGTAGACCCTTAAACGAGTGGACGGGTCAACAAGGCTTGCTAGGCAAGAATTATGGCATGCCTAGCATGCCATAACGCTTGCCTAGCAAGCCTTGTTGACCCGTCCACTCGTTTAAGGGTCTACTCCGGTCGGAACGGATCAACAAGGCTTGCTAAGCAAGCGTTATGGCATGCTAGGCATGCCATAAATCTTGCCTAGGAAGCCTTGTTGATCCGCTG</t>
  </si>
  <si>
    <t>P44_Contig-44</t>
  </si>
  <si>
    <t>TGAATTTTTCTTAAATTTCCACGAATGGACTCTTATCAAAATTCAATTAGATAAGTTTTATAAGTATAATGGGGAACAGCGGATCCCTTTTGTTTCAATATTTCATTTCAAAATTCAAAGAAGTTTTCATCCCATCGAACTCTTTCGAGCATCTATCCACCAGCCAATCAATTCAATTACTTTTCTTCTTGGGTTGGCTTGGCAATGATAAAAAAAGATTACTAATTTGGTTTTTTCTTAATATATACCAAACTTTACTTTTTTTTTCTTTGATTCTTTCGGCAGGTACTGGGATTAAGTTTGTATCTTTATCATAAATTATAGTTTATAGTACAGCGTCTTACACGAAAAAAGACTAATCTAATTGATAGTATGGTAGAAAGATTCATATGAATCTTTCTACCATACTATCAATTAGATTAGTCTTTTTTCGTGTAAGACGCTGTACTATAAACTATAATTTATGATAAAGATACAAACTTAATCCCAGTACCTGCCGAAAGAATCAAAGAAAAAAAAAGTAAAGTTTGGTATATATTAAGAAAAAACCAAATTAGTAATCTTTTTTTATCATTGCCAAGCCAACCCAAGAAGAAAAGTAATTGAATTGATTGGCTGGTGGATAGATGCTCGAAAGAGTTCGATGGGATGAAAACTTCTTTGAATTTTGAAATGAAATATTGAAACAAAAGGGATCCGCTGTTCCCCATTATACTTATAAAACTTATCTAAT</t>
  </si>
  <si>
    <t>P44_Contig-570</t>
  </si>
  <si>
    <t>AAAAAAAAGAGAGCCTAGCCCCTCATAGGATCCCCTATCTGTACATATATAAAAATGTCTGCACGTATATAACAAGCTTTGCATTTCTTTCAGGCATCCGCTACAGTCTCAATTTATTTTCAAATAGCCCATTTACTTAATATCTTATATTTACGCCTGCGCCTAAGAACCTTTTTCATTTATGTTTGAGAAGGGAGCTGTCTGCATGTTCTATCAGATTCTACTAAACTAAATAGATATCTGTATTATGATCCAAGCCTAAGTCTTG</t>
  </si>
  <si>
    <t>P44_Contig-646</t>
  </si>
  <si>
    <t>GCTTGTGACTTGGTCGAGTACACCGAATGGGCCGCAGCCATGGGGTCGGGCTCCTGTGCGAACCGGTTGGCCTTGTGCCATCTTAGAAGTAGCACTTCCAAACGCGTGACATGCATTTCGCTCAGGGTGGTGGAGGCCCAAAGCGTTCGGATTTGCCGATGGGGATGTCGCGGTGCCTGGGGAAAGGAGTCGAGCCACAAGAATCTATCCCACCACAATTCAATGTCCCACCCGTACAAAAACAGCCTCGAGGTGCAGTCAGTGCTCGGGAGGCGAGTGAATGAGCA</t>
  </si>
  <si>
    <t>P44_Contig-89</t>
  </si>
  <si>
    <t>CCCATACAGAGGATAGGCTGGTTCGCTTAAAGAGAATCTTTTCTATGATCAGATCCAATCATGTTGTACATGAACAGGCTCCGTAAGATCCAGTCGAATGTGTGATTTTGCATAATATAATCTAGATTATATTATGCAAAATCACACATTCGACTGGATCTTACGGAGCCTGTTCATGCATGACATGATTCAGGGTTGACCATAGAATAGATTCTCTTCAAACGAACCAGCCTATCCTCTGTATGGGCTTACGTGATGGTTGGAACAAAGACACATTTGGTTGTGAATTCAAATGTGGCAGATAAGCACATATCTGCACAGACCAATCAATAGTTCAAGTCACACACT</t>
  </si>
  <si>
    <t>P44_Contig-91</t>
  </si>
  <si>
    <t>CCAACCACCTATGGCCGTTCAGCTTAACCAAGATTGAGTTCCTAGCATGTATAGAACAACCTTTAGGTGTGGCTAGCCGTTGGGGGTGGGCAAACGAGCAGGTGGTGGGATAATCGGTTTTTTGCTGCTCGGGATCTCAATGCTCGTGTGCTCACGGCCCTTTAGCCTAGCCACAAACACATCCTCCGCTCCTCTCAAACCCTTTTGATGCCATGAAACATACCTTAAGCCCAACAAAAGGAAGCCTTGAGGCACAGTCGGCGCTCGGGGTGAGGGCAAACGAGTAGCTTGTTGGATAATAATCGGTTCTTGCTGCTCGGGAGCTCAATCGTCGTGCGTTGGTTAGGCTCAGCCCAGCCATTAAACACATGTTACCCTATGCGAGAACCCATTTGACAAATCAGAACCCAGCTTCCACCCCACAGACAACATCCTTGAGCCTTGATCGGTGCACGGGGGGCGAGTGAACGAGCAGCTTGTGGGATTATCGGATTTTTGCTGCTTGTGATCTTGATCCTTGTGTGTTGACCACTATCAAGCCCAACCTCAAACACAACACATCATCCAC</t>
  </si>
  <si>
    <t>P44_Contig-93</t>
  </si>
  <si>
    <t>TGACATCATCGGCCACAAAATGAAAAGGCTAGGGAGAGATGTTGTCGCTGCCGGAGCAGGGAACCAACAAATCGCCACAAGCCAAGCGCCACTCATGCACCGCACGTACAAAAGCCCAGACACACAAGTCAAAGAAATCCGCCATCGAGTCAATTTTATGACCCAACTCGGCAATCTCCGGCAAGCACGCCCAAGCAAGTCCCGATTGGCACGGAAAATCCCTCAACCCCTCGGTCGGTACCTCACCCGGACGTTGCGACCTTCTTCGCGCACGGACTGTCGCTTGCGCCCGTGTCAGCGCGCCTAATCGCCCCTTTTGGTCGGCCAACTCGCGTAGCAGCATTAACACCTTGCGCCTCATCAACAGCGTCACGCGTGCGCGCCAACTATCTCGGGGGAACAAAGCGTAAACGCTTGCTATACGGGACAAATAGGGGCGCTAGACCCCATATCCATGTAATATTCCGCACCCAAGATGTCAAGCAGACCGTCATGAGCCATCAAACCATCGAACCGAAGTGCGAGGATTGTGGTAGCACGACGACCGCCTAAAGGATCCACCTCGTGCTGGAATCCGCGCGCGCATACACGGCGTGGAGCACCACTTAGTGGACCTTTCCCCATTATAACCGACCGAATACCATCGCGTAGGTATGCAACACAGAAAACCCGACACGGCCGACGAT</t>
  </si>
  <si>
    <t>P44_Contig-95</t>
  </si>
  <si>
    <t>AGCCACACCTAAAGGTTGTTCTATACATGCTAGGAACTCAATCTTGGTTAAGCTGAACGGCCATAGGTGGTTGGGTGGATGATGTGTTGTGTTTGAGGTTGGGCTTGATAGTGGTCAACACACAAGGATCAAGATCACAAGCAGCAAAAATCCGATAATCCCACAAGCTGCTCGTTCACTCGCCCCCCGTGCACCGATCAAGGCTCAAGGATGTTGTCTGTGGGGTGGAAGCTGGGTTCTGATTTGTCAAATGGGTTCTCGCATAGGGTAACATGTGTTTAATGGCTGGGCTGAGCCTAACCAACGCACGACGATTGAGCTCCCGAGCAGCAAGAACCGATTATTATCCAACAAGCTACTCGTTTGCCCTCACCCCGAGCGCCGACTGTGCCTCAAGGCTTCCTTTTGTTGGGCTTAAGGTATGTTTCATGGCATCAAAAGGGTTTGAGAGGAGCGGAGGATGTGTTTGTGGCTAGGCTAAAGGGCCGTGAGCACACGAGCATTGAGATCCCGAGCAGCAAAAAACCGATTATCCCACCACCTGCTCGTTTGCCCACCCCCAACGGCT</t>
  </si>
  <si>
    <t>P45_Contig-62</t>
  </si>
  <si>
    <t>TTTACTCCATTTCTTTATGTTGTCACATATAATCTCCTCATCATTTTATCCTTTAGGTTTAATTTAGAGACCGATTAACTTTCCCATAAGCTTAAGGCGAGGGGCTATCCCTTTTTCGTTACTCATGTCAGCATTATCACTTGGGTTATCATATATTTATTATTAAAAACAATAAAAGTAACCATTTGGATTTACCCAACGTTCTGCTACCCCATAAATATAAATAAGATATTATATTTTGGTATGGACCCCCAGGCTAAAGATTCGTTAATTAATAATATAAAAAGTGAATTTTTATTTTTAATCCCTTGGTTCATTTTTTTAATTAATCTTTGATTAATTAAACAAGAACTAAAGAAAAATAATTACTAAATCTAGAACTGGTTTTTAATTATTTATACCTATGGACAAGGTGTCGGTATATTGTTTAGATCCGTTAAATTTTCGGTGCAACTATCAATGTAAAGTTTTG</t>
  </si>
  <si>
    <t>P45_Contig-7</t>
  </si>
  <si>
    <t>GTACTATCTATTTAAAACCTATTTACCCAATGTTCCGCTACCCCATAAATAATACTTAAATAACCTTTAAGTATAGTAAACTAGGATTATACCTAATATAATTATTATGGACAAGGTGTCGGTGTTTTGTTTTAGATCCGTTATATCTTCGGCGCTTTTAACTAATTAGGTTAACGAATTAACCATTTGAACCAGTGCTCTGTTACGAGGTCTTCAAAAAATGGCCGCTTCTAAGCCTATTTCCTGGTTGTATTTGAAGAAAACTTCCTTATTTTCACTTAACAATAATTTTGGAACCTTAACTCTTGTTCTGGGCTGTTTCCCTTTAGACATACAACCTTATC</t>
  </si>
  <si>
    <t>P46_Contig-1109</t>
  </si>
  <si>
    <t>CTTCGAATGGAATCTTAGCCCGCCTCACTTGACTGAGCATAAGCGAAGTCAAGGGATTTCCTTCTAACTAGTGGCTGAGAGTAAGCAAGCTACCTTCATTCAACAGATTTGTGGTTGAGTCAGCTCCGAGATGAGAAGGCGTCACATTCCCCTTCCACCTTCGCCTTTGACTATATAAGGTCGGGTAAGGAATTCTATTATTCTGGTTTATAGGCGAGATCTTTTCTGCGCGTCCAAGTCAAAGAAAGAGGGGAAGAACAACCCCGCAAACGTAGCCCTGACTACATTCCACTGTGACGGTACGGAATTTGAACGGGGGAATAGTCAAAAGGCGAGCACTGAAATGAGAAAGGCTTGTAGACTCGTGACGCTGAACGAGACATTCGAAAACTAAAGCGCACACTAGAAAGTG</t>
  </si>
  <si>
    <t>P46_Contig-1196</t>
  </si>
  <si>
    <t>GTATGAGTTGATACCATCATTATCCGTAGGTAGAAACAGCCGGGGTGTGAATATATATATTTGTATATATGGATGCATGAGCCGGCATGTATGTTTGTGAAGTAAATAAAAACGGCCCCGACTCCATGTCCGAATAAAGTGGTAATAAGTCCTACAGGATCCGTGGGTTCATGGTCAAATCCCTCTATGATGTATTTTATTACAATTTTTTTTT</t>
  </si>
  <si>
    <t>P46_Contig-1773</t>
  </si>
  <si>
    <t>GAAATCGTGATGAGAGTACCAATGAATCACTTCAACAAATCGAACGGTGTCACCCTCTTCAACTTGCACGATGTTCTTCACTTTCCTTCTCTTCAAACGTCTTCTTCTTCAAATCTGCTCTAGGTCTTCAATCTACTTGAAGCTTCAACTCCCAAGGATCGGATTAGCTCTTGATACCAATTTGATGTGTTCTTGTACGCAGAAGCTTGATACAAAGAGTTAATCAAAGAAACACAGTAGAAACTATGAGAAAACACAACTTTTATTAGA</t>
  </si>
  <si>
    <t>P46_Contig-1815</t>
  </si>
  <si>
    <t>GGCCACTGCGCCACATGCAGTAAACCCCGATCACGGCAGGGTAGCATGTGGTTTGGCCCGATGATGGGGATCGATTGTTTTGATAAAATTTTTAGGCCACGTTGAAATTCGATTCAAAACATGAAATATCCGGAGGGCTCAGGTTGAGCTAGTGGGTGAATAGCTCGGAACATCTTGAGATGGCTTATGAGGAACTTCCAAACGCGATCAATGGCCCATGCTCGGCTAGCGTTAGTCGACCAACGAGTGGGGGGTCCGATATGAAGGCATCAACGAGATGTTTCACCCGTATACGTGGTGGGCCGCTAGGACAACTCGGCAATGACTTTTGATGCCATTGTCGTGTTGT</t>
  </si>
  <si>
    <t>P46_Contig-227</t>
  </si>
  <si>
    <t>TTTTTTTATTTTGTAATTCTCTTCAATGCTTTTCAGTCTTCGTTGTTTTTCGGTTGCTGTGGTCCATCAACAAGTGTTTTAAGACGATTTTTTTGGAGCAACCATTCTATTCTAGAAGAGCAATGTATTTATTTTGCATGTGATCATCTTCAAGGAGAGCCAGAGCATGGGTTCAGTGTAACAAGCTCATTTCTGAGATTGGAGTTTACGTTTCTCTCTCATCAATAATATTACTATTGACGTCCTTCTCTTTTCGTTCCTTCTTTCTCATCCGTGGTGACTGTTCGCTAATTCCTTTGTTCTGTTTGGATCTTTTCAGAAATTGGATCGTTTTGCTGTTTTTTTCCGGATAGGTAAGTTGGTATTTGCCTTTTCAGATCTAGGTCCTTGGTGTGGTTACAAGTACGTTCTTAGTTCATCAGTTGCGTTGTGCCAAATATGCATTAGCTTTACGTTGTCATAAAATTTTATAATTTTTTATCTCAACTTGTGCTGGCAGTGTTTCCTTATGGCTGACATGCTTTGGTGACAGATAAGATCTTGATTTTAGATTCCATCTTCTTTTTCGTGTTAATATTATGTTATGCATTTTTTACTCTTAGGTTTGTTGTGGGTATTTGCTCTGGTGACAAGGTATATGGTTATTCCCTCTTATCTTGATCATCCATTACTCATTTGGTCGAAGATAAGACCTGAATTCAATCATTGGGTTTGATCAACTTAGTAGCTACTAGTCTTGTTTTATATCAGATATCATTTATACCTAAT</t>
  </si>
  <si>
    <t>P46_Contig-2778</t>
  </si>
  <si>
    <t>GGGCCAAGCTAAGGTTGGTCACTATGAAAACACGACAATGACTCGTCGAGCCCACAACATGCATCGGATAAGGGACGTCTTTTTAATGCTCTAGTCGAACTAAATCGTTAAAAGAGCAAAAGAAATACATTACCCAGCCGCATGCCAAGGCTCTAAAATCATTGTGGAGTTTTCTTAGTGTCCCACCATAATATTTTAAAAAAACAGGCGACAAATCGTAAAAAAGTTGTTGCTAGCACGGGCATTTTAAAAAAAGGATTTGCTTT</t>
  </si>
  <si>
    <t>P46_Contig-286</t>
  </si>
  <si>
    <t>CGTTGCATATTTCCAAGGGTTGCTTTGGGCATAAGCCGCCCCGGAGCATCTCGATGACGGAATGTGCATTAGCGGAATAGCGTTCCTAAGAGTTGTTTCTCGTGTCCGCCCAGGTTCAACTCAATGATGGAACGCGCTGGGAGCCTTTGGGCTCCTCGCGGACTCCGGTTATTGCGCAAACGACGGTTCGGGCACAGTGGAAGTAAAAAGACACGCCGGTCGAATCCTAGCAAGCGTAGTAACCGGATTTGCTGACGGTGTCGGTTGGCGGGCTTTGGCTTTTGCCAACCGATTTGAGGCGCGTTCGCGTGCTAGCGGCAGCTAATGTGGGTTTTGTTGTGTGTTCTCTTTGCACTTATCGATGCGGGCGTTTCTAACGAAGACCTAAATTGGTGGGTCCCCTTGTGCGGATTTTTCTGAGCATGGGGTCTTGCTAATCAATGGTCAGCGCATGCGATGTGTGCGAGGCGAGACGTGCGTGAGTGGTCCCTTCTTCCGTTATTTTGCCCCTC</t>
  </si>
  <si>
    <t>P46_Contig-29</t>
  </si>
  <si>
    <t>TCTAAATCAGTCCCGAATCATTACCATTGCCCAAGCCCCGCTAGCAATCGGTAGTGCAGAGAATCAGTCGCTAAATCACGATCAAAATCACTACCAATGCCCAAGCCCCAGCTAGCAATTGGTAGTGATGAGATCAGTCGCTTTAATGAACTTGTTCGCGTATCGTTCGGTGCATTCTGGGGGTCGTTATGGCTTTTGGTTGCTTGCTTGGTCTTGGTGCCAAGGGGGTGGCTCTTAGCTGGATGGTCTTCGGGGATGTCTACCGTAAAGGTGCATGAGTGGTGTTTGGTTTGTTACGGATGGTTGGATGTCTGCTTGAGCAGCAACTTCCATGCGTTCATACCTCTTCAATCGTTGCTCCATGGCTCTTTTGTCTTGGGCATCAAGTGGGTTCCTGTGTTGCATACCTAATCAATGGCATCGGTTGGCTTGAACAAAGTTCTTTTTCGTATAGCACTGCTTGCGGTGTCAACGAACCTCGAAACGGCCTCTGTCGTCCTTCCTTTCAATGCCAATGCATGGATGGGATGGCCTATGGTGCGTCGCTTGGTGTCTTGGATATGGACCCTTACGTGGGTACATGGTCTTTAATGATCATTGTTTCTGCCCTCAGTCGAGTGTTTTGCTCCTCTAACCGACGCGTCTTCCATGCAGACCTGATGGTGTATGGTTGTTTGTGTCGGATTGGAGTGTTACCTCAGCTGATCGTTTCACTTC</t>
  </si>
  <si>
    <t>P46_Contig-3866</t>
  </si>
  <si>
    <t>GTAAAGTAACTCGTGACCATGGGTGCACCCGCAAGGGTGAGAGGTGCCGGATCTTGGACTGTATCCGTTACTTTACCAAGGGGTCGCCACTGGTGAATTAAAAGGGAACTAAAAAGGGTTTAGTTAAATAGGGTCTTTAATCTGTAATGAAATTGTATGTGAGTTCCTCACCATATACATTAGTAGTTGCACTTAAAGATTCTTATCTGTGTGTTATGTGATATTTGTGTTATGTGCTTTCTGGGTATGCAATATGTTTGATATTACTTTGGGTATGTGTGTGAATTGCTATGCTTATTGTGTATGTGGGAAAGTAATAGGGTTTACTTTAATAATGGTTGTGTCTAATAAAGA</t>
  </si>
  <si>
    <t>P46_Contig-3877</t>
  </si>
  <si>
    <t>TCTAGACAAGTACGGAGTGTTGTGGAAAAGGGCGGAAGGATCTAGAAGACTCTAGCAAGGGGCTGCCCAGAAGGTTCTAGTTTTGCATCTAACTTAATAGTTTCTAGAATATGTCATGTAGTGTTATCTAGAAAATACCATGTAAAGTATATAGAAAAGTATCATAGGAAAAGTCAGGTAAGGTCTAGATGATTCCGTGT</t>
  </si>
  <si>
    <t>P46_Contig-425</t>
  </si>
  <si>
    <t>AAGATCTTATCTGTCACCAAAGCATGTCAGCCATAAGGAAACACTGCCAGCACAAGTTGAGATAAAAAATTATAAAATTTTATGACAACGTAAAGCTAATGCATATTTGGCACAACGCAACTGATGAACTAAGAACGTACTTGTAACCACACCAAGGACCTAGATCTGAAAAGGCAAATACCAACTTACCTATCCGGAAAAAAACAGCAAAACGATCCAATTTCTGAA</t>
  </si>
  <si>
    <t>P46_Contig-433</t>
  </si>
  <si>
    <t>TAACCGGAGTCCGCGAGGAGCCCGAAGGCTCCCAGCGCGTTCCATCATTGAGTTGAACCTGGGCGGACGCGAGAAACAACTCTTAGGAACGCTATTCCGCTAATGCACATTCCGTCATCGAGATGCTCCGGGGCGGCTTATGCCCAAAGCAACCCTTAGAAATATGCAACGGAGGGGCAAAACAACGGAAGAAGGGACCACTCACGCACATCTCGCATTGCACACGTCGCTTACGTTAACCATTAATTAGCAAGACCCCAGCTCAGAAAAACTGTGCACAATAGGCCACACCAATTTAGGTCTTCGCTAGAAACGGCCGCGTCGATAAGTACGAAAAGAACACAAAACAAAGCCCACATTAGCTGCCGCTAGCACGCGAACGCGCCTCAAATCGGTTGGCAAAAGCCAAAGCCCGCCAACCGACACCGTCAGCAAATCCGGTTACATCGCTTGCTAGGATTCGACCGGCGTGTCTTTTACTTCCACTGTGCCCGAATCGTCGTTTGCTCAG</t>
  </si>
  <si>
    <t>P46_Contig-439</t>
  </si>
  <si>
    <t>AGTAAGCCATCATGGCTGTTAATATATACGAAAGACGGGAAGTATTCGAGTTTACTCAGGTACTCTTTATTGTTGCAATTGAGAAGAACTCCATATTGAAGACTCAGACACCAATCATGACTTTGAAATATACCAGAAGAAAACACGAGCCTAGCCTGCAGATAATCAACCTTCACTTTTGTCACGTCTCTTCCTACACATATGTAACCCAACTTTATTGAGAGAAGGGGTTTGGATTCGCAAAGATGACAGAAGGCATCTAAGATCTCTCGATGTTTGTCCGCTTCCACCTGTGCTGCCAAAAAGGTTACAGATCCTACATCCAATCGAGGGTCTGCCTGTTCGCCATTTGGGCTGCATTCACATACTTCTAAGTCACCAGATGCAGTCCAACAGTGCTGACCATTGAACATAAATTCCCCTAGTCTTTTATAGAAGATCGATCCTACCTTGAATCCTCTTGAACCCCAAGGGACTATGGTAGAAACAACACTCTTTTCTATGTCTGCCAAAATGCATGTGTCATCCGACATCAATATGTGCTTCCCATTGTGCACATCGTCTAGCTCAACATTGGATCTCAAAGTGTGCAAGAAGTATTTACCACCTTTACGGAATATGTGACCCTCGTGTGATGAGATCGACACTGGGATATAACCGTGAACTGCAGCATCATTGAATACTGTACATTGAGGAGTCTTGATAGACATTCCGATACCATCATCTACAGCCGTTTCTTTACAGACCTTGTA</t>
  </si>
  <si>
    <t>P46_Contig-744</t>
  </si>
  <si>
    <t>CTAGTTAGTGAAATAGAGTCTAACGTGTGATTTCCGCCGAACATAAAGGAAAAGGTTCTTAGGTCTGTAGAAACGTGATATATGGATATTTGAATTTTAGCAATTGAAAAATAGATCAGGATCCGCCGGATGACTTAAATTTTAAAATGAAGTCGGCGGATCTATATGTAATATGTATATCGATGTGGATAGTAGAATCGTATTGTATTAGGGGGTTCTTATTTTAGATCTAACCAAGTTGATGAATTACTCCTAAAGGTTCCCATCAAACTAGTG</t>
  </si>
  <si>
    <t>P46_Contig-790</t>
  </si>
  <si>
    <t>AACACCACCCTTTGGTGCCACCCCCTTGGTGTATCAAGGTCACGCGTTCCCTACGTGCCAAGATGAGGTTTCCCCTTTACTCTTTATTAGACACAACCATTATTAAAGTAAACCCTATTACTTTCCCACATACACAGTAAGCATAGCAATTCACACACATACCCAAAATAATATCAAACATATAGCATACCCAGAAAGCACATAACACAAATATCACATAACACACAGATAAGAATCTTTAAGTGCAACTACTAATGTATATGGTGAGGAACTCACATACAATTTCATTACAGTTTAAAGACCCTATTTAACTAAACCCTTTTTAGTTTCCCTTTTAATTCACCAGTGGCGACCCCTTGGTAAAGTAACGGATACAGTCCAAGAAAGTCTCCCAACCACTGAACCTCTT</t>
  </si>
  <si>
    <t>P47_Contig-110</t>
  </si>
  <si>
    <t>TCAATTTTAGAAGTATGGCACAGATACAAAGTTTTTCAATTTATTTTTGAAAGTAGATGCTTTGGATCTGAATGCATTAACTGGGACATCTAAAAAAAACACTACAGAATTGGCACAAAGGCACCCTGAAACAGGCAAATAACATTTCCAAGTATGAACTAATTTTCATTGCTTCACCACCAATAACAATAAAAATGTAAGTGTGGTATTGAG</t>
  </si>
  <si>
    <t>P47_Contig-82</t>
  </si>
  <si>
    <t>P48_Contig-10965</t>
  </si>
  <si>
    <t>TTAGGGACAATGGCCAACTCAAATATCATCTCGTGAAGGCACTAGATTTCCAGCCAACTAATAACACCCACATAAGCAAACTCATGAACATGGCAATTGCCAACCAATTACCAGCTCTAACATAACTGATGAACAATAAGCCATGTACCCAGGAAAGCATGACAGTTTCAAAGCAACATTAGGGCCAATTTTCAAAGTTTAAAAGCAACA</t>
  </si>
  <si>
    <t>P48_Contig-1194</t>
  </si>
  <si>
    <t>AGACAGACCAAAGGAGAAATAGCCCAGACGCATACTCCAGACATAGAACACCTCAACATAATGCTACCGAAACAGCCACATCCATAATTGCATGAACATAAAGAGGAGAGCTACTATGACAACCATTTGCCACATAACACAGACGCCATGTATTTCAAAGCCAACCTGATTGTTACCTGAGCTGCATTTCAGAACTGACAGAAACAGCACAGCCTCTAGTAAAAGGATAAACCTCAGTGAACGAATTAACTTACAACCTTTCACTGATACAAACTTCATAAGATCCCTGCAACATCGTGAGGCAGAAAACGGAATCCACATATGTTACCAAAGAAAAAAGGCCAATAGAGCTTTACAGAGGGAATGAGGCATCAAACCAGAACTGCTTTCCAATTAATCTGACAGAAATCCACCCAAAGACCTGATCTCTGGGAATTAAAAGAGCACAGCTATGATTAAGTGTAAAGATAAGGTGGAAGACAAATGGAGCAAACCAACTAATTTACTCCCCCTCACGGCTGTTAGTTGAGCATTCATCGCAACATCCATTCCAACAA</t>
  </si>
  <si>
    <t>P48_Contig-1198</t>
  </si>
  <si>
    <t>TATGAAGGTTTAAATTGAGATTTAAAGCTTTTAGAATGAATACCGGCCTTTTTTTGGACCAATATAAAGTTATAAAGGTGTAAATATAGTTTTTAAATAATTCTCAAAAAGTTAGACCCATTATTGGAGCAACGGAAACTTCGTCCAAACTACTTTGACCAAAACTGCCCAACTTTGAATAGCTTCGTACGAAGTGAATATTGGCCTTTTTTGGGACCAA</t>
  </si>
  <si>
    <t>P48_Contig-12185</t>
  </si>
  <si>
    <t>TATTTTCGAAGACCTCATATCATTTTCCGAGTGTTCGAGGCTTCTATTATTTATGTATGATTTTTTTATCGTCCCCTTGTTTCGAATGGGTTTATAATTTATTAATTTCTAATAAATTCAAATTAGTGTTTTGTAACCCGACCAAGTTAAGAACTCAATTCGTTTATCCTTTCCTATTCTTAATAAAAACTTGAACCATGAATTGTCTTATAATTCATCAACCAAATAGAT</t>
  </si>
  <si>
    <t>P48_Contig-14867</t>
  </si>
  <si>
    <t>TTTCTTCTAGAGTACGGGAAACCGGCGTCACAATTACTGCTGCTCTCCTCGTGCTCGTCGGACTCGTTCGAAGATAACTCGGTGATTCCGCTCGAACCCGAGGAGGAGGAACTTGGCACGAGATTTAAATCAGCTCTTCTCTTCGTCGTCATGAAATCATAGAACACCGGCCTGCTCGTTCGTGGCTTTTTGGCGACAACTTGTTCGCTGTTTTTCCGAGTTGGCAAGG</t>
  </si>
  <si>
    <t>P48_Contig-1710</t>
  </si>
  <si>
    <t>AATCGTATGTCCTTTGTTACAACAATAATGACAAACAATATGAGGATTACTTTTCTTGTGATCCTTTTCAACAAATTTATACTTTTTATTTCTCGGTTTAAAAGATTTGTTGAATTTAGATGGATCAACCGCAAAAGTAATCTCCGGCTTGGATGGTTCTTTTAACTTCTCTTGTAGTTTTCGTAAATCTCTTCTTAAGTAAAAGCATCCATCACATCCGGTGTATTCATTTCCACAACTATCATAATTCACAAGAGGTTTTTGAACCAAAGATTCTTTGAGAGCTTTCAACTCATGTTCCGTTTCCGAAACTTTAACCTCAAGGTATTTATTGACTTGCATTAAACCCTTT</t>
  </si>
  <si>
    <t>P48_Contig-19</t>
  </si>
  <si>
    <t>GAAAAAACTTGAAGAGAAGTACAAAAGAACTTGAGAAGACCCCCTGTAACTTCATAAGGAACAAGAAGACAGAACCAACAGAATGAACCCATCACCTACATCTATATTACAACGAAAAGCTGGTGAAAGAGATCAAAGGGAACAGACATCAAACCAGTACAGCCTTCAGGTCACACCTGATAAAGAGACACCAAACTCTGGAAATGGAAGAGCATAACTATTAGCAAGAAGAAAGTCCAGGTACAAGAGAGATATAATGGAGTAGAAAGAACTTCTTCACTCCCTCAGTGAAACTCAATGACAGCATCAAACAGCCGCTCCATGTCCAACAATCGAACCTTGTCATCTAGTTGCATAGATCCATAACTAATCCTAGTATATAGTATCACAGAGAGGGTGATGCAAAAAAACAAAATTCACAACTACATAGCAAAGAAAAAGATGATATATAACGGAGCAAAGGGACCGAATCGAACCAGACTGTGACAGCCTTATGATGTAAACCGAAGAACCACCACCCGATCATCTCTGGAAATCGATGCGCATAAAGGTAAGCAAGGGAATAGCCTAGATAGACAATAAATGGGCT</t>
  </si>
  <si>
    <t>P48_Contig-2</t>
  </si>
  <si>
    <t>AGAAAGAGACAGTGATTTCATTAAAAGTGTTTGCCATAAAAAGCAAAAATACAATAGCTGCGCCTGCGGCAAGGAATAGCACATGAATGCCTATTTCCGCGGCCCCTAAATGAAGATTAACATGAAGATTAGTTCCAACGATACACCATATAGGTAGCAAATATAAGAATTTATCTGATTGAGGCTTTTGCCTATTCAGAAGAAAGGAAATAAACACTAACTCGGTCACCAGACCGAATCCCCATTCACCCATTTGATGGTGAAAGAAGCTTCGATAAAGGAGTACCGCATAAAACAAAGAATGAAATAAAACATTAGGTCCAAAAAATATCCACAAATGTAAGGATGCTAGTAAAATGAAACAGATACATACAAGGAAGCAACACAAATCTGGTTTATCTAAACAATAAAATATTATGAGGTTGTTTGCCAACCAAGCAAAAAGAGAGAGGCTTCGCTCCTCGTCACTTTTTGCCAAAAATAGATAAAAAATGGCCGAAGCGCCCCCAGCAATTACTAGAGCATTGGCCACTTCGCCTGGAAACCATAGGCAATTTATAATCCCACCAAAAATATTCGATATTATTATAAATAGGGGTACTATAACACAGGTATCTTTATCTAATTGAGGCATTTTCACTTTTCTTTTCTTTGAGTTCCGCTAACCACAAATACGAGGAGAGACTTTGTATTCTACTAAACTCAATTCAATCGCCTTGGTTTGGTTTTTCCAAGGAAGA</t>
  </si>
  <si>
    <t>P48_Contig-2199</t>
  </si>
  <si>
    <t>AAAAAGGAACGAAAAAAGTATAAGTTGATAATTCAAAATCAAATTATGAAAGATTTTGTTCCAATTAATTTAATTAATATAGTACAGTAATAATTCACTAATACAATGATTTCGAACTATATTTCGAATCACAGTACAGTATTTCATTTTTCATTTTAATATCTTGTATGATATTCTTGCCCCTTCCCCAGTATTACAATTCTATTTCTGGTCTCACTCTATTATTAATAGCAATGGAATTGAAGGATTAATTCAATTCCATTGATGGCAAAAATTCCGAATTTAACTGAGGCCAAATACACCTTTTGTAATTTCCTCTTTTTTGGAACCTGGTCTAAGAAAAAAATGAATGAAGAGGGATTTAATCACAGCTATTTTATGGGATCTCTAATCTTCGTCACCCCTTACCTGTGCCAATAACTAGAATTAA</t>
  </si>
  <si>
    <t>P48_Contig-2443</t>
  </si>
  <si>
    <t>TTGCTCTGGCAAGTATCAGGGCTGCACCATGCCTCCCCAGTGCCGCAGTGGCCCCAGATACTGCAGCAAAGATTTCCGGGGCACGGACGGATTCGCGAGCACCTAAATGACTGCCCGAACTTGCCATCTATGGCGGATTTGGCCAACTCCTTTCCAGATGTGCCCTCCTCCGCGGTAACGGCCTTCACCGAAGACCAGCAA</t>
  </si>
  <si>
    <t>P48_Contig-296</t>
  </si>
  <si>
    <t>AATGGAATCTTTCAACTAAAGCAATGAGATGCTTAAATGGAATTCTTTTAGTTCTAATAAATCAGGAGGAATTTAATGACAGGACATGAATTCAAGTCCTGGATTTTAGAATTGAGAGAGATATTGAGAGAGATCAAGTTATTTATATTATTCCGTAGAATAATACGGATCCAACCTACAATACAATACACGGAGAGTATAATCATGCAAAGGTCTC</t>
  </si>
  <si>
    <t>P48_Contig-3001</t>
  </si>
  <si>
    <t>GAATTTTCCATGACCCATGTGACCACCACCATGTGCATAGCCGCCATGAGCGTAGCCACCTTGTGGATAGCCACCCGGTGGATAATGGCCCTGAGCACCATGGGAGCCGTGGGAGATATGGTGAGCACCATAAGCAGTGGCAGCAGCAGCTGCACCCCCAGCAAGCATTGCTCCCATGCCGCCGTGTCCATGAGACCCTCCATGAGCCCCTGGAGCATTATGACCAGATGAACCAGGATAACCAGCAGGTGGATAACCACCAGATTGAGCAGGTGGGTAGCCACCGTAAGCAGCCGCTGCTGGTTGAGGTGGATATCCATAACCAGCAGCTTGCGGTGGTGGAGGATATGCTGTACCATACGGCACCGAACTAGACCCTGCCGCCGCTCCAGGTGGAGGATAAGCCATCACCGGTTCATGTTTCCCTTTCACATCTTCATGTTTCGCCGTCTTCGTCGGCTTTGTCGCCGGAGCAGCAACATGTTCCCC</t>
  </si>
  <si>
    <t>P48_Contig-3205</t>
  </si>
  <si>
    <t>TAACTATGCATTGGACGAGATCGAGGAGGTCAAATGAGCGCTTTAGATTTTCAGTGTAAATTGTAATTGTGTTATTTTATATTTCAGTCCCTGTGGTTGTTCTTCCCAGGAATGTGTATCATACTCTGATCTCTCTCGCTCTCTCTCTCTCTCTTATCTTTCTCCTTCTTTCCGGTGACCGCAACGACGGTTGCCGCCAGCTCTGCTGT</t>
  </si>
  <si>
    <t>P48_Contig-3656</t>
  </si>
  <si>
    <t>ATCAAGTCACCTAAAGAAACGAGTCCCTCCACCTTAACAACCGCGTACGAGTGAGTCAAACTAGCAGACGCAAGCGACATATCGCCACGTTTGCAAAGTGATGGATTCAAATCACTAACGAGGCATGAGAGACCGGTCCGGACACGGGCATATCGGTAAGCAATTACAGGATTTTGAATTCCATTCAGCAACGTTTCCCACAAGCGACCACACTTGCCGACGCTCTCGCCTAACTCTTTCACGATTTGGGTCTCTTCGGGTCATCCTCGCTTTCTCGTTAGGCTACAGCGTCAAGGCTTGAATTTCT</t>
  </si>
  <si>
    <t>P48_Contig-4757</t>
  </si>
  <si>
    <t>AAGCGATGATGACCCGAAGAGACCCAAATCGTGAAAGAGTTAGGCGAGAGCGTCGGCAAGTGTGGTCGCTTGTGGGAAACGTTGCTGAATGGAATTCGAAATCCTGTAATTGCTTACCGATATGCCCGTGTCCGGACCGGTCTCTCATGCCTCGTTAGTGATTTGAATCCATCACTTTGCAAACGTGGCGATATGTCGCTTGCGTCTGCTAGTTTGACTCACTCGTACGCGGTTGTTAAGGTGGAGGGACTCGTTTCTTTAGGTGACTTGATCTGACGATGATGTTACCGTGCTTGGATTAAGCTCGGCTTTAGGTCTATTGCGTACATGCGTAGATTGAGCCTTGCTTTTGATCTATGGCATAGCTATGGAGTTGTTCGGTCTTTGTTGCGCGAGCAACATGAGGGATCGGTTTCTTCTACGCGGATATATGTAAGC</t>
  </si>
  <si>
    <t>P48_Contig-5254</t>
  </si>
  <si>
    <t>CGCAAATGACCATTAATTTTTACTCGAGACTAAACGTTCAATTTTTACGCGAGGAATATGCTAAATGTTATGAAGCGCAAATAAAACTGTCATAGAAATAGCCGTTATCAAATTAATCCTTCAACGCGATCGGATAGATCGCAACGCGATCAGATAGACCGCAGATAAACATTGTCACATACATAAATATTGTCACTTAAAACCATCAACGTGATCGGATAGACCGTAACGCGATCGGATAGAC</t>
  </si>
  <si>
    <t>P48_Contig-5342</t>
  </si>
  <si>
    <t>CTATCCGATCGCGTTACGGTCTATCCGATCACGTTGATGGTTTTAAGTGACAATATTTATGTATGTGACAATGTTTATCTGCGGTCTATCTGATCGCGTTGCGATCTATCCGATCGCGTTGAAGGATTAATTTGATAACGGCTATTTCTATGACAGTTTTATTTGCGCTTCATAACATTTAGCATATTCCTCGCGTAAAAATTGAACGTTTAGTCTCGAGTAAAAATTAATGGTCATTTGCGGCCGACCCGATCGCGTTGCAGT</t>
  </si>
  <si>
    <t>P48_Contig-593</t>
  </si>
  <si>
    <t>TTGGGCATAGAAAGAATGATGCTCACCTTTTTCCGTTAATGACGCTACTCGGTAAATGATGTTGCCCTTGAGTTGAGTTGCTTGGTTGGCCAGATAGTCGTGGCTGTCCCTTCTCGGTAAACTCTCATTTGCATAGACGGGCTTGCCTTGCTTATGCTTTTGGGATGAGGAAATTGGTGATCATCATGCTGTTCTTGGCGGGCAGGCATGGCATTGCC</t>
  </si>
  <si>
    <t>P48_Contig-711</t>
  </si>
  <si>
    <t>ATTGGGTTTGTTAACGGGTGCGCCTTATATGAGTTTTGGTAACGGTATTCAGGTTCTTTTTGTGTCACCCTCTATTCCAACTTATAGTTTATTTCGACTTAAAGGTATTTGTTATGGTGGATGCATGTGGTTATTGTGCTCTGTAGGTGGGATAAAGTATAACTAGATAGTAGATATTCTTGCATAAGGTACCTTCTTCCTTTAATTATAGTTCAGTATTGGCTGCAACTTGGCAGATCGAATGGGTATGGTTTTGCAGGCGATGAATCAAGTTAGACTGTAAAGCTATTTGGTATCGTGGATCATGAATCTGTCGGGAGGTTGGCTCTTATGTGCACAAACTTATGCAGGGAGTTGTTGGTAACGGGTAAATTATGACCAGCTTTCAAGATTTGTGCAACAGAACTGTGGGGTACAGGTTTTGTAGGTTCAAGAATTAGGTCTGGGTATACAGTTAACGTCACTTAAGGTTTGTTCGTAGGTTCAGTATTCGAAGTGTTGATGACAATGGATGCAGGTTCTTGTAACTTATTGTTTCCAACTACGATTTCACTTTGGTTGCCCTATTTGTGATGTCAGATTC</t>
  </si>
  <si>
    <t>P48_Contig-9556</t>
  </si>
  <si>
    <t>TCAAAAAGGGGGAGAATGTAAGTGCACCAGTTCATCCTCATGTTTTAATAATTGTCAAAACACATGAAAATAGGTTGAACATATTTTGGCAAACTTTACAAATGACTTGACAACAAAGAACTATTTTCAAAACCTTGAAAAACTGACTTTTTGGTGTTTTGTATCGATACATACATCTCTGTATCGATACAAAAGCTTCTATACAAAAACAGAATGTTCCATATGATTCGAAACATGCTTGCATGTATCGATACATGTGTATATGTTCTGAAAAACCAGCAAGCTTCATATGATTCGAAGCATGCTTGCATGCTTAGATACATATCAGTCAAGATTTCAAGATTCTGATGTTTGTATCGATACATCCCGTGTTTGTATCGATACAAAGGTCAAGATTT</t>
  </si>
  <si>
    <t>P49_Contig-133</t>
  </si>
  <si>
    <t>AGGCAAATAACATTTCCAAGTATGAACTAATTTTCATTGCTTCACCACCAATAACAATAAAAATGTAAGTGTGGTATTGAGTCAATTTTAGAAGTATGGCACAGTTACAAAGTTTTTCAATTTATTTTTGAAAGTAGATGCTTTGGATCTGAATGCATTAACTGGGACATCTAAAAAAAACACTACAGAATTGGCACAAAGGCACCCTGAAAC</t>
  </si>
  <si>
    <t>P49_Contig-41</t>
  </si>
  <si>
    <t>ATTCTGTAGTGTTTTTTTTAGATGTCCCAGTTAATGCATTCAGATCCAAAGCATCTACTTTCAAAAATAAATTGAAAAACTTTGTAACTGTGCCATACTTCTAAAATTGACTCAATACCACACTTACATTTTTATTGTTATTGGTGGTGAAGCAATGAAAATTAGTTCATACTTGGAAATGTTATTTGCCTGTTTCAGGGTGCCTTTGTGCCA</t>
  </si>
  <si>
    <t>P49_Contig-91</t>
  </si>
  <si>
    <t>ATATATGTATAAAGATAAATAAAAGAACTAGGCAAAATCAAACTTCAACTGTTTAACAAAAACATAACTCAATGAATATTAATAATGAGCAATTTCTGCTCAATGAGCAATTAAATAGCCGCAGTATATTAACTGTGCTAAGGTAGCATAATAATTAGTTTTTTAATTAAAAAACTAATTATTATGCTACCTTAGCACAGTTAATATACTGCGGCTATTTAATTGCTCATTGAGCAGAAATTGCTCATTATTAATATTCATTGAGTTATGTTTTTGTTAAACAGTTGAAGTTTGATTTTGCCTAGTTCTTTTATTTATCTTTATAC</t>
  </si>
  <si>
    <t>P50-1_Contig-1102</t>
  </si>
  <si>
    <t>TAAAATTCCTCCTTCTTTGGATTTTTTATTCAATGATTAGTTGTTAATTAAAAAAACAGAAGTTTAGAAGTTTTGACTCTGATCTATGTAATATTGTCAAACTAAAACAAAAGGAGCCGATTAATACCAAGGCTTCCCTGAGAAGATTTTTAGACCACTACAGATTACAGAGAAATCAGTGATCTTAAATCTGCACACAAAGATGCATTAAAAG</t>
  </si>
  <si>
    <t>P50-1_Contig-11245</t>
  </si>
  <si>
    <t>AAACTATAACAAAGGATCAAAATACTTGAAAAATGGGACGTTTTCTAGCTAGTTTCTGTTGCTTGTGTTATTTCCATTGCTGTTAATGTGGCTATTGGCGGAACTGCCGTTAGCCCCACCAATAATCGAGGTGATGGCCGCGGCGAGAGCTGCTGTGAAGTTGGGATCGGCGGTGATGGCGGCCGTGGCGGCGGCGGGCACGGGTGATTCTACTCTGGTAGCTGCGGAAGCCGTTGGTATTTCTAGGAAAGCTTGCTTTCTTAAGCCACACGTCATCGACTGCTTCCG</t>
  </si>
  <si>
    <t>P50-1_Contig-1435</t>
  </si>
  <si>
    <t>AAAAAAAAAAGAAAAAGAAAGGGAAATTTTTGGAGTAAATACTGATGAACTTAAAAAAAACGATTTTAATTTTTTGAGATACTAAAATAAATAGAATAAGGTTCTATTAGTCTTTCTATTAGTCTAGAAAAATGGGTATGATATTGGATCGATAGAAATTTAGAAAATATTATAGTATGCCGTCTAGGAAAAAGAAATCGGAGAACTCCTCTTATAACTTTGATTTGAAAGTATCAATAGATACTGTCGAAGAACAAATGTTCTAAATAAAGTAATTCCGTTACTTTTTTAAAAACACGACCCAAAAAAAAGTTTAATAGATTTTTTTTTGAAATATTTGAAATATATAA</t>
  </si>
  <si>
    <t>P50-1_Contig-14645</t>
  </si>
  <si>
    <t>P50-1_Contig-1595</t>
  </si>
  <si>
    <t>TCAGAACTCGAAGTTGGTGCAGATGACAGTGTCTGAGTCTGCTCTTGTGGTGTCTCCGCTGAATACTCTTTAATTTCTTCTTGTCCTTCTGACATAGACTCTAAAATGGATTCAGAATCTTCTTTCTTGTCTTCATTTTCAACTGAAGTCCTTATTGCGTCCTGTGCTTCGTGTGGATTGTCAAGCTGTAATTTGGAAACCTGGAGCTTCCTGGAGTCTTCCTTTTGTAAGAACACCTCTTCAATCTCTTTCGGTTCATTTTCTAGCAATTCTTCTGTTTTCTCAACTTCAGTTGAACTTACAAGCTCCTGTTCCTGCAAAGATAATGCACAAGGTTCTGCTTGATTTTGCTCTTCTTGGAGAATTTGATCATCAGCAACTTCATCCTTTCTAGCTGCTTCGTCACTTTGAGCCTCTAATCCTGTT</t>
  </si>
  <si>
    <t>P50-1_Contig-1800</t>
  </si>
  <si>
    <t>TGATCAATTGATTGAAGCAGATATCGTTAGTTGTTTCGATAATATAAAGCACGATAGTCTTTTGGATAGCATAAATCAATATCAAAAATTACCAGTTCGCTCAGGTAATTTTTGCTTTCCTTACAACATCTATCTTAGATAAAGATTGAAAAAACAACTCAACAAGAGGAGAAAGGAAATCCCACAAGTCCTTGTCACCCGTGCTCATGAACATCTTGATCAATCAGTTTGATTTTGAAATGATCAAGTACCCCGGTAGCC</t>
  </si>
  <si>
    <t>P50-1_Contig-2820</t>
  </si>
  <si>
    <t>TCGTTGATTAGGTCAAATTTATTCAAAATCAAACCGTGTCTTGTTGACTAGATCAAAATGACGCAGGACTCACCGTGTCTCGTTGATCAAGTCAAAATTATTCAGTACCCACAGTGTCACGTTGTTTAGTTCAAAATTATTCTGAACACACCATGTCTAGTTGATTAGGTCATAATTACTCTGAACACGCCGTGTCTCGTAGATTAGCTCAAAGTCAGAACTCACCGCGTCTCGTTGATTAACTTAAAGTTTCTTAGGATAACACCGTGTCGTGATTAGGCAAAATTATTAAGACTTCAACGTTTC</t>
  </si>
  <si>
    <t>P50-1_Contig-3249</t>
  </si>
  <si>
    <t>TCACAGTTTGGTTTACCGGACTGTGAAATCCGAAGTGCTCAATGACCCTAGCCATCATTTGGCTCGGCGAGGGTGCGCCTAACTACCCGAGTGTGCCTTGCACTAAATTGCCCACTCGACAGGTAGGATTTTGGGAAGCCCCATGTGCATGAGGCCTAGGCCTTGTGTATGCCCAATGAACGTTTTGTGAGGGCGTGGACTCTCTAGGCTAGCGGATCCCTAGAGTTTGATTAT</t>
  </si>
  <si>
    <t>P50-1_Contig-3293</t>
  </si>
  <si>
    <t>GACACGGTGTTATCCTAAGAAACTTTAAGTTAATCAACGAGACGCGGTGAGTTCTGACTTTGAGCTAATCTACGAGACACGGCGTGTTCAGAGTAATTATGACCTAATCAACTAGACATGGTGTGTTCAGAATAATTTTGAACTAAACAACGTGACACTGTGGGTACTGAATAATTTTGACTTGATCAACGAGACACGGTGAGTCCTGCGTCATTTTGATCTAGTCAACAAGACACGGTTTGATTTTGAATAAATTTGACCTAATCAACGATAGACGGTGAGACCTGAGTAATTTTGACATAATCAACGAGACACAGTGAGATCCGAATAATTTTGACCTAATCAACAA</t>
  </si>
  <si>
    <t>P50-1_Contig-3501</t>
  </si>
  <si>
    <t>TTGCGGCAGTTTATCGTCGTTGCGGGACCAAAGCTTCCTGAAGCTTCCACAGACAGTTCACCATATACTGACAGATAGCACTTACTTATCCTATAAATGCGCCCCATGCCTAGGAGGTAGTTAGAAGACACCGTTTGACTGCAATTCACAACCGGTGCCACCGAACTAATGCAAGACACTCATCGCAGATTTATATTTGCGGATTTCC</t>
  </si>
  <si>
    <t>P50-1_Contig-3626</t>
  </si>
  <si>
    <t>GGCGTTTGAATTTTTGAGAACCTCGGATCGGGGAATTGTGAGAATTCGTCTCCGGGGAAATGATTTCAATACCTGGCCCGCGCGGATTGGGGAACTGTAAGGATGGTCTCTAGGTAAAACCTTTCCCTCTCGGGTCTGTGGCGCTTGATGTTTCATCGTGCAGTTAAATCGAGTCTCTATAAATGGAAATGTTGCATTGGAAATGTTGAGCGGCACAGACAGATTGGAGAGACATTTTTGAAGGGTTCTTAGAGATTTTTTTACACTACCTGGCCCTT</t>
  </si>
  <si>
    <t>P50-1_Contig-3660</t>
  </si>
  <si>
    <t>TATATATCCTTAAATCCAGTATTTAAGATATCATAGTTATTAGTGATTGGTTTACAAAACGTATAATGTAGGTGTATTGAAGAAAGAAGACGAACTGTTAGGTTCGTTCTTTCATTAATTCCATTTGCGTTATAGTGAGCCTTATAATCGAACTAGTATGACTAGTGGTGCCCCCACGAGCGTTTCTCCAGACGCCGTGTAAGTCGTAGCGCAGAATCCTGACACTTATGACAAATGTCCGTCCTGATTGTAGCTAGCAATCGTAAGTGGGGATTGTCAATCCCATATAGTACTATATCAGTTTTCCCGTTCCCCTCCGAGGATTAACGATTATAGTTCGGGTCTTAGTATTGAGGTCGGAGAAATGTCTCACGTAACCTTGCAAATGTTTAGTGTTCACTTTAGTGTTTCAAACGAGAGTAATTAACTTTTAATTACTGAAACTTTGTATGTATTGTCTTCCGAAGTCCGTACTTCTATAATATGTCTTTTATAAAATCTCCATTTTATAAGTTTAGTACTCTTTGTAAAACTCTAG</t>
  </si>
  <si>
    <t>P50-1_Contig-3749</t>
  </si>
  <si>
    <t>TGGTACTTCAAAGAGAATTTTATAGAAAAAACAAAAAACAATGTATGTAATAAGCGACATCCCAACATTAATCAACAGGTAGACAGGCACTATGCAAAAATATACATTCTTCGAGGGGAGCGTATAAAAGACGGACTGATAACAGTAGCTGTAGAAACTAATAAATTAAATTATCAACAGAATGACTGATGCAAAGATAAAACACTTCCTGTAACAAGAGTAGACAACAATGCCGGATAGATGAACATGGAACCCGAGTAGAGATGTTAAATTGTAGCAGACAAACACCATCAGATGGACCATTCTTTAAGATTGATGTCAGACAACGTGCATAGCTGATGTTCTCTTTTCTAGAAGAGCATGGCTCCACAACATGATCAGATTAATCACCTTAAAGCTTCTACAACCATTAAGACTTGGCTGTCCACACAACATACTGATTGCAGACTAGCATGTTAAGAGAGTACATATATGACACTTGCAAAAAACTTCTTGATCTTGTTCCAAGGAAGTAGAACCGACTATGATAACAAATGAGAATCACAAAAACACACCAGTTCAATTATGAGAGACCACCACTGCAGATGCAACAGCGGCACTGAAACCCTCTATAAAAGGCCAGACATAGCAACGCCACAAAGTATGCATCTCTCTTGCATTCAAAGCAAACACAAAATCCCAAGCGACCAAGCAGCGTCCACAAACCAGAGCCAAAATAGAAGAGCCGCAGGCTTGCATCAACTTGAAGCACAATCACCAGCAATAACAGCAGAAGC</t>
  </si>
  <si>
    <t>P50-1_Contig-3976</t>
  </si>
  <si>
    <t>CAACAATATGTGGTTCGCGAATATTGCTTTTTATTTATTCGTTGTTCTCTTTTTTTTTTTCGTGAATACTATCTATAATATTTTTACCTGATCTGATCCTCAGTTTCTATTCCGACGTTAATAATAGAGAAAACCTTTCTAATATTATATATTATAGTTCAAGTACTACTACATGTACTGCAGAAATGTTAGTGATAGAGGAATTTGAGCAATTCGCTATGTACTGGTACAAATTCTATATCTACAAG</t>
  </si>
  <si>
    <t>P50-1_Contig-3980</t>
  </si>
  <si>
    <t>AGATATTATTGGCCTATGATTCCAGGTTCTTCCTCTCGTATGCTGGTCTAAGCGGTTCAGGTTCTTTTTCTAGGCTATTCTTTTATTTGGGCACGTCGGCTTGGCCGGATGATAGCCTAGAGACGATAAGTTATGATTAGGTTTTATTTATTGAGGAGATAGCTGTCAGCGATTCCAGGTAAAATTAAAACTTTGACTGCAAATTTACTTGATGTGTCAGATCGATGGGGTTATTGGTCCATGTGTGCAAGAAATTAAGATCGGTTATTATGTTCGTGACGAAAATTCCAGGCTGCTTTTTTCTTGTATGTTCTTATCTTCTATCATGGTTATATCTCCGTGTCTCAACAGCTATATGTTGGCAGATACATCAGGTTATTGGTTGATAGGTGGGCTAAGTTACGACAAGATTGTTAGCCAAGGAGTTCTTGGATGATAATTTGATTTTGATCTGAAGGCTCTGTTATGGCAGATCCATAGGGTTATTGGTGGGGAGAAACTGTTGGT</t>
  </si>
  <si>
    <t>P50-1_Contig-4746</t>
  </si>
  <si>
    <t>AAAAAGACACGCCGGTCGAATCCTAGCAAGCGAGGTAACCGGATTTGTTGACGGTGTCGGTTGGCGGGCTTTGGCTTTTGCCAACCGATTTGAGGCGCGTTCGCGTGCTAGCGGCAGCTAATGTGGGTTTTGTTGTGTGTTCTCTTTGCACTTATCGACGCAGGCGTTTCTATCGAAGACCTAAATTGGTGTGGCCTATTGTGCACAGTTTTTCTGAGCTGGGGTCTTGCTAATTAATGGTTAACGTAAGCGACGTGCGCAATGCGAGATGTGCGTGAGTGGTCCCTTCTTCCGTTATTTTGCCCCTCCGTTGCATATTTCTAAGGGTTGTTTCGGGCATAAGCCGCCCCGGAGCAACTCGATGACGGAATGTGCATTAGCGGAATAGCGTTCCTAAGAGTTGTTTCTCGTGTCCGCCCAGGTTCAACTCGATGATGGAACGCGCTGGGAGCCTTCGGGCTCCTCGCGGACTCCGGTTACTGAGCAAACGACGATTCGGGCACAGTGGAAGT</t>
  </si>
  <si>
    <t>P50-1_Contig-510</t>
  </si>
  <si>
    <t>GCCACAGACCCGAGAGGGAAAGGTTTTACCTAGAGACCATCCTTACAGTTCCCCAATCCGCGCGGGCCAGGTATTGAAATCATTTCCCCAGAGACGAATTCTCACAATTCCCCGATCCGAGGTTCTCAAAAATTCAAACGCAACGGGCCAGGTAGTGTAAAAAAATCTCTAAGAACCCTTCAAAAATGTCTCTACAATCTGTCTGTGGCGCTCAACATTTCCAATGCAACGTTTCCATTTATAGAGACTCGATTTAACTGCACGATGAAACATCAAGA</t>
  </si>
  <si>
    <t>P50-1_Contig-5168</t>
  </si>
  <si>
    <t>ATCGATGCGAGTTGTTGATTTATGCCCTTGGTTTACCTTAGATCGGCCGACCCTGTCTTGTTTGGCATGGATCTGTTGAACAGCGTGTCAGATCTACATCTTTTGCTTGCCAGGGCTAAGGAGAAGGTTTCTTGAGGATTTTTAGCGTTCTTTGATGCTCATGATCCGGTTGGTTGAGTATGAATCTTTTGATTCGTTCG</t>
  </si>
  <si>
    <t>P50-1_Contig-5369</t>
  </si>
  <si>
    <t>TCAGGAAGCTTTGGTCCCGCAACGACGATAAACTGCCGCAAGGAAATCCGCAAATATAAATCTGCGATGAGTGTCTTGCATTAGTTCGGTGGCACCGGTTGTGAATTGCAGTCAAACGGTGTCTTCTAACTACCTCCTAGGCATGGGGCGCATTTATAGGATAAGTAAGTGCTATCTGTCAGTATATGGTGAACTGTCTGTGGAAGCT</t>
  </si>
  <si>
    <t>P50-1_Contig-6376</t>
  </si>
  <si>
    <t>TTTGGGCATGAAATAGTTTGAACTCAGAAATGATGAAATCATTTACGACTTTTATTAATGAAGGCATGTTGATCATTCGTAAAGACAATCCAATTGCATCACTGTTTAATATGTTCAGAACATATGAAGCAAAGGTTTTGAAAGTAAATTTGGTTTGATTAGACGTGCTGGGTAAAAAAGTAATGAACCAAGTTGCTGTAATTTAGGCGAAATTAAAGACTAATAAGATAAAACGGCGAAAAGTGGTTAAACTGGAAGTACC</t>
  </si>
  <si>
    <t>P50-2_Contig-11765</t>
  </si>
  <si>
    <t>AATGTGGGCTGGGCCTCTGGTGCGCACCGGGCTATGGTCTATCACCGTTGGGCCTCTGAGTCACCGTGATTTACCCCTCACATCCTTTGCGGGGCTGTTAGGGTGTCGGTATTACACCTTTTGGAGTAATATATTTAGATGCCCGTCACGGGTAGCTCAGTGGTCGAGCGGTGGGACAATTTGGAGAACGACCCAAGATCGAAACCGGGAAGCGACCGTGTGGAGGTTACAGCTTT</t>
  </si>
  <si>
    <t>P50-2_Contig-13</t>
  </si>
  <si>
    <t>AAAGAAGTTCATGCGTTACTAATTGCTAATTAAATGAAATCCTAATTTGCTATACATATTAAAGTTTTTGGATCCATTGCACTCTTTTTTTACCTGAAAGAGTAATTCGAAACTAAAACTATTTGAAATCATTACAGTAAACAGATTTTCAATACAAATTAAGTTGGGATTTTCATCAATTAAGAGAATAGTGAATAAAATAGCCAGGATTTTGAATTATTGACCAACAGAAAAAAGAAACTTTTTGAATTTTCAATTAAATAAAAAG</t>
  </si>
  <si>
    <t>P50-2_Contig-1352</t>
  </si>
  <si>
    <t>AATTTTTGACTAGGAATCTTCTTGCTGTGGCAGATCGATAGGGTTATTGGTCAATATGTGCGTGAAATCAATATTAGATATTATTATCCAAGCGGGTCATGACGACAATTCCAGGTTCTTCTTGTATGTTCTCATCTTCGATGATGGCTATATTTCGATAGCAAAGCTATATTTTATGGCAGATACATCTAGGTATTGGTTGAATTGGTTGATAGGGGCTAAGTTATGACAAAGCTATTCAATTTTCTACCTTCGATGATAATTTGATCTTTATCTGGAAGCTCTGTTATGGCAGATTCATATGGATATTGTGGAGAGGAACTGTTAGCAGATGTTATTGGCATATGATTCCAGGTTCTTCTTATGATAATAATACAGTTTTGATTGCAAAGCTAGGTGTAGTAGAGGGGATTGGCTATGTTTTTAGGGCCTGGAAATTAGGATCTGATAACATAATCATATCAATTCTACATTTTGATGATCAATTCAGTCGTAATTAGAAGAGCTCTTGACCAGGTGCTTGCATCCATGGCTGTTTGAACGATTGGGTTGTTTGGGTCCCTGTTTAATTGGGTTGGAGTAAGATTTACTTGATAGTTGGTTGCTGCTTATCTGTCGCCTTCTC</t>
  </si>
  <si>
    <t>P50-2_Contig-2067</t>
  </si>
  <si>
    <t>GTCCCTCGGCTGATTTTTATTAAGTTAAGGGGGCCTTAGGCCTTATTCCCTATTGTATTTGTATTGTGTAGTGCTTTTTTATTTTCTAAAGGTGGCCGACCCTCGGCAACTATTATTTCTAGTTTATTTATGAATAAAGGTGGCCATAGGCCCCTATGGTCCATTGGTGCCCCTATGGTCCAGTGGTTACGACCTCTCTCTTTCACGGAGAAAACGAGGGTTCAA</t>
  </si>
  <si>
    <t>P50-2_Contig-2115</t>
  </si>
  <si>
    <t>GGCATCTAAATATATTACTCCAAAAGGTGTAATACCGACACCCTAACAGCCCCGCAAAGGATGTGAGGGGTAAATCACGGTGACTCAGAGGCCCAACGGTGATAGACCATAGCCCGGTGCGCACCAGAGGCCCAGCCCACATTAAAGCTGTAACCTCCACACGGTCGCTTCCCGGTTTCGATCTTGGGTCGTTCTCCAAATTGTCCCACCGCTCGACCACTGAGCTACCCGTGACG</t>
  </si>
  <si>
    <t>P50-2_Contig-2942</t>
  </si>
  <si>
    <t>TTATGAGAACTTTTGATTGAGGTGATGCTATCTTCTTCCACTCATTTATCAAGTTTTGCCCGAGTATTAGAGTTTTGATTGATGAATGTTGACCTGCATTTGTTCTACAATTCCCGAGCTTCCGATTGAGGTGATATCTTCTACTCAGTTGTCAAGTTTGCCCGAGGAGTATTTAAACTTCTGATTGATGAATGTTCACCTGCATCTGTTCGAAAATTTC</t>
  </si>
  <si>
    <t>P50-2_Contig-339</t>
  </si>
  <si>
    <t>TCTGTATGCCTGACTAGCTGACGAGATCAAAGTAGATCGAAACAGATTGGCATTACAGTTATGGTTATGTGGTTAAACCACCATAATCCAAAATACATAATGTCGCACAAGGCTATTCAGAATGAATATTATACATTTTGAAAGGCTTCACCTAATTGACTCTTTCGTTAGAAAGACAGGGGCTTTGTCCCTTACCCCAATTAGACTAGGCTTAAATCAAAGTGACATAATGTTCATACCTGTTTACCCTTATGTGAGTAATCATGTACTGTAGTGTCAACCTATTTCGGATCTGCCTTGATCCTCATCAGTGAGTCGGCATTAGACTCAGATAGTTCCAGATAGAGCAACATATGCTCTCAATCTGTGTGCTATGGTAATGTCCAAACTTCCTTTAAGCTCAAGCTTTAACGGGAACAAGAGTGGAGTCTCGTTGAGACTTTAGTCTCCAACGGGTCCATCGTGATCGACGTTAAGGAAAGCCTTGGAAGTTTGTAAACATTCCATAACAGGCAGGTGAGACCATATACTTTATTTGGAAAGGTGGTATAAACCAACATATATCACCTATCTGTACTAG</t>
  </si>
  <si>
    <t>P50-2_Contig-3505</t>
  </si>
  <si>
    <t>TTTCGATCTACTTTGATCTCGTCAGCTAGTCAGGCATACAGACTAGTACAGATAGGTGATATATGTTGGTTTATACCACCTTTCCAAATAAAGTATATGGTCTCACCTGCCTGTTATGGAATGTTTACAAACTTCCAAGGCCTTCCTTAACGTCGATCACGATGGACCCGTTGGAGACTAAAGTCTCAACGAGACTCCACTCTTGTTCCCGTTAAAGCTTGAGCTTAAAGGAAGTTTGGACATTACCATAGCACACAGATTGAGAGCATATGTTGCTCTATCTGGAACTATCTGAGTCTAATGCCGACTCACTGATGAGGATCAAGGCAGATCCGAAATAGGTTGACACTACAGTACATGATTACTCACATAAGGGTAAACAGGTATGAACATTATGTCACTTTGATTTAAGCCTAGTCTAATTGGGGTAAGGGACAAAGCCCCTGTCTTTCTAACGAAAGAGTCAATTAGGTGAAGCCTTTCAAAATGTATAATATTCATTCTGAATAGCCTTGTGCGACATTATGTATTTTGGATTATGGTGGTTTAACCACATAACCATAACTGTAATGCCAATCTG</t>
  </si>
  <si>
    <t>P50-2_Contig-3680</t>
  </si>
  <si>
    <t>TATAAATAGCCCTACGGTTTATTTCGTTTCTCACAACACGAAACACACAAACACACACACTAGACATATATATACACTTAGGCACTCATAAGCCTCTGAGAGGGCACGATAGGAGTCTGAGAAGCTTCGGCAAGGCTAGCAGTAAGTCAGGTGAGTAACACTAACCTTCTTATTATATTAGCCTTATACATAAGACTAACCAGTGAGGTTAGCAAATATAAGACTAACCAGAGGGGTTAGCAAT</t>
  </si>
  <si>
    <t>P50-2_Contig-3933</t>
  </si>
  <si>
    <t>ACTTCATTCATGAGCCACCCAAAATCAATTTTCACATAGACATTCCAATAACTAGACTTATTACCAAGTAGGGAAAACTTAATTACTTCTCAAAGCTCTCTAGAAAAACATCTTCATCTCACAAGGAGAAGACATAAACTTGGCAACTTAAACACTGTTGACAGGCAATAATGTAGAGCTACCTCTGTACTTTAAAGATCAGAGGAATAAGCTAAGAAGCCTTCACGAAAGAGAGACCATTCTCTAAAAAAGCAGCCCAAAGTTCTTGAAAGAGTATCTTCCCAAGGAGAAATCCTAAACTTGACAACTTACACCATGTTGACAGGCAATCATCAATTAAATAAAGCTTCTTCGT</t>
  </si>
  <si>
    <t>P50-2_Contig-480</t>
  </si>
  <si>
    <t>TGTGACTTTAAGACCCAACCCCAAAGGTGTCAGGGTCGAACCTCACAAGGGAATACTTATTGGCCTTTCAATGTGTGAGTCAGTCAGCTATGGGCAACCTAAGCTGGTTTACCTCCTTGTGGTCCTTTGCCGGCTAGGGTCACCCGATATCAGAAGTGTGAGACCTTACAAGGGGGGAAAATCCCCCAGTTTGACTGGTCGAACA</t>
  </si>
  <si>
    <t>P50-2_Contig-4989</t>
  </si>
  <si>
    <t>TAGGTTGCCCATAGCTGACTGACTCACACATTGAAAGGCCAATAAGTATTCCCTTGTGAGGTTCGACCCTGACACCTTTGGGGTTGGGTCTTAAAGTCACATGTTCGACCAGTCAAACTGGGGGATTTTCCCCCCTTGTAAGGTCTCACACTTCTGATGTCAGAAAGAAGTCCGCCCTGTGACCCTAGCCGGCAAAGGACCACAAGGAGGTAAACCAGCC</t>
  </si>
  <si>
    <t>P50-2_Contig-517</t>
  </si>
  <si>
    <t>CTGGACTACTTTATGTGGTTTTTTGTTATGGGTTATATTTGTCTAAGTTACGTTGGTTTTCTTTGTAAGGTTTATGTATTTTTCGAAATGTATGTTTGGTTTGTAATTTCAAAAAAATTCTCAATTACTAAGCTCAGTTTGGGTCTAAAAAAATGATATTCTTTTGCTTGGTAAATTCACCCTATTGATTGGTTAGTGAGACTCGTAACTTCGTTTGGCTAGAAAATAGAAATCAATTTTCTAGCCAAACATTGATTTCTATGTTTAGATTCTTTTTCTAGTAACTAGTCAAAATAATGATTTCAAAAAGAAGAAATGAGATTAGAATAGACAGGTTTTCTCTTTGGATAAATAAAGAATGAGATATGAATAACTTCTTTTTCCTGGTCAGGTCAATAAAATCATGAAATTCTTCGATTTATATTTTTTTGAGAATTGATAAAAAATGGATTTAC</t>
  </si>
  <si>
    <t>P50-2_Contig-551</t>
  </si>
  <si>
    <t>GGAGAGGAAAACAGAACACCAAATCATCACAGCCTCTCGTCAGTCGTCACAGTTTTCATATATATATAATACTCCCTCCGTATAATGAATTCCATAGTTAAAGGCGCAGATTCAAAGCTCAGAAAGAAGAGCAGAGGATGAAGCTTGAGCTTTTGCAAACGGAAAACTGCTAACTTTCCTCATGCCAAACGCGGAATTAACCATATTCTTCTTTCCAGCTTCTCTTTGTTTATGTTTTCTTGTTTTCATTTTCTCATTTTCTTTCAAGATGAAAGAAAGATCAAAGGGCTGTTTTGGTTTTGGAGAAATCATTGCCAAGGAAAACAACTTCAAGCAGCCT</t>
  </si>
  <si>
    <t>P50-2_Contig-5582</t>
  </si>
  <si>
    <t>TTGAAAAAACTGTTCAAGGACCAAGCGATACCCCCTCTCAATATCAATACCACGGATCTTCAGACCTATTCCCATTCTTATTCCAGTAACTAATGTTATTCTTAGATCGTGTTCGTAAGATTAAGAAAAATTCTTCTAATTTCTATGTATACTAATTATATTCATTAGAAGTCTGAATTTCTTTTTTTCATTTTCTTTTTTCTTTTAGTGTCTTCTTTATTATATCCCCCTATCCCTCATATGAATCTAAAACTCCACCAGAGTCTATCGTTCCGCGGATTGAAGCAAAAAAGATGCTTCAATCAAATCTTTTTTGATTTTTTTCTGTTAGAAAAAGAGGGAATCCCCCCCCCTTTTTTCCTTTTATTCAACAAAGA</t>
  </si>
  <si>
    <t>P50-2_Contig-564</t>
  </si>
  <si>
    <t>GGCTTCCATGGCTAATTGAATTCTCATAGCCATGGATTTTTGGGCTTCCATTGCCATGTGGGCTCCCATGGCCTTGTGGGCTTCCATGGTTGATTGAGTTTTCATAGCCGTGGGAATTACCGTAGCCATGTGAATTTCCATAGCCTTGTGGTTTCCCAAGAGCATGTGGACTCCCATGGCCATTTCCGTGTGGGTTGCCATGCATCTGTG</t>
  </si>
  <si>
    <t>P50-2_Contig-587</t>
  </si>
  <si>
    <t>GCTCTAAATTCATGGTCGGGTTCTCATAGTGGCCACAACAACACAATGACTCGTCGAGTCCCCAACATGCATCTGATAAGGGACGTCTTTTTAATGCTCTAGTCGAACTAAATCGTTAAAAGAGCAAAAGAAATACATTAGCCAGCCGCATGCCAAGGCTCTAAAATCATTGTGGAGTTTTCTTAGTGTCCCACCATAATATTTTAAAAAAACAGGCGACAAATCGTAAAAAAGTTGTTGCTAGCACGGGCATGTTGTGCCCGTGCTAGATCGGGCATTTTAAAAAAAGGTTTTGCTTTGGGCCAAAATAAGGTAGGTCACTATGAGAACACGACAATGACTCGTCGAGCCCACAACATGCATCGGATAAGGAATGTCTTTTAAAT</t>
  </si>
  <si>
    <t>P50-2_Contig-6442</t>
  </si>
  <si>
    <t>TATAATAGTTCAAATCAACATTTTATATTTTTAAAATAACTTCAACATCATAATTATATATGCATAATGTTATACCAAATCAGAAACGGCCAGGTCAGTCAAGTCGGGAGGCAGGACGATTTCGGTTTATAACCTTTCTCAAGTCCAGCAACCAAGCCGATCATGCTTTCCTAGACACCATCTCCGTAAGTAGTATAGTTTTGCATATAAATATTATAAAAACAACTTATGAGTACTTCAACATAAGCTTT</t>
  </si>
  <si>
    <t>P50-2_Contig-6677</t>
  </si>
  <si>
    <t>CTCTCAAGTTACCAACAACTACAGCGCTTTACAACTACACCTCGCAAATCTAATGCAACAACAGAATCAGCAAAGTACACAAGATTGCGAGGTTGTTGAAAGAAAATCCGAGGAGAAGAAACCCGAGAGAGAAGAAACCACCGTGCCGAGACAGTTTTTGGAGTTGGTACCCAGCGGCGGCGCGGTGGCGGAGGAGCCGTCGCA</t>
  </si>
  <si>
    <t>P50-2_Contig-711</t>
  </si>
  <si>
    <t>AAGTAGCTACTAACGTGAATGGCGAGGAACTCACGATTTCCTTACAATCAATATTACAAGTGGCTAACACATTACACCTAATTTCATCGGTAGTCACTCACTGGTACTATAACGGATACAGCCCGAGAGTCTCTCCCTACCGGCCCTCTAACACCATATAGATGTTCACCCCAGAAGGGGCCCCATGGTCACGCGTTCCCTACGTGCCATGTTTGAGGTTACACCGCCCATTTATTAACCCATATTCATGTACACTCACTCATATCAATAAAACACAACAATCACAGTAACACATACACATTTAGCACAAATAGCACATATAGACACTACAAGCAATATCAA</t>
  </si>
  <si>
    <t>P50-2_Contig-8145</t>
  </si>
  <si>
    <t>AAAACCAGCAAGAATCGCCTCCCTCGGTATTTAAATGCAAGCAGTAGCCCAGATCCTGCATCACAACACACAAATTGTCAAGTAGAACCATTATAAAATAGGATAATCAATAGGCCAGGGGAAGCAAGCTAAGTTCTTATTGTAGGAAAAGGACAATAGTGTTACTTTCTTAACGTTAAGGTCTTAGGTTCAAGTCACATCCCAATCAGATTGGTAGAATGTTAAAACAACGACAATAGCTATGTCATGGTATTATAGGTAGGGATGTCAATTACAGTCTGAAACCAACGGGTTGGCCTGAT</t>
  </si>
  <si>
    <t>P50-2_Contig-8494</t>
  </si>
  <si>
    <t>ATAATTTACACTAATATATTTTATATATCTTTTGAGAGGATTTTTTTATTAGAAGTGGTGTACAGGTGAGTAAAGGATATTTTGGCTACCTTAAAGTGAGGTTAATAAATGCCTTATGGTTTTTAATCTGCCTGATGAGATCTAATATAAGATCTTTGCCTATGCGCAAACTTCGGTGTGTGCTGAGCAGTAGCTAATGTTTCCTTCTCAAGGAAGTTGAAGGAGAGCAGAGGCCTTTAGACAGAAGAAAAAAAAAAGGAAAAAAAATAAATAATAATAATA</t>
  </si>
  <si>
    <t>P50-2_Contig-8497</t>
  </si>
  <si>
    <t>CACCATCATCATCACGCCTCTCGTAGCTAGGCTTGCGATAACCTTCACTCTCCTCAGTCTCGTAGCTTGAACGACCATAGCTAGGTTTTTCTTCACCATAGCTTGGCTTCCGACCATATCCACCCGATCCATATTCCGATTCGGATTCGGTACGACGCCCATAACCAGATCCATATTCAGAAGTGGGTCTCTCATACTCCTCTGGCCTACGACCATGCCCACCTTCATACTCGGATTCACCGCCGTAGCCTCCACCACCACCACCGGCAC</t>
  </si>
  <si>
    <t>P51-1_Contig-166</t>
  </si>
  <si>
    <t>AGGCAAATAACATTTCCAAGTATGAACTAATTTTCATTGCTTCACCACTAATAACAATAAAAATGTAAGTGTGGTATTGAGTCAATTTTAGAAGTATGGCACAGATACAAAGTTTTTCAATTTATTTTTGAAAGTAGATGCTTTGGATCTGAATGCATTAACTGGGACATCTAAAAAAAACACTACAGAATTGGCACAAAGGCACCCTGAAAC</t>
  </si>
  <si>
    <t>P51-1_Contig-52</t>
  </si>
  <si>
    <t>ATTCTGTAGTGTTTTTTTTAGATGTCCCAGTTAATGCATTCAGATCCAAAGCATCTACTTTCAAAAATAAATTGAAAAACTTTGTATCTGTGCCATACTTCTAAAATTGACTCAATACCACACTTACATTTTTATTGTTATTAGTGGTGAAGCAATGAAAATTAGTTCATACTTGGAAATGTTATTTGCCTGTTTCAGGGTGCCTTTGTGCCA</t>
  </si>
  <si>
    <t>P51-2_Contig-347</t>
  </si>
  <si>
    <t>TGGAAATGTTATTTGCCTGTTTCAGGGTGCCTTTGTGCCAATTCTGTAGTGTTTTTTTTAGATGTCCCAGTTAATGCATTCAGATCCAAAGCATCTACTTTCAAAAATAAATTGAAAAACTTTGTATCTGTGCCATACTTCTAAAATTGACTCAATACCACACTTACATTTTTATTGTTATTGGTGGTGAAGCAATGAAAATTAGTTCATACT</t>
  </si>
  <si>
    <t>P51-2_Contig-698</t>
  </si>
  <si>
    <t>AAAACACTACAGAATTGGCACAAAGGCACCCTGAAACAGGCAAATAACATTTCCAAGTATGAACTAATTTTCATTGCTTCACCACCAATAACAATAAAAATGTAAGTGTGGTATTGAGTCAATTTTAGAAGTATGGCACAGTTACAAAGTTTTTCAATTTATTTTTGAAAGTAGATGCTTTGGATCTGAATGCATTAACTGGGACATCTAAAA</t>
  </si>
  <si>
    <t>P52_Contig-1398</t>
  </si>
  <si>
    <t>GTGCCATGTTTGAGGTTTCACCATTCCTTTATTACACCATATTCATATGTAAACAACCCACATTATCAAGCATAGCAAGCATACACACATTCAACATCAAGAGCATACATACACACTACAAGCAACATTACAAGTAACTACTAACGTGAATGGCAGGGAACTCACGATTTCATTACAAATAAGGCTACTCGCAGGTTAACACATTATACACATAATTTCATCGGTAGTCACTCCCTGGTACTATAACGGATACAGCCCGAGAGTCTCTCCCTACCGGCCCTCTAACACCATATAGATGCTCACCCCAGAAGGGGCCCCATGGTCACGAGTCCTCTAC</t>
  </si>
  <si>
    <t>P52_Contig-1551</t>
  </si>
  <si>
    <t>AGCGCTTACCAAGTCATATTACCTTACGGGAGGACATGACAAGTACCAAAAATCTTACCCGGTAAGAGCGAAGACAAGAAAAACAAGGACCAAGAGTCTTACCCGGGTAAGCAATTACGACGGATCTTACCCCGGTAAGCGCTTACCGGGGTAAGATCCGTCGTAATTGCTTACCCGGGTAAGACTCTTGGTCCTTGTTTTTCTTGTCTTCGCTCTTACCGGGTAAGATTTTTGGTACTTGTCATGTCCTCCCGTAAGGTAATATGACTTGGTA</t>
  </si>
  <si>
    <t>P52_Contig-2314</t>
  </si>
  <si>
    <t>TGAAGTTTTCTTTTTATCGGAATCGGAAAGAAATAGAACAAAAATGGGCAAAAGGAAATATAAGAAAGATGGCGAGAAAGAATAAAGTATAAAATAATAAAATATAGGATACTATAACAGTTTAATGCACATATAAGAATACGTAAAAATATTTATTTTTAGAAATCTCATGAACAAGATCGAAGAATAAGATTTGTTTCATAGATGATAGAATGAGAGAAATAACTCTGAGGATCAACTAGTAACGAAAGGAGGATCACTTGTGCCTCGAACAGTTCTTTCAAAAAAAAATTCATGGTTCATGTGGTTATTAAGACTCTAAGAAGGAATAGCCGAATTATGGACGGATAAAGAATTTTTTTCTTCGAAACCCCTTAGAAATTCGAAGGGCCGTGTACGAAAAATCAAATCATACCTGAATGATAGAAGCTTCAAAAGCCCTAAAAATGCTATGAGGTGCTCGGAAATGGT</t>
  </si>
  <si>
    <t>P52_Contig-2391</t>
  </si>
  <si>
    <t>AAAAAGACACGCCGGTCGAATCCTAGCAAGCGATGTAACCGGATTTGCTGACGGTGTCGGAGGGCGGGCTTTGGCTTTTGCCAACCGATTTGAGGCGCGTTCGCGTGCTAGCGGCAGCTAATGTGGGTTTTGTTGTGTGTTCTCTTTGCACTTATCGATGCGGGCGTTTCTATCGAAGACCTAAATTGGTGTGGCCTATTGTGCACAGTTTTTCTGAGCTGGGGTCTTGCTAATTAATGGTTAACGTAAGCGACGTGCGCAATGCGAGATGTGCGTGAGTGGTCCCTTCTTCCGTTGTTTTGCCCCTCCGTTGCATATTTCCAAGGGTTGTTTCGGGCATAAGCCGCCCCGGAGCAACTCGATGACGGAATGTGCATTAGCGGAATAGCGTTCCTAAGAGTTGTTTCTCGTGTCCGCCCAGGTTCAACTCAATGATGGAACGCGCTGGGAGCCTTCGGGCTCCTCGCGGACTCCGGTTACTGAGCAAACGACGATTCGGGCACAGTGGAAGT</t>
  </si>
  <si>
    <t>P52_Contig-2465</t>
  </si>
  <si>
    <t>AAAATAAATAAAATACTGGTCTGAGACTGTTAAGATGCCCTGCGCCACATCAGCATCTGATTCGGGATTAGTGTAAAAATGGTACTTGATATATATGTATATAACGGTGGATGGAGGGGTCACGAGGTTCAGATGTTACCACGTCAACCTCTGGATGGAGACGTCACGAGCTTCAGTTGACTTCCTGACTCGGGGGGAAAGAAATAA</t>
  </si>
  <si>
    <t>P52_Contig-2468</t>
  </si>
  <si>
    <t>AAATTGGGATTTACAAATTTCAGCAAAATCACCTCCTTTACTCACTCTGAGAGTTCAAATTCAAAATTAACACACCCAAAATTCGAATTTATAAAATTTCACTCTGATTCGCAATGACAATCTTGACTAATCTAATTGCAGCAGCAACGAGGAAGGAACGTTTTTCAGTTGGAGAAAACGATACGTAAACCCCTAAACCAAAACAGTCAATACATATAAATGATAAACCCGACAAAAGTGACGAAAAAGGAAAAATGCGTAAGCTGTGGTAGGTGGGTATTG</t>
  </si>
  <si>
    <t>P52_Contig-247</t>
  </si>
  <si>
    <t>ATTTATTTGTGTATAAGCATCCATTCGACAATTTAGTGAAATATCGATCTGATATAGGTCAACATAGATATTCAGTAATGGTATGGATCATACATGATATATACTTAACTTATCCATCTAGATATATAGCCTTTCTAGATGAATAAAGAGTTTATGTTATAAAAGTTTATGTTGAAGTCCTCATAAGTTGTTTTTATAGTTTTTATATGCAAAATTATACTACTTACGGAGATGGTGTCTAGGAAAGCATGATCGGCTTGGTTGCTGGGCTTGAGAAAGGTTATGAACCGAAATCGCCCTGCCTCCCGACTTGACTGACCTGGCCGTTTCTGATTTGGTATAATTGTGAATTTATAAAAGCTGATGTTGAAGTTATTTTAAAAATATAAAATGTTGACTTGAACTATGATATCATATGCATTACATTTAGGATGGGAGTCTGTGAGTGTCACTAATGATGTCACTATAGAATTGAACAATTGGGCTTGGGAAGAGTTTGTTTGGAATACGTCCTTCATGCACAAGTCCAATATGAATTTGAACTATGATGAAAGGATGGACCTTATGAGATGAACTTGGGATTTAGGTTAGTTGCATATACATTTATTATATCAATTAACTTATGATGATATGATGATTTTGTTGAAAATGATGATTTCGGAACAAATTTCCTAAAACTAT</t>
  </si>
  <si>
    <t>P52_Contig-467</t>
  </si>
  <si>
    <t>TATGAAAAAACCCTCCCAATCTATACAGACAAATTAATCCACACAGACAACTTTATTCATACAGGACTTAATGGAAAACCAACCAAACAACCCCTTAATGAGCTTAATGGGACTCGCAACTTATTTGGTCAGCTATACATGACTATTTGGTAGTGGCTTAATGATATAGAAAATGGCTTATTCAATAAGCTTCTAGGGGGAGCTTTATGCAGAAAGCCAAGTTTTTTCCAAACCTGCCCCTCCCAATTAAAAAACACACTCCTTCCATT</t>
  </si>
  <si>
    <t>P52_Contig-5322</t>
  </si>
  <si>
    <t>GGTGAAACCTCAAACATGGCACGTAGAGGACTCGTGACCATGGGGCCCCTTCTGGGGTGAGCATCTATATGGTGTTAGAGGGCCGGTAGGGAGAGACTCTCGGGCTGTATCCGTTATAGTACCAGGGAGTGACTACCGATGAAATTATGTGTATAATGTGTTAACCTGCTAGTAGCCTTATTTGTAATGAAATCGTGAGTTCCCTGCCATTCACGTTAGTAGTTACTTGTAATGTTGCTTGTAGTGTGTATGTATGCTCTTGATGTTGAATGTGTGTATGCTTGCTATGCTTGATAATGTGGGTTGTTTACATATGAATATGGTGTAATAAAGGAAT</t>
  </si>
  <si>
    <t>P52_Contig-560</t>
  </si>
  <si>
    <t>TTAATGCCATTTTATATGAGCGAATGTGCCCATACTTGTTCATCATTAGAGGACACTATTCGTAATAATTTTCCCTTATTTTTTCTAACTTTCTTTATAAATTTTTCTAATTTATGAATAAAATATGATTAGGATAAAGTACAATATTATAAAGATAATAAAGGCTTTGTTACGTTTCCACATCAAAGTAAAATATAGTACTGAGTTCTTTTTTCTTTTAT</t>
  </si>
  <si>
    <t>P52_Contig-625</t>
  </si>
  <si>
    <t>CAACAATTAGCCACCCCTTGGCAACAAGGCCATGAGAGCAACCAAAAGCCAAAACAACCCCCAAAATGCACCAAACGATACGAAAGAACAAACAGAACTAATGTGCATCACGCCCCGATCCTTGGCACAAGCAATGCTAGCCAGGCTTATGCAACTGGTTATGCTTTAGATCGGGATCAGCTAAGGGTCTACTTCGTCGGAACGGATCAACAAGGCTTGCTAGGCAAGAATTATGGCATGCCTAGCATGCCATAACGCTTGCCTAGGAAGCCTTGTTGATCCGCTGCGACCGGAGTAGACCCTTAAACGAGTGGAGGGGT</t>
  </si>
  <si>
    <t>P52_Contig-803</t>
  </si>
  <si>
    <t>GATGGTGGTAAACGTCTAGGGTAATAATTGAATTTTTGACTAGGAATCTTCTTGCTGTGGCAGATCGATAGGGTTATTGGTCAATATGTGCGTGAAATCAATATTAGATATTATTATCCAAGCGGGTCATGACGACAATTCCAGGTTCTTCTTCTTGTATGTTCTCATCTTCGATGATGGCTATATTTCGATAGCTAAATCTATAATTTATCGCAGATACGTCTAGGTATTGGTTGAATTGGTTGTAGGGGGTTAAGTTATGACAAAGCTACTCAATTTTCTACCTTCGATGATAATTTGATCTTTATCTGAAAGCTCTGTTGTGGCAGATTCAAATGGTTATTGGTGGGGAGAAACTGTTGGTAGATATTATTGGCATATGATTTCAGGTTCTTCTTTTCTGGTAGCATCTTCTTTTGATGGTACAGCTTTGATTGCAACGATAGGTGTGGCACTGGATATTTTTTTAGGGGCCAGAAGTTAGGATCTGATAACATAATCATATCAAACTCTAGATTTTGATGATCAATTCAGTCGTAATTAGAAGAGCTCTTGACCAGGTGCTTGCATCCATGGCTGTTTGCAAGATCGGGTTGTTTGGGTCCCTGTTTAATTGGGTTGGAGTAAGATTTACTTGATAGTTGGTTGCTGCTTATCTGTCGCCTTCTCAATTTTCTTTTCATATCACAATCAAGAGCAGTTAGATCGTTTATTGTGTGTTTGTAGGGTTATTTTGCTAGTTGTTGAAGGCTGGCCATCTGCTCATCATGTTGTATCGATTA</t>
  </si>
  <si>
    <t>P52_Contig-99</t>
  </si>
  <si>
    <t>CATTCATTGTCGAAACATTGCTTCGTAGTAGCATTTGAAGGCTGCAATGCAGTTCGGAGGGTGGAGTCATCCCTACGTAGTGCGTTTATATATACTTTCCCTCAGTTTGTATAAATACTTGCACAGGCGGTGCTGGTGTTGCCTCTTTGCCCGTAGCATATAAGATCGTGGCCCTGTTCCTTTACGGCTGTGGTTAGATCTGTTAGGGCGAGGCAGTAGCTTATGCATAAAGCGGTGCTTCTATTTATAGTGTCCCTCAGTTCGTATAGTACTCGCACTATCAGTGCTGGTGTTATCTCCTTTCATGAGAAATGTCCCTCGATATATATTCGCACACAGCGGTGCCGGTGATTTCTCCGTTTGACGTTTCTGTGTTGTTAAAAACATTTGTGAGACGTTGCAATCGCTCGG</t>
  </si>
  <si>
    <t>P53-2_Contig-1</t>
  </si>
  <si>
    <t>CGTTTTGCTTTCCGACCCTTCGTCGTCCGAAGACGTCAAACTACACTCTCAATCGCTAGTGCTGAGTTGGTAGTATTGCTAAACTGCCTGAAGTCCCTAAACGTGTTTGCGCGGGGAACGGGTTGTCCAGCCAGCTTACGGCTAAAAAGGTCAGTCGTGTCTTTCACGCCGATGTCTTACAAGAAGTCGAGGTACCCTTGAATCATCTCCTAGATTTCTTCGGAAGGACTTCGGTCCGTGTACCTCTAGCACAACGTGCTAGTTTCAGGGTACGGGTGCCCCCCCACTTTCGTGGGGGCCTCCAAAAGGAGACGTAATCTTACCAGAATCCTCCCTCCGATCTCTGTGGCGGGAGCTGAGTTGGCAGTTTTGCTATAAACTGTCTGAAGTCACTAAA</t>
  </si>
  <si>
    <t>P54_Contig-1214</t>
  </si>
  <si>
    <t>TAAATATAAGAAAAAAAAAAAATTGACTGGATTCTTTTTTCTGGAGTTGAAACTATCGAGTGCAAAAAATTCAGTTCTTACAAATAAATACTCAATACCCAAGTAGGCTTATAAAATAGATCGTGATATGATCAATTGCTTTCTGGGTCGTCTCAGGCTTTACGATTACTATGTTATCTCCAAAATAGTGGGAAATACACACAAAAAAGGTTTACTTGTTAC</t>
  </si>
  <si>
    <t>P54_Contig-1568</t>
  </si>
  <si>
    <t>GCAAAACCATGAATCTCAAATTTCCTGTCATCAGCTGGGCCAAACAGATACGTTTGCTATATGATTTATTTCAGCAAGAAAAAAGGAGAAAAGCCCGACAAACCACAACTCTTCAGTGTCGCCAACAAAGAACCACCAAACGCCGACCTCTGAAAATTGAGGAGCAAAAGATAAGCCAGAAGAAACAAGGCAAAAATGAAAGAACAAACAAGAGACTGCATTACTCCCTCTATGAACACTATACATATGCCAGGATCAACAGCCAGTCCCCTAAATAGATTGCAAAGTTAGACTGAGTTCAAAATTTGATGGACTTCTTCACTCAGAAATTACCTAAATTAATTACCCAGACCTTTTATCTCATCACCGAAGGTACTAGAAACCCGTGATTATGAAAGGCTACATGTACACGAAATACCAACCTACAAAATCAAAACGAAAGATCATAGAGCCAGAACACCTGTATCCCTAGAGGAAGCATACCCAAAATACATTAAAACCACCAGTAACTACAAAGAAGAACATCAGAAAAATTAGATCTACAGATAGCAAGGCATCAATAGGTTATAAACACACGCAAAGACCACAAAGCACACACAAAATGGAAGGTAAAACAAGTGCACGCCAAATGGAAAAGAAGAACCTCAGCTAATTTTCTGAAATGCAGGACTTAAGTGATATTAATCAGCATTAGTCGAGTTAAAACAAATATGACACCTCAACCTGTTCACCCT</t>
  </si>
  <si>
    <t>P54_Contig-1733</t>
  </si>
  <si>
    <t>TGGACAAAGGCCACCAACGACCACAACAAGCTCTAAGAACCACAAGCGGAGGTCAGCAACGATTGTCACCGAAAAAGTCCCGCATCGGTTCATAACCAACAAAAAGATAGCATCGACAGCGAACACGACTCCAGGCCGCGAACAATTACGTCATGATGCTAACCCCGTTTGATGAGAACCGAATAAGGGCTAAGACCGGGGGCAAACGTTCCCAACACTCTTGGCTTCACCGTCCAGCAACCCT</t>
  </si>
  <si>
    <t>P54_Contig-180</t>
  </si>
  <si>
    <t>TCCCAAAGCAAAGCAAAGAGCTCACACCCAGAACAATTCCAATAATAATCTAGATCACTTGCACAAAGCTGCAGATCCAATGAACAGATATAAACGAAGAAAGAAAATTAATAGTACCGGGGACTATATAGAGACTGAAAACCATCTTTCTTGTCCATCAATTCCAGTTTGCAGGTTTTAACTCCATTTCCTACACTAGAAACGCTCAACAATGCACAAGAGAAATAGTACACAAGCTCAGACCACTAACCAATATGAAGGCATATCTACTACAACTACCTAGGTATAGACATAATACAACAAGCTCTACCCAACTAAATTAGCACAGAAATACTACATTTACCTCTGTAATAATAACATAATCAGACACCCCAGGGAAAAGCTGAACCCTGGATTTGATGGAAGGAAAATCATGAGTAGATAAGATTTCCAGACATCAGATATGCCATATAAACACATTTGATACATGTTTTAGCAGAGTAAGTAAAAAGGAGATGAGCTCATCAAACCAGAACACTCCATTGTCACCACACCGACCCAAAACCACCAAAAACCAAGTCTCTGAAAGCAGTGGAACGAATATAAGCAGAGGAAAAACAAGGGAAAAATGAGAGACAGACAAGTGACCACTATTTTACTCCCTCCATTAGCACTTCATCACTGCCAGCATCATATAATAAATCCATGTTCGACAACCAGACCAAGCTAGCGGCACCTTGTATAGGTTTCAGAATTAGACTCGTAGCAAGTTGCTAAATATA</t>
  </si>
  <si>
    <t>P54_Contig-2005</t>
  </si>
  <si>
    <t>CCTTAACAGTAGAGAGAGCTCTTTCTCACCAGTGAGGGCTAAACAGAGTTCATCATCTACGAGATTGTCTCATCGTCATCTACGAGATTCGAGTTAGTCCGTTGTTGTTCTCTCTTTTAGTCGTATGTATTCTTTTTCTCTTTTAGCCTATGTTCATTTCTATAGTAAGCAAGTGCTACAACTCAATAGGGACAGCTAGTCTTCCTTCCTGGGTGCTTGCCCGGGGTTGGTGTTAAGTACGCTCTTTAGCATCGACTGAAAGGAGAGTTACTAACCTTCATCGTCGTTGGCTAAGCAGCTAGTTGCCTTCTTAGCCTTCCTAGACCGCTAGTTGACTTCTTAG</t>
  </si>
  <si>
    <t>P54_Contig-2409</t>
  </si>
  <si>
    <t>TTCTGTCCATGAACTCATTTGATATAAACATTTTCTATGATGTTTTAAGATAAGCTAGAGCCGAACCCGTAAGCATTTCTTCACGTTTTTGATTCGGGCCTTTTATCGAACAGTTGGCGTGCACGTTTTGTTCAGCATTTTCGAACCCTTTCCCGACTCTATCTCATTTCGAGTCCTAAATGAAAGTTGTAGCTCATGTTCTCAGCTATCCGTAGCCCAAATTTCGTCTCGATCCGAGTTCATATGCATCGGTTATGACAAATTGAAATTCACAGCTCATTTCTTTTGAAATCTGGAAATCAGCCCACTTGCGGGCTAAACTGAGAACAACTCGATTGAAATTCGGCATTTATTCTTTTTCCATGTCGAAGTACGTTCCATTAGCGTTCTATACATATCTCGTTTACTCAAAACGGAGTTCGTATGAATTTACTATGATTTTTCAAAGTTTGTATCTCCAATCTGGAAATTCCGACGAACAAC</t>
  </si>
  <si>
    <t>P54_Contig-2942</t>
  </si>
  <si>
    <t>P54_Contig-3019</t>
  </si>
  <si>
    <t>CGATTACAAGCTTGAAGTTCGGGTAATCCACAGTCTGCTGATTCGGCAAAGCCATTCGCTTTCTGCTTTACTGATTGAAAGACAAACAGAATCTGAGGAGAGAGAAAGAGAGGAGAGAGAAGAGAGAGAGAGAGGGATACATTCATACATCGATTCAAAACCCTAACCCTAAACCCGAAAAGAATCAACATATTGATCCCTCCCTCAACACATGCCATCTGGGGAGTCCGCCCCGCCAAGATACGCCGGTCAATC</t>
  </si>
  <si>
    <t>P54_Contig-3125</t>
  </si>
  <si>
    <t>AGTCTGTGTGTGATTAGATTGTGTTTTGTGTGTAGGTTCTGTTGCTGTCAAGCACCATGTCCAGGCCATTTGCTGGTTTTTCTATAATTTCTATGATCGTCTTTTGTTTTAGCATTAATGTTTCTTATGGTAGTTGTCTTGGGCTAAACTATGTTCCCCTTGCTATTTGAAACATGTCATGTAGGTCTTCTTCCGTGGGACACGGGTTACCTGCTTCCTTCCCACTATTTTGTCTGATTTTTGATTTCTCCAATTTCCTTGTGCG</t>
  </si>
  <si>
    <t>P54_Contig-3295</t>
  </si>
  <si>
    <t>GTAGGAGTGATCTTTCTGTTTTGAAGGACTAACATGTTCTAGAGTTGATCTTTATTTATACATCACTTTTGTACTAGAATTTTCAATATTTGGGCCTGTCTTTGTCATCTGCCGGATCAGATCAGTGTGACTATTACAATCCTGTAGTCCTATGTAGTTCTATAACCACTGATAATGCTTGTAAAATGCCTGCTTGTGGGCGCAAAGTGTGTGCGACTGG</t>
  </si>
  <si>
    <t>P54_Contig-3590</t>
  </si>
  <si>
    <t>AAAAGACGATCATAGAAATTATAGAAAAACCAGCAAATGGCCTGGACATGGTGCTTGACAGCAACAGAACCTACACACAAAACACAATCTAATCACACACAGACTTGCACAAAGAAAATGGAGATATCAAAGATTAGGCAAAATAGCGGGCAGGGAAGAAAACACGTGTGCCACTGATCCCCTAGCAAGAACAACGGTGTATCCTTACATCTGCGAGAGACAGAAAAAGGA</t>
  </si>
  <si>
    <t>P54_Contig-375</t>
  </si>
  <si>
    <t>ACAGAGAAAGAGCCGTACCAATTCAAATAGAAACACAAGCGACCAGATTTGTAGAAGTTTCAGACTTAAGAAGCACCCCACGAGGATTAGATGCAACTGCCCACCAAATATCATGATGAAGGATAGTAGATATTGAAAATAACCTTGATTTACTTCGCCTGCAGAAAAACCGAAGGAGCCAGACTACTAGGATAATAGAGGAAAACAAGAGAAATTCTTTTTCTCAACTCCTACAGTTGCCAGAATCTAACGTGACCATCATCAAGCTGAGCATAACCTTATGAGAAACTGCTTTAAACAAGAGGAACAAACTCGATGACCTAGATATAACACAAACACACGTTCTGTGAAACCATTGCAAAACCACATTTCAGACAAAACCCAAGTGATAAGCACCATGCCACAACAATGCAGATCACTAAGAGACCAAAGCTGTATAACAGCAAAGATGGAAAGGGATGGGCATTATGAAATGCTACCTCAAAAATGTAACCTCAATTCTCCGCATAGTGTCTACAACAGTAAAGAGGCCAGGAAGAACTGCACAAACCATTAGAGGAAGGAAACAGATATAATCTGAATGTCTTAGCTGAATAAAACTTCACCATCTTCCAAGTGAGCTCATGAAATCCCTTCCAACCTCGTGATTCCCAAATTTTTCCAAGCACCCACGAAGTAACTATCGCAATCTTATAGATACCAATCCATTCTGGTGTGTTATTGAGTTGCACATAAAGAAA</t>
  </si>
  <si>
    <t>P54_Contig-4353</t>
  </si>
  <si>
    <t>GAAAGGTGGAAAGCGGTGCTGCGTAATGGCTAGAGTCACGATTATTTCAACTAAATCTGCAAGTCCCTCTGACAAGGGCCCTCTTCCCAGAGACGGTTCTAGGCCGGTGGCAGATCTTGGTTAATGGAATATCGATTACTGGCTTTAGTCGCGGATAGAGTCAGATTGCTTGAGAGTGCAATCCAAATTAGGAGGTAAACTCCTCCTAAGACTAAATACGATGGTAATATCGATAGCAAACAAGTACCGTGAGG</t>
  </si>
  <si>
    <t>P54_Contig-45</t>
  </si>
  <si>
    <t>TGGGTTCTGGTAGGCAAGATACCTTTTGTCAGGCAATCCAGTAGATCCTTCTTTCATCGAGTCACAGGCAAGCAGACTAAGAATCAGGTATGGAAGGAAGTGAAGGTGAAGCAGACTTTCTTTCTCGGTCCTAATCAACAAGGGCAGCATGGATATAGTTGCTCGTAGTAGCCTACTAGGGTCGATAAGCCAACTGGATGGTTGCAGCTGATAGCTATGGTGAGCACACGAATAGAGGATGGGGGATACGATGCAGAGTAAGATTGAAAGATGAGGACGCCCCATAACCTTTCGTTTGTAAGATCAATGATGATGCATAACAATCTTCGATAGGGTAAGAAAGAGTTAGTGAGAGCACAGCGGAAGGCAAAGAGCCGATAAGGCGATGA</t>
  </si>
  <si>
    <t>P54_Contig-467</t>
  </si>
  <si>
    <t>CTAAGCGTCTTCGCTAACTCGCTCGCCTACTATACAATACATTAAGTAGGGTAGGCTAACTCAGCCGCTTACTTATACTAATGTAGGGCTAAGTAGCCGCCTTTTGAATTGAATCTTAAGTAGTCTATCAGTGGTGCAAAGCTAATTCTTTTCAGTAGGGGGCGAAAGGTTAGACCTTATAAAGTCAGCGAACAGCGGTTCTTCTATGTAGGTATGGTGTTATCCCTGGACTCTTTTAACGTCGAGTGACTTCGTAACCTTTTCGTAGCGTAGTAGAATGAAGGCTACGCACCGACGCTCTCTTATCTATTAGT</t>
  </si>
  <si>
    <t>P54_Contig-5055</t>
  </si>
  <si>
    <t>AATATAAAGCAATCCCTCCAATCGGAATCGAAAGCAGTACAATTGCTGCGCTTACGCCTTTTATTGGCATTCAAGCAAGAGCTCCGAGCCTATCAGCAAAGATAAAAGGTTTTCTTTTAAAGCTATGGAGTGAATTCATAATTCAAGAGGAAAGGATTCGTTGTTAGGAAAGGATTAGTTGTTTACTTTTATGGAAGCTAAGGCAAGAAGTCAATCACTTTCAGTATCTCTTGCTTCTTTGGTTAGTTCAGTACGAGTGGCAGGCTCAAACTGGCGCAGGCAATATGTATATAATAATAAT</t>
  </si>
  <si>
    <t>P54_Contig-5090</t>
  </si>
  <si>
    <t>CCACAAGCAGGCATTTTACAAGCATTATCAGTGGTTATAGAACTACATAGGACTACAGGATTGTAATAGTCACACTGATCTGATCCGGCAGATGACAAAGACAGGCCCAAATATTGAAAATTCTAGTACAAAAGTGATGTATAAATAAAGATCAACTCTAGAACATGTTAGTCCTTCAAAACAGAAAGATCACTCCTACCCAGTCGCACACACTTTGCGC</t>
  </si>
  <si>
    <t>P54_Contig-729</t>
  </si>
  <si>
    <t>TCTTTGATTACGATTAAAAGAGAACCAAAACACATTTTTTTGTACTATCGCAGTCTCGACCAAAATTGTTTCGGCGCCGGATTTTCAGGACAACCCTGAAGACCTTTTTTAAGTCCGTTATAGAAAAAAACAATGAATTTGCAGCGATATCTCATTTCTTGGAAGCTACTATAAAAGGGGAGCAGGAAAGCTGCAGTAATTCTTTGGAAAAGCCCTCTCTTC</t>
  </si>
  <si>
    <t>P54_Contig-7327</t>
  </si>
  <si>
    <t>TTAGGGAATAAGAATGCAGGCGCTTGTTCGTCGGCCCCCTATGTTAATGTCCGGCCTCGCGCCTAATGCGTCACGTCGGGAGCTGTAAGCGTTGGTTGTGTGCTAGTGTCGGCCTCTAGCCGGGGAGAGCTGCAACGCAGGAGCGTCGGCAGCCCCGATTGTCCCGACCTCACCGCTCCCGCTGCCGGCCCGTGGTTCTCGCCGGCTAGATGCTGCCGTGCTGCACGACTCGCGCACACGGCTCCTGACCCGACGCATGCGAAGTTACCCGGAT</t>
  </si>
  <si>
    <t>P54_Contig-7860</t>
  </si>
  <si>
    <t>GCCGGCAGCGGGAGCGGTGAGGTCGGGACAATCGGGGCTGCCGCCGCTCCTGCGTTGCAGCTCTCCCCGGCTAGAGGCCGACACTAGCACACAACCAACGCTTACAGCTCCCGACGTGACGCATTAGGCGCGAGGCCGGACATTAACATAGGGGGCCGACGAACAAGCGCCTGCATTCTTATTCCCTAAATCCGGGTAACTTCGCATGCGTCGGGTCAGGAGCCGTGTGCGCGAGTCGTGCAGCACGGCAGCATCTAGCCGGCGAGAACCACGG</t>
  </si>
  <si>
    <t>P54_Contig-964</t>
  </si>
  <si>
    <t>TTAAATACCATAAGCTTAAGGCGAGGGGCTATCCCTTTTTCGTTACTCATGCCAGCATTCTCACTTGGGATATACTGGACTAGCGCTATTTAGCGCTCAAACTACGTTGTAATTATCTTAAAACTTATGTACATCAACTCCTAGCTATTATTTACTAATAGTAGTGCTTTTTTGCCTAGTACAATACTTTTATATTTCCTTTGTTTCTAGTCCTATTTACCCAATGTTCCGCTACCCCATAAATAATACTTAAATAACCTTTAAGTATAGTAAACTAGGATTATACCTAATATAATTATTATGGACAAGGTGTCGGTGTTTTGTTTAGATCCGTTATATCTTCGGCGCTTTTAACTAATTAGG</t>
  </si>
  <si>
    <t>P55-3_Contig-167</t>
  </si>
  <si>
    <t>P55-3_Contig-225</t>
  </si>
  <si>
    <t>P55-3_Contig-40</t>
  </si>
  <si>
    <t>TTGGTTAGATCCATTAAATTAACGTAAACCCTTGCTTTATTTAATAATACATAGAGTACTTTTCCAATAATTATTGGAAAAGTACTCTATGTATTATTAAATAAAGCAAGGGTTTACGTTAATTTAATGGATCTAACCAAAGTCTCACGACATTAACTAAAGACAGCCGTGCAACACTTGTAATATTTAAAGTAAGGTAACTTACTTTAAATATTACAAGTGTTGCACGGCTGTCTTAAGTTAATGTCGTGAGACT</t>
  </si>
  <si>
    <t>P56_Contig-1040</t>
  </si>
  <si>
    <t>TACTAAGTCACGTCCTTCCGTGGCCCGCAACCTTTCTTTAGGCCTCAAGCGTATCTCAACCGAAGGGACCATCGACACGAATCAGCCCGCGTACTGAACCACGTCAAGAAAACCCGTCATGCCGCCTGAGCGGGTAGCCGGAGATCACGAGACGCAACCTTTCACACCGTCCCCAAGAGCTCAAAGCCAACCTAAAGGCCAAACCCAACAAAAGAAGCCTTACTAATCCACGACCCGAACACCCATCTTGCTGCTGACGTAGCAATCAAGGATCACGAGACGCAACGTTTTGCACTTTCTCAAGGGCTCAGCACCCAACCTAGTCCTAAAGGCCGAACACGTTAAGAGAAAGCAT</t>
  </si>
  <si>
    <t>P56_Contig-10402</t>
  </si>
  <si>
    <t>CCGCCGCAGAGAAAACAGAGGAAGTGACCCCGCCGGAAACAGAACCATCCAAGGAGGCAGAAAAGGAGGAGGAGAAATCCGCGCCACCGCCCACGGCGGATCCCACGGCGGAGCCGGCGGTGGTTGTGGAGAACATCGACGAAAAGACCGTCCCACCGGCGGAGGAAATCAAAGAGACCATCGTGGAAGTAGCCGCGGCAGCCCCACCGGCGGAGGAGCCCGCCA</t>
  </si>
  <si>
    <t>P56_Contig-1052</t>
  </si>
  <si>
    <t>AACAATTGAAGGATCAAATCGACGAAAATTGACAAGTAGGGACCAAATTGACGATCATGCAACAATTGAGGGACCAAAATAGCGATTATCCATAGTTTTTTGTTTTTGGTTATCAGAGCCATTTTCTTAGTCACAGATCTATGTTTATGAAGTGAAATTGATGTTGGAAATGAATTTGCAGGATTACTTCAAAGGGACCATACCAAACAGGCAACCCCATGGCAGGTTCATCTAAGCCAGAAAAGAAC</t>
  </si>
  <si>
    <t>P56_Contig-1170</t>
  </si>
  <si>
    <t>TCTCCTCCCCCACCATCTCCTCCCTATTCCCCCCCCTATATATACTCATCTCCACCTCCACCACCATATCATTACATATCTCCACCTCCACCTAAAAAGTCAAATCCACCTCCTTATTATTATAAGTCACCTCCACCACCACCAATGCATTCTCCACCACCTCCACCAACATATTACTACAAATCTCCACCTCCTCCAACCCATAAACCA</t>
  </si>
  <si>
    <t>P56_Contig-1276</t>
  </si>
  <si>
    <t>TATAAAGACAAAAATGCCCCTGCTTAATTGAATTGAAGGAGGGCAATTTTGTCCATAAAGCCCTATCTTTTCTTCCCAAGTCCATGGGAATTCAAATACCGGAGATGTGAGATTTGAATTCTCATGAAATGAGGGAATTGCAATTCCCTCATTTCATGAGAATTCAAATCTCACATCTCCGGTATTTGAATTCCCATGGACTTGGGAAGAAAAGATAGGGCTTTATGGACAAAATTGCCCTCCTTCAATTCAATTAAGCAGGGGCATTTTTGTCTTTATACTATTTATTCCCTTTCAATTCCCATGGTTCTATTCATGCATACCAAACCCTGAAATTTAAATTCTCACTTTATTCCCAGTAATTCAATTTCTATGGAATTGCAATTCCATAGAAATTGAATTACTGGGAATAAAGTGAGAATTTAAATTTCAGGGTTTGGTATGCATGAATAGAACCATGGGAATTGAAAGGGAATAAATAA</t>
  </si>
  <si>
    <t>P56_Contig-1539</t>
  </si>
  <si>
    <t>GGCATGGACCTGGTATTGGGGGAATGTTAGCTGGAGGGGCTGCAGGTGCGGCACTTGCTTATGGTGCTACTCATTTGTTACATGGAGGTTCTCATCACGGAGGTGGTCATTATGGAGGACATGTTGGTCATTATGGACACGGTGGTCATGGCAAGTTCAAGCACGGGAAATTCAAACACGGGAAGCATTTCAAGCATGGGAAGCAT</t>
  </si>
  <si>
    <t>P56_Contig-1566</t>
  </si>
  <si>
    <t>GTTAGCATTTAGAATCGAAATGCCAACTTGAAATGCTGGTCAGGGCAGAATCTCAAAAAACAGCATTTGGGATCAAAATACTGTTGCGAAATGCTATTTACCAAACACCAATTTTAGCCGCTGACTGCTAACTTCTAATTGCCAAACAAGTCCAAAAGTTTAGCTGATAGTTGAACTACACGTTTATTATTTATATATTGGCCTTGTTATTAGCG</t>
  </si>
  <si>
    <t>P56_Contig-157</t>
  </si>
  <si>
    <t>AACCCACGGCAGTTGGTTTCTTTATCCAGATTTAATTGTTAGACTTAACATGGAATGAAATAAAGGGAGAAAATCTAAGGAAAACATTACCTCAAAACATACATAGAAATAAACACCTTGTAGGTCAAAATCAAATAGGACATCTACTGTTCCTTCATGTAAGTTGGCCATTACCAAAGAATGTCTCAAACGAGACCAGAATTTAGCATCGATAAACACAAATACTAACACATGGCATTAAATCAAATATTCAAATCCCAAACCTTAGCGTCCGAAGTAGTTAGATTCCTGGAAGGGGTATTAGGTCAAAGATACCCTTGGTGCTGAACACCCTACACCAAACAATAGAAACAGGAACTGTCTATATGACGAAGAATTTAGACTTAAATTTTCCTTACTCAGAGTTCTTCCATCCATCATGTACCCCAAGCTAGAGCAAACCTAGAAAACATGGGAAGAGTG</t>
  </si>
  <si>
    <t>P56_Contig-2</t>
  </si>
  <si>
    <t>CATGTAACAAGAGATCAAAGCCTAAACTTCTCTTCTTCCTCCTCCTCCTCCTCTTCTTCTTCTTCTTCTTTTTTTTTTTTTTTTCTTTTTTTCTTTTAGTGTCTTCTTTATTATATCCCCCTATCCCTCATATGAATCTAAAACTCCACCAGAGTCTATCGTTCCGCGGATTGAAGCAAAAAAGATGCTTCAATCAAATCTTTTTTGATTTTTTTCTGTTAGAAAAAGAGGGAATCCCCCCCCCTTTTTTCCTTTTATTCAACAAAGATTGAAAAAAATAAAAAAGAAATCATTCCTACTCTCATAACTCAAATTGGATAATTCTGAAAAAAAAGTTTTAAACAATTTCATTTCTTGAGCGGTCTTTACTCCCTTTATGCTTGTCTCGTTTAAAATCAAATGAATTTTGCTTCTTCCGTCTGATCCAGTGATTGAGACAATGAAAACGGCGTTTGCTTGTTCTGGGATCCTTTATCTGTGTTTTAAATCATTAGGTTTAGACATTACTTCGGTGTTTCTTAATATTTTCCTTTCAAAATGGCAGCAACATACCTTTTTTTTACTTCTTTCTACCAAAGAATCCTACAGATTCCCGCATGATACACTTCGGATCGAAAAAGTTTGATCAAGTCTAATAACTTTTTGGAAACTTCCTCGAATTGGATTCTTTCTGTATCGAAGATATGTTTACGAAGTTGTTCCAATTGATTGGCATTAACCCTAGATCTTTGCCCCTGAGAAATTAATAAATACTTTCTACTCGAGCTCCAT</t>
  </si>
  <si>
    <t>P56_Contig-2771</t>
  </si>
  <si>
    <t>GGGTTATTGGTTCATGTGTGCAAGAAATTAAGATCGGTTATTATGTTCATGACGAAAATTCCAGGTTGCTTTCTTCTTGTATGTTCTTATCTTCTATCATGGTTATATCTCGACAGCTATATGTTATGGCAGATACATCAGGTTATTGGTTGATAGGTGGGCTAAGTTACGACAAGATTGTTAGCCAAGGAGTTCTTGGATGATAATTTGATTTTGATCTCCATA</t>
  </si>
  <si>
    <t>P56_Contig-3439</t>
  </si>
  <si>
    <t>TGGAAGATCGTCACAACTTTTATTCTCAGGCATTTTTCATAGCTTCAATGCTTTACATTTAATGGCCTTCCATGTCCTCCCTTTTCCTTGACAAATTAGGGATTTTCGGAGCTCTTGATTTTAGGGTTTATGGGTTCTTGCTTGATTGAGATTGCAAAACCCACAATCTTCCAAAGTGTCATTGACTTAAAAGACAAATTTGGGA</t>
  </si>
  <si>
    <t>P56_Contig-3793</t>
  </si>
  <si>
    <t>TTATAAGTAGGGCGAGAGAAAGTCCATATATTCTATTTGCGTTGGTCTTTCCAACGGAAACTAAGCACTTTTTTCTTGACTCCGGCGCTCCAATGAACAAGAGTTCTCCGCCTTACTCTATTTAGAATAGTGGTCGATACCTCGGGAGGGAGTTAGATTCGTAACAAGATGTTATGTTCACGCGGTGATCTTCTATCTTTCCAAGAGTACTACCCTTTTAGATTAGCAAAAACAAAGAAAC</t>
  </si>
  <si>
    <t>P56_Contig-3962</t>
  </si>
  <si>
    <t>GACACTTTGGAAGATTGTGGGTTTTGCAATCTCAATCAAGCAAGAACCCATAAACCCTAAAATCAAGAGCTCCGAAAATCCCTAATTTGTCAAGGAAAAGGGAGGACATGGAAGGCCATTAAATGTAAAGCATTGAAGCTATGAAAAATGCCTGAGAATAAAAGTTGTGACGATCTTCCATCCCAAATTTGTCTTTTAAGTCAAT</t>
  </si>
  <si>
    <t>P56_Contig-400</t>
  </si>
  <si>
    <t>GGAAGTGTAAAACTGACGCGGATTGCAAGTTTTGTGTGCCAACAGCTGGTTGCGAGAAAATTATTCTCCCCGGTCTTTGTGCGTAGTGATCTCATTTCCCACTCGTCAGCACCTCTGATCTGATCTGCTTGTGTAATATATGTATGTTAAGTAGTTGCTTGGGAATATATCTTCCGATATATATCCTAAGTTCTTCCGTGTATTTT</t>
  </si>
  <si>
    <t>P56_Contig-511</t>
  </si>
  <si>
    <t>GATCGTACTACAATCACTCTCTTTGTTGGTTTGGAATTTTGTAGCTTCATTCTCTTTAACCTCAATGGAACTCATTTGCTTCAACGCTTCATCATCCTTTTTTCCTTGACTAATATTTACTTCCGCATTTAAATCCTGATTCACACCATCGACAGTGGTTGTTCCACTATTATTTGCTTTAACGATGTGCACTTCAATGAACTCAATTGAAGACACGTTAAGATCTTTTTTTTCTTGATGTTGCAAATCAGAAGCTATTGTAGGTGCTTCACCCATTTGTTTATTTATGTTTTCACCAAAAAAACCATCCGTTTTTAAACTTTCATTTGCAACCTCTTCTTTGTCAGCTTCATCAATTTTGAAACTATCTTTAATGATAGTTTCATCATCTATTTTTACTTCTCTTTGTAATTGAATGATATCTGATTCAATACTTGTAGCCTGATTTGAGG</t>
  </si>
  <si>
    <t>P56_Contig-6069</t>
  </si>
  <si>
    <t>P56_Contig-7136</t>
  </si>
  <si>
    <t>AACTTAAATCAAGAAACTCAAGCTTTGGAAGTAGTCTTGTTGGAAGGTTCTTGGTCTCATTATAGTTGAGGAAACTAGTGATGAGATTGTTACGCAAATCCAGCTCCTCCAGATCTTTCATGGCCTCCAAATCATCAACTTTAATTTGCCCATTCAAGCCAACGTTGGATAACTTGAGATGTTTGAGTGATGGCAATGCACTTGCTATTGATAGGACGGTGACGTTGTTGCCCAATTCTCTATTCC</t>
  </si>
  <si>
    <t>P56_Contig-786</t>
  </si>
  <si>
    <t>AAAAAACAACAACCCCTACATAAGGGGGTATACTCCAACCCCATTCAAAAAATGAATGAATTCACAGACCTGCCCATAAAGCAGGGCCCTCTCCCCGTTTAAAAACAAATCCAAGCAATCATATTGGCTTATTGCCGGATTATCCACCGGGCTCTGAGTAACCGCGATTACAAGGTCAGCTACGGTCCATTCTGAGGGGACCTGATTCCCGCAACTTAATAATCATTCCTGTAATTGGGAGCACGCGGTGGAAAAGGAGATTTGACGCCGACC</t>
  </si>
  <si>
    <t>P56_Contig-892</t>
  </si>
  <si>
    <t>GGACTTGCTTGGGCGTGCTTGCCGGAGATTGCCGAGTTGGGTCATAAAATTGACTCGATGGCGGATTTCTTTGACTTGTGTGTCTGGGCTTTTGTACGTGCGGTGCATGAGTGGCGCTTGGCTTGTGGCGATTTGTTGGTTCCCTGCTCCGGCAGCGACAACATCTCTCCCTAGCCTTTTCATTTTGTGGCCGATGATGTCAATCGTCGGCCGTGTCGGGTTTTCTGTGTTGCATACCTACGCGATGGTATTCGGTCGGTTATAATGGGGAAAGGTCCACTAAGTGGTGCTCCACGCCGTGTATGCGCGCGCGGATTCCAGCACGAGGTGGATCCTTTAGGCGGTCGTCGTGCTACCACAATCCTCGCACTTCGGTTCGATGGTTTGATGGCTCATGACGGTCTGCTTGACATCTTGGGTGCGGAATATTACATGGATATGGGGTCTAGCGCCCCTATTTGTCCCGTATAGCAAGCGTTTACGCTTTGTTCCTCCGAAGTAGTTGGCGCGCTCGGCTTTGGAATCGGTTGTCGCTCGATAGGTGTGCGTCGACAAGGTCGATGAGGCGCAAGATGTTAATGCTGCTACGCGAGTTGGCCGACCAAAAGGGGCGATTAGGCGCGCTGACACGGGCGCAAGCGACAGTCCGTGCGCGAAGAAGGTCGCAACGTCCGGGTGAGGTACCGACCGAGGGGTTGAGGGATTTTCCGTGCCAATCG</t>
  </si>
  <si>
    <t>P56_Contig-921</t>
  </si>
  <si>
    <t>TAACCATCCAATCGGTACAACTTGATGAGCAGATGGCCAGCTTTTAACAACCAGCAATATAGCCCTACAAACACAATAAATAATCTAACCACTCTTGATTGTGATACCAAAAAAACCCAAATTGAAAAAACAACAGAAATACAGCAACCAACTATCAAGTAAATCAAACTCCAGCCCACACAAATACCGTAATTAGGACCCGAACAGCCCAATCATGCAAACAGCCATAGATACAAGCACCTGGTTATGAGTTCTTAAAAAGGAGCTGATAATAATAATCCAGATTATGACTAATTGATCATCAATATCTAGAACCTGATAATATAAGTTCTGTTGATGATGTTATTGTTATCGGATTC</t>
  </si>
  <si>
    <t>P58-1_Contig-109</t>
  </si>
  <si>
    <t>AAAAAAGATCGAATTTCCTATTTTTTGATTGTTTATTGAATATCGTATGGAATTTAAATTTAAGTAAAAAAAAGGAAACTTGAAATGAAAGTTTCTTTCACACATGCAGTCTCCATCCCATTGTCGGAACATAAATACGGGATGCATAGATATAGAGATAGTTGGTACATGAAACCACACTATATCGAAATCTTATTCGATAGATAAGATCGAAATTCATTCCGTTTTGAAATCAAAGAAAATAAAGATATGGAAAATGGCTTTTTTTGTTGTGAGTTGTAATAAAAGTTTTCGACTCTCTAGGAGGAAAAGACTAGCCAATTTATTCAGCTAGGAATACAAAGATTTAATCGGAAATATCGACAAATTCATGCAGAGTTTAAAGAAAAAAAAAAT</t>
  </si>
  <si>
    <t>P58-1_Contig-1482</t>
  </si>
  <si>
    <t>AGGTAGCAGAAGAAGCTTTAGCAGAAGCCCCGGCAACTGAGACAAAAGATGAAGCCTCAGAAAAAACCGAGGCCCCAGCAGTAGAAACCGAGCCAGAGCCAGAGGCAGAACCCGAGGTAGAGACCAAGGAAGTTGAGGCTGCACCAGCAGTTGAAGAAGAGAAGGCAGCAGTCGAGGAAGCCATCGAAGTGAGCCCAACTGAGGCCACCAAAACACCAGTCGAAGAACCGTCCAAGGAGGAGGAAGCAGCACCAGTAGGAAGGCAGAGTTGTAAAATACTAATAAAGCCCAATTCCATCGATGATATTTCTTCTTC</t>
  </si>
  <si>
    <t>P58-1_Contig-1681</t>
  </si>
  <si>
    <t>GTATTCACACTTCTAGCCTAAAGGGATCAAGTGTGAGGAGGTGTGTTAAAGTATATAACATATCTTGGGGCCTCAATCATGAGATTAAACTTTTGGCTGAGTTGGTTCTTTGAAATAGTATTAGAAGCTAGTGTGACAAGAGATCGCGGGTTTAAATCTCAACCATATCTTCCAGCCCAAATGGCTCTAATGTGAAATATTCAACGCCAGGTATGAGAAGGACCTGTGCT</t>
  </si>
  <si>
    <t>P58-1_Contig-1734</t>
  </si>
  <si>
    <t>ATTAAATGTAAAGCATTGAAGCTATGAAAAATGCCTGAGAATAAAAGTTGTGACGATCTTCCATCCCAAATTTGTCTTTTAAGTCAATGACACTTTGGAAGATTGTGGGTTTTGCAATCTCAATCAAGCAAGAACCCATAAACCCTAAAATCAAGAGCTCCGAAAATCCCTAATTTGTCAAGGAAAAGGGAGGACATGGAAGGCC</t>
  </si>
  <si>
    <t>P58-1_Contig-1818</t>
  </si>
  <si>
    <t>AAAAAATATGGCCTACTCAAAGGCTTTACTCCTTGGTTTCCTCTTAGCGATAACTCTACTCATTTCTTCTGAGGTGTCAGCTCGTATGCTTGCTGAGACTACTCAAAACACTCCGTCCGAGGAGGAGGCCAAGTATTACCATGGCGGTGGTGGCTATTACCATGGAGGAGGTGGCTATCACGGAGGAGGTGGATATCATGGAGGAGGTGGGTATCACGGTGGAGGATACCACCACGGTGGACACGGTGGCCATTACCCACCCCAAGAAAAGGATACCAAGACAGCCGAAGAGCAGAAGGGTAATTAATTTGAGTTGTATGTATACCCAATGCAAGTGAAAAA</t>
  </si>
  <si>
    <t>P58-1_Contig-1846</t>
  </si>
  <si>
    <t>GCACCGGGTGGTGGAGGATACTGTCCCTGTGGATATCCGTGATGACCACCAGAATGATGACCAGCAGAATGACCAGCTATACCACCCACAAGACTGGAAATGATTCCCTTGTCAGAACCATCCGAACCTTGTGGAGGATATCCTTGTTGTTGAGGATAATCAGCAGGCGGGTATCCTCCTTGTGGAGGATAAGCCTGTGGAGGGTACCCTTGAGGAGAATACCCATATTGCGTAGGGTAA</t>
  </si>
  <si>
    <t>P58-1_Contig-2033</t>
  </si>
  <si>
    <t>ACAGAAACTCAGAGATCATAAAGACGTAGAGCACAAAGATATAAAAGAAACGGATCCTGGTTACCGTCAAGATAGCTATCGAAATAAGAATCTTGGCAATGTGAGAAAAACATGGTTTTTGTTTCATGATGATCAGCGGTCTGAAGAAACTATGCCAGGAAAAGAGAAGGTTTCCAAAGACTCAAATGTATCTGCTGAACG</t>
  </si>
  <si>
    <t>P58-1_Contig-254</t>
  </si>
  <si>
    <t>TCTCTTTGTTGGTTTGGATTGTAGTAGCTTCATTCTCCTTAACCTCAATGGAACTCATTTGCTTCAACGCTTCATCATCCTTTTCTCCTTGACTGATATTTACTTCCACATTTAAATCCTGATTCACACCATCGACAGTGGTTGTTCCACTATTATTTGCTTCAACAATGTCCACTTCTTTGAGGTCAATCGAATACACGTGAAGATTTATTTTTTCTTGGTGTTGAAAATCAGCAGCTGTCGTAGGTGCTTCAACCATTTGTTTATTTATGTTTTCACCACAAAAACCATCTGTTATTAAACTTTCATTTGCAACGTCTTCTTTGTCATCTTCATCAATTTTGAAACTATCTTTAACGATAGTTTCATCATCTATTTTTACTTCTCTTTGTAATTGAATGATATCTGATTCAATATTTGTAGCCTGAATTGAAGGATCGTGATCTTTTTTCTGGTCTTCGTGTTCAAAACACGTGTTATGTTCCTCTTTTTCAATATACGTATCTTTCTCATTTTCGTTATCTTTGTGTTCTTCAGCCTGAGGCACATTGCATTCGCTTTGTTCAACAAAGATCGTACTACAATATCTCTCTTGAGTGGTTTGGATTATTTTAGCTTCAA</t>
  </si>
  <si>
    <t>P58-1_Contig-34</t>
  </si>
  <si>
    <t>GTTGATGATAAGGTGTTGCTTGGTGTTTCACCAACTAGAGAAGTAATGAGATTCTGGAAGAAGGGTAAATAAGTCTGAGGTTCGTGGGACCCTACGAGATTTTTGAGAGCATTGGTGATAATGATGAACTTGGATAATTTTGTCACATAATATGAGAGTTCGTGAAGATAAAGTACATGTCATTAGTGTTAGTAAAACCTAGGAATGCACATAAGAAGATTATTAAGCCTTATAGTTTGAGTTGCTGAAAAGTGTTCAGACTTCGTGATGATTACAGTTGACTTGTAGGAGGGAATCATAAGTATTATAAATGTTTGAGATTCAAGTTTTTTGAATAGACAAAAGATCTATGCAAATCAATGGTATAGAGGTATCGAGTTTCAA</t>
  </si>
  <si>
    <t>P58-1_Contig-340</t>
  </si>
  <si>
    <t>TTTTTTCTTGAAGGAATTTTTTATGATCATTATCAACTAAATCATTTTCTTTATTCTATAGAATCCCTAGAATTCATTAAAACAAAAAGGGCCTGGCGAGGTATTGATCAGGCCAGGCCGTGGGAATCCAAAAAGAGTCCCCTTCGGGCGAAGAAGTATTTAATTAAATATTCTATTCTATTTTTCTATTAATTAATATTAAATATTCAGTCTTT</t>
  </si>
  <si>
    <t>P58-1_Contig-355</t>
  </si>
  <si>
    <t>TTCCAGCAAAGAAAAAGGCTGAATCAAGTGATGACAGCAGCGATGATAGCTCTGATGAAGATGATGCTCCCAAGAAGGCGTCTGCTCCAGCTACGAAAAAGGAAGTGGAATCTAGTGATAGCTCGTCTGATGAAAGTGAATCTGAGGATGATTCTTCTTCTGATGACGAACCTAGGGCTGTATTGAAACAACTTCCAAAGAAAGCCCCTGCTTTGGTTAAGAAATCACAGAAGGAAAGCAGCTCTGATTCTTCAGATGATTCTGATGATAGTGATGATGAGCCAAAGAAGAAACCTGCTGCTGCTGTGAAACATGTATCCAAAAAAGATTCTTCATCAAGTGATGATTCTTCTGATAGCGATTCATCCGATGAAGAGGATGAACCCAAACCTGCTACCAAGGCCAAGAAATTACCTGCTGCAGTAAAGAGTGGTTCTC</t>
  </si>
  <si>
    <t>P58-1_Contig-397</t>
  </si>
  <si>
    <t>AAAGTTTTTGATCGGAATAGTAATCAAACCGGTAGACCCCTTAACTATTAAGGGGTTAATAGAACGAATCACACTTTTACCACTAAACTATACCCGCTACAGTTGGATTATTGTATCGAAATAAAACTTTTGTCGAACACTGAAATTGGATGTAATCAAGATAGGATTCGAAAAGAATCATGAAATTTAGAGTATTGACACTTTTTGTAGGAGGATTTTATTAGTTTTAATCAGATTTTAAAAAGTTATAGTTAAATAACTAAAA</t>
  </si>
  <si>
    <t>P58-1_Contig-4155</t>
  </si>
  <si>
    <t>TGTGAGCTCTCAAGGTGCTGTGAAGGTTTTCGGGCCATGCGGTACGAAAGACGCTATGGCCCAAGGGAAGGAAGGTGGTAGCATAGACCCTCACCCCGAGCCGTGAGCCAAGAATCATCAGCTGTGAGCCGTGAGACCCCCCGCCCCTTACGATTATGGCTTTTAAGGGAGTTCATTGCAAGGTGATCAAAAACATCATTCAAACTTAATATCAATGATTCTTATTACTATGGTTTGTAAGGGAGATTGTGGTAAAGGAGTTCCATCTGGCTTCCAATGCCCTTGATCAGTTTTTATGGCATTATTATTATTATTATCAATCATTAGTATTTCCATATTTCAGTTAAGTT</t>
  </si>
  <si>
    <t>P58-1_Contig-446</t>
  </si>
  <si>
    <t>GTTAACGCTAACTCCACCCAGCTTCTGCTGGACGGTCCCCAGTCCGTGTAAAGGAGGAGGGGCGTCCCATGACGACACTGTAGATAGGCCGACAGCCCTGTCAACATCAGATCAACCTGACAGTGCGCCATGGGGTAAGGAAGTAGTGCGTCGGCTTCGGCTTTTATGCGCTCCCGCCGGCCACGCCGGTTTCCCGGCGTGGTCACACGACCACGGTTTGCTGGAAAAGGGTGCGCAGGGCTCCGACCCCGTACCCGTGTGGCACTACTCGGAAGGAACTGGCATCGCGCGTTATACGGCTCGACGAGCCGAGACTCGCCGAGTCAGACGGTGCGACGGAGAGCTCCCAAATGAATGGGTCTCCGCGCGCGTGTCTGGCCAGCTCCAACTTCCTTACGGTACCGACCAGGACCCCGTAGGACCCCCGTCAACACCAACGCCTCTCCCTCTTTACCCGGGCTTGAGACCGGCTCGGTTTGCACCGAGGCGAG</t>
  </si>
  <si>
    <t>P58-1_Contig-451</t>
  </si>
  <si>
    <t>AAAGGATGGAGTCTTGAAGGTGACAAAAGGGTGCTTGGTGCACTTGAAGGGAGTGATGGGCAACATTGGCCATGTGTTGCTAAAGAGTAGAGACTTACACCATGTCGAGAGGGGTGCAAGACTCAAGTCACCAAGGAGAGTGACATTTGATGATGGTGGCCACAATGAAAGGTGGTGCACAAAGAAGATTGATGATGGGTTTGGTCTTGAGGAGGAGCCAAGACCCAAATCTTATGTTAATGTGTTGGTTGGGACACCAAGAGTGGTGTCACATGTTGATGGAGGGAGATTTGGGCTTGAAGGGGAGATTGTTAGAGCAAGCACCAAATCACCCTCATGTGGAGGGTCTTCGGGGTGCCGAGATGAGGGTACAACGAAGAACAAGGGTTGACGTGAAGCAGCAACAGCAAGTCAGCAGCCCTGATGGCTTGCTCGACCAGTCGAGCTAGTTGGACTCAGTCGAGCAGTAAGTCGAGCAAGGCATCAGAGGAAGTCTAGTATACACTGAAGTAGCGCTCGACCTGTCAAGCTGGTGTGCTCGATCGAGCGGAGCACAGTACGAGAAAACAGAACCCTTCTGTTTTGTTGCGGGATTTTTGTGGGCTTTAAGCCCTTTTGTCCTAGGGCTTCTAATATGTGCTAGGCTATATATAAGAGGCTTAGAACATCATTAGGAGTA</t>
  </si>
  <si>
    <t>P58-1_Contig-511</t>
  </si>
  <si>
    <t>TCCTCCTCAAGGTTATCCACCAGAAGCATACCCAAAAGAAGCATACCCACCAGCCGGGTATCCTACACAAGGCTACCCACCCCCACAAGGAGGTTATGGATACCCTCCACAAGGAGGATACCCGCCTGCTGATTATCCTCAACAACAAGGATATCCTCCACAAGGTTCGGATGGTTCTGACAAGGGAATCATTTCCAGTCTTGTGGGTGGTATAGCTGGTCATTCTGCTGGTCATCATTCTGGTGGTCATCACGGATATCCACAGGGACAGTATCCTCCACCACCCGGTGCTTACCCTACGCAATATGGGTATTCTCCTCAAGGGTACCCTACGCAGCAAGGGTA</t>
  </si>
  <si>
    <t>P58-1_Contig-585</t>
  </si>
  <si>
    <t>ATTTTTTCCTTCTTTAGAAGGAATATGTCCCTAGTACATACATATATAATATATATGTGTGGATGATATTTGTGTAGAGTCGGACCCGATACTTTACTTCAAACTTCAAGTGAATTCCAATTTAATTCTTTATTTATTTTAGTCAATTCATTCAAGAAATTTTAATTTGACCCCTCCCTCTAATTTTTTGTTTTAGTTATTTGTTTTTTTGTTTGT</t>
  </si>
  <si>
    <t>P58-1_Contig-680</t>
  </si>
  <si>
    <t>GGTGGAGACTTGTAGATATAAGGAGGAGGATGAGACTTAGGAGGAGGCGGGGATGTATAGTGACAAGTTGGAGGAGGAGGAGAAGAATACTTATAAGGAGGCATATGAGGTGGAGGAGTTGACTTGTAGTAATATTCAGGTGGCGGTGGAGATTTATAAATATAAGTTGTAGACGGTGGAGGTGGTGATGTATAGTGATATAGTGGCGGAGGTGGAGACACGTAGACATATGGAGGTGGCGATTTCTTTGGAGGAGGTGGTGATTCATAGTAATAGGACGGA</t>
  </si>
  <si>
    <t>P58-1_Contig-7226</t>
  </si>
  <si>
    <t>CATAGCTTCAATGCTTTACATTTAATGGCCTTCCATGTCCTCCCTTTTCCTTGACAAATTAGGGATTTTCGGAGCTCTTGATTTTAGGGTTTATGGGTTCTTGCTTGATTGAGATTGCAAAACCCACAATCTTCCAAAGTGTCATTGACTTAAAAGACAAATTTGGGATGGAAGATCGTCACAACTTTTATTCTCAGGCATTTTT</t>
  </si>
  <si>
    <t>P58-1_Contig-808</t>
  </si>
  <si>
    <t>ACAGGGCTGTCGGCCTATCTACAGTGTCGTCATGGGACGCCCCTCCTCCTTTACACGGACTGGGGACCGTCCAGCAGAAGCTGGGTGGAGTTAGCGTTAACCTCGCCTCGGTGCAAACCGAGCCGGTCTCAAGCCCGGGTAAAGAGGGAGAGGCGTTGGTGTTGACGGGGGTCCTACGGGGTCCTGGTCGGTACCGTAAGGAAGTTGGAGCTGGCCAGACACGCGCGCGGAGACCCATTCATTTGGGAGCTCTCCGTCGCACCGTCTGACTCGGCGAGTCTCGGCTCGTCGAGCCGTATAACGCGCGATGCCAGTTCCTTCCGAGTAGTGCCACACGGGTACGGGGTCGGAGCCCTGCGCACCCTTTTCCAGCAAACCGTGGTCGTGTGACCACGCCGGGAAACCGGCGTGGCCGGCGGGAGCGCATAAAAGCCGAAGCCGACGCACTACTTCCTTACCCCATGGCGCACTGTCAGGTTGATCTGATGTTG</t>
  </si>
  <si>
    <t>P58-1_Contig-830</t>
  </si>
  <si>
    <t>TGGTTTCCACCAATCTTACCAATATCGACACCCCCAGATTTCTCCTTTTTGTTTCCAAATTTAACATCTCCATTTTTCTGTATGCCTGATCCATTTGAGTTTCCTCCCGAGTTGAAGGAACTTCCAGGAGGGATGACTGCCACTGGGTAATTGTTGTAAGGTGGTGCAGGATAACCATAGTTTGGGGGTGGTGGGCAGTAATTGTTGGGTGGGATTGCGTAATTATAGGGCTGTTGAGGTCCTCCATATTGTGGGTTATTATATGCTTGATTTGGTGGACAAGGGTAAGCTTGCATTTTGTTTTAG</t>
  </si>
  <si>
    <t>P58-1_Contig-8729</t>
  </si>
  <si>
    <t>TAGTTTCTTCAGACCGCTGATCATCATGAAACAAAAACCATGTTTTTCTCACATTGCCAAGATTCTTATTTCGATAGCTATCTTGACGGTAACCAGGATCCGTTTCTTTTATATCTTTGTGCTCTACGTCTTTATGATCTCTGAGTTTCTGTCGTTCAGCAGATACATTTGAGTCTTTGGAAACCTTCTCTTTTCCTGGCA</t>
  </si>
  <si>
    <t>P58-1_Contig-965</t>
  </si>
  <si>
    <t>AAGTGGTGCCATAATGATGCCTGATGGTATTGCGCTCCATTGCAATTTCACAGCTAAACCAGCCAATCAGGATTCCGATTCTTCCATTAAGCTCTTCTTTGGCGAGATGCTCATTGGTCCAAACGATGTTCATATAGTCACTTATTGTGATATATTAAATGGTAAATCTCATGGCTGCAAGGATTGCGGAGAAAACGCCGACATTAAGCATCCCCCTGCTGAACTTTTAACGCGCAGTTATGATGATGTTTCCGATACTATACGTGAGATGTCGCCAAAGAGATGTGCTACTGTGCCTATTAATTCTGCAAAGAAGGAAAAAACTTTGGAATATGGTAGTTCAAATTTGGACAATGAATTCGAGTTTGATGCAATGGAATATCCTCAATCTCCGGTTTGTCCTCCCTACGAGTATCCCGAGGACGAGGAGGATCACATTGAAGGGCATCGTGATCAAACTCTTAGAGGTGCTCAAAGATTATTGGAGCACTACAACAATGAAAAGGGTACCAACTATGAGCTTGTAGAAGCGTTGAG</t>
  </si>
  <si>
    <t>P58-2_Contig-1085</t>
  </si>
  <si>
    <t>AATGAATATTTGGTTTAGATTGGTCATCGAATCCGAATATTAACTATTCGGAGTCGTTATTTGACGAAGAAGTCCTGTACGATGTGTGATTAAATAAAAAAGGATGTTCTATAGAACGATTCCCCCTTTTTAGTTGATTTTATTCAACGATTGACCAAACGAAAATATTAATAAATAATAAATTGTATGAACTTAGATCAATCAAATCAATTTCTATGCAACGATTCGGCCCAATCAATTTATCCATTTATTATCTTATCAATTTAGGTTGCGTGATAATGATAAAGAAAGGGAAAGGATAATTTCGAAAAAAGGGGATTCATAAATGGTTCGTAGAGGCGAGGTCGAACTAGGTATATGGAATTGAATGGCTATAAGTTAACTCTTGTCAAGGGTTAGACGCATCCTTATCAAATCAGCTTGAATTGAAGATGAGGGAAGAGTTGGTTTACATTGTGGAAGAAAGACATGTATATGTGATATTAGACTAGTATCTCTTATATTTCTATTTCATTTGACCTACTACTGAAATTTGTAATTTCAATCGGGATTCCAATACAATAGAAGTCCTTCCGTCTCGTTGTGACTGTGAATTGAATGAATAAATGGATGAAATCCAGAAAAATTCCAAATAAAAGTTCGAATTCAGAAATGGAAGAACAAAAGTTGTATAGGAGTCACAAGAATTCTGTGGATGGAAACTAAAGATATCGAAGTAGTTCTGGCGATTCAATAAAGAATATTATTACTTGTACTTCAATTACTTCTCAATTCGATGGACTAGCGATGGAAT</t>
  </si>
  <si>
    <t>P58-2_Contig-1131</t>
  </si>
  <si>
    <t>AAAAAGGCACTCAACACAAGGGCATGCTCGAGCATCATTAAAAAACTCCTTATCAATCTTGACTTGTTTCAATAAGAAAAAAATTCAACCGATTCGATTGACTAGTATCTAACAATCTAACAAATATGTAACAACAAAATCTAGTGGTAATATATTGACTTCACGCTAAAGGCTTTCAATTTGAGATTTATACAGTATACAGGA</t>
  </si>
  <si>
    <t>P58-2_Contig-1464</t>
  </si>
  <si>
    <t>TATATTAATAAATGCTGATTGTCATTATCAATGATAGACAAACAAGCCGGATTTATTAAACCCCTTAATTGTAGGTTTATAAACCGAATGTTAAGCCCAAGGGTCTTTCCTTATGATAGGGTAACTGGTGCAGTTACCCACCCTCATACGATTCAAAGACCGGGCTTATGCTGTACTGTACCCACTGGTAATGAGCATTACATAGCTTATCTGTTTTCAGGTAAGTGTATGTTCACTCACCACCAGTAGTCATCCTAACCAGATGACGGTACTGTACAGATAATTCCCTGATCTTTGTTCTAGCTCCTCGAAGTCATTTAGACTACTGAGGAGTCCGTGCACGGTGGACCATTCACATGGTCCCACCGGACCACGAGAACCTAGATCTCGGATGATTCGATAAGTACTTAATCTTAGCCTATTGGTACGGCTAAGATGGACCCTCCTCAGGTGTCTAAATGGCACCGAGGAGAAGGTTCTTTGCACGCAGTTCCAAATGTTTGCTATGTGAGAATTAACTCACTATAGTATTATCATTATCAACCATCTCCTAGGTAGAATAGAAGGAGATCTTGTAGTTAATACTCCTTTATCCAATAAATGAGGAGGGCTTATATCTTAGTAATAAGATATATTGATTAGTTGATTTCTCACTAATCATGCCACTTCATCTTTAGATGGGTGGTAAATACTAAAGATCTCCGACTCTTACCTCGGGGGATATGATCAATGGTAATAAGCACTGGAATCTACACCATGC</t>
  </si>
  <si>
    <t>P58-2_Contig-1487</t>
  </si>
  <si>
    <t>AACAAACGAATCAAAATCTCTTATCTGCTGATATAAATCACCCAAATTTTCCCCAGTAGAACAGAATAAGGGGATTGTTGATACTTGGTTGATTCTAAACATCTATTCTGGGGATTTTGTAAAAGATTGGAAATCTTTCAATCTAAAATTCAAAGAAAGATTATATTATAATGGTCGAAGCAAGACTTCCCGATTCCCTTCTACTGCTAATGTAATATCTATTGATTGGGTCTTGAATTTCATTGGCATAGCCGGCGGCTAACTAGTTGTGGAAAGTCCTTTATATAATCTACATATGCTTCAGAGAGACAATCGGGAAAGGGTACGGATTAGATCAAATAGGAAATAAAAGTATGTAATAGATAGCAATTGATCTTTGAAGTTAAAGGGC</t>
  </si>
  <si>
    <t>P58-2_Contig-1679</t>
  </si>
  <si>
    <t>ACAGGGCTGTCGGCCTATCTACAGTGTCGTCATGGGACGCCCCTCCTCCTTTACACGGACTGGGGACCGTCCAGCAGAAGCTGGGTGGAGTTAGCGTTAACCTCGCCTCGGTGCAAACCGAGCCGGTCTCAAGCCCGGGTAAAGAGGGAGAGGCGTTGGTGTTGACGGGGGTCCTACGGGGTCCTGGTCGGTACCGTAAGGAAGTTGGAGCTGGCCAGACACGCGCGCGGAGACCCATTCACTTGGGAGCTCTCCGTCGCACCGTCTGACTCGGCGAGTCTCGGCTCGTCGAGCCGTATAACGCGCGATGCCAGTTCCTTCCGAGTAGTGCCACACGGGTACGGGGTCGGAGCCCTGCGCACCCTTCTCCAGCAAACCGTGGTCGTGTGACCACGCCGGGAAACCGGCGTGGCCGGCGGGAGCGCATAAAAGCCGAAGCCGACGCACTACTTCCTTACCCCATGGCGCACTGTCAGGTTGATCTGATGTTG</t>
  </si>
  <si>
    <t>P58-2_Contig-225</t>
  </si>
  <si>
    <t>CGATTGAATAAATGGATCGAACCTTATGGTTCAAATTCTGAGGAAAGAAAGAACAACGAGTTTATTTTCATAATTTGAATGATTTCCCGGTCTAATTAGACGTTAAAAAAATATTAGTGCCCAATACGGGAAGGCTTTCTCCCAGGAATTTATTCTTGATTTTTTAATGAATCCTAAATATTACCATTCTCCATTCCATAATATAATGGAGATGTGTGTGTATAAGAAACAGTATATTGATAAAAAATTTCCAAAATCAAAAGAG</t>
  </si>
  <si>
    <t>P58-2_Contig-2259</t>
  </si>
  <si>
    <t>GGGTCTCACCACAGCCGTCGCTGCACTTATAGAACTGGAGCTGCAAAGGATAGAACGGCAGAGCACAAGAATTTTTTTTTATATCTATAGCCTAGATAAAAAATTATTTTTTATAATAGCTATATCTAAGCGTATTTTTATTTTCGAAAATAAAAATACGCTTAGATATAGCTATTATAAAAAATAATTTTTTATCTAGGCTATAGATATAAAAAAAAATTCTTGTGCTCTGCCGTTCTATCCTTTGCAGCTCCAGTTCTATAAGTGCAGCGACGGCTGTGGTGAGACCCAGATAGCCCCTTGAGAGAGCCTGAGAGTGAGCGACGCTGTGCAGTTTACTATCC</t>
  </si>
  <si>
    <t>P58-2_Contig-2811</t>
  </si>
  <si>
    <t>TAGTTCAGATTGTAGAGCTTCCAGCTGGAAGGTTTCAGATACTTTGCTTGGACAGCATATGGTTTGATTAATCATGTTTACCCTATAAATTTTTATTCCTTTGGGAATTTGTCTTTTTCTGTGAAGAGTTCTGTTTCCCAATTATTTTTCTGTCTGACTTGATGATCAGATTGCGGAAGCTATGCCAGCTGCAACGTTTCAGTTTCGTGTTCAGGTTCAATGGTATTGATCTTCTTGAA</t>
  </si>
  <si>
    <t>P58-2_Contig-282</t>
  </si>
  <si>
    <t>AGAGAGGGCCTTCACCCCGAGGGAGCCGCCCACTTTAGATAAAAAATACCAAAAGAAAGAGCATGCCCCCGTTTTCAGGCAAATAATATAGAACATAAGCATAAGAGTTAGGACTAATATCAATTTCATGTAAACTTTGGTGAACTTCCCTCGAACCTGACTGAACCGACTTGAATCTGAACTACGATTCAGATCACGTCTAGGTCACCCCCGATATAAGACATTTCCTTAGATATTCTAGTTAGACCGCCTTCGCCTCTAGGAGAACGGAAACTCCTTTTCTCTCGGGATTCCCCTTTTCTTGCTAAAGACTTTGCGTACTAAGATGCAAGCTCGATAGGAATTAGGCTTTCACCCTTTAGCTTACCTTAACTGAACCCAATCCCATCCTTCTCGTTCGATCCAATTCCATAGCCTCTACTTTATTTCCTTCCTTATC</t>
  </si>
  <si>
    <t>P58-2_Contig-3038</t>
  </si>
  <si>
    <t>ATCCATCAAGTTGCAAAGACCACACCGCAAAAACTCATGCACCTTCATGTTGATACTGATTTTGTATAAGAAACAACGTAGGCCATCACATCATATGGAAGACTCCGACTCTTGACAAGAAATGACAACCCCATTGATTCAGATGGTTGTGAAAAAGAAATAACATTCAATTCAATTAACCAATTTAGATAGATGCCAGAAATAAAGACACACCTCCATTTTCTTCCAGAATTCTAACTGATAAAGTCAATCACCAGCTCACATAACAACCCATTATCATCTGCAAAGAAAACAACAGGAAAGGTTCCTCCCACAAACTCATATGACCAAAAGAGAGAACATACAGTGTCAGAAAGAATATCCATTGCAAACTCCTGAATTTTTCCCCAGAGTTTGAGGTAGAATCTCACAGATCAATTAAGAATTCTCAATTCAGATGGTTGGGAAGAAAGAAT</t>
  </si>
  <si>
    <t>P58-2_Contig-3138</t>
  </si>
  <si>
    <t>ATTGAATATCGTATGGAATTCAAATTAAGTAAAAAATAGAAAATTCTCTGTATCTTTCTTCGATCCGTGAAAGTGAAACGATATATTCTGACATTTCCGATTGATCGGAAGGAAAAAACTAACTATAAATAGACAAAAACTAAACATATATTTATTCGAGAATAATCTCGAAAGATATTTATTTCTTTTGCTCCGTTTTATGAGCAAGATGCAACAATAAGCTTA</t>
  </si>
  <si>
    <t>P58-2_Contig-3259</t>
  </si>
  <si>
    <t>TTTATTTCGTCCTTTATTTATTTTCATTTCTTTGGACTCCGCAAGAATTTGTCGATATTTCCGATTAAATCTTTGTATTCCTAGTTATTCCATAGGAATAAATTGGCGAGTCTCTTCTGCCTAGAAGGGAGAAAACTTTGTGGTTATTTCAAATCACAACCTAAAAAAGCCATCTTCCATATATTGGTTTTCTTTGATTCCAAAACGGAATGCATTTCGATCTTATCTATCAAATAAGATTGCGATGATAGTGTGGTTTCCTGTACCAACTATTTCTATATCCATGCATCCCATATTTTTGTTCCGACAATGGGATAGAGAATGCATGCGTGAAAGAAGTTATCATTTTAAGTTTCCTAGTAGTTTATTG</t>
  </si>
  <si>
    <t>P58-2_Contig-39</t>
  </si>
  <si>
    <t>ATCGCCAACCCAGATCGTCTTATTATCTTCGCTCGAAGTCTGAATCTGATTACCTTTTTGTGATTGTTGTTGATACTGCTGTGCTTGCTGTTGTTGATAATGATAAGGCATGTAGTGTGGCGGTGGTTGTTGGTACATCATCGCTGGATGATGCATCGCCATTGACGCAGCCGCCGCCGCGGGGTACTGCTGCATCGCTAACCATTGTTGTTGCTGGTACTGCTGC</t>
  </si>
  <si>
    <t>P58-2_Contig-4776</t>
  </si>
  <si>
    <t>AATAAAAAAAATAAAGACAAGGAATTCTCGTTTTGACACTCTAGAAAACCCAAAAATAAAAAAAATTTTTAAAAAAAAAAAATGCTAAAAAATAGGAATCAAAAGCGTCCATAGTCTAATGGATAGGACAGAGGTCTTCTAAACCTTTGGTATAGGTTCAAATCCTATTGGACGCAATATATTTCCATATATTTTTTTCTATATCCATGTGAAAAACGGCATTTTTTTT</t>
  </si>
  <si>
    <t>P58-2_Contig-4895</t>
  </si>
  <si>
    <t>TGTGGAGGGTACCCTTGAGGAGGATACCCTTGCTGGGGAGGATACTGTCCCGGTGGATATCCGTGATGACCACCAGAATGATGACCGCCAGAATGATGACCAGCTATACCACCCACAAGACTGGAAATGATTCCCTTGTCAGAACCATCCGAACCTTGTTGTGGAGGATATCCTTGTTGTTGTGGAGGATAATCAGCAGGCGGGTAACCC</t>
  </si>
  <si>
    <t>P58-2_Contig-5245</t>
  </si>
  <si>
    <t>TTTGAATTACTATATTTTTTATTTCCAATATGAATCTCGGTATCTATTGAAAGAATCAAATCAATGAAGGAAAAGCGATAGATATAGGCATATTCAAAAAATCACGTAGTAATCTTTTTTAACATTCCCAAGAAGTAATTGAGTAAACCATTGACAGTAGTTCCACGGGCATCGAAAAGGAAGAGTAAATCTCACTGATTTTTAACGCCTGAACCATGATATGAAATAAGTCGATAAAGTATAAATCCAATTTCAAAAATTCGAAAGCGGTAAATGCGCAATATGTGACTCACCTGACGATCTTATTCGGCATAGTATCTCGTTAGACAATCACTATGTTTATATCCTTTCTTTTTCATACTTTCTCATACAAAGTGCGTATACACTTAACAAAGCTACTTCTTC</t>
  </si>
  <si>
    <t>P58-2_Contig-675</t>
  </si>
  <si>
    <t>GAAGAAGTGGACTCTAGAGGTCCTAATCAATCGAGTTTAAGGAATCAATTTGTTTCAATTTTGTTATAGATCGTTCTGCAACACGTTTTTAGCTATTTAAAATATCTTCTCCAAATTCCATTGGGATTGACTGGAATAATTTATTAGAAGAATTCTACTCTGTCAATCAAACAGATATCTCGATGATTCCCATGTTTGTATTTCGAAATAAATGGGATTCACAAGAATTTGAATTTTTTTATTCCAACTGAATTCTTCGGCCAAATTTGTTATTGAAATCAACGGGCTTTTACCTAGCGTATATGATAAATACTGGGTAGGTTCAGACTCTTTTCCCTCTTTACTGTTCAAA</t>
  </si>
  <si>
    <t>P58-2_Contig-793</t>
  </si>
  <si>
    <t>P58-2_Contig-925</t>
  </si>
  <si>
    <t>GTTAACGCTAACTCCACCCAGCTTCTGCTGGACGGTCCCCAGTCCGTGTAAAGGAGGAGGGGCGTCCCATGACGACACTGTAGATAGGCCGACAGCCCTGTCAACATCAGATCAACCTGACAGTGCGCCATGGGGTAAGGAAGTAGTGCGTCGGCTTCGGCTTTTATGCGCTCCCGCCGGCCACGCCGGTTTCCCGGCGTGGTCACACGACCACGGTTTGCTGGAGAAGGGTGCGCAGGGCTCCGACCCCGTACCCGTGTGGCACTACTCGGAAGGAACTGGCATCGCGCGTTATACGGCTCGACGAGCCGAGACTCGCCGAGTCAGACGGTGCGACGGAGAGCTCCCAAGTGAATGGGTCTCCGCGCGCGTGTCTGGCCAGCTCCAACTTCCTTACGGTACCGACCAGGACCCCGTAGGACCCCCGTCAACACCAACGCCTCTCCCTCTTTACCCGGGCTTGAGACCGGCTCGGTTTGCACCGAGGCGAG</t>
  </si>
  <si>
    <t>P59-1_Contig-6</t>
  </si>
  <si>
    <t>TATCTAGGTACGGTTGTCAAATGTAAAGTTTTTATACGCTTTTTAAGCGACCAGTACATCACATTACATGACGTACTATTACATTTAATGGTCTTTTTCCAGAACATTATGTACTCAAAATATCACAATGTTGTTAGACATATCTAAAGATTTTCTCATCGTTTAATCCTTTAGGACAAAACTTAGAGGCCGTTACTTTATTTAAATACCATAAGCTTAAGGCGAGGGGCTATCCCTTTTTCGTTACTCATGTCAGCATTCTCACTTGGGTTACCTAATAATTTAAGCATGCCTAAATTATTTATATACTCTTAAAAAGAATATGTCCAAGATTTACCCAACGTTCTGCTACCCCATAAATAAAAATACTTAAGATAATAATTTGGTATAAATCTTAAAATAGGTTTATTTATAGACAAGGTTTCGGTATATTGTTTTAGATCCGTTAAATTTTCGGTGCTTTCAACTTTTAATGTTAAACCAGTGCTCTGTTACGAGGTCTTCAAAAAATAGCCGCTTCTAAGCCTATTTCCTGATTGTTTTTAAAAAAAACATCCTTAATTTCACTTAACAATAATTTTGGAACCTTAACTCTTGTTCTGGGCTGTTTCCCTTTAGACATACAACCTTATCGTACTATGTCCGATTATGCAAAATCCATCATTGCCCTTCCGAGTGCGAATACTCACCGATAAAATCCTCACGATTCCCCGATATATGCAAAATTATTTCT</t>
  </si>
  <si>
    <t>P59-1_Contig-93</t>
  </si>
  <si>
    <t>ATAATGACATGTTTGCTTCTTTATTTTTTTTTTTACTCCATATTGGAGATAAAAAAAAAAAGCTAGGGAAAACAAAGCTCTAACCACTGATATATTAAATAAGTAAAACGGGCAATAACCTGTTTGAATATAAGGGGAACCTTCCTCTAAGCCTTAATATAATATACAAGTAATAGAGAAAAGTACTGTGAAGGAAAGGTTGAAATAGTAGTTTTATAAGCAGCTCAAGTTTAAATAAATAGTAAGAGCGTACCTTTTGC</t>
  </si>
  <si>
    <t>P59-2_Contig-89</t>
  </si>
  <si>
    <t>AGAAAAGCTTGAAGAACCATTGGTTGGAGAGACGACCGAAGAACCGACAATTGAGGAGAAACCTGAAAAAACAGCAACTGAAGAAACACCTAAGGAACCATCATTTGAAGAGAAACATGACGAACCAACCGTTGAAGAGGAGAAACCTGAAGAATCAAAATTTGAGGAGAAATCTGAAGTACCAGCTGAGGAGAAACCTCAAGAACCGGCGGCTGAAGAGAAACCTGAAAACCCAACAGTTGGAGG</t>
  </si>
  <si>
    <t>P59-3_Contig-116</t>
  </si>
  <si>
    <t>TTATTTACTATTTATATCTTTGTTAGACCTGACCGTTGATTGTTACGATCATAAATATTGGTCGCCTTTTTCCAGAACACTGTTTACTCACACATCACAACGTGCTGATTTTTTTTTTACACGAAGCTAGTCTTTAAATTTTCAATGTTGTTAGACATACCTGAAGATTTTTCTCATCGTTTAATCCTTTAGGACAAAACTTAGAGGCCGTTACT</t>
  </si>
  <si>
    <t>P59-3_Contig-25</t>
  </si>
  <si>
    <t>TTATATGCTTTTCCAGAACATTTTACTCCATTTCTTTATGTTGTCACATATAATCTCCTCATCATTTTATCCTTTAGGTTAAATTTAGAGACCGAATCACTTTACCATAAGCTTAAGGCGAGGGGCTATCCCTTTTTCGTTACTCATGTCAGCATTCTCACTTGGGGTCATCTTGTTAACAAGTCATTATACCACCTCTAACAAATAAGTCTTGAACCTACTTGGTTTAGATAATAAACAATCGAGTTAACCTACTTAATATTAAAAACATTAAGTCTAAGACATGCCCAACGTTCTGCTACCCCATAAATAAAAATACTTAAGATAATAATTTGGTATAAATCTTAAAATAGGTTTATTTATAGACAAGGTTTCGGTATATTGTTTTAGATCCGTTAAATTTTCGGTGCTTTCAACTTTTAATGTTAAACCAGTGCTCTGTTACGAGGTCTTCAAAAAATGGCCGCTTCTAAGCCTATTTCCTGGTTGTATTTGAAGAAAACTTCCTTATTTTCACTTAACAATAATTTTGGAACCTTAACTCTTGTTCTGGGCTGTTTCCCTTTTGACATACAACCTTATCGTACTATGTCCGATTATGCAAAATCCATCATTGCCCTTTCGAGAGCAAATTCTCGCCGATAAAATCTTCACGATTCCCCGATGTATACAAAACCATGTTGCTATCGTTAAGAAAACAACATAATTTGTCCGAGATCACAGTTCTGTACCTGCTATGATGTAATTCACATTACCTAC</t>
  </si>
  <si>
    <t>P60_Contig-1006</t>
  </si>
  <si>
    <t>TTAAGATCGGTTATTATGTTCATGACGAAAATTCCAGGTTGCTTTTTTCTTGTATGTTCTTATCTACTATCATGGTTATATCTCGACAGCTATATGTTATGGCAGATACATCAGGTTATTGGTTGATCGGTTGGCTAAGTTATCACAAGATGGTTAACCAAGGAGTTACTGATCCATAGGGTTATTGGTGGGGAGAAACTTTGGGCAGACATTATTGGCCTATGATTCCAGGTTCTTCCTCTCCTGTGTTCGTCTAAGCGGTTTCAGGTTCAGGTTTTTTTTCTAGTATATTCTTTATTTGGGCACGTCGGCTTGGCCGGATGATAGCCTAGGGACGATAAGTTATGATTAGGTTTTATTTATTGAGGAGATGCAATTCCAGGTTAAATTAAAACTTTGACTGCAAATCTACTTGATGTGTCAGATCGATGGGGTTATTGGTCCATGTGTGCGAGAAG</t>
  </si>
  <si>
    <t>P60_Contig-113</t>
  </si>
  <si>
    <t>ACTACTAGCGGCTACTTAGCAATATCCTCCTCATATGTGAGGCTCCGTCACCGCCCACAAAAGAATTGCAAACCCATTTCCATTCACGCATCCCACAAATGATTCGAATCCAAAGGGGTGACAGTTGCATGGCAAGGTAGATGGACGAGTTCACAAAGCAGTGCTTCTCCCTAACGCACTAGTACTAGACAATGGCACACGAGAGGGCAGTAAGAACTCAGGCCGCTCGCTACTATGTCCATCTCCTCACACTTACATTGGAAAGACCCAGAGAATTTCGCGAGTCCTAACAACAGATAATCACGAGTCCCGTCAATCGCACAACCTACACAAAACGATTCGTAAGTCTTTCGCCCACAATGACAGAAGAAAAGAGTCAGAAGCCTTGTCACATGCATTTCTAATGACCAAATAACGGCACGCAATGTGCTCACGCCACCCAACCACCAAATCTGCGAACGCAACAACTTATCCCCTCAACCATCTCATGCAAACTACTAAACAGCTCCTCGAATCTATCAGTCATACTATATTTTCAAGACAAGCAAATACGTCCGTCACCTAGCCTACTACTCAAAAATGTCGTCACACTTCCAATGCACACGGCATTTGAGAATTCAAAAGCCTTCCACACGCATTCGCAACCAAAACGACTCAAAAGCCTTTCAAACGCACTGACAATATCTGTGAAAATTAGTATGGCATCCTCAACCTGTTCCCTCGCACGCCAATCGGCAAGGGACCCTATACATGTATTTCACATCCACGATCGTACGGCGT</t>
  </si>
  <si>
    <t>P60_Contig-1436</t>
  </si>
  <si>
    <t>TTATCTGGCCTTGTGGATACAACATAATGTTCATTTGTAGCAGGGCTATGTCCCCTTATAGTTTACACTTACAGGTTTCTACAATTTTTTCTCTTTTTGTTGTGTCATAATTTCTCTTTACACTCCTAATTAGAAGGCATGGGTGGTACTTAATATTTGTTTCCCGCATGTAGAACCAAATAGAACAATGGAAGATGGGATTCTGTTTGCTGGTACATGGGCTCGGTCCCTAATGACCTTTCTCCTCTGCTGGTTCATGATCTTCACACTATTTCTTTCTGGTCGGATTGCGTGCATTTATAAGC</t>
  </si>
  <si>
    <t>P60_Contig-1537</t>
  </si>
  <si>
    <t>GATACACATCTCTCGACGGCTAGTTTTCCGACCAGGCTGTCGACTTCAAGAAGTGGATTACCCTTCCTACAGGGTTTATCTCCTCTTGAAGGAGCTCCTCTTAGAGAGGGGGTCTAAAGGTTTTTCCGAAACCTTTATCGGCTAGTCTTTTTCGGTAACTAGTTAACCGTAGGTAGATGTGTGTCTACCCTGATGAGTTCGAAAGAACGAAACGGTTAAGAACCTCTTCCTTAATCGGAGACTGGTTCCAACACAATTTGTAGAGTCTAAGCGAGCCTCCCCAGATCTAATCTGGTTTGAGTCTTAGAACTGACCTACATCTCTACCTTTCAGTAGAGTATAGTGTTAGAACCTCCTCTTCTATTCTGGTGGATAGGGAAAGGCTTTCACCTTTCTCCTCTCCGAAGGAGGGTCTTGCCGTTTCGTCCTTTTGGACTCATCGGGAGA</t>
  </si>
  <si>
    <t>P60_Contig-234</t>
  </si>
  <si>
    <t>TGATACGTGTGTCAACTGGTTTCGCCCTGCCATGGGCTCATCAGGGAGGCGGCACTAGCCCCCGACCAGTTGTGTCGTACCCACATGGTACGGATAGACAAAACCTTCTGAGCTAGCTCGGCTCCCCACTGAGTGAGCATAGCAGGTGAAACAGTGACACGTCTTCGGTCTTCGGCCTTCATGGTTACGGCGAAATATCTGAGCCGTAACACCCTCTCGGACTTGATGAAATCGGAACGTCCTCGTTCCAGGAGAAAGGACTCAACCCGCCGCGCAACTATCCAACTCTCTGGTACGTCCTCGTCAACCTTATCCGCGTGTCATCGCGCAGCCATGCTCCGTCCCCATAAATGAACAATACTATCTTCAATCGTTGATGACGAATGAATGCTATTATATTGAGAAGATGACTCCCGTTTGAGTCCTCGACCTTCGACCATCGCCAATGCTATCAAATTGACTTGCTAGATCACCATAGCCATCGCACCACTATCAATCTTCTTTATGATCTCCATGTGTCGAACGAAGCTC</t>
  </si>
  <si>
    <t>P60_Contig-2553</t>
  </si>
  <si>
    <t>TGAATTTTTCTACGAAGAGTACTGAACAAAAGTTGGTTTGTTCATCCACAACTGGAAAAAGATCGATTGGGTCCATTGAAATGAAATATGTTTTTGCTTTGATATTATACTTTAAACGATCCCAAATAATGGGCTTATAGTAATGATTGTCTTTTGATGAAGCAATCAGTCAGTTAAAACAATAACGAGGAATTTCAAATCAAAAATAATACAATTTTTTGTATT</t>
  </si>
  <si>
    <t>P60_Contig-308</t>
  </si>
  <si>
    <t>TGACGAGGACGTACCAGAGAGTTGGATAGTTGCGCGGCGAGTTGAGTCCTTTCTCCTGGAACGAGGATGTTCCGATTTCATCAAGTCCGAGAGGGTGTTACGGCTCAGATATTTCGCCGTAACCATGAAGGCCGAAGACCGAAGACGTGTCACTGTTTCACCTGCTATGCTCACTCAGTGGGGAGCCGAGCTAGCTCAGAAGGTTTTGTCTATCCGTACCATGTGGGTACGACACAACTGGTCGGGGGCTAGTGCCGCCTCCCTGATGAGCCCATGGCAGGGCGAAACCAGTTGACACACGTATCAAGGCAAGAGCGTTACCGGGATACCCTTTCCGCACATTAAGCCCGGGACGTATCATGGACTAAGAGCATCATGTCCGCTCAACCCGTAATCATGTCGTTAGCCTCTCTGCGTACTTGGCCCTTATCCGAATGCAAGCGCCCGTGCCCAATCCGAGTCCCAATTGACGGCTTACTCGACCCTGTACGCAGGTCAAGTCGGGTGCCGCACGGGTCCTGAAGTTGATCCCGTGACAGGTGGTATCAGAGCTTCGTTCGACACATGGAGATCATAAAGAAGATTGATAGTGGTGCGATGGCTATGGTGATCTAGCAAGTCAATTTGATAGCATTGGCGATGGTCGAAGGTCGAGGACTCAAACGGGAGTCATCTTCTCAATATAATAGCATTCATTCGTCATCAACGATTGAAGATAGTATTGTTCATTTATGGGGACGGAGCATGGCTGCGCGATGACACGCGGATAAGGT</t>
  </si>
  <si>
    <t>P60_Contig-396</t>
  </si>
  <si>
    <t>ACGATTCAAGAGGGATGATAGTTGCATGGCCTTGGCAGCGATCGTTTCGAAAGCGCCGCCCACAGTTCCCGTATATCGCGGCAAGCGTAGGGACTAAGGAAAAGTGGACGAGGATACAAGGTCCTACACGCCGGCTACTCGGTTCAAGCCGCCTCAGCACTTACATCGGACAGACCCAAAGAATTTCGCTGGCTTATGATGACAGATAATCACAAGTCTCGTCGAAGGCGCACAACCTACACAAA</t>
  </si>
  <si>
    <t>P60_Contig-4789</t>
  </si>
  <si>
    <t>TCGAAAGACCTCTGAAGCGGTTGAGGGGCAGCTTTCCGAAAGGATAGCAGGTAGGCCGCGCATGCTAACTAAAGAACCAAAACCACACCTCTGGGCGCCCGGGCCGACCGACCGGCTACGGGATCGTATTTTTTTTCCTTTGCCTATAAAAAGAGGGAGAGAGATATCTCGTCAGGGAGTAGGTCAGGTTGCCGAATTGGGGGTCGCGCCCTTTCGGATTGATAGGAGCGGAGCAGGCGGGTACAAGA</t>
  </si>
  <si>
    <t>P60_Contig-4864</t>
  </si>
  <si>
    <t>CTATACTCTACTGAAAGGTAGAGATGTAGGTCAGTTCTAAGACTCAAACCAGATTAGATCTGGGGAGGCTCGCTTAGACTCTACAAATTGTGTTGGAACCAGTCTCCGATTAAGGAAGAGGTTCTTAACCGTTTCGTTCTTTCGAACTCATCAGGGTAGACACACATCTACCTACGGTTAACTAGTTACCGAAAAAGACTAGCCGATAAAGGTTTCGGAAAAACCTTTAGACCCCCTCTCTAAGAGGAGCTCCTTCAAGAGGAGATAAACCCTGTAGGAAGGGTAATCCACTTCTTGAAGTCGACAGCCTGGTCGGAAAACTAGCCGTCGAGAGATGTGTATCTCTCCCGATGAGTCCAAAAGGACGAAACGGCAAGACCCTCCTTCGGAGAGGAGAAAGGTGAAAGCCTTTCCCTATCCACCAGAATAGAAGAGGAGGTTCTAACA</t>
  </si>
  <si>
    <t>P60_Contig-578</t>
  </si>
  <si>
    <t>TGAGATCTTATGTCCCAGAAATAAGAGGATTTTAGTTTCGTCTATGTAGGTTTGACCAGTGCCAAATACAGTGGTGCAGGGTTTTATGACCATTCTGCTGGTTATTCTTTGATTTGTATAATCTCTTCAACTTTAAACAATACTGGATATTCATCTTTCAATGTGACACGAACTCAATGTTTGCCCTTATGGTGATAGGAGTACAAGAACTTCTGACTGTTGTCTTTTGTGGTTTGTTGTCATACATGCTTTGGAGAAGGAACAACACGATGTTGGCCCCTGCAGTTAAAACTGTATTATGCTGTCTGCCAAAAACTTCCCATTTTTGCTAGTAGTTCCTTAATAAACCAACATCCTTAATAGGTTTC</t>
  </si>
  <si>
    <t>P60_Contig-789</t>
  </si>
  <si>
    <t>GTTTAATGGTTTTAGGTTCATCCTCTGGTTATCGTTTCGCAAGCCATCTGTTATGGTCAATCTGTCACGGTTTCAGCTCGTATCGTCTGCGTTATGTGATTCGGATTCGAAAGCTGTTTATAACGATATGGAACGATGAGTATGATTTCGAAATTTGTTTCCATAGATCAGATCTAGATAATATATTATCTGTTTTCAGGTATTAGGTTTTCTAGGTTCATCCTCTCGTTTGCTAGCCACCTGTTAAGGTCCATCAGGTTATTGCTATCTGAATTGTTCCGT</t>
  </si>
  <si>
    <t>P60_Contig-809</t>
  </si>
  <si>
    <t>TACCCCCTCGGCAACATGCGTGAGAAAGCAATCATAAGACAGAACAACCCCCAGAATGCACCACACGATACGAAATCATGAACCCACCAAATGATTGTTTAAAAATGTTTTGTACAAAAAATATTCGTGGTTTTCACCATATAATCATCGTAAGGGACAGGGAAACCCTTGAGTTTATCGGCAGGCTGTAAAAAATTTGACCGCGCTAGAGTCGATGATGTTTCTCCAGAACGCGTTGCGCAGTGACCCGAGTTATCACCACTCGGAAGGATCTCAGCATGGATTGATTAGGATGGCTCAAGACAACCATATAATCGATTCACAAGTCGATCATGTGCTATACACCTTACCGTGCACCAACCCACCG</t>
  </si>
  <si>
    <t>P60_Contig-8442</t>
  </si>
  <si>
    <t>ACAGCATTACCACACGCGGGGAATTCAACACGAGAAACAGTCTTTTCGCCATCAACAGCATATGCCGCTGAAGCCAAACAATGAGAACACATCAATTGCCAACAGTTTCCTACAATGAAAGGGATCCCGCCAACCTACATGAAAGTTATGCCGCTCACACGCTCTGAAGAGCTAGGCAAGATCCTTTTCAACAGGCATTGAAACTGGTCGAATCAATTGCGCCAACAAAGCAAACCAACGCTTTGCACCGCTCAACGCGAAAAACCGAGGAGGCA</t>
  </si>
  <si>
    <t>P60_Contig-931</t>
  </si>
  <si>
    <t>GTTGCTGCGGTTACTATGGAAGGTGTAGGTGCTGCGCTACCGCGGCCGAGGCCACCGCTGAAGCTTCAAAGGCAACTCAGCCACAGAACTGATCAATTCGATTTGATCACTGCTTTGTTGTCCGAACCAAACTTGGTTTGGGCTTTTTACTTTCAGAAATAGTGCATATATGCATGCTTGTATGCAGAAATAAAAAGAGTAATTAATCCTTGCTATGTAATCTACTTATTCGACTATATGTACCCTTTTATACGGGTGGATGTTGTTGTTGTT</t>
  </si>
  <si>
    <t>C</t>
  </si>
  <si>
    <t>OL471946</t>
  </si>
  <si>
    <t>OL471947</t>
  </si>
  <si>
    <t>OL471948</t>
  </si>
  <si>
    <t>OL471949</t>
  </si>
  <si>
    <t>OL471950</t>
  </si>
  <si>
    <t>OL471951</t>
  </si>
  <si>
    <t>OL471952</t>
  </si>
  <si>
    <t>OL471953</t>
  </si>
  <si>
    <t>OL471954</t>
  </si>
  <si>
    <t>OL471955</t>
  </si>
  <si>
    <t>OL471956</t>
  </si>
  <si>
    <t>OL471957</t>
  </si>
  <si>
    <t>OL471958</t>
  </si>
  <si>
    <t>OL471959</t>
  </si>
  <si>
    <t>OL471960</t>
  </si>
  <si>
    <t>OL471961</t>
  </si>
  <si>
    <t>OL471962</t>
  </si>
  <si>
    <t>OL471963</t>
  </si>
  <si>
    <t>OL471964</t>
  </si>
  <si>
    <t>OL471965</t>
  </si>
  <si>
    <t>OL471966</t>
  </si>
  <si>
    <t>OL471967</t>
  </si>
  <si>
    <t>OL471968</t>
  </si>
  <si>
    <t>OL471969</t>
  </si>
  <si>
    <t>OL471973</t>
  </si>
  <si>
    <t>OL471974</t>
  </si>
  <si>
    <t>OL471975</t>
  </si>
  <si>
    <t>OL471976</t>
  </si>
  <si>
    <t>OL471977</t>
  </si>
  <si>
    <t>OL471978</t>
  </si>
  <si>
    <t>OL471979</t>
  </si>
  <si>
    <t>OL471980</t>
  </si>
  <si>
    <t>OL471981</t>
  </si>
  <si>
    <t>OL471982</t>
  </si>
  <si>
    <t>OL471986</t>
  </si>
  <si>
    <t>OL471987</t>
  </si>
  <si>
    <t>OL471989</t>
  </si>
  <si>
    <t>OL471983</t>
  </si>
  <si>
    <t>OL471984</t>
  </si>
  <si>
    <t>OL471990</t>
  </si>
  <si>
    <t>OL471992</t>
  </si>
  <si>
    <t>OL471999</t>
  </si>
  <si>
    <t>OL471998</t>
  </si>
  <si>
    <t>OL471993</t>
  </si>
  <si>
    <t>OL471994</t>
  </si>
  <si>
    <t>OL471995</t>
  </si>
  <si>
    <t>OL471996</t>
  </si>
  <si>
    <t>OL471997</t>
  </si>
  <si>
    <t>OL472000</t>
  </si>
  <si>
    <t>OL472001</t>
  </si>
  <si>
    <t>OL472002</t>
  </si>
  <si>
    <t>OL472003</t>
  </si>
  <si>
    <t>OL472004</t>
  </si>
  <si>
    <t>OL472005</t>
  </si>
  <si>
    <t>OL472006</t>
  </si>
  <si>
    <t>OL472007</t>
  </si>
  <si>
    <t>OL472008</t>
  </si>
  <si>
    <t>OL472009</t>
  </si>
  <si>
    <t>OL472010</t>
  </si>
  <si>
    <t>OL472011</t>
  </si>
  <si>
    <t>OL472012</t>
  </si>
  <si>
    <t>OL472013</t>
  </si>
  <si>
    <t>OL472014</t>
  </si>
  <si>
    <t>OL472015</t>
  </si>
  <si>
    <t>OL472016</t>
  </si>
  <si>
    <t>OL472017</t>
  </si>
  <si>
    <t>OL472018</t>
  </si>
  <si>
    <t>OL472019</t>
  </si>
  <si>
    <t>OL472020</t>
  </si>
  <si>
    <t>OL472021</t>
  </si>
  <si>
    <t>OL472022</t>
  </si>
  <si>
    <t>OL472023</t>
  </si>
  <si>
    <t>OL472024</t>
  </si>
  <si>
    <t>OL472025</t>
  </si>
  <si>
    <t>OL472026</t>
  </si>
  <si>
    <t>OL472027</t>
  </si>
  <si>
    <t>OL472028</t>
  </si>
  <si>
    <t>OL472029</t>
  </si>
  <si>
    <t>OL472030</t>
  </si>
  <si>
    <t>OL472039</t>
  </si>
  <si>
    <t>OL472048</t>
  </si>
  <si>
    <t>OL472031</t>
  </si>
  <si>
    <t>OL472040</t>
  </si>
  <si>
    <t>OL472049</t>
  </si>
  <si>
    <t>OL472050</t>
  </si>
  <si>
    <t>OL472041</t>
  </si>
  <si>
    <t>OL472032</t>
  </si>
  <si>
    <t>OL472033</t>
  </si>
  <si>
    <t>OL472042</t>
  </si>
  <si>
    <t>OL472051</t>
  </si>
  <si>
    <t>OL472038</t>
  </si>
  <si>
    <t>OL472034</t>
  </si>
  <si>
    <t>OL472043</t>
  </si>
  <si>
    <t>OL472052</t>
  </si>
  <si>
    <t>OL472044</t>
  </si>
  <si>
    <t>OL472035</t>
  </si>
  <si>
    <t>OL472053</t>
  </si>
  <si>
    <t>OL472036</t>
  </si>
  <si>
    <t>OL472045</t>
  </si>
  <si>
    <t>OL472054</t>
  </si>
  <si>
    <t>OL472037</t>
  </si>
  <si>
    <t>OL472046</t>
  </si>
  <si>
    <t>OL472055</t>
  </si>
  <si>
    <t>OL472047</t>
  </si>
  <si>
    <t>OL472056</t>
  </si>
  <si>
    <t>OL472057</t>
  </si>
  <si>
    <t>OL472058</t>
  </si>
  <si>
    <t>OL472059</t>
  </si>
  <si>
    <t>OL472060</t>
  </si>
  <si>
    <t>OL472061</t>
  </si>
  <si>
    <t>OL472062</t>
  </si>
  <si>
    <t>OL472063</t>
  </si>
  <si>
    <t>OL472064</t>
  </si>
  <si>
    <t>OL472065</t>
  </si>
  <si>
    <t>OL472066</t>
  </si>
  <si>
    <t>OL472067</t>
  </si>
  <si>
    <t>OL472068</t>
  </si>
  <si>
    <t>OL472069</t>
  </si>
  <si>
    <t>OL472070</t>
  </si>
  <si>
    <t>OL472071</t>
  </si>
  <si>
    <t>SRR16552224  /  P3.1BER19-SW</t>
  </si>
  <si>
    <t>SRR16552261  /  P3.2BER19-SW</t>
  </si>
  <si>
    <t>SRR16552235  /  P02BER19-AT</t>
  </si>
  <si>
    <t>SRR16552250  /  P04NGO19-AT</t>
  </si>
  <si>
    <t>SRR16552286  /  P05NGO19-ST</t>
  </si>
  <si>
    <t>SRR16552275  /  P06NGO19-SW</t>
  </si>
  <si>
    <t>SRR16552273  /  P07BUK19-ST</t>
  </si>
  <si>
    <t>SRR16552272  /  P08BUK19-SW</t>
  </si>
  <si>
    <t>SRR16552269  /  P09KOP19-AT</t>
  </si>
  <si>
    <t>SRR16552244  /  P10KOP19-ST</t>
  </si>
  <si>
    <t>SRR16552243  /  P11KOP19-SW</t>
  </si>
  <si>
    <t>SRR16552242  /  P12PAR19-AT</t>
  </si>
  <si>
    <t>SRR16552241  /  P13PAR19-ST</t>
  </si>
  <si>
    <t>SRR16552240  /  P14PAR19-SW</t>
  </si>
  <si>
    <t>SRR16552239  /  P15.1BOL19-AT</t>
  </si>
  <si>
    <t>SRR16552238  /  P15.2BOL19-AT</t>
  </si>
  <si>
    <t>SRR16552237  /  P16BOL19-ST</t>
  </si>
  <si>
    <t>SRR16552236  /  P17BOL19-SW</t>
  </si>
  <si>
    <t>SRR16552234  /  P18POR19-ST</t>
  </si>
  <si>
    <t>SRR16552233  /  P19POR19-AT</t>
  </si>
  <si>
    <t>SRR16552232  /  P20POR19-SW</t>
  </si>
  <si>
    <t>SRR16552231  /  P21KOR19-AT</t>
  </si>
  <si>
    <t>SRR16552230  /  P22KOR19-ST</t>
  </si>
  <si>
    <t>SRR16552229  /  P23KOR19-SW</t>
  </si>
  <si>
    <t>OL472145</t>
  </si>
  <si>
    <t>OL472089</t>
  </si>
  <si>
    <t>OL472090</t>
  </si>
  <si>
    <t>OL472119</t>
  </si>
  <si>
    <t>MW366749</t>
  </si>
  <si>
    <t>OL472088</t>
  </si>
  <si>
    <t>OL472091</t>
  </si>
  <si>
    <t>OL472220</t>
  </si>
  <si>
    <t>OL472077</t>
  </si>
  <si>
    <t>OL472072</t>
  </si>
  <si>
    <t>OL472092</t>
  </si>
  <si>
    <t>OL472169</t>
  </si>
  <si>
    <t>OL472194</t>
  </si>
  <si>
    <t>OL472207</t>
  </si>
  <si>
    <t>OL472208</t>
  </si>
  <si>
    <t>OL472209</t>
  </si>
  <si>
    <t>OL472210</t>
  </si>
  <si>
    <t>OL472211</t>
  </si>
  <si>
    <t>OL472212</t>
  </si>
  <si>
    <t>OL472213</t>
  </si>
  <si>
    <t>OL472214</t>
  </si>
  <si>
    <t>OL472172</t>
  </si>
  <si>
    <t>OL472173</t>
  </si>
  <si>
    <t>OL472267</t>
  </si>
  <si>
    <t>OL472257</t>
  </si>
  <si>
    <t>OL472258</t>
  </si>
  <si>
    <t>OL472123</t>
  </si>
  <si>
    <t>OL472233</t>
  </si>
  <si>
    <t>OL472252</t>
  </si>
  <si>
    <t>OL472253</t>
  </si>
  <si>
    <t>OL472254</t>
  </si>
  <si>
    <t>OL472255</t>
  </si>
  <si>
    <t>OL472140</t>
  </si>
  <si>
    <t>OL472170</t>
  </si>
  <si>
    <t>OL472171</t>
  </si>
  <si>
    <t>OL472221</t>
  </si>
  <si>
    <t>OL472199</t>
  </si>
  <si>
    <t>OL472200</t>
  </si>
  <si>
    <t>OL472201</t>
  </si>
  <si>
    <t>OL472202</t>
  </si>
  <si>
    <t>OL472105</t>
  </si>
  <si>
    <t>OL472271</t>
  </si>
  <si>
    <t>OL472274</t>
  </si>
  <si>
    <t xml:space="preserve">new species, partial genome obtained </t>
  </si>
  <si>
    <t>OL472275</t>
  </si>
  <si>
    <t>OL472280</t>
  </si>
  <si>
    <t>OL472281</t>
  </si>
  <si>
    <t>OL472227</t>
  </si>
  <si>
    <t>OL472228</t>
  </si>
  <si>
    <t>OL472251</t>
  </si>
  <si>
    <t>OL472264</t>
  </si>
  <si>
    <t>OL472266</t>
  </si>
  <si>
    <t>OL472270</t>
  </si>
  <si>
    <t>OL472273</t>
  </si>
  <si>
    <t>OL472087</t>
  </si>
  <si>
    <t>OL472080</t>
  </si>
  <si>
    <t>OL472081</t>
  </si>
  <si>
    <t>OL472082</t>
  </si>
  <si>
    <t>OL472083</t>
  </si>
  <si>
    <t>OL472084</t>
  </si>
  <si>
    <t>OL472085</t>
  </si>
  <si>
    <t>OL472086</t>
  </si>
  <si>
    <t>OL472109</t>
  </si>
  <si>
    <t>OL472217</t>
  </si>
  <si>
    <t>OL472218</t>
  </si>
  <si>
    <t>OL472224</t>
  </si>
  <si>
    <t>OL472167</t>
  </si>
  <si>
    <t>OL472284</t>
  </si>
  <si>
    <t>OL472133</t>
  </si>
  <si>
    <t>OL472215</t>
  </si>
  <si>
    <t>OL472219</t>
  </si>
  <si>
    <t>OL472112</t>
  </si>
  <si>
    <t>OL472236</t>
  </si>
  <si>
    <t>OL472232</t>
  </si>
  <si>
    <t>OL472298</t>
  </si>
  <si>
    <t>OL472297</t>
  </si>
  <si>
    <t>OL472238</t>
  </si>
  <si>
    <t>OL472166</t>
  </si>
  <si>
    <t>OL472190</t>
  </si>
  <si>
    <t>OL472265</t>
  </si>
  <si>
    <t>OL472291</t>
  </si>
  <si>
    <t>OL472283</t>
  </si>
  <si>
    <t>OL472168</t>
  </si>
  <si>
    <t>OL472285</t>
  </si>
  <si>
    <t>OL472101</t>
  </si>
  <si>
    <t>OL472177</t>
  </si>
  <si>
    <t>OL472286</t>
  </si>
  <si>
    <t>OL472134</t>
  </si>
  <si>
    <t>OL472294</t>
  </si>
  <si>
    <t>OL472278</t>
  </si>
  <si>
    <t>full genome assembled (was not deposited)</t>
  </si>
  <si>
    <t>Remarks / Notes</t>
  </si>
  <si>
    <t>OL472129</t>
  </si>
  <si>
    <t>OL472161</t>
  </si>
  <si>
    <t>OL472247</t>
  </si>
  <si>
    <t>OL472116</t>
  </si>
  <si>
    <t>OL472300</t>
  </si>
  <si>
    <t>OL472120</t>
  </si>
  <si>
    <t>OL472158</t>
  </si>
  <si>
    <t>OL472151</t>
  </si>
  <si>
    <t>OL472242</t>
  </si>
  <si>
    <t>OL472106</t>
  </si>
  <si>
    <t>OL472292</t>
  </si>
  <si>
    <t>OL472154</t>
  </si>
  <si>
    <t>OL472263</t>
  </si>
  <si>
    <t>OL472096</t>
  </si>
  <si>
    <t>OL472148</t>
  </si>
  <si>
    <t>OL472187</t>
  </si>
  <si>
    <t>OL472146</t>
  </si>
  <si>
    <t>OL472093</t>
  </si>
  <si>
    <t>OL472147</t>
  </si>
  <si>
    <t>OL472246</t>
  </si>
  <si>
    <t>OL472094</t>
  </si>
  <si>
    <t>OL472095</t>
  </si>
  <si>
    <t>OL472269</t>
  </si>
  <si>
    <t>OL472162</t>
  </si>
  <si>
    <t>OL472234</t>
  </si>
  <si>
    <t>OL472174</t>
  </si>
  <si>
    <t>OL472111</t>
  </si>
  <si>
    <t>OL472163</t>
  </si>
  <si>
    <t>OL472249</t>
  </si>
  <si>
    <t>OL472178</t>
  </si>
  <si>
    <t>OL472287</t>
  </si>
  <si>
    <t>OL472139</t>
  </si>
  <si>
    <t>OL472175</t>
  </si>
  <si>
    <t>OL472176</t>
  </si>
  <si>
    <t>OL472079</t>
  </si>
  <si>
    <t>OL472073</t>
  </si>
  <si>
    <t>OL472074</t>
  </si>
  <si>
    <t>OL472127</t>
  </si>
  <si>
    <t>OL472128</t>
  </si>
  <si>
    <t>OL472130</t>
  </si>
  <si>
    <t>OL472216</t>
  </si>
  <si>
    <t>OL472230</t>
  </si>
  <si>
    <t>OL472231</t>
  </si>
  <si>
    <t>OL472222</t>
  </si>
  <si>
    <t>OL472075</t>
  </si>
  <si>
    <t>OL472301</t>
  </si>
  <si>
    <t>OL472235</t>
  </si>
  <si>
    <t>OL472229</t>
  </si>
  <si>
    <t>OL472185</t>
  </si>
  <si>
    <t>OL472203</t>
  </si>
  <si>
    <t>OL472204</t>
  </si>
  <si>
    <t>OL472205</t>
  </si>
  <si>
    <t>OL472206</t>
  </si>
  <si>
    <t>OL472268</t>
  </si>
  <si>
    <t>OL472272</t>
  </si>
  <si>
    <t>OL472276</t>
  </si>
  <si>
    <t>OL472282</t>
  </si>
  <si>
    <t>OL472288</t>
  </si>
  <si>
    <t>OL472289</t>
  </si>
  <si>
    <t>OL472290</t>
  </si>
  <si>
    <t>OL472131</t>
  </si>
  <si>
    <t>OL472132</t>
  </si>
  <si>
    <t>OL472136</t>
  </si>
  <si>
    <t>OL472225</t>
  </si>
  <si>
    <t>OL472279</t>
  </si>
  <si>
    <t>OL472259</t>
  </si>
  <si>
    <t>OL472159</t>
  </si>
  <si>
    <t>OL472248</t>
  </si>
  <si>
    <t>OL472239</t>
  </si>
  <si>
    <t>OL472114</t>
  </si>
  <si>
    <t>OL472160</t>
  </si>
  <si>
    <t>OL472138</t>
  </si>
  <si>
    <t>OL472241</t>
  </si>
  <si>
    <t>OL472113</t>
  </si>
  <si>
    <t>OL472117</t>
  </si>
  <si>
    <t>OL472165</t>
  </si>
  <si>
    <t>OL472137</t>
  </si>
  <si>
    <t>OL472152</t>
  </si>
  <si>
    <t>OL472243</t>
  </si>
  <si>
    <t>OL472102</t>
  </si>
  <si>
    <t>OL472107</t>
  </si>
  <si>
    <t>OL472108</t>
  </si>
  <si>
    <t>OL472293</t>
  </si>
  <si>
    <t>OL472153</t>
  </si>
  <si>
    <t>OL472245</t>
  </si>
  <si>
    <t>OL472076</t>
  </si>
  <si>
    <t>OL472135</t>
  </si>
  <si>
    <t>OL472237</t>
  </si>
  <si>
    <t>OL472226</t>
  </si>
  <si>
    <t>OL472179</t>
  </si>
  <si>
    <t>OL472180</t>
  </si>
  <si>
    <t>OL472141</t>
  </si>
  <si>
    <t>OL472122</t>
  </si>
  <si>
    <t>OL472260</t>
  </si>
  <si>
    <t>OL472296</t>
  </si>
  <si>
    <t>OL472295</t>
  </si>
  <si>
    <t>OL472299</t>
  </si>
  <si>
    <t>OL472155</t>
  </si>
  <si>
    <t>OL472115</t>
  </si>
  <si>
    <t>OL472156</t>
  </si>
  <si>
    <t>OL472195</t>
  </si>
  <si>
    <t>OL472196</t>
  </si>
  <si>
    <t>OL472197</t>
  </si>
  <si>
    <t>OL472198</t>
  </si>
  <si>
    <t>OL472157</t>
  </si>
  <si>
    <t>OL472244</t>
  </si>
  <si>
    <t>OL472191</t>
  </si>
  <si>
    <t>OL472144</t>
  </si>
  <si>
    <t>OL472118</t>
  </si>
  <si>
    <t>OL472125</t>
  </si>
  <si>
    <t>OL472182</t>
  </si>
  <si>
    <t>OL472184</t>
  </si>
  <si>
    <t>OL472097</t>
  </si>
  <si>
    <t>OL472149</t>
  </si>
  <si>
    <t>OL472150</t>
  </si>
  <si>
    <t>OL472098</t>
  </si>
  <si>
    <t>OL472099</t>
  </si>
  <si>
    <t>OL472188</t>
  </si>
  <si>
    <t>OL472262</t>
  </si>
  <si>
    <t>OL472078</t>
  </si>
  <si>
    <t>OL472100</t>
  </si>
  <si>
    <t>OL472189</t>
  </si>
  <si>
    <t>OL472223</t>
  </si>
  <si>
    <t>OL472261</t>
  </si>
  <si>
    <t>OL472103</t>
  </si>
  <si>
    <t>OL472186</t>
  </si>
  <si>
    <t>OL472193</t>
  </si>
  <si>
    <t>OL472124</t>
  </si>
  <si>
    <t>OL472104</t>
  </si>
  <si>
    <t>OL472164</t>
  </si>
  <si>
    <t>OL472110</t>
  </si>
  <si>
    <t>OL472250</t>
  </si>
  <si>
    <t>OL472142</t>
  </si>
  <si>
    <t>OL472256</t>
  </si>
  <si>
    <t>OL472143</t>
  </si>
  <si>
    <t>OL472121</t>
  </si>
  <si>
    <t>OL472192</t>
  </si>
  <si>
    <t>%GC content</t>
  </si>
  <si>
    <t>SRR16552271  /  P1.1BER19-ST</t>
  </si>
  <si>
    <t>SRR16552270  /  P1.2BER19-ST</t>
  </si>
  <si>
    <r>
      <t>Best hit in BLASTn</t>
    </r>
    <r>
      <rPr>
        <b/>
        <vertAlign val="superscript"/>
        <sz val="10"/>
        <color rgb="FFC00000"/>
        <rFont val="Arial Narrow"/>
        <family val="2"/>
        <charset val="238"/>
      </rPr>
      <t xml:space="preserve">2 </t>
    </r>
  </si>
  <si>
    <r>
      <t>Contig ID</t>
    </r>
    <r>
      <rPr>
        <b/>
        <vertAlign val="superscript"/>
        <sz val="11"/>
        <color rgb="FFC00000"/>
        <rFont val="Arial Narrow"/>
        <family val="2"/>
        <charset val="238"/>
      </rPr>
      <t>1</t>
    </r>
  </si>
  <si>
    <t>Linear sequence</t>
  </si>
  <si>
    <t xml:space="preserve">Name of putative viroid-like circular RNA </t>
  </si>
  <si>
    <t>(+) strand</t>
  </si>
  <si>
    <t>(-) strand</t>
  </si>
  <si>
    <r>
      <t>Assigned strand</t>
    </r>
    <r>
      <rPr>
        <b/>
        <vertAlign val="superscript"/>
        <sz val="11"/>
        <color rgb="FFFF0000"/>
        <rFont val="Arial Narrow"/>
        <family val="2"/>
        <charset val="238"/>
      </rPr>
      <t>2</t>
    </r>
  </si>
  <si>
    <t>NBCI GenBank accession number of reconstructed viral genome</t>
  </si>
  <si>
    <t>SRR16552276  /  P61Pv-PK1  /  internal control</t>
  </si>
  <si>
    <t>SRR16552274  /  P62Pv-PK2  /  internal control</t>
  </si>
  <si>
    <t>SRR16552227  /  P30Pv19-PK1  /  internal control</t>
  </si>
  <si>
    <t>SRR16552228  /  P29Pv19-PK2  /  internal control</t>
  </si>
  <si>
    <r>
      <t>Best hit from BLASTn analysis</t>
    </r>
    <r>
      <rPr>
        <b/>
        <vertAlign val="superscript"/>
        <sz val="10"/>
        <color rgb="FFC00000"/>
        <rFont val="Arial Narrow"/>
        <family val="2"/>
        <charset val="238"/>
      </rPr>
      <t>2</t>
    </r>
    <r>
      <rPr>
        <b/>
        <sz val="10"/>
        <rFont val="Arial Narrow"/>
        <family val="2"/>
        <charset val="238"/>
      </rPr>
      <t xml:space="preserve"> of assembled contig</t>
    </r>
    <r>
      <rPr>
        <b/>
        <vertAlign val="superscript"/>
        <sz val="10"/>
        <color rgb="FFC00000"/>
        <rFont val="Arial Narrow"/>
        <family val="2"/>
        <charset val="238"/>
      </rPr>
      <t>4</t>
    </r>
  </si>
  <si>
    <t>reconstruction of  consensus genome not possible due to presence of more than one viral strain</t>
  </si>
  <si>
    <t>low read coverage, partial genome obtained (was not deposited)</t>
  </si>
  <si>
    <t>full genome assembled, not deposited (internal control)</t>
  </si>
  <si>
    <t>partial genome obtained, not deposited (internal control)</t>
  </si>
  <si>
    <t>divergent isolate, full genome assembled</t>
  </si>
  <si>
    <r>
      <rPr>
        <sz val="11"/>
        <color theme="1"/>
        <rFont val="Arial Narrow"/>
        <family val="2"/>
      </rPr>
      <t>Realm</t>
    </r>
    <r>
      <rPr>
        <i/>
        <sz val="11"/>
        <color theme="1"/>
        <rFont val="Arial Narrow"/>
        <family val="2"/>
      </rPr>
      <t xml:space="preserve"> Riboviria</t>
    </r>
  </si>
  <si>
    <t>tomato spotted wilt orthotospovirus</t>
  </si>
  <si>
    <t>tomato associated bunya-like virus 1</t>
  </si>
  <si>
    <t>southern tomato virus</t>
  </si>
  <si>
    <t>plant associated deltapartitivirus 1</t>
  </si>
  <si>
    <t>plant associated deltapartitivirus 2</t>
  </si>
  <si>
    <t>plant associated deltapartitivirus 3</t>
  </si>
  <si>
    <t>plant associated deltapartitivirus 4</t>
  </si>
  <si>
    <t>plant associated deltapartitivirus 5</t>
  </si>
  <si>
    <t>plant associated deltapartitivirus 6</t>
  </si>
  <si>
    <t>cucumber mosaic virus</t>
  </si>
  <si>
    <t>peanut stunt virus</t>
  </si>
  <si>
    <t>tomato aspermy virus</t>
  </si>
  <si>
    <t>tomato ilarvirus 1</t>
  </si>
  <si>
    <t>beet yellows virus</t>
  </si>
  <si>
    <t>plant associated closterovirus 1</t>
  </si>
  <si>
    <t>plant associated closterovirus 2</t>
  </si>
  <si>
    <t>plant associated crinivirus 1</t>
  </si>
  <si>
    <t>tomato associated alphaendornavirus 1</t>
  </si>
  <si>
    <t>plant associated alphaendornavirus 1</t>
  </si>
  <si>
    <t>tomato fruit blotch virus</t>
  </si>
  <si>
    <t>tomato mosaic virus</t>
  </si>
  <si>
    <t xml:space="preserve">plant associated tobamo-like virus 1 </t>
  </si>
  <si>
    <t>eggplant mottled dwarf virus</t>
  </si>
  <si>
    <t>tomato betanucleorhabdovirus 1</t>
  </si>
  <si>
    <t>tomato betanucleorhabdovirus 2</t>
  </si>
  <si>
    <t>tomato alphanucleorhabdovirus 1</t>
  </si>
  <si>
    <t>plant associated caulimovirus 1</t>
  </si>
  <si>
    <t>plant associated soymovirus 1</t>
  </si>
  <si>
    <t>potato virus Y</t>
  </si>
  <si>
    <t>carrot thin leaf virus</t>
  </si>
  <si>
    <t>lettuce mosaic virus</t>
  </si>
  <si>
    <t>watermelon mosaic virus</t>
  </si>
  <si>
    <t>tomato matilda virus</t>
  </si>
  <si>
    <t>broad bean wilt virus 1</t>
  </si>
  <si>
    <t>plant associated waikavirus 1</t>
  </si>
  <si>
    <t>plant associated waikavirus 2</t>
  </si>
  <si>
    <t>plant associated sequivirus 1</t>
  </si>
  <si>
    <t>plant associated sequivirus 2</t>
  </si>
  <si>
    <t>plant associated sequivirus 3</t>
  </si>
  <si>
    <t>barley virus G</t>
  </si>
  <si>
    <t xml:space="preserve">plant associated polerovirus 1 </t>
  </si>
  <si>
    <t>plant associated polerovirus 2</t>
  </si>
  <si>
    <t>plant associated polerovirus 3</t>
  </si>
  <si>
    <t>olive latent virus 1</t>
  </si>
  <si>
    <t>olive mild mosaic virus, partial genome</t>
  </si>
  <si>
    <t>tobacco necrosis virus A</t>
  </si>
  <si>
    <t>tomato bushy stunt virus</t>
  </si>
  <si>
    <t>soybean dwarf virus</t>
  </si>
  <si>
    <t>white clover mosaic virus, near complete</t>
  </si>
  <si>
    <t>potato virus M</t>
  </si>
  <si>
    <t>potato virus S</t>
  </si>
  <si>
    <t>tomato vitivirus 1</t>
  </si>
  <si>
    <t xml:space="preserve">tomato albetovirus 1 </t>
  </si>
  <si>
    <t>plant associated viroid-like circular RNA 1</t>
  </si>
  <si>
    <t>plant associated viroid-like circular RNA 2</t>
  </si>
  <si>
    <t>plant associated viroid-like circular RNA 3</t>
  </si>
  <si>
    <t>plant associated viroid-like circular RNA 4</t>
  </si>
  <si>
    <t>plant tombusvirus-like associated RNA 1</t>
  </si>
  <si>
    <t>plant tombusvirus-like associated RNA 2</t>
  </si>
  <si>
    <t>plant tombusvirus-like associated RNA 3</t>
  </si>
  <si>
    <t>tomato bushy stunt virus satellite RNA C</t>
  </si>
  <si>
    <t>tomato bushy stunt virus satellite B10</t>
  </si>
  <si>
    <t>tomato bushy stunt virus satellite RNA L</t>
  </si>
  <si>
    <t>plant associated botourmia-like virus 1</t>
  </si>
  <si>
    <t>plant associated botourmia-like virus 2</t>
  </si>
  <si>
    <t>tomato associated partiti-like virus 1</t>
  </si>
  <si>
    <t>tomato associated tombus-like virus 1</t>
  </si>
  <si>
    <t>plant associated tombus-like virus 1</t>
  </si>
  <si>
    <t>plant associated tombus-like virus 2</t>
  </si>
  <si>
    <t xml:space="preserve">plant associated virga-like virus 1 </t>
  </si>
  <si>
    <t>plant associated virga-like virus 2</t>
  </si>
  <si>
    <t>tomato associated virga-like virus 1</t>
  </si>
  <si>
    <t>broad bean wilt virus 1, RNA1</t>
  </si>
  <si>
    <t>broad bean wilt virus 1, RNA2</t>
  </si>
  <si>
    <t>cucumber mosaic virus, RNA1</t>
  </si>
  <si>
    <t>cucumber mosaic virus, RNA2</t>
  </si>
  <si>
    <t>cucumber mosaic virus, RNA3</t>
  </si>
  <si>
    <t>cucumber mosaic virus, RNA1-3</t>
  </si>
  <si>
    <t>plant associated deltapartitivirus 1, RNA1</t>
  </si>
  <si>
    <t>plant associated deltapartitivirus 1, RNA2a</t>
  </si>
  <si>
    <t>plant associated deltapartitivirus 1, RNA2b</t>
  </si>
  <si>
    <t xml:space="preserve">olive mild mosaic virus </t>
  </si>
  <si>
    <t>eggplant mottle dwarf virus</t>
  </si>
  <si>
    <t>peanut stunt virus, RNA1</t>
  </si>
  <si>
    <t>peanut stunt virus, RNA2</t>
  </si>
  <si>
    <t>peanut stunt virus, RNA3</t>
  </si>
  <si>
    <t>plant associated deltapartitivirus 5, RNA1</t>
  </si>
  <si>
    <t>plant associated deltapartitivirus 5, RNA2</t>
  </si>
  <si>
    <t>plant associated crinivirus 1, RNA1</t>
  </si>
  <si>
    <t>plant associated crinivirus 1, RNA2</t>
  </si>
  <si>
    <t>plant associated deltapartitivirus 2, RNA1</t>
  </si>
  <si>
    <t>plant associated deltapartitivirus 2, RNA2</t>
  </si>
  <si>
    <t>plant associated deltapartitivirus 3, RNA1</t>
  </si>
  <si>
    <t>plant associated deltapartitivirus 3, RNA2</t>
  </si>
  <si>
    <t>plant associated deltapartitivirus 4, RNA1</t>
  </si>
  <si>
    <t>plant associated deltapartitivirus 6, RNA2</t>
  </si>
  <si>
    <t>plant associated deltapartitivirus 6, RNA1</t>
  </si>
  <si>
    <t>plant associated deltapartitivirus 4, RNA2</t>
  </si>
  <si>
    <t>tomato aspermy virus, RNA1</t>
  </si>
  <si>
    <t>tomato aspermy virus, RNA2</t>
  </si>
  <si>
    <t>tomato aspermy virus, RNA3</t>
  </si>
  <si>
    <t>tomato bushy stunt virus satellite RNA B10</t>
  </si>
  <si>
    <t>tomato fruit blotch virus, RNA1</t>
  </si>
  <si>
    <t>tomato fruit blotch virus, RNA2</t>
  </si>
  <si>
    <t>tomato fruit blotch virus, RNA3</t>
  </si>
  <si>
    <t>tomato fruit blotch virus, RNA4</t>
  </si>
  <si>
    <t>tomato associated bunya-like virus 1, segment L</t>
  </si>
  <si>
    <t>tomato associated bunya-like virus 1, segment M</t>
  </si>
  <si>
    <t>tomato ilarvirus 1, RNA 1</t>
  </si>
  <si>
    <t>tomato ilarvirus 1, RNA 2</t>
  </si>
  <si>
    <t>tomato ilarvirus 1, RNA 3</t>
  </si>
  <si>
    <t>tomato spotted wilt virus, segment L</t>
  </si>
  <si>
    <t>tomato spotted wilt virus, segment M</t>
  </si>
  <si>
    <t>tomato spotted wilt virus, segment S</t>
  </si>
  <si>
    <t>white clover mosaic virus</t>
  </si>
  <si>
    <t>Picris cytorhabdovirus 1, putative L segment</t>
  </si>
  <si>
    <t>Picris cytorhabdovirus 1, putative N segment</t>
  </si>
  <si>
    <t>broad-leafed dock virus A, isolate 1</t>
  </si>
  <si>
    <t>broad-leafed dock virus A, isolate 2</t>
  </si>
  <si>
    <t>BLDVA, isolate 2</t>
  </si>
  <si>
    <t>BLDVA, isolate 1</t>
  </si>
  <si>
    <t>BDVA-isolate-2</t>
  </si>
  <si>
    <t>BDVA-isolate-1</t>
  </si>
  <si>
    <t>8593/8653</t>
  </si>
  <si>
    <t>545/2632</t>
  </si>
  <si>
    <t>possible crosstalk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</si>
</sst>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44" x14ac:knownFonts="1">
    <font>
      <sz val="11"/>
      <color theme="1"/>
      <name val="Calibri"/>
      <family val="2"/>
      <scheme val="minor"/>
    </font>
    <font>
      <sz val="12"/>
      <color theme="1"/>
      <name val="Calibri"/>
      <family val="2"/>
      <scheme val="minor"/>
    </font>
    <font>
      <sz val="12"/>
      <color theme="1"/>
      <name val="Calibri"/>
      <family val="2"/>
      <scheme val="minor"/>
    </font>
    <font>
      <sz val="11"/>
      <color theme="1"/>
      <name val="Arial Narrow"/>
      <family val="2"/>
    </font>
    <font>
      <i/>
      <sz val="11"/>
      <color theme="1"/>
      <name val="Arial Narrow"/>
      <family val="2"/>
    </font>
    <font>
      <b/>
      <sz val="11"/>
      <color theme="1"/>
      <name val="Arial Narrow"/>
      <family val="2"/>
      <charset val="238"/>
    </font>
    <font>
      <b/>
      <sz val="11"/>
      <color theme="1"/>
      <name val="Arial Narrow"/>
      <family val="2"/>
    </font>
    <font>
      <sz val="11"/>
      <color theme="1"/>
      <name val="Arial Narrow"/>
      <family val="2"/>
      <charset val="238"/>
    </font>
    <font>
      <sz val="11"/>
      <name val="Arial Narrow"/>
      <family val="2"/>
    </font>
    <font>
      <sz val="11"/>
      <name val="Arial Narrow"/>
      <family val="2"/>
      <charset val="238"/>
    </font>
    <font>
      <sz val="11"/>
      <color rgb="FF0070C0"/>
      <name val="Arial Narrow"/>
      <family val="2"/>
      <charset val="238"/>
    </font>
    <font>
      <sz val="11"/>
      <color rgb="FFC00000"/>
      <name val="Arial Narrow"/>
      <family val="2"/>
      <charset val="238"/>
    </font>
    <font>
      <sz val="11"/>
      <color rgb="FFC00000"/>
      <name val="Arial Narrow"/>
      <family val="2"/>
    </font>
    <font>
      <b/>
      <sz val="10"/>
      <color rgb="FFC00000"/>
      <name val="Arial Narrow"/>
      <family val="2"/>
      <charset val="238"/>
    </font>
    <font>
      <sz val="10"/>
      <name val="Arial Narrow"/>
      <family val="2"/>
      <charset val="238"/>
    </font>
    <font>
      <sz val="12"/>
      <color theme="1"/>
      <name val="Arial Narrow"/>
      <family val="2"/>
      <charset val="238"/>
    </font>
    <font>
      <sz val="8"/>
      <name val="Calibri"/>
      <family val="2"/>
      <scheme val="minor"/>
    </font>
    <font>
      <sz val="11"/>
      <color theme="1"/>
      <name val="Calibri"/>
      <family val="2"/>
      <scheme val="minor"/>
    </font>
    <font>
      <b/>
      <sz val="11"/>
      <name val="Arial Narrow"/>
      <family val="2"/>
      <charset val="238"/>
    </font>
    <font>
      <b/>
      <sz val="11"/>
      <color rgb="FFC00000"/>
      <name val="Arial Narrow"/>
      <family val="2"/>
      <charset val="238"/>
    </font>
    <font>
      <b/>
      <sz val="10"/>
      <name val="Arial Narrow"/>
      <family val="2"/>
      <charset val="238"/>
    </font>
    <font>
      <sz val="10"/>
      <color theme="1"/>
      <name val="Arial Narrow"/>
      <family val="2"/>
      <charset val="238"/>
    </font>
    <font>
      <b/>
      <sz val="11"/>
      <color theme="0"/>
      <name val="Arial Narrow"/>
      <family val="2"/>
      <charset val="238"/>
    </font>
    <font>
      <b/>
      <sz val="12"/>
      <color theme="1"/>
      <name val="Arial Narrow"/>
      <family val="2"/>
      <charset val="238"/>
    </font>
    <font>
      <b/>
      <sz val="6"/>
      <color theme="1"/>
      <name val="Arial Narrow"/>
      <family val="2"/>
      <charset val="238"/>
    </font>
    <font>
      <b/>
      <sz val="10"/>
      <color theme="1"/>
      <name val="Arial Narrow"/>
      <family val="2"/>
      <charset val="238"/>
    </font>
    <font>
      <b/>
      <u/>
      <sz val="10"/>
      <name val="Arial Narrow"/>
      <family val="2"/>
      <charset val="238"/>
    </font>
    <font>
      <b/>
      <sz val="4"/>
      <color theme="1"/>
      <name val="Arial Narrow"/>
      <family val="2"/>
      <charset val="238"/>
    </font>
    <font>
      <sz val="11"/>
      <color rgb="FF00B050"/>
      <name val="Arial Narrow"/>
      <family val="2"/>
      <charset val="238"/>
    </font>
    <font>
      <sz val="11"/>
      <color rgb="FF00B050"/>
      <name val="Arial Narrow"/>
      <family val="2"/>
    </font>
    <font>
      <sz val="10"/>
      <color theme="0" tint="-0.14999847407452621"/>
      <name val="Arial Narrow"/>
      <family val="2"/>
      <charset val="238"/>
    </font>
    <font>
      <b/>
      <sz val="10"/>
      <color theme="7" tint="-0.249977111117893"/>
      <name val="Arial Narrow"/>
      <family val="2"/>
      <charset val="238"/>
    </font>
    <font>
      <b/>
      <vertAlign val="superscript"/>
      <sz val="10"/>
      <color rgb="FFC00000"/>
      <name val="Arial Narrow"/>
      <family val="2"/>
      <charset val="238"/>
    </font>
    <font>
      <b/>
      <vertAlign val="superscript"/>
      <sz val="11"/>
      <color rgb="FFC00000"/>
      <name val="Arial Narrow"/>
      <family val="2"/>
      <charset val="238"/>
    </font>
    <font>
      <sz val="9"/>
      <name val="Arial Narrow"/>
      <family val="2"/>
      <charset val="238"/>
    </font>
    <font>
      <sz val="9.5"/>
      <name val="Arial Narrow"/>
      <family val="2"/>
      <charset val="238"/>
    </font>
    <font>
      <b/>
      <vertAlign val="superscript"/>
      <sz val="9"/>
      <color rgb="FFC00000"/>
      <name val="Arial Narrow"/>
      <family val="2"/>
      <charset val="238"/>
    </font>
    <font>
      <i/>
      <sz val="11"/>
      <name val="Arial Narrow"/>
      <family val="2"/>
      <charset val="238"/>
    </font>
    <font>
      <b/>
      <vertAlign val="superscript"/>
      <sz val="11"/>
      <color rgb="FFFF0000"/>
      <name val="Arial Narrow"/>
      <family val="2"/>
      <charset val="238"/>
    </font>
    <font>
      <b/>
      <sz val="12"/>
      <color theme="1"/>
      <name val="Arial Narrow"/>
      <family val="2"/>
    </font>
    <font>
      <b/>
      <i/>
      <sz val="11"/>
      <color rgb="FFC00000"/>
      <name val="Arial Narrow"/>
      <family val="2"/>
    </font>
    <font>
      <b/>
      <i/>
      <sz val="11"/>
      <color theme="1"/>
      <name val="Arial Narrow"/>
      <family val="2"/>
    </font>
    <font>
      <b/>
      <i/>
      <sz val="10"/>
      <color rgb="FFC00000"/>
      <name val="Arial Narrow"/>
      <family val="2"/>
    </font>
    <font>
      <b/>
      <i/>
      <sz val="10"/>
      <color theme="1"/>
      <name val="Arial Narrow"/>
      <family val="2"/>
    </font>
  </fonts>
  <fills count="10">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7" tint="0.79998168889431442"/>
        <bgColor indexed="64"/>
      </patternFill>
    </fill>
    <fill>
      <patternFill patternType="solid">
        <fgColor rgb="FFFFFFFF"/>
        <bgColor indexed="64"/>
      </patternFill>
    </fill>
  </fills>
  <borders count="18">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rgb="FF000000"/>
      </left>
      <right style="hair">
        <color rgb="FF000000"/>
      </right>
      <top style="hair">
        <color rgb="FF000000"/>
      </top>
      <bottom/>
      <diagonal/>
    </border>
    <border>
      <left style="hair">
        <color rgb="FF000000"/>
      </left>
      <right style="hair">
        <color rgb="FF000000"/>
      </right>
      <top/>
      <bottom style="hair">
        <color rgb="FF000000"/>
      </bottom>
      <diagonal/>
    </border>
  </borders>
  <cellStyleXfs count="4">
    <xf numFmtId="0" fontId="0" fillId="0" borderId="0"/>
    <xf numFmtId="0" fontId="2" fillId="0" borderId="0"/>
    <xf numFmtId="0" fontId="1" fillId="0" borderId="0"/>
    <xf numFmtId="9" fontId="17" fillId="0" borderId="0" applyFont="0" applyFill="0" applyBorder="0" applyAlignment="0" applyProtection="0"/>
  </cellStyleXfs>
  <cellXfs count="211">
    <xf numFmtId="0" fontId="0" fillId="0" borderId="0" xfId="0"/>
    <xf numFmtId="0" fontId="3" fillId="0" borderId="0" xfId="0" applyFont="1"/>
    <xf numFmtId="0" fontId="4" fillId="0" borderId="0" xfId="0" applyFont="1" applyAlignment="1">
      <alignment horizontal="left"/>
    </xf>
    <xf numFmtId="0" fontId="7" fillId="0" borderId="0" xfId="0" applyFont="1" applyAlignment="1">
      <alignment horizontal="left"/>
    </xf>
    <xf numFmtId="0" fontId="3" fillId="0" borderId="0" xfId="1" applyFont="1" applyAlignment="1">
      <alignment horizontal="center" vertical="center"/>
    </xf>
    <xf numFmtId="0" fontId="7" fillId="0" borderId="0" xfId="0" applyFont="1"/>
    <xf numFmtId="0" fontId="3" fillId="0" borderId="0" xfId="0" applyFont="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7" fillId="0" borderId="0" xfId="0" applyFont="1" applyAlignment="1">
      <alignment horizontal="left" vertical="center"/>
    </xf>
    <xf numFmtId="0" fontId="3" fillId="0" borderId="2" xfId="1" applyFont="1" applyBorder="1" applyAlignment="1">
      <alignment horizontal="center" vertical="center"/>
    </xf>
    <xf numFmtId="0" fontId="3" fillId="0" borderId="2" xfId="0" applyFont="1" applyBorder="1" applyAlignment="1">
      <alignment horizontal="left" vertical="center"/>
    </xf>
    <xf numFmtId="0" fontId="3" fillId="2" borderId="2" xfId="0" applyFont="1" applyFill="1" applyBorder="1" applyAlignment="1">
      <alignment vertical="center"/>
    </xf>
    <xf numFmtId="0" fontId="3" fillId="0" borderId="2" xfId="0" applyFont="1" applyBorder="1" applyAlignment="1">
      <alignment vertical="center"/>
    </xf>
    <xf numFmtId="0" fontId="7" fillId="0" borderId="2" xfId="0" applyFont="1" applyBorder="1" applyAlignment="1">
      <alignment horizontal="left" vertical="center"/>
    </xf>
    <xf numFmtId="0" fontId="8" fillId="3" borderId="2" xfId="0" applyFont="1" applyFill="1" applyBorder="1" applyAlignment="1">
      <alignment horizontal="left" vertical="center"/>
    </xf>
    <xf numFmtId="0" fontId="9" fillId="3" borderId="2" xfId="0" applyFont="1" applyFill="1" applyBorder="1" applyAlignment="1">
      <alignment horizontal="left" vertical="center"/>
    </xf>
    <xf numFmtId="0" fontId="4" fillId="2" borderId="2" xfId="0" applyFont="1" applyFill="1" applyBorder="1" applyAlignment="1">
      <alignment horizontal="left" vertical="center"/>
    </xf>
    <xf numFmtId="0" fontId="3" fillId="3" borderId="2" xfId="0" applyFont="1" applyFill="1" applyBorder="1" applyAlignment="1">
      <alignment horizontal="left" vertical="center"/>
    </xf>
    <xf numFmtId="0" fontId="7" fillId="3" borderId="2" xfId="0" applyFont="1" applyFill="1" applyBorder="1" applyAlignment="1">
      <alignment horizontal="left" vertical="center"/>
    </xf>
    <xf numFmtId="0" fontId="10" fillId="3" borderId="2" xfId="0" applyFont="1" applyFill="1" applyBorder="1" applyAlignment="1">
      <alignment horizontal="left" vertical="center"/>
    </xf>
    <xf numFmtId="0" fontId="10" fillId="0" borderId="2" xfId="0" applyFont="1" applyBorder="1" applyAlignment="1">
      <alignment horizontal="left" vertical="center"/>
    </xf>
    <xf numFmtId="0" fontId="11" fillId="3" borderId="2" xfId="0" applyFont="1" applyFill="1" applyBorder="1" applyAlignment="1">
      <alignment horizontal="left" vertical="center"/>
    </xf>
    <xf numFmtId="0" fontId="12" fillId="0" borderId="2" xfId="0" applyFont="1" applyBorder="1" applyAlignment="1">
      <alignment horizontal="left" vertical="center"/>
    </xf>
    <xf numFmtId="0" fontId="12" fillId="0" borderId="2" xfId="0" applyFont="1" applyBorder="1" applyAlignment="1">
      <alignment vertical="center"/>
    </xf>
    <xf numFmtId="0" fontId="11" fillId="0" borderId="2" xfId="0" applyFont="1" applyBorder="1" applyAlignment="1">
      <alignment horizontal="left" vertical="center"/>
    </xf>
    <xf numFmtId="0" fontId="9" fillId="0" borderId="2" xfId="0" applyFont="1" applyBorder="1" applyAlignment="1">
      <alignment horizontal="left" vertical="center"/>
    </xf>
    <xf numFmtId="0" fontId="3" fillId="2" borderId="2" xfId="0" applyFont="1" applyFill="1" applyBorder="1" applyAlignment="1">
      <alignment horizontal="left" vertical="center"/>
    </xf>
    <xf numFmtId="0" fontId="12" fillId="2" borderId="2" xfId="0" applyFont="1" applyFill="1" applyBorder="1" applyAlignment="1">
      <alignment horizontal="left" vertical="center"/>
    </xf>
    <xf numFmtId="0" fontId="7" fillId="2" borderId="2" xfId="0" applyFont="1" applyFill="1" applyBorder="1" applyAlignment="1">
      <alignment horizontal="left" vertical="center"/>
    </xf>
    <xf numFmtId="0" fontId="11" fillId="2" borderId="2" xfId="0" applyFont="1" applyFill="1" applyBorder="1" applyAlignment="1">
      <alignment horizontal="left" vertical="center"/>
    </xf>
    <xf numFmtId="0" fontId="8" fillId="2" borderId="2" xfId="0" applyFont="1" applyFill="1" applyBorder="1" applyAlignment="1">
      <alignment horizontal="left" vertical="center"/>
    </xf>
    <xf numFmtId="0" fontId="10" fillId="2" borderId="2" xfId="0" applyFont="1" applyFill="1" applyBorder="1" applyAlignment="1">
      <alignment horizontal="left" vertical="center"/>
    </xf>
    <xf numFmtId="0" fontId="9" fillId="2" borderId="2" xfId="0" applyFont="1" applyFill="1" applyBorder="1" applyAlignment="1">
      <alignment horizontal="left" vertical="center"/>
    </xf>
    <xf numFmtId="0" fontId="4" fillId="0" borderId="2" xfId="0" applyFont="1" applyBorder="1" applyAlignment="1">
      <alignment horizontal="left" vertical="center"/>
    </xf>
    <xf numFmtId="0" fontId="3" fillId="2" borderId="2" xfId="1" applyFont="1" applyFill="1" applyBorder="1" applyAlignment="1">
      <alignment horizontal="left" vertical="center"/>
    </xf>
    <xf numFmtId="0" fontId="12" fillId="2" borderId="2" xfId="0" applyFont="1" applyFill="1" applyBorder="1" applyAlignment="1">
      <alignment vertical="center"/>
    </xf>
    <xf numFmtId="0" fontId="6" fillId="0" borderId="2" xfId="1" applyFont="1" applyBorder="1" applyAlignment="1">
      <alignment horizontal="center" vertical="center"/>
    </xf>
    <xf numFmtId="0" fontId="6" fillId="0" borderId="0" xfId="0" applyFont="1" applyAlignment="1">
      <alignment vertical="center"/>
    </xf>
    <xf numFmtId="0" fontId="6" fillId="0" borderId="0" xfId="1" applyFont="1" applyAlignment="1">
      <alignment horizontal="center" vertical="center"/>
    </xf>
    <xf numFmtId="0" fontId="6" fillId="0" borderId="2" xfId="0" applyFont="1" applyBorder="1" applyAlignment="1">
      <alignment vertical="center"/>
    </xf>
    <xf numFmtId="0" fontId="6" fillId="0" borderId="7" xfId="1" applyFont="1" applyBorder="1" applyAlignment="1">
      <alignment horizontal="center" vertical="center"/>
    </xf>
    <xf numFmtId="0" fontId="6" fillId="0" borderId="7" xfId="0" applyFont="1" applyBorder="1" applyAlignment="1">
      <alignment vertical="center"/>
    </xf>
    <xf numFmtId="0" fontId="7" fillId="0" borderId="2" xfId="0" applyFont="1" applyBorder="1" applyAlignment="1">
      <alignment vertical="center"/>
    </xf>
    <xf numFmtId="0" fontId="3" fillId="0" borderId="2" xfId="0" applyFont="1" applyBorder="1" applyAlignment="1">
      <alignment horizontal="center" vertical="center"/>
    </xf>
    <xf numFmtId="0" fontId="7" fillId="4" borderId="2" xfId="1" applyFont="1" applyFill="1" applyBorder="1" applyAlignment="1">
      <alignment horizontal="center" vertical="center" textRotation="90"/>
    </xf>
    <xf numFmtId="0" fontId="5" fillId="0" borderId="0" xfId="0" applyFont="1" applyAlignment="1">
      <alignment horizontal="center" vertical="center"/>
    </xf>
    <xf numFmtId="0" fontId="23" fillId="2" borderId="13" xfId="1" applyFont="1" applyFill="1" applyBorder="1" applyAlignment="1">
      <alignment horizontal="center" vertical="center" wrapText="1"/>
    </xf>
    <xf numFmtId="0" fontId="5" fillId="0" borderId="0" xfId="0" applyFont="1" applyAlignment="1">
      <alignment horizontal="center"/>
    </xf>
    <xf numFmtId="0" fontId="23" fillId="2" borderId="14" xfId="1" applyFont="1" applyFill="1" applyBorder="1" applyAlignment="1">
      <alignment horizontal="left" vertical="center" wrapText="1"/>
    </xf>
    <xf numFmtId="0" fontId="23" fillId="2" borderId="15" xfId="1" applyFont="1" applyFill="1" applyBorder="1" applyAlignment="1">
      <alignment horizontal="left" vertical="center" wrapText="1"/>
    </xf>
    <xf numFmtId="0" fontId="20" fillId="6" borderId="2" xfId="0" applyFont="1" applyFill="1" applyBorder="1" applyAlignment="1">
      <alignment horizontal="center" vertical="center"/>
    </xf>
    <xf numFmtId="0" fontId="13" fillId="2" borderId="0" xfId="0" applyFont="1" applyFill="1" applyAlignment="1">
      <alignment horizontal="left" vertical="center"/>
    </xf>
    <xf numFmtId="0" fontId="13" fillId="2" borderId="12" xfId="0" applyFont="1" applyFill="1" applyBorder="1" applyAlignment="1">
      <alignment horizontal="left" vertical="center"/>
    </xf>
    <xf numFmtId="0" fontId="25" fillId="0" borderId="0" xfId="0" applyFont="1" applyAlignment="1">
      <alignment horizontal="center" vertical="center"/>
    </xf>
    <xf numFmtId="0" fontId="20" fillId="5" borderId="2" xfId="0" applyFont="1" applyFill="1" applyBorder="1" applyAlignment="1">
      <alignment horizontal="center" vertical="center"/>
    </xf>
    <xf numFmtId="0" fontId="25" fillId="2" borderId="0" xfId="0" applyFont="1" applyFill="1" applyAlignment="1">
      <alignment horizontal="left" vertical="center"/>
    </xf>
    <xf numFmtId="0" fontId="25" fillId="2" borderId="12" xfId="0" applyFont="1" applyFill="1" applyBorder="1" applyAlignment="1">
      <alignment horizontal="left" vertical="center"/>
    </xf>
    <xf numFmtId="0" fontId="19" fillId="2" borderId="9" xfId="0" applyFont="1" applyFill="1" applyBorder="1" applyAlignment="1">
      <alignment horizontal="left" vertical="center"/>
    </xf>
    <xf numFmtId="0" fontId="19" fillId="2" borderId="10" xfId="0" applyFont="1" applyFill="1" applyBorder="1" applyAlignment="1">
      <alignment horizontal="left" vertical="center"/>
    </xf>
    <xf numFmtId="0" fontId="20" fillId="6" borderId="5" xfId="0" applyFont="1" applyFill="1" applyBorder="1" applyAlignment="1">
      <alignment horizontal="center" vertical="center"/>
    </xf>
    <xf numFmtId="0" fontId="20" fillId="5" borderId="5" xfId="0" applyFont="1" applyFill="1" applyBorder="1" applyAlignment="1">
      <alignment horizontal="center" vertical="center"/>
    </xf>
    <xf numFmtId="0" fontId="25" fillId="2" borderId="0" xfId="0" applyFont="1" applyFill="1" applyAlignment="1">
      <alignment horizontal="right" vertical="center"/>
    </xf>
    <xf numFmtId="0" fontId="25" fillId="2" borderId="0" xfId="0" applyFont="1" applyFill="1" applyAlignment="1">
      <alignment horizontal="center" vertical="center"/>
    </xf>
    <xf numFmtId="0" fontId="5" fillId="2" borderId="9" xfId="0" applyFont="1" applyFill="1" applyBorder="1" applyAlignment="1">
      <alignment horizontal="center" vertical="center"/>
    </xf>
    <xf numFmtId="0" fontId="5" fillId="2" borderId="9" xfId="0" applyFont="1" applyFill="1" applyBorder="1" applyAlignment="1">
      <alignment horizontal="right" vertical="center"/>
    </xf>
    <xf numFmtId="0" fontId="5" fillId="2" borderId="10" xfId="0" applyFont="1" applyFill="1" applyBorder="1" applyAlignment="1">
      <alignment horizontal="right" vertical="center"/>
    </xf>
    <xf numFmtId="0" fontId="23" fillId="2"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25" fillId="2" borderId="12" xfId="0" applyFont="1" applyFill="1" applyBorder="1" applyAlignment="1">
      <alignment horizontal="right" vertical="center"/>
    </xf>
    <xf numFmtId="0" fontId="28" fillId="3" borderId="2" xfId="0" applyFont="1" applyFill="1" applyBorder="1" applyAlignment="1">
      <alignment horizontal="left" vertical="center"/>
    </xf>
    <xf numFmtId="0" fontId="28" fillId="3" borderId="2" xfId="1" applyFont="1" applyFill="1" applyBorder="1" applyAlignment="1">
      <alignment horizontal="left" vertical="center"/>
    </xf>
    <xf numFmtId="0" fontId="28" fillId="2" borderId="2" xfId="0" applyFont="1" applyFill="1" applyBorder="1" applyAlignment="1">
      <alignment horizontal="left" vertical="center"/>
    </xf>
    <xf numFmtId="0" fontId="28" fillId="3" borderId="2" xfId="0" applyFont="1" applyFill="1" applyBorder="1" applyAlignment="1">
      <alignment vertical="center"/>
    </xf>
    <xf numFmtId="0" fontId="29" fillId="3" borderId="2" xfId="0" applyFont="1" applyFill="1" applyBorder="1" applyAlignment="1">
      <alignment horizontal="left" vertical="center"/>
    </xf>
    <xf numFmtId="0" fontId="29" fillId="2" borderId="2" xfId="0" applyFont="1" applyFill="1" applyBorder="1" applyAlignment="1">
      <alignment horizontal="left" vertical="center"/>
    </xf>
    <xf numFmtId="0" fontId="29" fillId="3" borderId="2" xfId="0" applyFont="1" applyFill="1" applyBorder="1" applyAlignment="1">
      <alignment vertical="center"/>
    </xf>
    <xf numFmtId="0" fontId="14"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20" fillId="5" borderId="2" xfId="0" applyFont="1" applyFill="1" applyBorder="1" applyAlignment="1">
      <alignment horizontal="left" vertical="center"/>
    </xf>
    <xf numFmtId="0" fontId="14" fillId="5" borderId="2" xfId="0" applyFont="1" applyFill="1" applyBorder="1" applyAlignment="1">
      <alignment horizontal="left" vertical="center"/>
    </xf>
    <xf numFmtId="2" fontId="14" fillId="5" borderId="2" xfId="0" applyNumberFormat="1" applyFont="1" applyFill="1" applyBorder="1" applyAlignment="1">
      <alignment horizontal="right" vertical="center"/>
    </xf>
    <xf numFmtId="0" fontId="14" fillId="5" borderId="2" xfId="0" applyFont="1" applyFill="1" applyBorder="1" applyAlignment="1">
      <alignment horizontal="center" vertical="center"/>
    </xf>
    <xf numFmtId="49" fontId="14" fillId="5" borderId="2" xfId="3" applyNumberFormat="1" applyFont="1" applyFill="1" applyBorder="1" applyAlignment="1">
      <alignment horizontal="right" vertical="center"/>
    </xf>
    <xf numFmtId="2" fontId="14" fillId="5" borderId="2" xfId="3" applyNumberFormat="1" applyFont="1" applyFill="1" applyBorder="1" applyAlignment="1">
      <alignment horizontal="right" vertical="center"/>
    </xf>
    <xf numFmtId="0" fontId="9" fillId="2" borderId="2" xfId="0" applyFont="1" applyFill="1" applyBorder="1" applyAlignment="1">
      <alignment horizontal="center" vertical="center" wrapText="1"/>
    </xf>
    <xf numFmtId="165" fontId="14" fillId="5" borderId="2" xfId="3" applyNumberFormat="1" applyFont="1" applyFill="1" applyBorder="1" applyAlignment="1">
      <alignment horizontal="right" vertical="center"/>
    </xf>
    <xf numFmtId="0" fontId="14" fillId="2" borderId="7" xfId="0" applyFont="1" applyFill="1" applyBorder="1" applyAlignment="1">
      <alignment horizontal="left" vertical="center"/>
    </xf>
    <xf numFmtId="0" fontId="14" fillId="2" borderId="6" xfId="0" applyFont="1" applyFill="1" applyBorder="1" applyAlignment="1">
      <alignment horizontal="left" vertical="center" wrapText="1"/>
    </xf>
    <xf numFmtId="0" fontId="14" fillId="2" borderId="6" xfId="0" applyFont="1" applyFill="1" applyBorder="1" applyAlignment="1">
      <alignment horizontal="center" vertical="center" wrapText="1"/>
    </xf>
    <xf numFmtId="2" fontId="14" fillId="2" borderId="6" xfId="0" applyNumberFormat="1" applyFont="1" applyFill="1" applyBorder="1" applyAlignment="1">
      <alignment horizontal="right" vertical="center" wrapText="1"/>
    </xf>
    <xf numFmtId="165" fontId="14" fillId="2" borderId="6" xfId="3" applyNumberFormat="1" applyFont="1" applyFill="1" applyBorder="1" applyAlignment="1">
      <alignment horizontal="right" vertical="center" wrapText="1"/>
    </xf>
    <xf numFmtId="49" fontId="14" fillId="2" borderId="6" xfId="3" applyNumberFormat="1" applyFont="1" applyFill="1" applyBorder="1" applyAlignment="1">
      <alignment horizontal="right" vertical="center" wrapText="1"/>
    </xf>
    <xf numFmtId="2" fontId="14" fillId="2" borderId="6" xfId="3" applyNumberFormat="1" applyFont="1" applyFill="1" applyBorder="1" applyAlignment="1">
      <alignment horizontal="right" vertical="center" wrapText="1"/>
    </xf>
    <xf numFmtId="0" fontId="30" fillId="5" borderId="2" xfId="0" applyFont="1" applyFill="1" applyBorder="1" applyAlignment="1">
      <alignment horizontal="left" vertical="center"/>
    </xf>
    <xf numFmtId="0" fontId="14" fillId="2" borderId="2" xfId="0" applyFont="1" applyFill="1" applyBorder="1" applyAlignment="1">
      <alignment horizontal="left" vertical="center" wrapText="1"/>
    </xf>
    <xf numFmtId="2" fontId="14" fillId="2" borderId="2" xfId="0" applyNumberFormat="1" applyFont="1" applyFill="1" applyBorder="1" applyAlignment="1">
      <alignment horizontal="right" vertical="center" wrapText="1"/>
    </xf>
    <xf numFmtId="165" fontId="14" fillId="2" borderId="2" xfId="3" applyNumberFormat="1" applyFont="1" applyFill="1" applyBorder="1" applyAlignment="1">
      <alignment horizontal="right" vertical="center" wrapText="1"/>
    </xf>
    <xf numFmtId="49" fontId="14" fillId="2" borderId="2" xfId="3" applyNumberFormat="1" applyFont="1" applyFill="1" applyBorder="1" applyAlignment="1">
      <alignment horizontal="right" vertical="center" wrapText="1"/>
    </xf>
    <xf numFmtId="2" fontId="14" fillId="2" borderId="2" xfId="3" applyNumberFormat="1" applyFont="1" applyFill="1" applyBorder="1" applyAlignment="1">
      <alignment horizontal="right" vertical="center" wrapText="1"/>
    </xf>
    <xf numFmtId="0" fontId="14" fillId="8" borderId="2" xfId="0" applyFont="1" applyFill="1" applyBorder="1" applyAlignment="1">
      <alignment horizontal="left" vertical="center" wrapText="1"/>
    </xf>
    <xf numFmtId="165" fontId="14" fillId="2" borderId="4" xfId="3" applyNumberFormat="1" applyFont="1" applyFill="1" applyBorder="1" applyAlignment="1">
      <alignment horizontal="right" vertical="center" wrapText="1"/>
    </xf>
    <xf numFmtId="2" fontId="14" fillId="2" borderId="4" xfId="3" applyNumberFormat="1" applyFont="1" applyFill="1" applyBorder="1" applyAlignment="1">
      <alignment horizontal="right" vertical="center" wrapText="1"/>
    </xf>
    <xf numFmtId="165" fontId="14" fillId="2" borderId="3" xfId="3" applyNumberFormat="1" applyFont="1" applyFill="1" applyBorder="1" applyAlignment="1">
      <alignment horizontal="right" vertical="center" wrapText="1"/>
    </xf>
    <xf numFmtId="2" fontId="14" fillId="2" borderId="3" xfId="3" applyNumberFormat="1" applyFont="1" applyFill="1" applyBorder="1" applyAlignment="1">
      <alignment horizontal="right" vertical="center" wrapText="1"/>
    </xf>
    <xf numFmtId="165" fontId="14" fillId="2" borderId="1" xfId="3" applyNumberFormat="1" applyFont="1" applyFill="1" applyBorder="1" applyAlignment="1">
      <alignment horizontal="right" vertical="center" wrapText="1"/>
    </xf>
    <xf numFmtId="2" fontId="14" fillId="2" borderId="1" xfId="3" applyNumberFormat="1" applyFont="1" applyFill="1" applyBorder="1" applyAlignment="1">
      <alignment horizontal="right" vertical="center" wrapText="1"/>
    </xf>
    <xf numFmtId="0" fontId="14" fillId="2" borderId="4" xfId="0" applyFont="1" applyFill="1" applyBorder="1" applyAlignment="1">
      <alignment horizontal="center" vertical="center" wrapText="1"/>
    </xf>
    <xf numFmtId="2" fontId="14" fillId="2" borderId="4" xfId="0" applyNumberFormat="1" applyFont="1" applyFill="1" applyBorder="1" applyAlignment="1">
      <alignment horizontal="right" vertical="center" wrapText="1"/>
    </xf>
    <xf numFmtId="0" fontId="14" fillId="2" borderId="3" xfId="0" applyFont="1" applyFill="1" applyBorder="1" applyAlignment="1">
      <alignment horizontal="center" vertical="center" wrapText="1"/>
    </xf>
    <xf numFmtId="2" fontId="14" fillId="2" borderId="3" xfId="0" applyNumberFormat="1" applyFont="1" applyFill="1" applyBorder="1" applyAlignment="1">
      <alignment horizontal="right" vertical="center" wrapText="1"/>
    </xf>
    <xf numFmtId="0" fontId="14" fillId="2" borderId="1" xfId="0" applyFont="1" applyFill="1" applyBorder="1" applyAlignment="1">
      <alignment horizontal="center" vertical="center" wrapText="1"/>
    </xf>
    <xf numFmtId="2" fontId="14" fillId="2" borderId="1" xfId="0" applyNumberFormat="1" applyFont="1" applyFill="1" applyBorder="1" applyAlignment="1">
      <alignment horizontal="right" vertical="center" wrapText="1"/>
    </xf>
    <xf numFmtId="164" fontId="14" fillId="2" borderId="2" xfId="0" applyNumberFormat="1"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2" fontId="14" fillId="0" borderId="2" xfId="0" applyNumberFormat="1" applyFont="1" applyBorder="1" applyAlignment="1">
      <alignment horizontal="right" vertical="center" wrapText="1"/>
    </xf>
    <xf numFmtId="165" fontId="14" fillId="0" borderId="2" xfId="3" applyNumberFormat="1" applyFont="1" applyBorder="1" applyAlignment="1">
      <alignment horizontal="right" vertical="center" wrapText="1"/>
    </xf>
    <xf numFmtId="49" fontId="14" fillId="0" borderId="2" xfId="3" applyNumberFormat="1" applyFont="1" applyBorder="1" applyAlignment="1">
      <alignment horizontal="right" vertical="center" wrapText="1"/>
    </xf>
    <xf numFmtId="2" fontId="14" fillId="0" borderId="2" xfId="3" applyNumberFormat="1" applyFont="1" applyBorder="1" applyAlignment="1">
      <alignment horizontal="right" vertical="center" wrapText="1"/>
    </xf>
    <xf numFmtId="165" fontId="14" fillId="2" borderId="2" xfId="3" applyNumberFormat="1" applyFont="1" applyFill="1" applyBorder="1" applyAlignment="1">
      <alignment horizontal="left" vertical="center" wrapText="1" indent="1"/>
    </xf>
    <xf numFmtId="0" fontId="14" fillId="2" borderId="2" xfId="0" applyFont="1" applyFill="1" applyBorder="1" applyAlignment="1">
      <alignment horizontal="left" vertical="center" wrapText="1" indent="1"/>
    </xf>
    <xf numFmtId="165" fontId="14" fillId="2" borderId="6" xfId="3" applyNumberFormat="1" applyFont="1" applyFill="1" applyBorder="1" applyAlignment="1">
      <alignment horizontal="left" vertical="center" wrapText="1" indent="1"/>
    </xf>
    <xf numFmtId="165" fontId="14" fillId="5" borderId="2" xfId="3" applyNumberFormat="1" applyFont="1" applyFill="1" applyBorder="1" applyAlignment="1">
      <alignment horizontal="left" vertical="center" indent="1"/>
    </xf>
    <xf numFmtId="0" fontId="14" fillId="5" borderId="2" xfId="0" applyFont="1" applyFill="1" applyBorder="1" applyAlignment="1">
      <alignment horizontal="left" vertical="center" indent="1"/>
    </xf>
    <xf numFmtId="0" fontId="14" fillId="0" borderId="2" xfId="0" applyFont="1" applyBorder="1" applyAlignment="1">
      <alignment horizontal="left" vertical="center" wrapText="1" indent="1"/>
    </xf>
    <xf numFmtId="165" fontId="14" fillId="0" borderId="2" xfId="3" applyNumberFormat="1" applyFont="1" applyBorder="1" applyAlignment="1">
      <alignment horizontal="left" vertical="center" wrapText="1" indent="1"/>
    </xf>
    <xf numFmtId="0" fontId="14" fillId="2" borderId="6" xfId="0" applyFont="1" applyFill="1" applyBorder="1" applyAlignment="1">
      <alignment horizontal="left" vertical="center" wrapText="1" indent="1"/>
    </xf>
    <xf numFmtId="164" fontId="14" fillId="2" borderId="2" xfId="0" applyNumberFormat="1" applyFont="1" applyFill="1" applyBorder="1" applyAlignment="1">
      <alignment horizontal="left" vertical="center" wrapText="1" indent="1"/>
    </xf>
    <xf numFmtId="2" fontId="14" fillId="5" borderId="2" xfId="0" applyNumberFormat="1" applyFont="1" applyFill="1" applyBorder="1" applyAlignment="1">
      <alignment horizontal="center" vertical="center"/>
    </xf>
    <xf numFmtId="0" fontId="34" fillId="2" borderId="2" xfId="0" applyFont="1" applyFill="1" applyBorder="1" applyAlignment="1">
      <alignment horizontal="left" vertical="center" wrapText="1" indent="1"/>
    </xf>
    <xf numFmtId="0" fontId="35" fillId="2" borderId="2" xfId="0" applyFont="1" applyFill="1" applyBorder="1" applyAlignment="1">
      <alignment horizontal="left" vertical="center" wrapText="1" indent="1"/>
    </xf>
    <xf numFmtId="2" fontId="14" fillId="2" borderId="7" xfId="0" applyNumberFormat="1" applyFont="1" applyFill="1" applyBorder="1" applyAlignment="1">
      <alignment horizontal="right" vertical="center" wrapText="1"/>
    </xf>
    <xf numFmtId="0" fontId="14" fillId="2" borderId="5" xfId="0" applyFont="1" applyFill="1" applyBorder="1" applyAlignment="1">
      <alignment horizontal="left" vertical="center" wrapText="1" indent="1"/>
    </xf>
    <xf numFmtId="0" fontId="14" fillId="2" borderId="2" xfId="0" applyFont="1" applyFill="1" applyBorder="1" applyAlignment="1">
      <alignment horizontal="left" vertical="center"/>
    </xf>
    <xf numFmtId="165" fontId="14" fillId="5" borderId="1" xfId="3" applyNumberFormat="1" applyFont="1" applyFill="1" applyBorder="1" applyAlignment="1">
      <alignment horizontal="right" vertical="center"/>
    </xf>
    <xf numFmtId="2" fontId="14" fillId="5" borderId="1" xfId="0" applyNumberFormat="1" applyFont="1" applyFill="1" applyBorder="1" applyAlignment="1">
      <alignment horizontal="right" vertical="center"/>
    </xf>
    <xf numFmtId="165" fontId="14" fillId="2" borderId="16" xfId="3" applyNumberFormat="1" applyFont="1" applyFill="1" applyBorder="1" applyAlignment="1">
      <alignment horizontal="right" vertical="center" wrapText="1"/>
    </xf>
    <xf numFmtId="165" fontId="14" fillId="2" borderId="17" xfId="3" applyNumberFormat="1" applyFont="1" applyFill="1" applyBorder="1" applyAlignment="1">
      <alignment horizontal="right" vertical="center" wrapText="1"/>
    </xf>
    <xf numFmtId="2" fontId="14" fillId="2" borderId="16" xfId="0" applyNumberFormat="1" applyFont="1" applyFill="1" applyBorder="1" applyAlignment="1">
      <alignment horizontal="right" vertical="center" wrapText="1"/>
    </xf>
    <xf numFmtId="2" fontId="14" fillId="2" borderId="17" xfId="0" applyNumberFormat="1" applyFont="1" applyFill="1" applyBorder="1" applyAlignment="1">
      <alignment horizontal="right" vertical="center" wrapText="1"/>
    </xf>
    <xf numFmtId="0" fontId="34" fillId="2" borderId="2" xfId="0" applyFont="1" applyFill="1" applyBorder="1" applyAlignment="1">
      <alignment horizontal="center" vertical="center" wrapText="1"/>
    </xf>
    <xf numFmtId="2" fontId="34" fillId="2" borderId="2" xfId="0" applyNumberFormat="1" applyFont="1" applyFill="1" applyBorder="1" applyAlignment="1">
      <alignment horizontal="center" vertical="center" wrapText="1"/>
    </xf>
    <xf numFmtId="49" fontId="34" fillId="2" borderId="5" xfId="3" applyNumberFormat="1" applyFont="1" applyFill="1" applyBorder="1" applyAlignment="1">
      <alignment horizontal="center" vertical="center" wrapText="1"/>
    </xf>
    <xf numFmtId="2" fontId="34" fillId="2" borderId="2" xfId="3" applyNumberFormat="1" applyFont="1" applyFill="1" applyBorder="1" applyAlignment="1">
      <alignment horizontal="center" vertical="center" wrapText="1"/>
    </xf>
    <xf numFmtId="0" fontId="0" fillId="2" borderId="0" xfId="0" applyFill="1"/>
    <xf numFmtId="0" fontId="9" fillId="2" borderId="7" xfId="0" applyFont="1" applyFill="1" applyBorder="1"/>
    <xf numFmtId="0" fontId="9" fillId="2" borderId="6" xfId="0" applyFont="1" applyFill="1" applyBorder="1"/>
    <xf numFmtId="0" fontId="14" fillId="2" borderId="5" xfId="0" applyFont="1" applyFill="1" applyBorder="1" applyAlignment="1">
      <alignment horizontal="left" indent="1"/>
    </xf>
    <xf numFmtId="0" fontId="9" fillId="2" borderId="0" xfId="0" applyFont="1" applyFill="1"/>
    <xf numFmtId="0" fontId="18" fillId="2" borderId="2" xfId="0" applyFont="1" applyFill="1" applyBorder="1" applyAlignment="1">
      <alignment vertical="center" wrapText="1"/>
    </xf>
    <xf numFmtId="0" fontId="18" fillId="2" borderId="2" xfId="0" applyFont="1" applyFill="1" applyBorder="1" applyAlignment="1">
      <alignment horizontal="left" vertical="center" wrapText="1" indent="1"/>
    </xf>
    <xf numFmtId="0" fontId="9" fillId="2" borderId="0" xfId="0" applyFont="1" applyFill="1" applyAlignment="1">
      <alignment vertical="center" wrapText="1"/>
    </xf>
    <xf numFmtId="0" fontId="9" fillId="2" borderId="2" xfId="0" applyFont="1" applyFill="1" applyBorder="1"/>
    <xf numFmtId="0" fontId="9" fillId="2" borderId="2" xfId="0" applyFont="1" applyFill="1" applyBorder="1" applyAlignment="1">
      <alignment horizontal="right"/>
    </xf>
    <xf numFmtId="0" fontId="14" fillId="2" borderId="2" xfId="0" applyFont="1" applyFill="1" applyBorder="1" applyAlignment="1">
      <alignment horizontal="left" indent="1"/>
    </xf>
    <xf numFmtId="0" fontId="14" fillId="2" borderId="0" xfId="0" applyFont="1" applyFill="1" applyAlignment="1">
      <alignment horizontal="left" indent="1"/>
    </xf>
    <xf numFmtId="165" fontId="14" fillId="9" borderId="4" xfId="3" applyNumberFormat="1" applyFont="1" applyFill="1" applyBorder="1" applyAlignment="1">
      <alignment horizontal="right" vertical="center" wrapText="1"/>
    </xf>
    <xf numFmtId="165" fontId="14" fillId="9" borderId="2" xfId="3" applyNumberFormat="1" applyFont="1" applyFill="1" applyBorder="1" applyAlignment="1">
      <alignment horizontal="right" vertical="center" wrapText="1"/>
    </xf>
    <xf numFmtId="1" fontId="14" fillId="2" borderId="2" xfId="0" applyNumberFormat="1" applyFont="1" applyFill="1" applyBorder="1" applyAlignment="1">
      <alignment horizontal="left" vertical="center" wrapText="1"/>
    </xf>
    <xf numFmtId="165" fontId="14" fillId="2" borderId="4" xfId="0" applyNumberFormat="1" applyFont="1" applyFill="1" applyBorder="1" applyAlignment="1">
      <alignment horizontal="right" vertical="center" wrapText="1"/>
    </xf>
    <xf numFmtId="0" fontId="5" fillId="4" borderId="8" xfId="0" applyFont="1" applyFill="1" applyBorder="1" applyAlignment="1">
      <alignment horizontal="center" vertical="center"/>
    </xf>
    <xf numFmtId="0" fontId="19" fillId="4" borderId="9" xfId="0" applyFont="1" applyFill="1" applyBorder="1" applyAlignment="1">
      <alignment horizontal="left" vertical="center"/>
    </xf>
    <xf numFmtId="0" fontId="5" fillId="4" borderId="11" xfId="0" applyFont="1" applyFill="1" applyBorder="1" applyAlignment="1">
      <alignment horizontal="center" vertical="center"/>
    </xf>
    <xf numFmtId="0" fontId="5" fillId="4" borderId="0" xfId="0" applyFont="1" applyFill="1" applyAlignment="1">
      <alignment horizontal="left" vertical="center"/>
    </xf>
    <xf numFmtId="0" fontId="13" fillId="4" borderId="0" xfId="0" applyFont="1" applyFill="1" applyAlignment="1">
      <alignment horizontal="left" vertical="center"/>
    </xf>
    <xf numFmtId="0" fontId="25" fillId="4" borderId="0" xfId="0" applyFont="1" applyFill="1" applyAlignment="1">
      <alignment horizontal="left" vertical="center"/>
    </xf>
    <xf numFmtId="164" fontId="9" fillId="2" borderId="6" xfId="3" applyNumberFormat="1" applyFont="1" applyFill="1" applyBorder="1"/>
    <xf numFmtId="164" fontId="18" fillId="2" borderId="2" xfId="3" applyNumberFormat="1" applyFont="1" applyFill="1" applyBorder="1" applyAlignment="1">
      <alignment horizontal="center" vertical="center" wrapText="1"/>
    </xf>
    <xf numFmtId="164" fontId="9" fillId="2" borderId="2" xfId="3" applyNumberFormat="1" applyFont="1" applyFill="1" applyBorder="1" applyAlignment="1">
      <alignment horizontal="right" wrapText="1"/>
    </xf>
    <xf numFmtId="164" fontId="9" fillId="2" borderId="0" xfId="3" applyNumberFormat="1" applyFont="1" applyFill="1"/>
    <xf numFmtId="0" fontId="10" fillId="2" borderId="2" xfId="0" applyFont="1" applyFill="1" applyBorder="1"/>
    <xf numFmtId="0" fontId="37" fillId="2" borderId="2" xfId="0" applyFont="1" applyFill="1" applyBorder="1"/>
    <xf numFmtId="0" fontId="39" fillId="2" borderId="2" xfId="1" applyFont="1" applyFill="1" applyBorder="1" applyAlignment="1">
      <alignment horizontal="center" vertical="center" wrapText="1"/>
    </xf>
    <xf numFmtId="0" fontId="40" fillId="2" borderId="8" xfId="0" applyFont="1" applyFill="1" applyBorder="1" applyAlignment="1">
      <alignment horizontal="left" vertical="center"/>
    </xf>
    <xf numFmtId="0" fontId="41" fillId="2" borderId="9" xfId="0" applyFont="1" applyFill="1" applyBorder="1" applyAlignment="1">
      <alignment horizontal="center" vertical="center"/>
    </xf>
    <xf numFmtId="0" fontId="42" fillId="2" borderId="11" xfId="0" applyFont="1" applyFill="1" applyBorder="1" applyAlignment="1">
      <alignment horizontal="left" vertical="center"/>
    </xf>
    <xf numFmtId="0" fontId="43" fillId="2" borderId="0" xfId="0" applyFont="1" applyFill="1" applyAlignment="1">
      <alignment horizontal="right" vertical="center"/>
    </xf>
    <xf numFmtId="0" fontId="43" fillId="2" borderId="11" xfId="0" applyFont="1" applyFill="1" applyBorder="1" applyAlignment="1">
      <alignment horizontal="left" vertical="center"/>
    </xf>
    <xf numFmtId="0" fontId="4" fillId="2" borderId="2" xfId="1" applyFont="1" applyFill="1" applyBorder="1" applyAlignment="1">
      <alignment horizontal="left" vertical="center"/>
    </xf>
    <xf numFmtId="0" fontId="4" fillId="0" borderId="0" xfId="0" applyFont="1" applyAlignment="1">
      <alignment vertical="center"/>
    </xf>
    <xf numFmtId="0" fontId="4" fillId="0" borderId="0" xfId="0" applyFont="1"/>
    <xf numFmtId="0" fontId="4" fillId="0" borderId="0" xfId="0" applyFont="1" applyAlignment="1">
      <alignment horizontal="right"/>
    </xf>
    <xf numFmtId="0" fontId="14" fillId="2" borderId="2" xfId="3" applyNumberFormat="1" applyFont="1" applyFill="1" applyBorder="1" applyAlignment="1">
      <alignment horizontal="right" vertical="center" wrapText="1"/>
    </xf>
    <xf numFmtId="0" fontId="22" fillId="7" borderId="7" xfId="0" applyFont="1" applyFill="1" applyBorder="1" applyAlignment="1">
      <alignment horizontal="center" vertical="center"/>
    </xf>
    <xf numFmtId="0" fontId="22" fillId="7" borderId="5" xfId="0" applyFont="1" applyFill="1" applyBorder="1" applyAlignment="1">
      <alignment horizontal="center" vertical="center"/>
    </xf>
    <xf numFmtId="0" fontId="22" fillId="7" borderId="6" xfId="0" applyFont="1" applyFill="1" applyBorder="1" applyAlignment="1">
      <alignment horizontal="center" vertical="center"/>
    </xf>
    <xf numFmtId="0" fontId="3" fillId="0" borderId="0" xfId="0" applyFont="1" applyAlignment="1">
      <alignment horizontal="center"/>
    </xf>
    <xf numFmtId="0" fontId="22" fillId="7" borderId="14" xfId="0" applyFont="1" applyFill="1" applyBorder="1" applyAlignment="1">
      <alignment horizontal="center" vertical="center"/>
    </xf>
    <xf numFmtId="0" fontId="22" fillId="7" borderId="15" xfId="0" applyFont="1" applyFill="1" applyBorder="1" applyAlignment="1">
      <alignment horizontal="center" vertical="center"/>
    </xf>
    <xf numFmtId="0" fontId="23" fillId="2" borderId="13" xfId="1" applyFont="1" applyFill="1" applyBorder="1" applyAlignment="1">
      <alignment horizontal="left" vertical="center" wrapText="1" indent="1"/>
    </xf>
    <xf numFmtId="0" fontId="23" fillId="2" borderId="14" xfId="1" applyFont="1" applyFill="1" applyBorder="1" applyAlignment="1">
      <alignment horizontal="left" vertical="center" wrapText="1" indent="1"/>
    </xf>
    <xf numFmtId="11" fontId="20"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5" xfId="0" applyFont="1" applyFill="1" applyBorder="1" applyAlignment="1">
      <alignment horizontal="center" vertical="center" wrapText="1"/>
    </xf>
    <xf numFmtId="165" fontId="34" fillId="2" borderId="4" xfId="3" applyNumberFormat="1" applyFont="1" applyFill="1" applyBorder="1" applyAlignment="1">
      <alignment horizontal="center" vertical="center" wrapText="1"/>
    </xf>
    <xf numFmtId="165" fontId="34" fillId="2" borderId="1" xfId="3" applyNumberFormat="1" applyFont="1" applyFill="1" applyBorder="1" applyAlignment="1">
      <alignment horizontal="center" vertical="center" wrapText="1"/>
    </xf>
    <xf numFmtId="2" fontId="34" fillId="2" borderId="4" xfId="3" applyNumberFormat="1" applyFont="1" applyFill="1" applyBorder="1" applyAlignment="1">
      <alignment horizontal="center" vertical="center" wrapText="1"/>
    </xf>
    <xf numFmtId="2" fontId="34" fillId="2" borderId="1" xfId="3" applyNumberFormat="1" applyFont="1" applyFill="1" applyBorder="1" applyAlignment="1">
      <alignment horizontal="center" vertical="center" wrapText="1"/>
    </xf>
    <xf numFmtId="0" fontId="18" fillId="5" borderId="4" xfId="0" applyFont="1" applyFill="1" applyBorder="1" applyAlignment="1">
      <alignment horizontal="center" vertical="center" textRotation="90"/>
    </xf>
    <xf numFmtId="0" fontId="18" fillId="5" borderId="3" xfId="0" applyFont="1" applyFill="1" applyBorder="1" applyAlignment="1">
      <alignment horizontal="center" vertical="center" textRotation="90"/>
    </xf>
    <xf numFmtId="0" fontId="18" fillId="5" borderId="1" xfId="0" applyFont="1" applyFill="1" applyBorder="1" applyAlignment="1">
      <alignment horizontal="center" vertical="center" textRotation="90"/>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5" xfId="0" applyFont="1" applyFill="1" applyBorder="1" applyAlignment="1">
      <alignment horizontal="center" vertical="center" wrapText="1"/>
    </xf>
  </cellXfs>
  <cellStyles count="4">
    <cellStyle name="Normal" xfId="0" builtinId="0"/>
    <cellStyle name="Normal 2" xfId="1" xr:uid="{00000000-0005-0000-0000-000001000000}"/>
    <cellStyle name="Normal 2 2" xfId="2" xr:uid="{00000000-0005-0000-0000-000002000000}"/>
    <cellStyle name="Percent" xfId="3" builtinId="5"/>
  </cellStyles>
  <dxfs count="160">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
      <font>
        <color theme="1"/>
      </font>
      <fill>
        <patternFill>
          <bgColor theme="9" tint="0.39994506668294322"/>
        </patternFill>
      </fill>
    </dxf>
    <dxf>
      <fill>
        <patternFill>
          <bgColor theme="4" tint="0.39994506668294322"/>
        </patternFill>
      </fill>
    </dxf>
    <dxf>
      <fill>
        <patternFill>
          <bgColor theme="5"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239375" cy="6410794"/>
    <xdr:sp macro="" textlink="">
      <xdr:nvSpPr>
        <xdr:cNvPr id="4" name="TextBox 3">
          <a:extLst>
            <a:ext uri="{FF2B5EF4-FFF2-40B4-BE49-F238E27FC236}">
              <a16:creationId xmlns:a16="http://schemas.microsoft.com/office/drawing/2014/main" id="{14742A0E-4788-410A-9403-26EA40DEC425}"/>
            </a:ext>
          </a:extLst>
        </xdr:cNvPr>
        <xdr:cNvSpPr txBox="1"/>
      </xdr:nvSpPr>
      <xdr:spPr>
        <a:xfrm>
          <a:off x="0" y="0"/>
          <a:ext cx="10239375" cy="6410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PH" sz="2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In-depth study of tomato and weed viromes reveals undiscovered plant virus diversity in an agroecosystem</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endParaRPr kumimoji="0" lang="en-US"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Rivarez, MPS</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1,2</a:t>
          </a:r>
          <a:r>
            <a:rPr kumimoji="0" lang="en-PH" sz="14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Pecman, A</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1,2</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Bačnik, K</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1,2</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Maksimović Carvalho Ferreira, O</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1,2</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Vučurović, A</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Seljak, G</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Mehle, N</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1,3</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Gutiérrez-Aguirre, I</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Ravnikar, M</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Kutnjak, D</a:t>
          </a:r>
          <a:r>
            <a:rPr kumimoji="0" lang="en-PH" sz="1800" b="0" i="0" u="none" strike="noStrike" kern="0" cap="none" spc="0" normalizeH="0" baseline="30000" noProof="0">
              <a:ln>
                <a:noFill/>
              </a:ln>
              <a:solidFill>
                <a:prstClr val="black"/>
              </a:solidFill>
              <a:effectLst/>
              <a:uLnTx/>
              <a:uFillTx/>
              <a:latin typeface="Arial" panose="020B0604020202020204" pitchFamily="34" charset="0"/>
              <a:ea typeface="+mn-ea"/>
              <a:cs typeface="Arial" panose="020B0604020202020204" pitchFamily="34" charset="0"/>
            </a:rPr>
            <a:t>1,</a:t>
          </a: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endParaRPr kumimoji="0" lang="en-US"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PH"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endParaRPr kumimoji="0" lang="en-US"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algn="ctr">
            <a:lnSpc>
              <a:spcPct val="107000"/>
            </a:lnSpc>
            <a:spcAft>
              <a:spcPts val="800"/>
            </a:spcAft>
          </a:pPr>
          <a:r>
            <a:rPr lang="en-PH" sz="1800" baseline="30000">
              <a:effectLst/>
              <a:latin typeface="Arial" panose="020B0604020202020204" pitchFamily="34" charset="0"/>
              <a:ea typeface="Calibri" panose="020F0502020204030204" pitchFamily="34" charset="0"/>
              <a:cs typeface="Times New Roman" panose="02020603050405020304" pitchFamily="18" charset="0"/>
            </a:rPr>
            <a:t>1</a:t>
          </a:r>
          <a:r>
            <a:rPr lang="en-PH" sz="1800">
              <a:effectLst/>
              <a:latin typeface="Arial" panose="020B0604020202020204" pitchFamily="34" charset="0"/>
              <a:ea typeface="Calibri" panose="020F0502020204030204" pitchFamily="34" charset="0"/>
              <a:cs typeface="Times New Roman" panose="02020603050405020304" pitchFamily="18" charset="0"/>
            </a:rPr>
            <a:t>Department of Biotechnology and Systems Biology, National Institute of Biology, Večna pot 111, Ljubljana, 1000 Slovenia. </a:t>
          </a:r>
          <a:r>
            <a:rPr lang="en-PH" sz="1800" baseline="30000">
              <a:effectLst/>
              <a:latin typeface="Arial" panose="020B0604020202020204" pitchFamily="34" charset="0"/>
              <a:ea typeface="Calibri" panose="020F0502020204030204" pitchFamily="34" charset="0"/>
              <a:cs typeface="Times New Roman" panose="02020603050405020304" pitchFamily="18" charset="0"/>
            </a:rPr>
            <a:t>2</a:t>
          </a:r>
          <a:r>
            <a:rPr lang="en-PH" sz="1800">
              <a:effectLst/>
              <a:latin typeface="Arial" panose="020B0604020202020204" pitchFamily="34" charset="0"/>
              <a:ea typeface="Calibri" panose="020F0502020204030204" pitchFamily="34" charset="0"/>
              <a:cs typeface="Times New Roman" panose="02020603050405020304" pitchFamily="18" charset="0"/>
            </a:rPr>
            <a:t>Jožef Stefan International Postgraduate School, Jamova cesta 39, Ljubljana, 1000 Slovenia. </a:t>
          </a:r>
          <a:r>
            <a:rPr lang="en-PH" sz="1800" baseline="30000">
              <a:effectLst/>
              <a:latin typeface="Arial" panose="020B0604020202020204" pitchFamily="34" charset="0"/>
              <a:ea typeface="Calibri" panose="020F0502020204030204" pitchFamily="34" charset="0"/>
              <a:cs typeface="Times New Roman" panose="02020603050405020304" pitchFamily="18" charset="0"/>
            </a:rPr>
            <a:t>3</a:t>
          </a:r>
          <a:r>
            <a:rPr lang="en-PH" sz="1800">
              <a:effectLst/>
              <a:latin typeface="Arial" panose="020B0604020202020204" pitchFamily="34" charset="0"/>
              <a:ea typeface="Calibri" panose="020F0502020204030204" pitchFamily="34" charset="0"/>
              <a:cs typeface="Times New Roman" panose="02020603050405020304" pitchFamily="18" charset="0"/>
            </a:rPr>
            <a:t>School for Viticulture and Enology, University of Nova Gorica, Dvorec Lanthieri Glavni trg 8, Vipava, 5271 Slovenia. *for correspondence email Denis Kutnjak (</a:t>
          </a:r>
          <a:r>
            <a:rPr lang="en-PH" sz="1800" u="sng">
              <a:solidFill>
                <a:srgbClr val="0563C1"/>
              </a:solidFill>
              <a:effectLst/>
              <a:latin typeface="Arial" panose="020B0604020202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denis.kutnjak@nib.si</a:t>
          </a:r>
          <a:r>
            <a:rPr lang="en-PH" sz="1800">
              <a:effectLst/>
              <a:latin typeface="Arial" panose="020B0604020202020204" pitchFamily="34" charset="0"/>
              <a:ea typeface="Calibri" panose="020F0502020204030204" pitchFamily="34" charset="0"/>
              <a:cs typeface="Times New Roman" panose="02020603050405020304" pitchFamily="18" charset="0"/>
            </a:rPr>
            <a:t>) and Mark Paul Selda Rivarez (</a:t>
          </a:r>
          <a:r>
            <a:rPr lang="en-PH" sz="1800" u="sng">
              <a:solidFill>
                <a:srgbClr val="0563C1"/>
              </a:solidFill>
              <a:effectLst/>
              <a:latin typeface="Arial" panose="020B0604020202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mpsrivarez@gmail.com</a:t>
          </a:r>
          <a:r>
            <a:rPr lang="en-PH" sz="1800">
              <a:effectLst/>
              <a:latin typeface="Arial" panose="020B0604020202020204" pitchFamily="34" charset="0"/>
              <a:ea typeface="Calibri" panose="020F0502020204030204" pitchFamily="34" charset="0"/>
              <a:cs typeface="Times New Roman" panose="02020603050405020304" pitchFamily="18" charset="0"/>
            </a:rPr>
            <a:t>) </a:t>
          </a:r>
          <a:endParaRPr lang="en-PH" sz="1400">
            <a:effectLst/>
            <a:latin typeface="Calibri" panose="020F0502020204030204" pitchFamily="34" charset="0"/>
            <a:ea typeface="Calibri" panose="020F0502020204030204" pitchFamily="34" charset="0"/>
            <a:cs typeface="Times New Roman" panose="02020603050405020304" pitchFamily="18" charset="0"/>
          </a:endParaRPr>
        </a:p>
        <a:p>
          <a:pPr algn="ctr"/>
          <a:r>
            <a:rPr lang="en-PH" sz="1800">
              <a:solidFill>
                <a:schemeClr val="tx1"/>
              </a:solidFill>
              <a:effectLst/>
              <a:latin typeface="Arial" panose="020B0604020202020204" pitchFamily="34" charset="0"/>
              <a:ea typeface="+mn-ea"/>
              <a:cs typeface="Arial" panose="020B0604020202020204" pitchFamily="34" charset="0"/>
            </a:rPr>
            <a:t> </a:t>
          </a:r>
          <a:endParaRPr lang="en-US" sz="1800">
            <a:solidFill>
              <a:schemeClr val="tx1"/>
            </a:solidFill>
            <a:effectLst/>
            <a:latin typeface="Arial" panose="020B0604020202020204" pitchFamily="34" charset="0"/>
            <a:ea typeface="+mn-ea"/>
            <a:cs typeface="Arial" panose="020B0604020202020204" pitchFamily="34" charset="0"/>
          </a:endParaRPr>
        </a:p>
        <a:p>
          <a:pPr algn="ctr"/>
          <a:r>
            <a:rPr lang="en-PH" sz="1800">
              <a:solidFill>
                <a:schemeClr val="tx1"/>
              </a:solidFill>
              <a:effectLst/>
              <a:latin typeface="Arial" panose="020B0604020202020204" pitchFamily="34" charset="0"/>
              <a:ea typeface="+mn-ea"/>
              <a:cs typeface="Arial" panose="020B0604020202020204" pitchFamily="34" charset="0"/>
            </a:rPr>
            <a:t> </a:t>
          </a:r>
          <a:endParaRPr lang="en-US" sz="1800">
            <a:solidFill>
              <a:schemeClr val="tx1"/>
            </a:solidFill>
            <a:effectLst/>
            <a:latin typeface="Arial" panose="020B0604020202020204" pitchFamily="34" charset="0"/>
            <a:ea typeface="+mn-ea"/>
            <a:cs typeface="Arial" panose="020B0604020202020204" pitchFamily="34" charset="0"/>
          </a:endParaRPr>
        </a:p>
        <a:p>
          <a:pPr algn="ctr"/>
          <a:r>
            <a:rPr lang="en-PH" sz="2000" b="1">
              <a:solidFill>
                <a:schemeClr val="tx1"/>
              </a:solidFill>
              <a:effectLst/>
              <a:latin typeface="Arial" panose="020B0604020202020204" pitchFamily="34" charset="0"/>
              <a:ea typeface="+mn-ea"/>
              <a:cs typeface="Arial" panose="020B0604020202020204" pitchFamily="34" charset="0"/>
            </a:rPr>
            <a:t>SUPPLEMENTARY INFORMATION</a:t>
          </a:r>
          <a:endParaRPr lang="en-US" sz="2000">
            <a:solidFill>
              <a:schemeClr val="tx1"/>
            </a:solidFill>
            <a:effectLst/>
            <a:latin typeface="Arial" panose="020B0604020202020204" pitchFamily="34" charset="0"/>
            <a:ea typeface="+mn-ea"/>
            <a:cs typeface="Arial" panose="020B0604020202020204" pitchFamily="34" charset="0"/>
          </a:endParaRPr>
        </a:p>
        <a:p>
          <a:pPr algn="ctr"/>
          <a:r>
            <a:rPr lang="en-PH" sz="2000" b="1">
              <a:solidFill>
                <a:schemeClr val="tx1"/>
              </a:solidFill>
              <a:effectLst/>
              <a:latin typeface="Arial" panose="020B0604020202020204" pitchFamily="34" charset="0"/>
              <a:ea typeface="+mn-ea"/>
              <a:cs typeface="Arial" panose="020B0604020202020204" pitchFamily="34" charset="0"/>
            </a:rPr>
            <a:t> </a:t>
          </a:r>
          <a:endParaRPr lang="en-US" sz="2000">
            <a:solidFill>
              <a:schemeClr val="tx1"/>
            </a:solidFill>
            <a:effectLst/>
            <a:latin typeface="Arial" panose="020B0604020202020204" pitchFamily="34" charset="0"/>
            <a:ea typeface="+mn-ea"/>
            <a:cs typeface="Arial" panose="020B0604020202020204" pitchFamily="34" charset="0"/>
          </a:endParaRPr>
        </a:p>
        <a:p>
          <a:pPr algn="ctr"/>
          <a:r>
            <a:rPr kumimoji="0" lang="en-PH" sz="2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Additonal</a:t>
          </a:r>
          <a:r>
            <a:rPr lang="en-PH" sz="2000" b="1">
              <a:solidFill>
                <a:schemeClr val="tx1"/>
              </a:solidFill>
              <a:effectLst/>
              <a:latin typeface="Arial" panose="020B0604020202020204" pitchFamily="34" charset="0"/>
              <a:ea typeface="+mn-ea"/>
              <a:cs typeface="Arial" panose="020B0604020202020204" pitchFamily="34" charset="0"/>
            </a:rPr>
            <a:t> File 0</a:t>
          </a:r>
          <a:r>
            <a:rPr lang="en-US" sz="2000" b="1">
              <a:solidFill>
                <a:schemeClr val="tx1"/>
              </a:solidFill>
              <a:effectLst/>
              <a:latin typeface="Arial" panose="020B0604020202020204" pitchFamily="34" charset="0"/>
              <a:ea typeface="+mn-ea"/>
              <a:cs typeface="Arial" panose="020B0604020202020204" pitchFamily="34" charset="0"/>
            </a:rPr>
            <a:t>2</a:t>
          </a:r>
          <a:endParaRPr lang="en-US" sz="2000">
            <a:solidFill>
              <a:schemeClr val="tx1"/>
            </a:solidFill>
            <a:effectLst/>
            <a:latin typeface="Arial" panose="020B0604020202020204" pitchFamily="34" charset="0"/>
            <a:ea typeface="+mn-ea"/>
            <a:cs typeface="Arial" panose="020B0604020202020204" pitchFamily="34" charset="0"/>
          </a:endParaRPr>
        </a:p>
        <a:p>
          <a:pPr algn="ctr"/>
          <a:r>
            <a:rPr lang="en-PH" sz="1800" b="1">
              <a:solidFill>
                <a:schemeClr val="tx1"/>
              </a:solidFill>
              <a:effectLst/>
              <a:latin typeface="Arial" panose="020B0604020202020204" pitchFamily="34" charset="0"/>
              <a:ea typeface="+mn-ea"/>
              <a:cs typeface="Arial" panose="020B0604020202020204" pitchFamily="34" charset="0"/>
            </a:rPr>
            <a:t> </a:t>
          </a:r>
          <a:endParaRPr lang="en-US" sz="1800">
            <a:solidFill>
              <a:schemeClr val="tx1"/>
            </a:solidFill>
            <a:effectLst/>
            <a:latin typeface="Arial" panose="020B0604020202020204" pitchFamily="34" charset="0"/>
            <a:ea typeface="+mn-ea"/>
            <a:cs typeface="Arial" panose="020B0604020202020204" pitchFamily="34" charset="0"/>
          </a:endParaRPr>
        </a:p>
        <a:p>
          <a:pPr algn="ctr"/>
          <a:r>
            <a:rPr lang="en-PH" sz="1800" b="1">
              <a:solidFill>
                <a:schemeClr val="tx1"/>
              </a:solidFill>
              <a:effectLst/>
              <a:latin typeface="Arial" panose="020B0604020202020204" pitchFamily="34" charset="0"/>
              <a:ea typeface="+mn-ea"/>
              <a:cs typeface="Arial" panose="020B0604020202020204" pitchFamily="34" charset="0"/>
            </a:rPr>
            <a:t> </a:t>
          </a:r>
          <a:endParaRPr lang="en-US" sz="1800">
            <a:solidFill>
              <a:schemeClr val="tx1"/>
            </a:solidFill>
            <a:effectLst/>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Supplementary Table 4. </a:t>
          </a:r>
          <a:r>
            <a:rPr kumimoji="0" lang="en-US"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List summarizing all viruses detected in the composite samples.</a:t>
          </a:r>
          <a:r>
            <a:rPr kumimoji="0" lang="en-US"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Supplementary Table 5. </a:t>
          </a:r>
          <a:r>
            <a:rPr kumimoji="0" lang="en-US"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List of analyses done in the reconstruction and identification of individual virus genomes. </a:t>
          </a:r>
          <a:r>
            <a:rPr kumimoji="0" lang="en-US"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Supplementary Table 6. </a:t>
          </a:r>
          <a:r>
            <a:rPr kumimoji="0" lang="en-US" sz="18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List of circular RNAs assembled using a custom pipeline based on SLS-PFOR2, with filtering using BLASTn and BLASTx searches. </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74706</xdr:rowOff>
    </xdr:from>
    <xdr:ext cx="4286250" cy="73988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512856"/>
          <a:ext cx="4286250" cy="739883"/>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u="sng">
              <a:latin typeface="Arial Narrow" panose="020B0606020202030204" pitchFamily="34" charset="0"/>
            </a:rPr>
            <a:t>Note</a:t>
          </a:r>
          <a:r>
            <a:rPr lang="en-US" sz="1100">
              <a:latin typeface="Arial Narrow" panose="020B0606020202030204" pitchFamily="34" charset="0"/>
            </a:rPr>
            <a:t>: Virus names in </a:t>
          </a:r>
          <a:r>
            <a:rPr lang="en-US" sz="1100" b="1">
              <a:solidFill>
                <a:schemeClr val="accent4">
                  <a:lumMod val="75000"/>
                </a:schemeClr>
              </a:solidFill>
              <a:latin typeface="Arial Narrow" panose="020B0606020202030204" pitchFamily="34" charset="0"/>
            </a:rPr>
            <a:t>yellow highlight </a:t>
          </a:r>
          <a:r>
            <a:rPr lang="en-US" sz="1100">
              <a:latin typeface="Arial Narrow" panose="020B0606020202030204" pitchFamily="34" charset="0"/>
            </a:rPr>
            <a:t>are novel species, in </a:t>
          </a:r>
          <a:r>
            <a:rPr lang="en-US" sz="1100" b="1">
              <a:solidFill>
                <a:srgbClr val="C00000"/>
              </a:solidFill>
              <a:latin typeface="Arial Narrow" panose="020B0606020202030204" pitchFamily="34" charset="0"/>
            </a:rPr>
            <a:t>red font </a:t>
          </a:r>
          <a:r>
            <a:rPr lang="en-US" sz="1100">
              <a:latin typeface="Arial Narrow" panose="020B0606020202030204" pitchFamily="34" charset="0"/>
            </a:rPr>
            <a:t>are probable insect or fungal viral species, in </a:t>
          </a:r>
          <a:r>
            <a:rPr lang="en-US" sz="1100" b="1">
              <a:solidFill>
                <a:srgbClr val="00B050"/>
              </a:solidFill>
              <a:latin typeface="Arial Narrow" panose="020B0606020202030204" pitchFamily="34" charset="0"/>
            </a:rPr>
            <a:t>green font </a:t>
          </a:r>
          <a:r>
            <a:rPr lang="en-US" sz="1100">
              <a:latin typeface="Arial Narrow" panose="020B0606020202030204" pitchFamily="34" charset="0"/>
            </a:rPr>
            <a:t>are virus-like associated RNAs, satellite RNAs, putative viroids and viruses under Realm </a:t>
          </a:r>
          <a:r>
            <a:rPr lang="en-US" sz="1100" i="1">
              <a:latin typeface="Arial Narrow" panose="020B0606020202030204" pitchFamily="34" charset="0"/>
            </a:rPr>
            <a:t>Riboviria</a:t>
          </a:r>
          <a:r>
            <a:rPr lang="en-US" sz="1100">
              <a:latin typeface="Arial Narrow" panose="020B0606020202030204" pitchFamily="34" charset="0"/>
            </a:rPr>
            <a:t>; in </a:t>
          </a:r>
          <a:r>
            <a:rPr lang="en-US" sz="1100" b="1">
              <a:solidFill>
                <a:srgbClr val="0070C0"/>
              </a:solidFill>
              <a:latin typeface="Arial Narrow" panose="020B0606020202030204" pitchFamily="34" charset="0"/>
            </a:rPr>
            <a:t>blue font </a:t>
          </a:r>
          <a:r>
            <a:rPr lang="en-US" sz="1100">
              <a:latin typeface="Arial Narrow" panose="020B0606020202030204" pitchFamily="34" charset="0"/>
            </a:rPr>
            <a:t>are viruses with unconfirmed weed host(s).</a:t>
          </a:r>
        </a:p>
      </xdr:txBody>
    </xdr:sp>
    <xdr:clientData/>
  </xdr:oneCellAnchor>
  <xdr:twoCellAnchor>
    <xdr:from>
      <xdr:col>0</xdr:col>
      <xdr:colOff>0</xdr:colOff>
      <xdr:row>0</xdr:row>
      <xdr:rowOff>0</xdr:rowOff>
    </xdr:from>
    <xdr:to>
      <xdr:col>73</xdr:col>
      <xdr:colOff>514349</xdr:colOff>
      <xdr:row>1</xdr:row>
      <xdr:rowOff>7357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0" y="0"/>
          <a:ext cx="20497799" cy="4455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GB" sz="1200" b="1" i="0" u="none">
              <a:latin typeface="Arial Narrow" panose="020B0604020202020204" pitchFamily="34" charset="0"/>
              <a:cs typeface="Arial Narrow" panose="020B0604020202020204" pitchFamily="34" charset="0"/>
            </a:rPr>
            <a:t>Supplementary Table 4.</a:t>
          </a:r>
          <a:r>
            <a:rPr lang="en-GB" sz="1200" b="1" i="0" u="none" baseline="0">
              <a:latin typeface="Arial Narrow" panose="020B0604020202020204" pitchFamily="34" charset="0"/>
              <a:cs typeface="Arial Narrow" panose="020B0604020202020204" pitchFamily="34" charset="0"/>
            </a:rPr>
            <a:t> List summarizing all viruses detected in the composite samples. </a:t>
          </a:r>
          <a:r>
            <a:rPr lang="en-GB" sz="1100" b="1" i="0" u="sng">
              <a:latin typeface="Arial Narrow" panose="020B0604020202020204" pitchFamily="34" charset="0"/>
              <a:cs typeface="Arial Narrow" panose="020B0604020202020204" pitchFamily="34" charset="0"/>
            </a:rPr>
            <a:t>Note</a:t>
          </a:r>
          <a:r>
            <a:rPr lang="en-GB" sz="1100" b="0" i="0">
              <a:latin typeface="Arial Narrow" panose="020B0604020202020204" pitchFamily="34" charset="0"/>
              <a:cs typeface="Arial Narrow" panose="020B0604020202020204" pitchFamily="34" charset="0"/>
            </a:rPr>
            <a:t>: Only viruses with (near) complete or partial genomes, less than 20 kb were considered, because known plant viruses do</a:t>
          </a:r>
          <a:r>
            <a:rPr lang="en-GB" sz="1100" b="0" i="0" baseline="0">
              <a:latin typeface="Arial Narrow" panose="020B0604020202020204" pitchFamily="34" charset="0"/>
              <a:cs typeface="Arial Narrow" panose="020B0604020202020204" pitchFamily="34" charset="0"/>
            </a:rPr>
            <a:t> not have genomes larger than 20 kb. </a:t>
          </a:r>
          <a:r>
            <a:rPr lang="en-GB" sz="1100" b="0" i="0">
              <a:latin typeface="Arial Narrow" panose="020B0604020202020204" pitchFamily="34" charset="0"/>
              <a:cs typeface="Arial Narrow" panose="020B0604020202020204" pitchFamily="34" charset="0"/>
            </a:rPr>
            <a:t>Virus identification is based on percent genome</a:t>
          </a:r>
          <a:r>
            <a:rPr lang="en-GB" sz="1100" b="0" i="0" baseline="0">
              <a:latin typeface="Arial Narrow" panose="020B0604020202020204" pitchFamily="34" charset="0"/>
              <a:cs typeface="Arial Narrow" panose="020B0604020202020204" pitchFamily="34" charset="0"/>
            </a:rPr>
            <a:t> / nucleotide</a:t>
          </a:r>
          <a:r>
            <a:rPr lang="en-GB" sz="1100" b="0" i="0">
              <a:latin typeface="Arial Narrow" panose="020B0604020202020204" pitchFamily="34" charset="0"/>
              <a:cs typeface="Arial Narrow" panose="020B0604020202020204" pitchFamily="34" charset="0"/>
            </a:rPr>
            <a:t> similarity to known species and applicable demarcation criteria set by ICTV, as of 31st October 2021. Virus taxa and</a:t>
          </a:r>
          <a:r>
            <a:rPr lang="en-GB" sz="1100" b="0" i="0" baseline="0">
              <a:latin typeface="Arial Narrow" panose="020B0604020202020204" pitchFamily="34" charset="0"/>
              <a:cs typeface="Arial Narrow" panose="020B0604020202020204" pitchFamily="34" charset="0"/>
            </a:rPr>
            <a:t> species names are based on the ICTV Master Species List (MSL) #36. In the table matrix, HTS-based detections are marked as </a:t>
          </a:r>
          <a:r>
            <a:rPr lang="en-GB" sz="1100" b="1" i="0" baseline="0">
              <a:solidFill>
                <a:schemeClr val="accent6">
                  <a:lumMod val="50000"/>
                </a:schemeClr>
              </a:solidFill>
              <a:latin typeface="Arial Narrow" panose="020B0604020202020204" pitchFamily="34" charset="0"/>
              <a:cs typeface="Arial Narrow" panose="020B0604020202020204" pitchFamily="34" charset="0"/>
            </a:rPr>
            <a:t> A </a:t>
          </a:r>
          <a:r>
            <a:rPr lang="en-GB" sz="1100" b="0" i="0" baseline="0">
              <a:latin typeface="Arial Narrow" panose="020B0604020202020204" pitchFamily="34" charset="0"/>
              <a:cs typeface="Arial Narrow" panose="020B0604020202020204" pitchFamily="34" charset="0"/>
            </a:rPr>
            <a:t> - detection with full genome, </a:t>
          </a:r>
          <a:r>
            <a:rPr lang="en-GB" sz="1100" b="1" i="0" baseline="0">
              <a:solidFill>
                <a:schemeClr val="accent5">
                  <a:lumMod val="50000"/>
                </a:schemeClr>
              </a:solidFill>
              <a:latin typeface="Arial Narrow" panose="020B0604020202020204" pitchFamily="34" charset="0"/>
              <a:cs typeface="Arial Narrow" panose="020B0604020202020204" pitchFamily="34" charset="0"/>
            </a:rPr>
            <a:t> B </a:t>
          </a:r>
          <a:r>
            <a:rPr lang="en-GB" sz="1100" b="0" i="0" baseline="0">
              <a:latin typeface="Arial Narrow" panose="020B0604020202020204" pitchFamily="34" charset="0"/>
              <a:cs typeface="Arial Narrow" panose="020B0604020202020204" pitchFamily="34" charset="0"/>
            </a:rPr>
            <a:t> - detection with partial genome, or  </a:t>
          </a:r>
          <a:r>
            <a:rPr lang="en-GB" sz="1100" b="1" i="0" baseline="0">
              <a:solidFill>
                <a:schemeClr val="accent2"/>
              </a:solidFill>
              <a:latin typeface="Arial Narrow" panose="020B0604020202020204" pitchFamily="34" charset="0"/>
              <a:cs typeface="Arial Narrow" panose="020B0604020202020204" pitchFamily="34" charset="0"/>
            </a:rPr>
            <a:t>C</a:t>
          </a:r>
          <a:r>
            <a:rPr lang="en-GB" sz="1100" b="0" i="0" baseline="0">
              <a:latin typeface="Arial Narrow" panose="020B0604020202020204" pitchFamily="34" charset="0"/>
              <a:cs typeface="Arial Narrow" panose="020B0604020202020204" pitchFamily="34" charset="0"/>
            </a:rPr>
            <a:t>  - probable sequencing cross-talk, contamination or low titer detection with a very small fraction of reads mapped to reference genome (&lt;0.00001%). </a:t>
          </a:r>
          <a:endParaRPr lang="en-GB" sz="1100" b="0" i="0">
            <a:latin typeface="Arial Narrow" panose="020B0604020202020204" pitchFamily="34" charset="0"/>
            <a:cs typeface="Arial Narrow"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788342" cy="732316"/>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0" y="0"/>
          <a:ext cx="14788342" cy="7323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1" i="0" u="none">
              <a:latin typeface="Arial Narrow" panose="020B0604020202020204" pitchFamily="34" charset="0"/>
              <a:cs typeface="Arial Narrow" panose="020B0604020202020204" pitchFamily="34" charset="0"/>
            </a:rPr>
            <a:t>Supplementary Table 5.</a:t>
          </a:r>
          <a:r>
            <a:rPr lang="en-GB" sz="1200" b="1" i="0" u="none" baseline="0">
              <a:latin typeface="Arial Narrow" panose="020B0604020202020204" pitchFamily="34" charset="0"/>
              <a:cs typeface="Arial Narrow" panose="020B0604020202020204" pitchFamily="34" charset="0"/>
            </a:rPr>
            <a:t> List of analyses done in the reconstruction and identification of individual virus genomes. </a:t>
          </a:r>
          <a:r>
            <a:rPr lang="en-GB" sz="1050" b="0" i="0" u="none" baseline="0">
              <a:latin typeface="Arial Narrow" panose="020B0604020202020204" pitchFamily="34" charset="0"/>
              <a:cs typeface="Arial Narrow" panose="020B0604020202020204" pitchFamily="34" charset="0"/>
            </a:rPr>
            <a:t>Only (near) complete or partial genomes, less than 20 kb, and with average mapping depth greater than 1.0 are listed.</a:t>
          </a:r>
        </a:p>
        <a:p>
          <a:pPr algn="l"/>
          <a:r>
            <a:rPr lang="en-GB" sz="1000" b="1" i="0" u="sng" baseline="0">
              <a:latin typeface="Arial Narrow" panose="020B0604020202020204" pitchFamily="34" charset="0"/>
              <a:cs typeface="Arial Narrow" panose="020B0604020202020204" pitchFamily="34" charset="0"/>
            </a:rPr>
            <a:t>Notes</a:t>
          </a:r>
          <a:r>
            <a:rPr lang="en-GB" sz="1000" b="0" i="0" u="sng" baseline="0">
              <a:latin typeface="Arial Narrow" panose="020B0604020202020204" pitchFamily="34" charset="0"/>
              <a:cs typeface="Arial Narrow" panose="020B0604020202020204" pitchFamily="34" charset="0"/>
            </a:rPr>
            <a:t>:</a:t>
          </a:r>
          <a:r>
            <a:rPr lang="en-GB" sz="1000" b="0" i="0" u="none" baseline="0">
              <a:latin typeface="Arial Narrow" panose="020B0604020202020204" pitchFamily="34" charset="0"/>
              <a:cs typeface="Arial Narrow" panose="020B0604020202020204" pitchFamily="34" charset="0"/>
            </a:rPr>
            <a:t> </a:t>
          </a:r>
          <a:r>
            <a:rPr lang="en-GB" sz="1050" b="1" i="0" u="none" baseline="30000">
              <a:solidFill>
                <a:srgbClr val="C00000"/>
              </a:solidFill>
              <a:latin typeface="Arial Narrow" panose="020B0604020202020204" pitchFamily="34" charset="0"/>
              <a:cs typeface="Arial Narrow" panose="020B0604020202020204" pitchFamily="34" charset="0"/>
            </a:rPr>
            <a:t>1</a:t>
          </a:r>
          <a:r>
            <a:rPr lang="en-GB" sz="1000" b="0" i="0" u="none" baseline="0">
              <a:latin typeface="Arial Narrow" panose="020B0604020202020204" pitchFamily="34" charset="0"/>
              <a:cs typeface="Arial Narrow" panose="020B0604020202020204" pitchFamily="34" charset="0"/>
            </a:rPr>
            <a:t>Virus identification is based on percent genome or nucleotide sequence similarity to known species and other applicable demarcation criteria set by ICTV, as of 31st October 2021. Virus and taxa and recognized species names and naming rules, are based on the information at the ICTV website (www.talk.ictvonline.org/) and Master Species List (MSL) #36. </a:t>
          </a:r>
          <a:r>
            <a:rPr lang="en-GB" sz="1050" b="1" i="0" u="none" baseline="30000">
              <a:solidFill>
                <a:srgbClr val="C00000"/>
              </a:solidFill>
              <a:latin typeface="Arial Narrow" panose="020B0604020202020204" pitchFamily="34" charset="0"/>
              <a:cs typeface="Arial Narrow" panose="020B0604020202020204" pitchFamily="34" charset="0"/>
            </a:rPr>
            <a:t>2</a:t>
          </a:r>
          <a:r>
            <a:rPr lang="en-GB" sz="1000" b="0" i="0" u="none" baseline="0">
              <a:latin typeface="Arial Narrow" panose="020B0604020202020204" pitchFamily="34" charset="0"/>
              <a:cs typeface="Arial Narrow" panose="020B0604020202020204" pitchFamily="34" charset="0"/>
            </a:rPr>
            <a:t>All BLAST analyses were done using the nucleotide (nt) database version released on December 2020. Best hits have E-value less than 0.0001. </a:t>
          </a:r>
          <a:r>
            <a:rPr lang="en-GB" sz="1050" b="1" i="0" u="none" baseline="30000">
              <a:solidFill>
                <a:srgbClr val="C00000"/>
              </a:solidFill>
              <a:latin typeface="Arial Narrow" panose="020B0604020202020204" pitchFamily="34" charset="0"/>
              <a:cs typeface="Arial Narrow" panose="020B0604020202020204" pitchFamily="34" charset="0"/>
            </a:rPr>
            <a:t>3</a:t>
          </a:r>
          <a:r>
            <a:rPr lang="en-GB" sz="1000" b="0" i="0" u="none" baseline="0">
              <a:latin typeface="Arial Narrow" panose="020B0604020202020204" pitchFamily="34" charset="0"/>
              <a:cs typeface="Arial Narrow" panose="020B0604020202020204" pitchFamily="34" charset="0"/>
            </a:rPr>
            <a:t>Genome mapping was done on viral RefSeq version from July 2020. </a:t>
          </a:r>
          <a:r>
            <a:rPr lang="en-GB" sz="1050" b="1" i="0" u="none" baseline="30000">
              <a:solidFill>
                <a:srgbClr val="C00000"/>
              </a:solidFill>
              <a:latin typeface="Arial Narrow" panose="020B0604020202020204" pitchFamily="34" charset="0"/>
              <a:cs typeface="Arial Narrow" panose="020B0604020202020204" pitchFamily="34" charset="0"/>
            </a:rPr>
            <a:t>4</a:t>
          </a:r>
          <a:r>
            <a:rPr lang="en-GB" sz="1000" b="0" i="0" u="none" baseline="0">
              <a:latin typeface="Arial Narrow" panose="020B0604020202020204" pitchFamily="34" charset="0"/>
              <a:cs typeface="Arial Narrow" panose="020B0604020202020204" pitchFamily="34" charset="0"/>
            </a:rPr>
            <a:t>Mapping (95% nucleotide similarity and coverage was set) and assembly were done on CLC Genomics Workbench version 20.0, and assembly was also done using metaSPAdes (SPAdes version 3.14).</a:t>
          </a:r>
          <a:r>
            <a:rPr kumimoji="0" lang="en-GB" sz="1050" b="1" i="0" u="none" strike="noStrike" kern="0" cap="none" spc="0" normalizeH="0" baseline="30000" noProof="0">
              <a:ln>
                <a:noFill/>
              </a:ln>
              <a:solidFill>
                <a:srgbClr val="C00000"/>
              </a:solidFill>
              <a:effectLst/>
              <a:uLnTx/>
              <a:uFillTx/>
              <a:latin typeface="Arial Narrow" panose="020B0604020202020204" pitchFamily="34" charset="0"/>
              <a:ea typeface="+mn-ea"/>
              <a:cs typeface="Arial Narrow" panose="020B0604020202020204" pitchFamily="34" charset="0"/>
            </a:rPr>
            <a:t>5</a:t>
          </a:r>
          <a:r>
            <a:rPr kumimoji="0" lang="en-GB" sz="1000" b="0" i="0" u="none" strike="noStrike" kern="0" cap="none" spc="0" normalizeH="0" baseline="0" noProof="0">
              <a:ln>
                <a:noFill/>
              </a:ln>
              <a:solidFill>
                <a:prstClr val="black"/>
              </a:solidFill>
              <a:effectLst/>
              <a:uLnTx/>
              <a:uFillTx/>
              <a:latin typeface="Arial Narrow" panose="020B0604020202020204" pitchFamily="34" charset="0"/>
              <a:ea typeface="+mn-ea"/>
              <a:cs typeface="Arial Narrow" panose="020B0604020202020204" pitchFamily="34" charset="0"/>
            </a:rPr>
            <a:t>trimmed and quality-screened reads from the sequencing library.</a:t>
          </a:r>
          <a:r>
            <a:rPr lang="en-GB" sz="1000" b="0" i="0" u="none" baseline="0">
              <a:latin typeface="Arial Narrow" panose="020B0604020202020204" pitchFamily="34" charset="0"/>
              <a:cs typeface="Arial Narrow" panose="020B0604020202020204" pitchFamily="34" charset="0"/>
            </a:rPr>
            <a:t> </a:t>
          </a:r>
          <a:r>
            <a:rPr lang="en-GB" sz="1050" b="1" i="0" u="none" baseline="30000">
              <a:solidFill>
                <a:srgbClr val="C00000"/>
              </a:solidFill>
              <a:latin typeface="Arial Narrow" panose="020B0604020202020204" pitchFamily="34" charset="0"/>
              <a:cs typeface="Arial Narrow" panose="020B0604020202020204" pitchFamily="34" charset="0"/>
            </a:rPr>
            <a:t>6</a:t>
          </a:r>
          <a:r>
            <a:rPr lang="en-GB" sz="1000" b="0" i="0" u="none" baseline="0">
              <a:solidFill>
                <a:schemeClr val="tx1"/>
              </a:solidFill>
              <a:latin typeface="Arial Narrow" panose="020B0604020202020204" pitchFamily="34" charset="0"/>
              <a:cs typeface="Arial Narrow" panose="020B0604020202020204" pitchFamily="34" charset="0"/>
            </a:rPr>
            <a:t>f</a:t>
          </a:r>
          <a:r>
            <a:rPr lang="en-GB" sz="1000" b="0" i="0" u="none" baseline="0">
              <a:latin typeface="Arial Narrow" panose="020B0604020202020204" pitchFamily="34" charset="0"/>
              <a:cs typeface="Arial Narrow" panose="020B0604020202020204" pitchFamily="34" charset="0"/>
            </a:rPr>
            <a:t>inal consensus genome length / best hit genome length (in no. of nucleotides).</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192875" cy="473825"/>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0" y="0"/>
          <a:ext cx="19192875" cy="473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200" b="1" i="0" u="none" strike="noStrike" kern="0" cap="none" spc="0" normalizeH="0" baseline="0" noProof="0">
              <a:ln>
                <a:noFill/>
              </a:ln>
              <a:solidFill>
                <a:prstClr val="black"/>
              </a:solidFill>
              <a:effectLst/>
              <a:uLnTx/>
              <a:uFillTx/>
              <a:latin typeface="Arial Narrow" panose="020B0604020202020204" pitchFamily="34" charset="0"/>
              <a:ea typeface="+mn-ea"/>
              <a:cs typeface="Arial Narrow" panose="020B0604020202020204" pitchFamily="34" charset="0"/>
            </a:rPr>
            <a:t>Supplementary Table 6. List of circular RNAs assembled using a custom pipeline based on SLS-PFOR2, with filtering using BLASTn and BLASTx searches using the nt and nr databases from December 2020. </a:t>
          </a:r>
          <a:r>
            <a:rPr kumimoji="0" lang="en-GB" sz="1200" b="0" i="0" u="none" strike="noStrike" kern="0" cap="none" spc="0" normalizeH="0" baseline="0" noProof="0">
              <a:ln>
                <a:noFill/>
              </a:ln>
              <a:solidFill>
                <a:prstClr val="black"/>
              </a:solidFill>
              <a:effectLst/>
              <a:uLnTx/>
              <a:uFillTx/>
              <a:latin typeface="Arial Narrow" panose="020B0604020202020204" pitchFamily="34" charset="0"/>
              <a:ea typeface="+mn-ea"/>
              <a:cs typeface="Arial Narrow" panose="020B0604020202020204" pitchFamily="34" charset="0"/>
            </a:rPr>
            <a:t>Shown here are 344 contigs, out of the original 4249 contigs, that do not have any significant hits to the GenBank database (nucleotide (nt) database version released on December 2020). </a:t>
          </a:r>
          <a:r>
            <a:rPr lang="en-GB" sz="1000" b="1" i="0" u="sng" baseline="0">
              <a:latin typeface="Arial Narrow" panose="020B0604020202020204" pitchFamily="34" charset="0"/>
              <a:cs typeface="Arial Narrow" panose="020B0604020202020204" pitchFamily="34" charset="0"/>
            </a:rPr>
            <a:t>Notes</a:t>
          </a:r>
          <a:r>
            <a:rPr lang="en-GB" sz="1000" b="0" i="0" u="sng" baseline="0">
              <a:latin typeface="Arial Narrow" panose="020B0604020202020204" pitchFamily="34" charset="0"/>
              <a:cs typeface="Arial Narrow" panose="020B0604020202020204" pitchFamily="34" charset="0"/>
            </a:rPr>
            <a:t>:</a:t>
          </a:r>
          <a:r>
            <a:rPr lang="en-GB" sz="1000" b="0" i="0" u="none" baseline="0">
              <a:latin typeface="Arial Narrow" panose="020B0604020202020204" pitchFamily="34" charset="0"/>
              <a:cs typeface="Arial Narrow" panose="020B0604020202020204" pitchFamily="34" charset="0"/>
            </a:rPr>
            <a:t> </a:t>
          </a:r>
          <a:r>
            <a:rPr lang="en-GB" sz="1050" b="1" i="0" u="none" baseline="30000">
              <a:solidFill>
                <a:srgbClr val="C00000"/>
              </a:solidFill>
              <a:latin typeface="Arial Narrow" panose="020B0604020202020204" pitchFamily="34" charset="0"/>
              <a:cs typeface="Arial Narrow" panose="020B0604020202020204" pitchFamily="34" charset="0"/>
            </a:rPr>
            <a:t>1</a:t>
          </a:r>
          <a:r>
            <a:rPr lang="en-GB" sz="1000" b="0" i="0" u="none" baseline="0">
              <a:solidFill>
                <a:schemeClr val="tx1"/>
              </a:solidFill>
              <a:latin typeface="Arial Narrow" panose="020B0604020202020204" pitchFamily="34" charset="0"/>
              <a:cs typeface="Arial Narrow" panose="020B0604020202020204" pitchFamily="34" charset="0"/>
            </a:rPr>
            <a:t>First characters before '_' in the Contig ID corresponds to the shortened sequencing library (or pool) number indicated in Table S2. Putative viroid-like circular RNAs indicated in Table S5 are in blue font. </a:t>
          </a:r>
          <a:r>
            <a:rPr kumimoji="0" lang="en-GB" sz="1050" b="1" i="0" u="none" strike="noStrike" kern="0" cap="none" spc="0" normalizeH="0" baseline="30000" noProof="0">
              <a:ln>
                <a:noFill/>
              </a:ln>
              <a:solidFill>
                <a:srgbClr val="C00000"/>
              </a:solidFill>
              <a:effectLst/>
              <a:uLnTx/>
              <a:uFillTx/>
              <a:latin typeface="Arial Narrow" panose="020B0604020202020204" pitchFamily="34" charset="0"/>
              <a:ea typeface="+mn-ea"/>
              <a:cs typeface="Arial Narrow" panose="020B0604020202020204" pitchFamily="34" charset="0"/>
            </a:rPr>
            <a:t>2</a:t>
          </a:r>
          <a:r>
            <a:rPr kumimoji="0" lang="en-GB" sz="1000" b="0" i="0" u="none" strike="noStrike" kern="0" cap="none" spc="0" normalizeH="0" baseline="0" noProof="0">
              <a:ln>
                <a:noFill/>
              </a:ln>
              <a:solidFill>
                <a:prstClr val="black"/>
              </a:solidFill>
              <a:effectLst/>
              <a:uLnTx/>
              <a:uFillTx/>
              <a:latin typeface="Arial Narrow" panose="020B0604020202020204" pitchFamily="34" charset="0"/>
              <a:ea typeface="+mn-ea"/>
              <a:cs typeface="Arial Narrow" panose="020B0604020202020204" pitchFamily="34" charset="0"/>
            </a:rPr>
            <a:t>Assignation of (+) and (-) strands orientation is random, both strands are rotationally identical.</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000" b="0" i="0" u="none" baseline="0">
            <a:latin typeface="Arial Narrow" panose="020B0604020202020204" pitchFamily="34" charset="0"/>
            <a:cs typeface="Arial Narrow"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kpaulsr/iCloudDrive/INEXTVIR/00.LABORATORY%20WORK/Sample_LOGS_PR%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rm information"/>
      <sheetName val="Sampling date information"/>
      <sheetName val="Sample (plant) information"/>
      <sheetName val="Aliquotes plants information"/>
      <sheetName val="Validation data"/>
      <sheetName val="Species and cultivar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cbi.nlm.nih.gov/nucleotide/MN267904.1?report=genbank&amp;log$=nucltop&amp;blast_rank=1&amp;RID=SD3B1B8A016" TargetMode="External"/><Relationship Id="rId2" Type="http://schemas.openxmlformats.org/officeDocument/2006/relationships/hyperlink" Target="https://www.ncbi.nlm.nih.gov/nucleotide/MN627469.1?report=genbank&amp;log$=nucltop&amp;blast_rank=1&amp;RID=SD30MZZC016" TargetMode="External"/><Relationship Id="rId1" Type="http://schemas.openxmlformats.org/officeDocument/2006/relationships/hyperlink" Target="https://www.ncbi.nlm.nih.gov/nucleotide/MN627469.1?report=genbank&amp;log$=nucltop&amp;blast_rank=1&amp;RID=SD30MZZC016" TargetMode="External"/><Relationship Id="rId6" Type="http://schemas.openxmlformats.org/officeDocument/2006/relationships/drawing" Target="../drawings/drawing3.xml"/><Relationship Id="rId5" Type="http://schemas.openxmlformats.org/officeDocument/2006/relationships/printerSettings" Target="../printerSettings/printerSettings2.bin"/><Relationship Id="rId4" Type="http://schemas.openxmlformats.org/officeDocument/2006/relationships/hyperlink" Target="https://www.ncbi.nlm.nih.gov/nucleotide/MN267904.1?report=genbank&amp;log$=nucltop&amp;blast_rank=1&amp;RID=SD3B1B8A016"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H41" sqref="H41"/>
    </sheetView>
  </sheetViews>
  <sheetFormatPr defaultColWidth="8.85546875" defaultRowHeight="15" x14ac:dyDescent="0.25"/>
  <cols>
    <col min="1" max="16384" width="8.85546875" style="1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N214"/>
  <sheetViews>
    <sheetView zoomScale="115" zoomScaleNormal="115" zoomScaleSheetLayoutView="100" workbookViewId="0">
      <pane ySplit="5" topLeftCell="A6" activePane="bottomLeft" state="frozen"/>
      <selection pane="bottomLeft" activeCell="BU122" sqref="BU122:BU124"/>
    </sheetView>
  </sheetViews>
  <sheetFormatPr defaultColWidth="8.7109375" defaultRowHeight="16.5" x14ac:dyDescent="0.3"/>
  <cols>
    <col min="1" max="1" width="14.7109375" style="181" bestFit="1" customWidth="1"/>
    <col min="2" max="2" width="13.85546875" style="182" bestFit="1" customWidth="1"/>
    <col min="3" max="3" width="21.28515625" style="2" bestFit="1" customWidth="1"/>
    <col min="4" max="4" width="48.28515625" style="3" bestFit="1" customWidth="1"/>
    <col min="5" max="5" width="17.28515625" style="2" customWidth="1"/>
    <col min="6" max="72" width="2.7109375" style="1" customWidth="1"/>
    <col min="73" max="73" width="9.7109375" bestFit="1" customWidth="1"/>
    <col min="74" max="80" width="11.7109375" customWidth="1"/>
    <col min="81" max="170" width="11.7109375" style="1" customWidth="1"/>
    <col min="171" max="16384" width="8.7109375" style="1"/>
  </cols>
  <sheetData>
    <row r="1" spans="1:170" ht="34.700000000000003" customHeight="1" x14ac:dyDescent="0.3">
      <c r="A1" s="187"/>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c r="CA1" s="187"/>
      <c r="CB1" s="187"/>
      <c r="CC1" s="187"/>
      <c r="CD1" s="187"/>
      <c r="CE1" s="187"/>
      <c r="CF1" s="187"/>
      <c r="CG1" s="187"/>
      <c r="CH1" s="187"/>
      <c r="CI1" s="187"/>
      <c r="CJ1" s="187"/>
      <c r="CK1" s="187"/>
      <c r="CL1" s="187"/>
      <c r="CM1" s="187"/>
      <c r="CN1" s="187"/>
      <c r="CO1" s="187"/>
      <c r="CP1" s="187"/>
      <c r="CQ1" s="187"/>
      <c r="CR1" s="187"/>
      <c r="CS1" s="187"/>
      <c r="CT1" s="187"/>
      <c r="CU1" s="187"/>
      <c r="CV1" s="187"/>
      <c r="CW1" s="187"/>
      <c r="CX1" s="187"/>
      <c r="CY1" s="187"/>
      <c r="CZ1" s="187"/>
      <c r="DA1" s="187"/>
      <c r="DB1" s="187"/>
      <c r="DC1" s="187"/>
      <c r="DD1" s="187"/>
      <c r="DE1" s="187"/>
      <c r="DF1" s="187"/>
      <c r="DG1" s="187"/>
      <c r="DH1" s="187"/>
      <c r="DI1" s="187"/>
      <c r="DJ1" s="187"/>
      <c r="DK1" s="187"/>
      <c r="DL1" s="187"/>
      <c r="DM1" s="187"/>
      <c r="DN1" s="187"/>
      <c r="DO1" s="187"/>
      <c r="DP1" s="187"/>
      <c r="DQ1" s="187"/>
      <c r="DR1" s="187"/>
      <c r="DS1" s="187"/>
      <c r="DT1" s="187"/>
      <c r="DU1" s="187"/>
      <c r="DV1" s="187"/>
      <c r="DW1" s="187"/>
      <c r="DX1" s="187"/>
      <c r="DY1" s="187"/>
      <c r="DZ1" s="187"/>
      <c r="EA1" s="187"/>
      <c r="EB1" s="187"/>
      <c r="EC1" s="187"/>
      <c r="ED1" s="187"/>
      <c r="EE1" s="187"/>
      <c r="EF1" s="187"/>
      <c r="EG1" s="187"/>
      <c r="EH1" s="187"/>
      <c r="EI1" s="187"/>
      <c r="EJ1" s="187"/>
      <c r="EK1" s="187"/>
      <c r="EL1" s="187"/>
      <c r="EM1" s="187"/>
      <c r="EN1" s="187"/>
      <c r="EO1" s="187"/>
      <c r="EP1" s="187"/>
      <c r="EQ1" s="187"/>
      <c r="ER1" s="187"/>
      <c r="ES1" s="187"/>
      <c r="ET1" s="187"/>
      <c r="EU1" s="187"/>
      <c r="EV1" s="187"/>
      <c r="EW1" s="187"/>
      <c r="EX1" s="187"/>
      <c r="EY1" s="187"/>
      <c r="EZ1" s="187"/>
      <c r="FA1" s="187"/>
      <c r="FB1" s="187"/>
      <c r="FC1" s="187"/>
      <c r="FD1" s="187"/>
      <c r="FE1" s="187"/>
      <c r="FF1" s="187"/>
      <c r="FG1" s="187"/>
      <c r="FH1" s="187"/>
      <c r="FI1" s="187"/>
      <c r="FJ1" s="187"/>
      <c r="FK1" s="187"/>
      <c r="FL1" s="187"/>
      <c r="FM1" s="187"/>
      <c r="FN1" s="187"/>
    </row>
    <row r="2" spans="1:170" s="46" customFormat="1" x14ac:dyDescent="0.25">
      <c r="A2" s="174"/>
      <c r="B2" s="175"/>
      <c r="C2" s="65"/>
      <c r="D2" s="64"/>
      <c r="E2" s="66" t="s">
        <v>0</v>
      </c>
      <c r="F2" s="188" t="s">
        <v>1</v>
      </c>
      <c r="G2" s="188"/>
      <c r="H2" s="188"/>
      <c r="I2" s="188"/>
      <c r="J2" s="189"/>
      <c r="K2" s="184" t="s">
        <v>2</v>
      </c>
      <c r="L2" s="186"/>
      <c r="M2" s="185"/>
      <c r="N2" s="184" t="s">
        <v>3</v>
      </c>
      <c r="O2" s="185"/>
      <c r="P2" s="184" t="s">
        <v>4</v>
      </c>
      <c r="Q2" s="186"/>
      <c r="R2" s="185"/>
      <c r="S2" s="184" t="s">
        <v>5</v>
      </c>
      <c r="T2" s="186"/>
      <c r="U2" s="185"/>
      <c r="V2" s="184" t="s">
        <v>6</v>
      </c>
      <c r="W2" s="186"/>
      <c r="X2" s="186"/>
      <c r="Y2" s="185"/>
      <c r="Z2" s="184" t="s">
        <v>7</v>
      </c>
      <c r="AA2" s="186"/>
      <c r="AB2" s="185"/>
      <c r="AC2" s="184" t="s">
        <v>8</v>
      </c>
      <c r="AD2" s="186"/>
      <c r="AE2" s="185"/>
      <c r="AF2" s="184" t="s">
        <v>9</v>
      </c>
      <c r="AG2" s="186"/>
      <c r="AH2" s="186"/>
      <c r="AI2" s="185"/>
      <c r="AJ2" s="184" t="s">
        <v>10</v>
      </c>
      <c r="AK2" s="186"/>
      <c r="AL2" s="186"/>
      <c r="AM2" s="185"/>
      <c r="AN2" s="184" t="s">
        <v>11</v>
      </c>
      <c r="AO2" s="186"/>
      <c r="AP2" s="185"/>
      <c r="AQ2" s="184" t="s">
        <v>12</v>
      </c>
      <c r="AR2" s="186"/>
      <c r="AS2" s="185"/>
      <c r="AT2" s="184" t="s">
        <v>13</v>
      </c>
      <c r="AU2" s="186"/>
      <c r="AV2" s="186"/>
      <c r="AW2" s="185"/>
      <c r="AX2" s="184" t="s">
        <v>14</v>
      </c>
      <c r="AY2" s="186"/>
      <c r="AZ2" s="186"/>
      <c r="BA2" s="185"/>
      <c r="BB2" s="184" t="s">
        <v>15</v>
      </c>
      <c r="BC2" s="186"/>
      <c r="BD2" s="186"/>
      <c r="BE2" s="185"/>
      <c r="BF2" s="184" t="s">
        <v>16</v>
      </c>
      <c r="BG2" s="186"/>
      <c r="BH2" s="186"/>
      <c r="BI2" s="186"/>
      <c r="BJ2" s="185"/>
      <c r="BK2" s="184" t="s">
        <v>17</v>
      </c>
      <c r="BL2" s="186"/>
      <c r="BM2" s="186"/>
      <c r="BN2" s="186"/>
      <c r="BO2" s="185"/>
      <c r="BP2" s="184" t="s">
        <v>18</v>
      </c>
      <c r="BQ2" s="186"/>
      <c r="BR2" s="186"/>
      <c r="BS2" s="186"/>
      <c r="BT2" s="186"/>
      <c r="BU2" s="161" t="s">
        <v>19</v>
      </c>
      <c r="BV2" s="162"/>
      <c r="BW2" s="162"/>
      <c r="BX2" s="162"/>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9"/>
    </row>
    <row r="3" spans="1:170" s="54" customFormat="1" x14ac:dyDescent="0.25">
      <c r="A3" s="176"/>
      <c r="B3" s="177"/>
      <c r="C3" s="62"/>
      <c r="D3" s="63"/>
      <c r="E3" s="69" t="s">
        <v>20</v>
      </c>
      <c r="F3" s="60">
        <v>6</v>
      </c>
      <c r="G3" s="51">
        <v>6</v>
      </c>
      <c r="H3" s="51">
        <v>10</v>
      </c>
      <c r="I3" s="51">
        <v>6</v>
      </c>
      <c r="J3" s="51">
        <v>7</v>
      </c>
      <c r="K3" s="51">
        <v>5</v>
      </c>
      <c r="L3" s="51">
        <v>3</v>
      </c>
      <c r="M3" s="51">
        <v>5</v>
      </c>
      <c r="N3" s="51">
        <v>9</v>
      </c>
      <c r="O3" s="51">
        <v>4</v>
      </c>
      <c r="P3" s="51">
        <v>5</v>
      </c>
      <c r="Q3" s="51">
        <v>5</v>
      </c>
      <c r="R3" s="51">
        <v>4</v>
      </c>
      <c r="S3" s="51">
        <v>10</v>
      </c>
      <c r="T3" s="51">
        <v>4</v>
      </c>
      <c r="U3" s="51">
        <v>4</v>
      </c>
      <c r="V3" s="51">
        <v>6</v>
      </c>
      <c r="W3" s="51">
        <v>5</v>
      </c>
      <c r="X3" s="51">
        <v>8</v>
      </c>
      <c r="Y3" s="51">
        <v>7</v>
      </c>
      <c r="Z3" s="51">
        <v>5</v>
      </c>
      <c r="AA3" s="51">
        <v>5</v>
      </c>
      <c r="AB3" s="51">
        <v>3</v>
      </c>
      <c r="AC3" s="51">
        <v>8</v>
      </c>
      <c r="AD3" s="51">
        <v>7</v>
      </c>
      <c r="AE3" s="51">
        <v>5</v>
      </c>
      <c r="AF3" s="51">
        <v>5</v>
      </c>
      <c r="AG3" s="51">
        <v>7</v>
      </c>
      <c r="AH3" s="51">
        <v>5</v>
      </c>
      <c r="AI3" s="51">
        <v>10</v>
      </c>
      <c r="AJ3" s="51">
        <v>5</v>
      </c>
      <c r="AK3" s="51">
        <v>8</v>
      </c>
      <c r="AL3" s="51">
        <v>8</v>
      </c>
      <c r="AM3" s="51">
        <v>10</v>
      </c>
      <c r="AN3" s="51">
        <v>5</v>
      </c>
      <c r="AO3" s="51">
        <v>8</v>
      </c>
      <c r="AP3" s="51">
        <v>11</v>
      </c>
      <c r="AQ3" s="51">
        <v>4</v>
      </c>
      <c r="AR3" s="51">
        <v>9</v>
      </c>
      <c r="AS3" s="51">
        <v>7</v>
      </c>
      <c r="AT3" s="51">
        <v>4</v>
      </c>
      <c r="AU3" s="51">
        <v>8</v>
      </c>
      <c r="AV3" s="51">
        <v>6</v>
      </c>
      <c r="AW3" s="51">
        <v>5</v>
      </c>
      <c r="AX3" s="51">
        <v>5</v>
      </c>
      <c r="AY3" s="51">
        <v>5</v>
      </c>
      <c r="AZ3" s="51">
        <v>6</v>
      </c>
      <c r="BA3" s="51">
        <v>10</v>
      </c>
      <c r="BB3" s="51">
        <v>5</v>
      </c>
      <c r="BC3" s="51">
        <v>7</v>
      </c>
      <c r="BD3" s="51">
        <v>7</v>
      </c>
      <c r="BE3" s="51">
        <v>9</v>
      </c>
      <c r="BF3" s="51">
        <v>5</v>
      </c>
      <c r="BG3" s="51">
        <v>7</v>
      </c>
      <c r="BH3" s="51">
        <v>6</v>
      </c>
      <c r="BI3" s="51">
        <v>7</v>
      </c>
      <c r="BJ3" s="51">
        <v>10</v>
      </c>
      <c r="BK3" s="51">
        <v>5</v>
      </c>
      <c r="BL3" s="51">
        <v>8</v>
      </c>
      <c r="BM3" s="51">
        <v>7</v>
      </c>
      <c r="BN3" s="51">
        <v>6</v>
      </c>
      <c r="BO3" s="51">
        <v>5</v>
      </c>
      <c r="BP3" s="51">
        <v>5</v>
      </c>
      <c r="BQ3" s="51">
        <v>9</v>
      </c>
      <c r="BR3" s="51">
        <v>8</v>
      </c>
      <c r="BS3" s="51">
        <v>7</v>
      </c>
      <c r="BT3" s="51">
        <v>10</v>
      </c>
      <c r="BU3" s="163">
        <f>SUM(F3:BT3)</f>
        <v>436</v>
      </c>
      <c r="BV3" s="164" t="s">
        <v>21</v>
      </c>
      <c r="BW3" s="165"/>
      <c r="BX3" s="165"/>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c r="FF3" s="52"/>
      <c r="FG3" s="52"/>
      <c r="FH3" s="52"/>
      <c r="FI3" s="52"/>
      <c r="FJ3" s="52"/>
      <c r="FK3" s="52"/>
      <c r="FL3" s="52"/>
      <c r="FM3" s="52"/>
      <c r="FN3" s="53"/>
    </row>
    <row r="4" spans="1:170" s="54" customFormat="1" x14ac:dyDescent="0.25">
      <c r="A4" s="178"/>
      <c r="B4" s="177"/>
      <c r="C4" s="62"/>
      <c r="D4" s="63"/>
      <c r="E4" s="69" t="s">
        <v>22</v>
      </c>
      <c r="F4" s="61">
        <f t="shared" ref="F4:AK4" si="0">COUNTIF(F6:F131,"A")+COUNTIF(F6:F131,"B")</f>
        <v>3</v>
      </c>
      <c r="G4" s="55">
        <f t="shared" si="0"/>
        <v>4</v>
      </c>
      <c r="H4" s="55">
        <f t="shared" si="0"/>
        <v>2</v>
      </c>
      <c r="I4" s="55">
        <f t="shared" si="0"/>
        <v>5</v>
      </c>
      <c r="J4" s="55">
        <f t="shared" si="0"/>
        <v>4</v>
      </c>
      <c r="K4" s="55">
        <f t="shared" si="0"/>
        <v>3</v>
      </c>
      <c r="L4" s="55">
        <f t="shared" si="0"/>
        <v>3</v>
      </c>
      <c r="M4" s="55">
        <f t="shared" si="0"/>
        <v>4</v>
      </c>
      <c r="N4" s="55">
        <f t="shared" si="0"/>
        <v>9</v>
      </c>
      <c r="O4" s="55">
        <f t="shared" si="0"/>
        <v>3</v>
      </c>
      <c r="P4" s="55">
        <f t="shared" si="0"/>
        <v>1</v>
      </c>
      <c r="Q4" s="55">
        <f t="shared" si="0"/>
        <v>6</v>
      </c>
      <c r="R4" s="55">
        <f t="shared" si="0"/>
        <v>8</v>
      </c>
      <c r="S4" s="55">
        <f t="shared" si="0"/>
        <v>7</v>
      </c>
      <c r="T4" s="55">
        <f t="shared" si="0"/>
        <v>5</v>
      </c>
      <c r="U4" s="55">
        <f t="shared" si="0"/>
        <v>1</v>
      </c>
      <c r="V4" s="55">
        <f t="shared" si="0"/>
        <v>1</v>
      </c>
      <c r="W4" s="55">
        <f t="shared" si="0"/>
        <v>1</v>
      </c>
      <c r="X4" s="55">
        <f t="shared" si="0"/>
        <v>3</v>
      </c>
      <c r="Y4" s="55">
        <f t="shared" si="0"/>
        <v>7</v>
      </c>
      <c r="Z4" s="55">
        <f t="shared" si="0"/>
        <v>8</v>
      </c>
      <c r="AA4" s="55">
        <f t="shared" si="0"/>
        <v>3</v>
      </c>
      <c r="AB4" s="55">
        <f t="shared" si="0"/>
        <v>10</v>
      </c>
      <c r="AC4" s="55">
        <f t="shared" si="0"/>
        <v>3</v>
      </c>
      <c r="AD4" s="55">
        <f t="shared" si="0"/>
        <v>5</v>
      </c>
      <c r="AE4" s="55">
        <f t="shared" si="0"/>
        <v>5</v>
      </c>
      <c r="AF4" s="55">
        <f t="shared" si="0"/>
        <v>1</v>
      </c>
      <c r="AG4" s="55">
        <f t="shared" si="0"/>
        <v>4</v>
      </c>
      <c r="AH4" s="55">
        <f t="shared" si="0"/>
        <v>3</v>
      </c>
      <c r="AI4" s="55">
        <f t="shared" si="0"/>
        <v>2</v>
      </c>
      <c r="AJ4" s="55">
        <f t="shared" si="0"/>
        <v>3</v>
      </c>
      <c r="AK4" s="55">
        <f t="shared" si="0"/>
        <v>5</v>
      </c>
      <c r="AL4" s="55">
        <f t="shared" ref="AL4:BT4" si="1">COUNTIF(AL6:AL131,"A")+COUNTIF(AL6:AL131,"B")</f>
        <v>6</v>
      </c>
      <c r="AM4" s="55">
        <f t="shared" si="1"/>
        <v>3</v>
      </c>
      <c r="AN4" s="55">
        <f t="shared" si="1"/>
        <v>2</v>
      </c>
      <c r="AO4" s="55">
        <f t="shared" si="1"/>
        <v>3</v>
      </c>
      <c r="AP4" s="55">
        <f t="shared" si="1"/>
        <v>9</v>
      </c>
      <c r="AQ4" s="55">
        <f t="shared" si="1"/>
        <v>2</v>
      </c>
      <c r="AR4" s="55">
        <f t="shared" si="1"/>
        <v>3</v>
      </c>
      <c r="AS4" s="55">
        <f t="shared" si="1"/>
        <v>5</v>
      </c>
      <c r="AT4" s="55">
        <f t="shared" si="1"/>
        <v>3</v>
      </c>
      <c r="AU4" s="55">
        <f t="shared" si="1"/>
        <v>2</v>
      </c>
      <c r="AV4" s="55">
        <f t="shared" si="1"/>
        <v>11</v>
      </c>
      <c r="AW4" s="55">
        <f t="shared" si="1"/>
        <v>9</v>
      </c>
      <c r="AX4" s="55">
        <f t="shared" si="1"/>
        <v>4</v>
      </c>
      <c r="AY4" s="55">
        <f t="shared" si="1"/>
        <v>6</v>
      </c>
      <c r="AZ4" s="55">
        <f t="shared" si="1"/>
        <v>7</v>
      </c>
      <c r="BA4" s="55">
        <f t="shared" si="1"/>
        <v>5</v>
      </c>
      <c r="BB4" s="55">
        <f t="shared" si="1"/>
        <v>5</v>
      </c>
      <c r="BC4" s="55">
        <f t="shared" si="1"/>
        <v>5</v>
      </c>
      <c r="BD4" s="55">
        <f t="shared" si="1"/>
        <v>5</v>
      </c>
      <c r="BE4" s="55">
        <f t="shared" si="1"/>
        <v>12</v>
      </c>
      <c r="BF4" s="55">
        <f t="shared" si="1"/>
        <v>4</v>
      </c>
      <c r="BG4" s="55">
        <f t="shared" si="1"/>
        <v>3</v>
      </c>
      <c r="BH4" s="55">
        <f t="shared" si="1"/>
        <v>5</v>
      </c>
      <c r="BI4" s="55">
        <f t="shared" si="1"/>
        <v>4</v>
      </c>
      <c r="BJ4" s="55">
        <f t="shared" si="1"/>
        <v>6</v>
      </c>
      <c r="BK4" s="55">
        <f t="shared" si="1"/>
        <v>3</v>
      </c>
      <c r="BL4" s="55">
        <f t="shared" si="1"/>
        <v>2</v>
      </c>
      <c r="BM4" s="55">
        <f t="shared" si="1"/>
        <v>3</v>
      </c>
      <c r="BN4" s="55">
        <f t="shared" si="1"/>
        <v>5</v>
      </c>
      <c r="BO4" s="55">
        <f t="shared" si="1"/>
        <v>5</v>
      </c>
      <c r="BP4" s="55">
        <f t="shared" si="1"/>
        <v>3</v>
      </c>
      <c r="BQ4" s="55">
        <f t="shared" si="1"/>
        <v>5</v>
      </c>
      <c r="BR4" s="55">
        <f t="shared" si="1"/>
        <v>4</v>
      </c>
      <c r="BS4" s="55">
        <f t="shared" si="1"/>
        <v>4</v>
      </c>
      <c r="BT4" s="55">
        <f t="shared" si="1"/>
        <v>7</v>
      </c>
      <c r="BU4" s="163">
        <f>SUM(F4:BT4)</f>
        <v>302</v>
      </c>
      <c r="BV4" s="164" t="s">
        <v>23</v>
      </c>
      <c r="BW4" s="166"/>
      <c r="BX4" s="16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7"/>
    </row>
    <row r="5" spans="1:170" s="48" customFormat="1" ht="78.599999999999994" customHeight="1" x14ac:dyDescent="0.3">
      <c r="A5" s="173" t="s">
        <v>24</v>
      </c>
      <c r="B5" s="173" t="s">
        <v>25</v>
      </c>
      <c r="C5" s="67" t="s">
        <v>26</v>
      </c>
      <c r="D5" s="68" t="s">
        <v>27</v>
      </c>
      <c r="E5" s="67" t="s">
        <v>28</v>
      </c>
      <c r="F5" s="45" t="s">
        <v>29</v>
      </c>
      <c r="G5" s="45" t="s">
        <v>30</v>
      </c>
      <c r="H5" s="45" t="s">
        <v>31</v>
      </c>
      <c r="I5" s="45" t="s">
        <v>32</v>
      </c>
      <c r="J5" s="45" t="s">
        <v>33</v>
      </c>
      <c r="K5" s="45" t="s">
        <v>34</v>
      </c>
      <c r="L5" s="45" t="s">
        <v>35</v>
      </c>
      <c r="M5" s="45" t="s">
        <v>36</v>
      </c>
      <c r="N5" s="45" t="s">
        <v>37</v>
      </c>
      <c r="O5" s="45" t="s">
        <v>38</v>
      </c>
      <c r="P5" s="45" t="s">
        <v>39</v>
      </c>
      <c r="Q5" s="45" t="s">
        <v>40</v>
      </c>
      <c r="R5" s="45" t="s">
        <v>41</v>
      </c>
      <c r="S5" s="45" t="s">
        <v>42</v>
      </c>
      <c r="T5" s="45" t="s">
        <v>43</v>
      </c>
      <c r="U5" s="45" t="s">
        <v>44</v>
      </c>
      <c r="V5" s="45" t="s">
        <v>45</v>
      </c>
      <c r="W5" s="45" t="s">
        <v>46</v>
      </c>
      <c r="X5" s="45" t="s">
        <v>47</v>
      </c>
      <c r="Y5" s="45" t="s">
        <v>48</v>
      </c>
      <c r="Z5" s="45" t="s">
        <v>49</v>
      </c>
      <c r="AA5" s="45" t="s">
        <v>50</v>
      </c>
      <c r="AB5" s="45" t="s">
        <v>51</v>
      </c>
      <c r="AC5" s="45" t="s">
        <v>52</v>
      </c>
      <c r="AD5" s="45" t="s">
        <v>53</v>
      </c>
      <c r="AE5" s="45" t="s">
        <v>54</v>
      </c>
      <c r="AF5" s="45" t="s">
        <v>55</v>
      </c>
      <c r="AG5" s="45" t="s">
        <v>56</v>
      </c>
      <c r="AH5" s="45" t="s">
        <v>57</v>
      </c>
      <c r="AI5" s="45" t="s">
        <v>58</v>
      </c>
      <c r="AJ5" s="45" t="s">
        <v>59</v>
      </c>
      <c r="AK5" s="45" t="s">
        <v>60</v>
      </c>
      <c r="AL5" s="45" t="s">
        <v>61</v>
      </c>
      <c r="AM5" s="45" t="s">
        <v>62</v>
      </c>
      <c r="AN5" s="45" t="s">
        <v>63</v>
      </c>
      <c r="AO5" s="45" t="s">
        <v>64</v>
      </c>
      <c r="AP5" s="45" t="s">
        <v>65</v>
      </c>
      <c r="AQ5" s="45" t="s">
        <v>66</v>
      </c>
      <c r="AR5" s="45" t="s">
        <v>67</v>
      </c>
      <c r="AS5" s="45" t="s">
        <v>68</v>
      </c>
      <c r="AT5" s="45" t="s">
        <v>69</v>
      </c>
      <c r="AU5" s="45" t="s">
        <v>70</v>
      </c>
      <c r="AV5" s="45" t="s">
        <v>71</v>
      </c>
      <c r="AW5" s="45" t="s">
        <v>72</v>
      </c>
      <c r="AX5" s="45" t="s">
        <v>73</v>
      </c>
      <c r="AY5" s="45" t="s">
        <v>74</v>
      </c>
      <c r="AZ5" s="45" t="s">
        <v>75</v>
      </c>
      <c r="BA5" s="45" t="s">
        <v>76</v>
      </c>
      <c r="BB5" s="45" t="s">
        <v>77</v>
      </c>
      <c r="BC5" s="45" t="s">
        <v>78</v>
      </c>
      <c r="BD5" s="45" t="s">
        <v>79</v>
      </c>
      <c r="BE5" s="45" t="s">
        <v>80</v>
      </c>
      <c r="BF5" s="45" t="s">
        <v>81</v>
      </c>
      <c r="BG5" s="45" t="s">
        <v>82</v>
      </c>
      <c r="BH5" s="45" t="s">
        <v>83</v>
      </c>
      <c r="BI5" s="45" t="s">
        <v>84</v>
      </c>
      <c r="BJ5" s="45" t="s">
        <v>85</v>
      </c>
      <c r="BK5" s="45" t="s">
        <v>86</v>
      </c>
      <c r="BL5" s="45" t="s">
        <v>87</v>
      </c>
      <c r="BM5" s="45" t="s">
        <v>88</v>
      </c>
      <c r="BN5" s="45" t="s">
        <v>89</v>
      </c>
      <c r="BO5" s="45" t="s">
        <v>90</v>
      </c>
      <c r="BP5" s="45" t="s">
        <v>91</v>
      </c>
      <c r="BQ5" s="45" t="s">
        <v>92</v>
      </c>
      <c r="BR5" s="45" t="s">
        <v>93</v>
      </c>
      <c r="BS5" s="45" t="s">
        <v>94</v>
      </c>
      <c r="BT5" s="45" t="s">
        <v>95</v>
      </c>
      <c r="BU5" s="47" t="s">
        <v>96</v>
      </c>
      <c r="BV5" s="190" t="s">
        <v>97</v>
      </c>
      <c r="BW5" s="191"/>
      <c r="BX5" s="191"/>
      <c r="BY5" s="191"/>
      <c r="BZ5" s="191"/>
      <c r="CA5" s="191"/>
      <c r="CB5" s="191"/>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50"/>
    </row>
    <row r="6" spans="1:170" s="6" customFormat="1" ht="16.5" customHeight="1" x14ac:dyDescent="0.25">
      <c r="A6" s="179" t="s">
        <v>98</v>
      </c>
      <c r="B6" s="179" t="s">
        <v>99</v>
      </c>
      <c r="C6" s="17" t="s">
        <v>100</v>
      </c>
      <c r="D6" s="14" t="s">
        <v>2046</v>
      </c>
      <c r="E6" s="26" t="s">
        <v>101</v>
      </c>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t="s">
        <v>102</v>
      </c>
      <c r="BI6" s="37" t="s">
        <v>102</v>
      </c>
      <c r="BJ6" s="37"/>
      <c r="BK6" s="37"/>
      <c r="BL6" s="37"/>
      <c r="BM6" s="37"/>
      <c r="BN6" s="37"/>
      <c r="BO6" s="37"/>
      <c r="BP6" s="37"/>
      <c r="BQ6" s="37" t="s">
        <v>102</v>
      </c>
      <c r="BR6" s="37" t="s">
        <v>102</v>
      </c>
      <c r="BS6" s="37" t="s">
        <v>102</v>
      </c>
      <c r="BT6" s="41" t="s">
        <v>102</v>
      </c>
      <c r="BU6" s="44">
        <f t="shared" ref="BU6:BU37" si="2">COUNTIF(F6:BT6,"A")+COUNTIF(F6:BT6,"B")</f>
        <v>6</v>
      </c>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row>
    <row r="7" spans="1:170" s="6" customFormat="1" ht="16.149999999999999" customHeight="1" x14ac:dyDescent="0.25">
      <c r="A7" s="179" t="s">
        <v>98</v>
      </c>
      <c r="B7" s="179" t="s">
        <v>99</v>
      </c>
      <c r="C7" s="17" t="s">
        <v>100</v>
      </c>
      <c r="D7" s="16" t="s">
        <v>103</v>
      </c>
      <c r="E7" s="16" t="s">
        <v>104</v>
      </c>
      <c r="F7" s="37"/>
      <c r="G7" s="37"/>
      <c r="H7" s="37"/>
      <c r="I7" s="37"/>
      <c r="J7" s="37"/>
      <c r="K7" s="37"/>
      <c r="L7" s="37"/>
      <c r="M7" s="37"/>
      <c r="N7" s="37"/>
      <c r="O7" s="37"/>
      <c r="P7" s="37"/>
      <c r="Q7" s="37"/>
      <c r="R7" s="37" t="s">
        <v>102</v>
      </c>
      <c r="S7" s="37"/>
      <c r="T7" s="37"/>
      <c r="U7" s="37" t="s">
        <v>102</v>
      </c>
      <c r="V7" s="37"/>
      <c r="W7" s="37"/>
      <c r="X7" s="37"/>
      <c r="Y7" s="37" t="s">
        <v>102</v>
      </c>
      <c r="Z7" s="37"/>
      <c r="AA7" s="37"/>
      <c r="AB7" s="37"/>
      <c r="AC7" s="37"/>
      <c r="AD7" s="37"/>
      <c r="AE7" s="37"/>
      <c r="AF7" s="37"/>
      <c r="AG7" s="37"/>
      <c r="AH7" s="37"/>
      <c r="AI7" s="37"/>
      <c r="AJ7" s="37"/>
      <c r="AK7" s="37"/>
      <c r="AL7" s="37"/>
      <c r="AM7" s="37"/>
      <c r="AN7" s="37"/>
      <c r="AO7" s="37"/>
      <c r="AP7" s="37"/>
      <c r="AQ7" s="37"/>
      <c r="AR7" s="37"/>
      <c r="AS7" s="37"/>
      <c r="AT7" s="37"/>
      <c r="AU7" s="37"/>
      <c r="AV7" s="37" t="s">
        <v>102</v>
      </c>
      <c r="AW7" s="37"/>
      <c r="AX7" s="37"/>
      <c r="AY7" s="37"/>
      <c r="AZ7" s="37"/>
      <c r="BA7" s="37"/>
      <c r="BB7" s="37"/>
      <c r="BC7" s="37"/>
      <c r="BD7" s="37"/>
      <c r="BE7" s="37"/>
      <c r="BF7" s="37"/>
      <c r="BG7" s="37"/>
      <c r="BH7" s="37"/>
      <c r="BI7" s="37"/>
      <c r="BJ7" s="37"/>
      <c r="BK7" s="37"/>
      <c r="BL7" s="37"/>
      <c r="BM7" s="37"/>
      <c r="BN7" s="37"/>
      <c r="BO7" s="37"/>
      <c r="BP7" s="37"/>
      <c r="BQ7" s="37"/>
      <c r="BR7" s="37"/>
      <c r="BS7" s="37"/>
      <c r="BT7" s="41"/>
      <c r="BU7" s="44">
        <f t="shared" si="2"/>
        <v>4</v>
      </c>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row>
    <row r="8" spans="1:170" s="6" customFormat="1" ht="16.5" customHeight="1" x14ac:dyDescent="0.25">
      <c r="A8" s="179" t="s">
        <v>98</v>
      </c>
      <c r="B8" s="17" t="s">
        <v>105</v>
      </c>
      <c r="C8" s="27" t="s">
        <v>105</v>
      </c>
      <c r="D8" s="70" t="s">
        <v>2047</v>
      </c>
      <c r="E8" s="74" t="s">
        <v>106</v>
      </c>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t="s">
        <v>102</v>
      </c>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41"/>
      <c r="BU8" s="44">
        <f t="shared" si="2"/>
        <v>1</v>
      </c>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row>
    <row r="9" spans="1:170" s="6" customFormat="1" ht="16.5" customHeight="1" x14ac:dyDescent="0.25">
      <c r="A9" s="179" t="s">
        <v>98</v>
      </c>
      <c r="B9" s="179" t="s">
        <v>107</v>
      </c>
      <c r="C9" s="34" t="s">
        <v>108</v>
      </c>
      <c r="D9" s="16" t="s">
        <v>109</v>
      </c>
      <c r="E9" s="16" t="s">
        <v>110</v>
      </c>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t="s">
        <v>102</v>
      </c>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41"/>
      <c r="BU9" s="44">
        <f t="shared" si="2"/>
        <v>1</v>
      </c>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row>
    <row r="10" spans="1:170" s="6" customFormat="1" ht="16.5" customHeight="1" x14ac:dyDescent="0.25">
      <c r="A10" s="179" t="s">
        <v>111</v>
      </c>
      <c r="B10" s="179" t="s">
        <v>112</v>
      </c>
      <c r="C10" s="17" t="s">
        <v>113</v>
      </c>
      <c r="D10" s="29" t="s">
        <v>2048</v>
      </c>
      <c r="E10" s="33" t="s">
        <v>115</v>
      </c>
      <c r="F10" s="37" t="s">
        <v>116</v>
      </c>
      <c r="G10" s="37"/>
      <c r="H10" s="37" t="s">
        <v>116</v>
      </c>
      <c r="I10" s="37"/>
      <c r="J10" s="37"/>
      <c r="K10" s="37" t="s">
        <v>102</v>
      </c>
      <c r="L10" s="37" t="s">
        <v>102</v>
      </c>
      <c r="M10" s="37"/>
      <c r="N10" s="37" t="s">
        <v>116</v>
      </c>
      <c r="O10" s="37"/>
      <c r="P10" s="37"/>
      <c r="Q10" s="37"/>
      <c r="R10" s="37"/>
      <c r="S10" s="37" t="s">
        <v>102</v>
      </c>
      <c r="T10" s="37"/>
      <c r="U10" s="37"/>
      <c r="V10" s="37" t="s">
        <v>116</v>
      </c>
      <c r="W10" s="37" t="s">
        <v>102</v>
      </c>
      <c r="X10" s="37" t="s">
        <v>116</v>
      </c>
      <c r="Y10" s="37"/>
      <c r="Z10" s="37" t="s">
        <v>116</v>
      </c>
      <c r="AA10" s="37" t="s">
        <v>116</v>
      </c>
      <c r="AB10" s="37"/>
      <c r="AC10" s="37" t="s">
        <v>102</v>
      </c>
      <c r="AD10" s="37" t="s">
        <v>102</v>
      </c>
      <c r="AE10" s="37"/>
      <c r="AF10" s="37" t="s">
        <v>102</v>
      </c>
      <c r="AG10" s="37" t="s">
        <v>102</v>
      </c>
      <c r="AH10" s="37"/>
      <c r="AI10" s="37"/>
      <c r="AJ10" s="37"/>
      <c r="AK10" s="37" t="s">
        <v>102</v>
      </c>
      <c r="AL10" s="37" t="s">
        <v>102</v>
      </c>
      <c r="AM10" s="37"/>
      <c r="AN10" s="37" t="s">
        <v>116</v>
      </c>
      <c r="AO10" s="37" t="s">
        <v>102</v>
      </c>
      <c r="AP10" s="37"/>
      <c r="AQ10" s="37" t="s">
        <v>102</v>
      </c>
      <c r="AR10" s="37" t="s">
        <v>102</v>
      </c>
      <c r="AS10" s="37"/>
      <c r="AT10" s="37" t="s">
        <v>102</v>
      </c>
      <c r="AU10" s="37"/>
      <c r="AV10" s="37"/>
      <c r="AW10" s="37"/>
      <c r="AX10" s="37" t="s">
        <v>102</v>
      </c>
      <c r="AY10" s="37" t="s">
        <v>102</v>
      </c>
      <c r="AZ10" s="37" t="s">
        <v>102</v>
      </c>
      <c r="BA10" s="37"/>
      <c r="BB10" s="37"/>
      <c r="BC10" s="37"/>
      <c r="BD10" s="37"/>
      <c r="BE10" s="37"/>
      <c r="BF10" s="37" t="s">
        <v>102</v>
      </c>
      <c r="BG10" s="37" t="s">
        <v>102</v>
      </c>
      <c r="BH10" s="37" t="s">
        <v>102</v>
      </c>
      <c r="BI10" s="37" t="s">
        <v>102</v>
      </c>
      <c r="BJ10" s="37"/>
      <c r="BK10" s="37"/>
      <c r="BL10" s="37"/>
      <c r="BM10" s="37" t="s">
        <v>102</v>
      </c>
      <c r="BN10" s="37"/>
      <c r="BO10" s="37"/>
      <c r="BP10" s="37" t="s">
        <v>116</v>
      </c>
      <c r="BQ10" s="37" t="s">
        <v>102</v>
      </c>
      <c r="BR10" s="37" t="s">
        <v>102</v>
      </c>
      <c r="BS10" s="37" t="s">
        <v>102</v>
      </c>
      <c r="BT10" s="41"/>
      <c r="BU10" s="44">
        <f>COUNTIF(F10:BT10,"A")+COUNTIF(F10:BT10,"B")</f>
        <v>34</v>
      </c>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row>
    <row r="11" spans="1:170" s="6" customFormat="1" ht="16.350000000000001" customHeight="1" x14ac:dyDescent="0.25">
      <c r="A11" s="179" t="s">
        <v>111</v>
      </c>
      <c r="B11" s="179" t="s">
        <v>117</v>
      </c>
      <c r="C11" s="17" t="s">
        <v>118</v>
      </c>
      <c r="D11" s="20" t="s">
        <v>2049</v>
      </c>
      <c r="E11" s="20" t="s">
        <v>119</v>
      </c>
      <c r="F11" s="37"/>
      <c r="G11" s="37"/>
      <c r="H11" s="37"/>
      <c r="I11" s="37" t="s">
        <v>102</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41"/>
      <c r="BU11" s="44">
        <f t="shared" si="2"/>
        <v>1</v>
      </c>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row>
    <row r="12" spans="1:170" s="6" customFormat="1" ht="16.5" customHeight="1" x14ac:dyDescent="0.25">
      <c r="A12" s="179" t="s">
        <v>111</v>
      </c>
      <c r="B12" s="179" t="s">
        <v>117</v>
      </c>
      <c r="C12" s="17" t="s">
        <v>118</v>
      </c>
      <c r="D12" s="20" t="s">
        <v>2050</v>
      </c>
      <c r="E12" s="20" t="s">
        <v>120</v>
      </c>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t="s">
        <v>102</v>
      </c>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41"/>
      <c r="BU12" s="44">
        <f t="shared" si="2"/>
        <v>1</v>
      </c>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row>
    <row r="13" spans="1:170" s="6" customFormat="1" ht="16.5" customHeight="1" x14ac:dyDescent="0.25">
      <c r="A13" s="179" t="s">
        <v>111</v>
      </c>
      <c r="B13" s="179" t="s">
        <v>117</v>
      </c>
      <c r="C13" s="17" t="s">
        <v>118</v>
      </c>
      <c r="D13" s="20" t="s">
        <v>2051</v>
      </c>
      <c r="E13" s="20" t="s">
        <v>121</v>
      </c>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t="s">
        <v>102</v>
      </c>
      <c r="BB13" s="37"/>
      <c r="BC13" s="37"/>
      <c r="BD13" s="37"/>
      <c r="BE13" s="37"/>
      <c r="BF13" s="37"/>
      <c r="BG13" s="37"/>
      <c r="BH13" s="37"/>
      <c r="BI13" s="37"/>
      <c r="BJ13" s="37"/>
      <c r="BK13" s="37"/>
      <c r="BL13" s="37"/>
      <c r="BM13" s="37"/>
      <c r="BN13" s="37"/>
      <c r="BO13" s="37"/>
      <c r="BP13" s="37"/>
      <c r="BQ13" s="37"/>
      <c r="BR13" s="37"/>
      <c r="BS13" s="37"/>
      <c r="BT13" s="41"/>
      <c r="BU13" s="44">
        <f t="shared" si="2"/>
        <v>1</v>
      </c>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row>
    <row r="14" spans="1:170" s="6" customFormat="1" ht="16.5" customHeight="1" x14ac:dyDescent="0.25">
      <c r="A14" s="179" t="s">
        <v>111</v>
      </c>
      <c r="B14" s="179" t="s">
        <v>117</v>
      </c>
      <c r="C14" s="17" t="s">
        <v>118</v>
      </c>
      <c r="D14" s="20" t="s">
        <v>2052</v>
      </c>
      <c r="E14" s="20" t="s">
        <v>122</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t="s">
        <v>102</v>
      </c>
      <c r="BB14" s="37"/>
      <c r="BC14" s="37"/>
      <c r="BD14" s="37"/>
      <c r="BE14" s="37"/>
      <c r="BF14" s="37"/>
      <c r="BG14" s="37"/>
      <c r="BH14" s="37"/>
      <c r="BI14" s="37"/>
      <c r="BJ14" s="37"/>
      <c r="BK14" s="37"/>
      <c r="BL14" s="37"/>
      <c r="BM14" s="37"/>
      <c r="BN14" s="37"/>
      <c r="BO14" s="37"/>
      <c r="BP14" s="37"/>
      <c r="BQ14" s="37"/>
      <c r="BR14" s="37"/>
      <c r="BS14" s="37"/>
      <c r="BT14" s="41"/>
      <c r="BU14" s="44">
        <f t="shared" si="2"/>
        <v>1</v>
      </c>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row>
    <row r="15" spans="1:170" s="6" customFormat="1" ht="16.5" customHeight="1" x14ac:dyDescent="0.25">
      <c r="A15" s="179" t="s">
        <v>111</v>
      </c>
      <c r="B15" s="179" t="s">
        <v>117</v>
      </c>
      <c r="C15" s="17" t="s">
        <v>118</v>
      </c>
      <c r="D15" s="20" t="s">
        <v>2053</v>
      </c>
      <c r="E15" s="20" t="s">
        <v>123</v>
      </c>
      <c r="F15" s="37"/>
      <c r="G15" s="37"/>
      <c r="H15" s="37"/>
      <c r="I15" s="37"/>
      <c r="J15" s="37"/>
      <c r="K15" s="37"/>
      <c r="L15" s="37"/>
      <c r="M15" s="37"/>
      <c r="N15" s="37"/>
      <c r="O15" s="37"/>
      <c r="P15" s="37"/>
      <c r="Q15" s="37"/>
      <c r="R15" s="37"/>
      <c r="S15" s="37"/>
      <c r="T15" s="37"/>
      <c r="U15" s="37"/>
      <c r="V15" s="37"/>
      <c r="W15" s="37"/>
      <c r="X15" s="37"/>
      <c r="Y15" s="37" t="s">
        <v>102</v>
      </c>
      <c r="Z15" s="37"/>
      <c r="AA15" s="37"/>
      <c r="AB15" s="37"/>
      <c r="AC15" s="37"/>
      <c r="AD15" s="37"/>
      <c r="AE15" s="37"/>
      <c r="AF15" s="37"/>
      <c r="AG15" s="37"/>
      <c r="AH15" s="37"/>
      <c r="AI15" s="37"/>
      <c r="AJ15" s="37"/>
      <c r="AK15" s="37"/>
      <c r="AL15" s="37"/>
      <c r="AM15" s="37"/>
      <c r="AN15" s="37"/>
      <c r="AO15" s="37"/>
      <c r="AP15" s="37" t="s">
        <v>102</v>
      </c>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41"/>
      <c r="BU15" s="44">
        <f t="shared" si="2"/>
        <v>2</v>
      </c>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row>
    <row r="16" spans="1:170" s="6" customFormat="1" ht="16.5" customHeight="1" x14ac:dyDescent="0.25">
      <c r="A16" s="179" t="s">
        <v>111</v>
      </c>
      <c r="B16" s="179" t="s">
        <v>117</v>
      </c>
      <c r="C16" s="17" t="s">
        <v>118</v>
      </c>
      <c r="D16" s="20" t="s">
        <v>2054</v>
      </c>
      <c r="E16" s="20" t="s">
        <v>124</v>
      </c>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8"/>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t="s">
        <v>102</v>
      </c>
      <c r="BO16" s="37"/>
      <c r="BP16" s="37"/>
      <c r="BQ16" s="37"/>
      <c r="BR16" s="37"/>
      <c r="BS16" s="37"/>
      <c r="BT16" s="41"/>
      <c r="BU16" s="44">
        <f t="shared" si="2"/>
        <v>1</v>
      </c>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row>
    <row r="17" spans="1:170" s="6" customFormat="1" ht="16.5" customHeight="1" x14ac:dyDescent="0.25">
      <c r="A17" s="179" t="s">
        <v>111</v>
      </c>
      <c r="B17" s="179" t="s">
        <v>117</v>
      </c>
      <c r="C17" s="17" t="s">
        <v>125</v>
      </c>
      <c r="D17" s="30" t="s">
        <v>126</v>
      </c>
      <c r="E17" s="28" t="s">
        <v>127</v>
      </c>
      <c r="F17" s="37"/>
      <c r="G17" s="37"/>
      <c r="H17" s="37"/>
      <c r="I17" s="37"/>
      <c r="J17" s="37"/>
      <c r="K17" s="37"/>
      <c r="L17" s="37"/>
      <c r="M17" s="37"/>
      <c r="N17" s="37"/>
      <c r="O17" s="37"/>
      <c r="P17" s="37"/>
      <c r="Q17" s="37"/>
      <c r="R17" s="37" t="s">
        <v>102</v>
      </c>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41"/>
      <c r="BU17" s="44">
        <f t="shared" si="2"/>
        <v>1</v>
      </c>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row>
    <row r="18" spans="1:170" s="6" customFormat="1" ht="16.5" customHeight="1" x14ac:dyDescent="0.25">
      <c r="A18" s="179" t="s">
        <v>128</v>
      </c>
      <c r="B18" s="179" t="s">
        <v>129</v>
      </c>
      <c r="C18" s="11" t="s">
        <v>105</v>
      </c>
      <c r="D18" s="15" t="s">
        <v>130</v>
      </c>
      <c r="E18" s="15" t="s">
        <v>131</v>
      </c>
      <c r="F18" s="37"/>
      <c r="G18" s="37"/>
      <c r="H18" s="37"/>
      <c r="I18" s="37" t="s">
        <v>1650</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t="s">
        <v>116</v>
      </c>
      <c r="AX18" s="37"/>
      <c r="AY18" s="37"/>
      <c r="AZ18" s="37"/>
      <c r="BA18" s="37"/>
      <c r="BB18" s="37"/>
      <c r="BC18" s="37"/>
      <c r="BD18" s="37"/>
      <c r="BE18" s="37"/>
      <c r="BF18" s="37"/>
      <c r="BG18" s="37"/>
      <c r="BH18" s="37"/>
      <c r="BI18" s="37"/>
      <c r="BJ18" s="37"/>
      <c r="BK18" s="37"/>
      <c r="BL18" s="37"/>
      <c r="BM18" s="37"/>
      <c r="BN18" s="37"/>
      <c r="BO18" s="37"/>
      <c r="BP18" s="37"/>
      <c r="BQ18" s="37"/>
      <c r="BR18" s="37"/>
      <c r="BS18" s="37"/>
      <c r="BT18" s="41"/>
      <c r="BU18" s="44">
        <f t="shared" si="2"/>
        <v>1</v>
      </c>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row>
    <row r="19" spans="1:170" s="6" customFormat="1" ht="16.5" customHeight="1" x14ac:dyDescent="0.25">
      <c r="A19" s="179" t="s">
        <v>132</v>
      </c>
      <c r="B19" s="179" t="s">
        <v>133</v>
      </c>
      <c r="C19" s="27" t="s">
        <v>105</v>
      </c>
      <c r="D19" s="30" t="s">
        <v>134</v>
      </c>
      <c r="E19" s="28" t="s">
        <v>135</v>
      </c>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t="s">
        <v>102</v>
      </c>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41"/>
      <c r="BU19" s="44">
        <f t="shared" si="2"/>
        <v>1</v>
      </c>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row>
    <row r="20" spans="1:170" s="6" customFormat="1" ht="16.5" customHeight="1" x14ac:dyDescent="0.25">
      <c r="A20" s="179" t="s">
        <v>132</v>
      </c>
      <c r="B20" s="179" t="s">
        <v>133</v>
      </c>
      <c r="C20" s="27" t="s">
        <v>105</v>
      </c>
      <c r="D20" s="20" t="s">
        <v>136</v>
      </c>
      <c r="E20" s="20" t="s">
        <v>137</v>
      </c>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t="s">
        <v>102</v>
      </c>
      <c r="AX20" s="37"/>
      <c r="AY20" s="37"/>
      <c r="AZ20" s="37"/>
      <c r="BA20" s="37"/>
      <c r="BB20" s="37"/>
      <c r="BC20" s="37"/>
      <c r="BD20" s="37"/>
      <c r="BE20" s="37"/>
      <c r="BF20" s="37"/>
      <c r="BG20" s="37"/>
      <c r="BH20" s="37"/>
      <c r="BI20" s="37"/>
      <c r="BJ20" s="37"/>
      <c r="BK20" s="37"/>
      <c r="BL20" s="37"/>
      <c r="BM20" s="37"/>
      <c r="BN20" s="37"/>
      <c r="BO20" s="37"/>
      <c r="BP20" s="37"/>
      <c r="BQ20" s="37"/>
      <c r="BR20" s="37"/>
      <c r="BS20" s="37"/>
      <c r="BT20" s="41"/>
      <c r="BU20" s="44">
        <f t="shared" si="2"/>
        <v>1</v>
      </c>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row>
    <row r="21" spans="1:170" s="6" customFormat="1" ht="16.5" customHeight="1" x14ac:dyDescent="0.25">
      <c r="A21" s="179" t="s">
        <v>132</v>
      </c>
      <c r="B21" s="179" t="s">
        <v>133</v>
      </c>
      <c r="C21" s="27" t="s">
        <v>105</v>
      </c>
      <c r="D21" s="20" t="s">
        <v>138</v>
      </c>
      <c r="E21" s="20" t="s">
        <v>139</v>
      </c>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t="s">
        <v>102</v>
      </c>
      <c r="AX21" s="37"/>
      <c r="AY21" s="37"/>
      <c r="AZ21" s="37"/>
      <c r="BA21" s="37"/>
      <c r="BB21" s="37"/>
      <c r="BC21" s="37"/>
      <c r="BD21" s="37"/>
      <c r="BE21" s="37"/>
      <c r="BF21" s="37"/>
      <c r="BG21" s="37"/>
      <c r="BH21" s="37"/>
      <c r="BI21" s="37"/>
      <c r="BJ21" s="37"/>
      <c r="BK21" s="37"/>
      <c r="BL21" s="37"/>
      <c r="BM21" s="37"/>
      <c r="BN21" s="37"/>
      <c r="BO21" s="37"/>
      <c r="BP21" s="37"/>
      <c r="BQ21" s="37"/>
      <c r="BR21" s="37"/>
      <c r="BS21" s="37"/>
      <c r="BT21" s="41"/>
      <c r="BU21" s="44">
        <f t="shared" si="2"/>
        <v>1</v>
      </c>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row>
    <row r="22" spans="1:170" s="6" customFormat="1" x14ac:dyDescent="0.25">
      <c r="A22" s="179" t="s">
        <v>132</v>
      </c>
      <c r="B22" s="179" t="s">
        <v>133</v>
      </c>
      <c r="C22" s="27" t="s">
        <v>105</v>
      </c>
      <c r="D22" s="20" t="s">
        <v>140</v>
      </c>
      <c r="E22" s="20" t="s">
        <v>141</v>
      </c>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t="s">
        <v>102</v>
      </c>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9"/>
      <c r="BG22" s="37"/>
      <c r="BH22" s="37"/>
      <c r="BI22" s="37"/>
      <c r="BJ22" s="37"/>
      <c r="BK22" s="37"/>
      <c r="BL22" s="37"/>
      <c r="BM22" s="37"/>
      <c r="BN22" s="37"/>
      <c r="BO22" s="37"/>
      <c r="BP22" s="37"/>
      <c r="BQ22" s="37"/>
      <c r="BR22" s="37"/>
      <c r="BS22" s="37"/>
      <c r="BT22" s="41"/>
      <c r="BU22" s="44">
        <f t="shared" si="2"/>
        <v>1</v>
      </c>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row>
    <row r="23" spans="1:170" s="6" customFormat="1" ht="16.149999999999999" customHeight="1" x14ac:dyDescent="0.25">
      <c r="A23" s="179" t="s">
        <v>142</v>
      </c>
      <c r="B23" s="179" t="s">
        <v>143</v>
      </c>
      <c r="C23" s="17" t="s">
        <v>144</v>
      </c>
      <c r="D23" s="14" t="s">
        <v>2055</v>
      </c>
      <c r="E23" s="26" t="s">
        <v>145</v>
      </c>
      <c r="F23" s="37"/>
      <c r="G23" s="37"/>
      <c r="H23" s="37"/>
      <c r="I23" s="37" t="s">
        <v>102</v>
      </c>
      <c r="J23" s="39"/>
      <c r="K23" s="37"/>
      <c r="L23" s="37"/>
      <c r="M23" s="37"/>
      <c r="N23" s="37"/>
      <c r="O23" s="37"/>
      <c r="P23" s="37"/>
      <c r="Q23" s="37"/>
      <c r="R23" s="37"/>
      <c r="S23" s="37"/>
      <c r="T23" s="37"/>
      <c r="U23" s="37"/>
      <c r="V23" s="37"/>
      <c r="W23" s="37"/>
      <c r="X23" s="37"/>
      <c r="Y23" s="37"/>
      <c r="Z23" s="37"/>
      <c r="AA23" s="37"/>
      <c r="AB23" s="37"/>
      <c r="AC23" s="37"/>
      <c r="AD23" s="37"/>
      <c r="AE23" s="37"/>
      <c r="AF23" s="37"/>
      <c r="AG23" s="37" t="s">
        <v>102</v>
      </c>
      <c r="AH23" s="37"/>
      <c r="AI23" s="37"/>
      <c r="AJ23" s="37"/>
      <c r="AK23" s="37"/>
      <c r="AL23" s="37"/>
      <c r="AM23" s="37" t="s">
        <v>1650</v>
      </c>
      <c r="AN23" s="37"/>
      <c r="AO23" s="37"/>
      <c r="AP23" s="37"/>
      <c r="AQ23" s="37"/>
      <c r="AR23" s="37"/>
      <c r="AS23" s="37"/>
      <c r="AT23" s="37"/>
      <c r="AU23" s="37"/>
      <c r="AV23" s="37"/>
      <c r="AW23" s="37"/>
      <c r="AX23" s="37" t="s">
        <v>102</v>
      </c>
      <c r="AY23" s="37" t="s">
        <v>102</v>
      </c>
      <c r="AZ23" s="37" t="s">
        <v>102</v>
      </c>
      <c r="BA23" s="37"/>
      <c r="BB23" s="37" t="s">
        <v>102</v>
      </c>
      <c r="BC23" s="37" t="s">
        <v>102</v>
      </c>
      <c r="BD23" s="37" t="s">
        <v>102</v>
      </c>
      <c r="BE23" s="39"/>
      <c r="BF23" s="37" t="s">
        <v>1650</v>
      </c>
      <c r="BG23" s="37" t="s">
        <v>102</v>
      </c>
      <c r="BH23" s="37"/>
      <c r="BI23" s="37"/>
      <c r="BJ23" s="37"/>
      <c r="BK23" s="37"/>
      <c r="BL23" s="37"/>
      <c r="BM23" s="37"/>
      <c r="BN23" s="37"/>
      <c r="BO23" s="37"/>
      <c r="BP23" s="37"/>
      <c r="BQ23" s="37"/>
      <c r="BR23" s="37"/>
      <c r="BS23" s="37"/>
      <c r="BT23" s="41"/>
      <c r="BU23" s="44">
        <f t="shared" si="2"/>
        <v>9</v>
      </c>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row>
    <row r="24" spans="1:170" s="6" customFormat="1" ht="16.149999999999999" customHeight="1" x14ac:dyDescent="0.25">
      <c r="A24" s="179" t="s">
        <v>142</v>
      </c>
      <c r="B24" s="179" t="s">
        <v>143</v>
      </c>
      <c r="C24" s="17" t="s">
        <v>144</v>
      </c>
      <c r="D24" s="14" t="s">
        <v>2056</v>
      </c>
      <c r="E24" s="26" t="s">
        <v>146</v>
      </c>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t="s">
        <v>102</v>
      </c>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41"/>
      <c r="BU24" s="44">
        <f t="shared" si="2"/>
        <v>1</v>
      </c>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row>
    <row r="25" spans="1:170" s="6" customFormat="1" ht="16.5" customHeight="1" x14ac:dyDescent="0.25">
      <c r="A25" s="179" t="s">
        <v>142</v>
      </c>
      <c r="B25" s="179" t="s">
        <v>143</v>
      </c>
      <c r="C25" s="17" t="s">
        <v>144</v>
      </c>
      <c r="D25" s="14" t="s">
        <v>2057</v>
      </c>
      <c r="E25" s="26" t="s">
        <v>147</v>
      </c>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t="s">
        <v>102</v>
      </c>
      <c r="BA25" s="37"/>
      <c r="BB25" s="37"/>
      <c r="BC25" s="37"/>
      <c r="BD25" s="37"/>
      <c r="BE25" s="37"/>
      <c r="BF25" s="37"/>
      <c r="BG25" s="37"/>
      <c r="BH25" s="37"/>
      <c r="BI25" s="37"/>
      <c r="BJ25" s="37"/>
      <c r="BK25" s="37"/>
      <c r="BL25" s="37"/>
      <c r="BM25" s="37"/>
      <c r="BN25" s="37"/>
      <c r="BO25" s="37"/>
      <c r="BP25" s="37"/>
      <c r="BQ25" s="37"/>
      <c r="BR25" s="37"/>
      <c r="BS25" s="37"/>
      <c r="BT25" s="41"/>
      <c r="BU25" s="44">
        <f t="shared" si="2"/>
        <v>1</v>
      </c>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row>
    <row r="26" spans="1:170" s="6" customFormat="1" ht="16.5" customHeight="1" x14ac:dyDescent="0.25">
      <c r="A26" s="179" t="s">
        <v>142</v>
      </c>
      <c r="B26" s="179" t="s">
        <v>143</v>
      </c>
      <c r="C26" s="17" t="s">
        <v>148</v>
      </c>
      <c r="D26" s="14" t="s">
        <v>149</v>
      </c>
      <c r="E26" s="11" t="s">
        <v>150</v>
      </c>
      <c r="F26" s="37"/>
      <c r="G26" s="37"/>
      <c r="H26" s="37"/>
      <c r="I26" s="37"/>
      <c r="J26" s="37"/>
      <c r="K26" s="37"/>
      <c r="L26" s="37"/>
      <c r="M26" s="37"/>
      <c r="N26" s="37"/>
      <c r="O26" s="37"/>
      <c r="P26" s="37"/>
      <c r="Q26" s="37"/>
      <c r="R26" s="37"/>
      <c r="S26" s="37"/>
      <c r="T26" s="37"/>
      <c r="U26" s="37"/>
      <c r="V26" s="37"/>
      <c r="W26" s="37"/>
      <c r="X26" s="37"/>
      <c r="Y26" s="37"/>
      <c r="Z26" s="37"/>
      <c r="AA26" s="37"/>
      <c r="AB26" s="37" t="s">
        <v>116</v>
      </c>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t="s">
        <v>102</v>
      </c>
      <c r="BO26" s="37"/>
      <c r="BP26" s="37"/>
      <c r="BQ26" s="37"/>
      <c r="BR26" s="37"/>
      <c r="BS26" s="37"/>
      <c r="BT26" s="41"/>
      <c r="BU26" s="44">
        <f t="shared" si="2"/>
        <v>2</v>
      </c>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row>
    <row r="27" spans="1:170" s="6" customFormat="1" ht="16.149999999999999" customHeight="1" x14ac:dyDescent="0.25">
      <c r="A27" s="179" t="s">
        <v>142</v>
      </c>
      <c r="B27" s="179" t="s">
        <v>143</v>
      </c>
      <c r="C27" s="17" t="s">
        <v>148</v>
      </c>
      <c r="D27" s="16" t="s">
        <v>2058</v>
      </c>
      <c r="E27" s="16" t="s">
        <v>151</v>
      </c>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t="s">
        <v>102</v>
      </c>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41"/>
      <c r="BU27" s="44">
        <f t="shared" si="2"/>
        <v>1</v>
      </c>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row>
    <row r="28" spans="1:170" s="6" customFormat="1" ht="16.5" customHeight="1" x14ac:dyDescent="0.25">
      <c r="A28" s="179" t="s">
        <v>142</v>
      </c>
      <c r="B28" s="179" t="s">
        <v>143</v>
      </c>
      <c r="C28" s="17" t="s">
        <v>148</v>
      </c>
      <c r="D28" s="14" t="s">
        <v>152</v>
      </c>
      <c r="E28" s="11" t="s">
        <v>153</v>
      </c>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t="s">
        <v>102</v>
      </c>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41"/>
      <c r="BU28" s="44">
        <f t="shared" si="2"/>
        <v>1</v>
      </c>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row>
    <row r="29" spans="1:170" s="6" customFormat="1" ht="16.5" customHeight="1" x14ac:dyDescent="0.25">
      <c r="A29" s="179" t="s">
        <v>142</v>
      </c>
      <c r="B29" s="179" t="s">
        <v>154</v>
      </c>
      <c r="C29" s="17" t="s">
        <v>155</v>
      </c>
      <c r="D29" s="14" t="s">
        <v>2059</v>
      </c>
      <c r="E29" s="26" t="s">
        <v>156</v>
      </c>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t="s">
        <v>102</v>
      </c>
      <c r="BF29" s="37"/>
      <c r="BG29" s="37"/>
      <c r="BH29" s="37"/>
      <c r="BI29" s="37"/>
      <c r="BJ29" s="37"/>
      <c r="BK29" s="37"/>
      <c r="BL29" s="37"/>
      <c r="BM29" s="37"/>
      <c r="BN29" s="37"/>
      <c r="BO29" s="37"/>
      <c r="BP29" s="37"/>
      <c r="BQ29" s="37"/>
      <c r="BR29" s="37"/>
      <c r="BS29" s="37"/>
      <c r="BT29" s="41"/>
      <c r="BU29" s="44">
        <f t="shared" si="2"/>
        <v>1</v>
      </c>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row>
    <row r="30" spans="1:170" s="6" customFormat="1" ht="16.5" customHeight="1" x14ac:dyDescent="0.25">
      <c r="A30" s="179" t="s">
        <v>142</v>
      </c>
      <c r="B30" s="179" t="s">
        <v>154</v>
      </c>
      <c r="C30" s="34" t="s">
        <v>155</v>
      </c>
      <c r="D30" s="20" t="s">
        <v>2060</v>
      </c>
      <c r="E30" s="16" t="s">
        <v>157</v>
      </c>
      <c r="F30" s="37"/>
      <c r="G30" s="37"/>
      <c r="H30" s="37"/>
      <c r="I30" s="37"/>
      <c r="J30" s="37" t="s">
        <v>102</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41"/>
      <c r="BU30" s="44">
        <f t="shared" si="2"/>
        <v>1</v>
      </c>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row>
    <row r="31" spans="1:170" s="6" customFormat="1" ht="16.5" customHeight="1" x14ac:dyDescent="0.25">
      <c r="A31" s="179" t="s">
        <v>142</v>
      </c>
      <c r="B31" s="179" t="s">
        <v>154</v>
      </c>
      <c r="C31" s="34" t="s">
        <v>155</v>
      </c>
      <c r="D31" s="20" t="s">
        <v>2061</v>
      </c>
      <c r="E31" s="16" t="s">
        <v>158</v>
      </c>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t="s">
        <v>102</v>
      </c>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41"/>
      <c r="BU31" s="44">
        <f t="shared" si="2"/>
        <v>1</v>
      </c>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row>
    <row r="32" spans="1:170" s="6" customFormat="1" ht="16.5" customHeight="1" x14ac:dyDescent="0.25">
      <c r="A32" s="179" t="s">
        <v>142</v>
      </c>
      <c r="B32" s="179" t="s">
        <v>154</v>
      </c>
      <c r="C32" s="34" t="s">
        <v>159</v>
      </c>
      <c r="D32" s="20" t="s">
        <v>2062</v>
      </c>
      <c r="E32" s="16" t="s">
        <v>160</v>
      </c>
      <c r="F32" s="37"/>
      <c r="G32" s="37"/>
      <c r="H32" s="37"/>
      <c r="I32" s="37"/>
      <c r="J32" s="40"/>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t="s">
        <v>102</v>
      </c>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41"/>
      <c r="BU32" s="44">
        <f t="shared" si="2"/>
        <v>1</v>
      </c>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row>
    <row r="33" spans="1:170" s="6" customFormat="1" ht="16.5" customHeight="1" x14ac:dyDescent="0.25">
      <c r="A33" s="179" t="s">
        <v>142</v>
      </c>
      <c r="B33" s="179" t="s">
        <v>161</v>
      </c>
      <c r="C33" s="17" t="s">
        <v>162</v>
      </c>
      <c r="D33" s="22" t="s">
        <v>2063</v>
      </c>
      <c r="E33" s="23" t="s">
        <v>163</v>
      </c>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t="s">
        <v>102</v>
      </c>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41"/>
      <c r="BU33" s="44">
        <f t="shared" si="2"/>
        <v>1</v>
      </c>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row>
    <row r="34" spans="1:170" s="6" customFormat="1" ht="16.5" customHeight="1" x14ac:dyDescent="0.25">
      <c r="A34" s="179" t="s">
        <v>142</v>
      </c>
      <c r="B34" s="179" t="s">
        <v>161</v>
      </c>
      <c r="C34" s="17" t="s">
        <v>162</v>
      </c>
      <c r="D34" s="20" t="s">
        <v>2064</v>
      </c>
      <c r="E34" s="11" t="s">
        <v>165</v>
      </c>
      <c r="F34" s="37"/>
      <c r="G34" s="37"/>
      <c r="H34" s="37"/>
      <c r="I34" s="37" t="s">
        <v>102</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t="s">
        <v>102</v>
      </c>
      <c r="BP34" s="37"/>
      <c r="BQ34" s="37"/>
      <c r="BR34" s="37"/>
      <c r="BS34" s="37"/>
      <c r="BT34" s="41"/>
      <c r="BU34" s="44">
        <f t="shared" si="2"/>
        <v>2</v>
      </c>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row>
    <row r="35" spans="1:170" s="6" customFormat="1" ht="16.5" customHeight="1" x14ac:dyDescent="0.25">
      <c r="A35" s="179" t="s">
        <v>142</v>
      </c>
      <c r="B35" s="179" t="s">
        <v>166</v>
      </c>
      <c r="C35" s="17" t="s">
        <v>167</v>
      </c>
      <c r="D35" s="14" t="s">
        <v>2065</v>
      </c>
      <c r="E35" s="11" t="s">
        <v>168</v>
      </c>
      <c r="F35" s="37"/>
      <c r="G35" s="37"/>
      <c r="H35" s="37"/>
      <c r="I35" s="37"/>
      <c r="J35" s="37"/>
      <c r="K35" s="37"/>
      <c r="L35" s="37"/>
      <c r="M35" s="37"/>
      <c r="N35" s="37"/>
      <c r="O35" s="37"/>
      <c r="P35" s="37"/>
      <c r="Q35" s="37"/>
      <c r="R35" s="37"/>
      <c r="S35" s="37"/>
      <c r="T35" s="37"/>
      <c r="U35" s="37"/>
      <c r="V35" s="37"/>
      <c r="W35" s="37"/>
      <c r="X35" s="37" t="s">
        <v>102</v>
      </c>
      <c r="Y35" s="37" t="s">
        <v>102</v>
      </c>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41"/>
      <c r="BU35" s="44">
        <f t="shared" si="2"/>
        <v>2</v>
      </c>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row>
    <row r="36" spans="1:170" s="6" customFormat="1" ht="16.5" customHeight="1" x14ac:dyDescent="0.25">
      <c r="A36" s="179" t="s">
        <v>142</v>
      </c>
      <c r="B36" s="179" t="s">
        <v>169</v>
      </c>
      <c r="C36" s="17" t="s">
        <v>170</v>
      </c>
      <c r="D36" s="14" t="s">
        <v>2066</v>
      </c>
      <c r="E36" s="11" t="s">
        <v>171</v>
      </c>
      <c r="F36" s="37" t="s">
        <v>102</v>
      </c>
      <c r="G36" s="37" t="s">
        <v>102</v>
      </c>
      <c r="H36" s="37" t="s">
        <v>102</v>
      </c>
      <c r="I36" s="37" t="s">
        <v>102</v>
      </c>
      <c r="J36" s="37" t="s">
        <v>102</v>
      </c>
      <c r="K36" s="37"/>
      <c r="L36" s="37"/>
      <c r="M36" s="37"/>
      <c r="N36" s="37"/>
      <c r="O36" s="37"/>
      <c r="P36" s="37"/>
      <c r="Q36" s="37" t="s">
        <v>116</v>
      </c>
      <c r="R36" s="37"/>
      <c r="S36" s="37"/>
      <c r="T36" s="37" t="s">
        <v>116</v>
      </c>
      <c r="U36" s="37"/>
      <c r="V36" s="37"/>
      <c r="W36" s="37"/>
      <c r="X36" s="37"/>
      <c r="Y36" s="37"/>
      <c r="Z36" s="37"/>
      <c r="AA36" s="37"/>
      <c r="AB36" s="37"/>
      <c r="AC36" s="37"/>
      <c r="AD36" s="37" t="s">
        <v>102</v>
      </c>
      <c r="AE36" s="37"/>
      <c r="AF36" s="37"/>
      <c r="AG36" s="37" t="s">
        <v>102</v>
      </c>
      <c r="AH36" s="37" t="s">
        <v>102</v>
      </c>
      <c r="AI36" s="37" t="s">
        <v>102</v>
      </c>
      <c r="AJ36" s="37"/>
      <c r="AK36" s="37"/>
      <c r="AL36" s="37"/>
      <c r="AM36" s="37"/>
      <c r="AN36" s="37"/>
      <c r="AO36" s="37"/>
      <c r="AP36" s="37"/>
      <c r="AQ36" s="37"/>
      <c r="AR36" s="37"/>
      <c r="AS36" s="37"/>
      <c r="AT36" s="37"/>
      <c r="AU36" s="37"/>
      <c r="AV36" s="37"/>
      <c r="AW36" s="37"/>
      <c r="AX36" s="37"/>
      <c r="AY36" s="37"/>
      <c r="AZ36" s="37"/>
      <c r="BA36" s="37"/>
      <c r="BB36" s="37"/>
      <c r="BC36" s="37" t="s">
        <v>102</v>
      </c>
      <c r="BD36" s="37"/>
      <c r="BE36" s="37"/>
      <c r="BF36" s="37"/>
      <c r="BG36" s="37"/>
      <c r="BH36" s="37"/>
      <c r="BI36" s="37"/>
      <c r="BJ36" s="37"/>
      <c r="BK36" s="37" t="s">
        <v>102</v>
      </c>
      <c r="BL36" s="37" t="s">
        <v>102</v>
      </c>
      <c r="BM36" s="37" t="s">
        <v>102</v>
      </c>
      <c r="BN36" s="37" t="s">
        <v>102</v>
      </c>
      <c r="BO36" s="37" t="s">
        <v>102</v>
      </c>
      <c r="BP36" s="37" t="s">
        <v>116</v>
      </c>
      <c r="BQ36" s="37" t="s">
        <v>102</v>
      </c>
      <c r="BR36" s="37" t="s">
        <v>102</v>
      </c>
      <c r="BS36" s="37"/>
      <c r="BT36" s="41"/>
      <c r="BU36" s="44">
        <f t="shared" si="2"/>
        <v>20</v>
      </c>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row>
    <row r="37" spans="1:170" s="6" customFormat="1" ht="16.5" customHeight="1" x14ac:dyDescent="0.25">
      <c r="A37" s="179" t="s">
        <v>142</v>
      </c>
      <c r="B37" s="17" t="s">
        <v>105</v>
      </c>
      <c r="C37" s="27" t="s">
        <v>105</v>
      </c>
      <c r="D37" s="70" t="s">
        <v>2067</v>
      </c>
      <c r="E37" s="74" t="s">
        <v>468</v>
      </c>
      <c r="F37" s="37"/>
      <c r="G37" s="37"/>
      <c r="H37" s="37"/>
      <c r="I37" s="37"/>
      <c r="J37" s="37"/>
      <c r="K37" s="37"/>
      <c r="L37" s="37"/>
      <c r="M37" s="37"/>
      <c r="N37" s="37"/>
      <c r="O37" s="37"/>
      <c r="P37" s="37"/>
      <c r="Q37" s="37"/>
      <c r="R37" s="37" t="s">
        <v>102</v>
      </c>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t="s">
        <v>102</v>
      </c>
      <c r="BC37" s="37" t="s">
        <v>102</v>
      </c>
      <c r="BD37" s="37" t="s">
        <v>102</v>
      </c>
      <c r="BE37" s="37"/>
      <c r="BF37" s="37"/>
      <c r="BG37" s="37"/>
      <c r="BH37" s="37"/>
      <c r="BI37" s="37"/>
      <c r="BJ37" s="37"/>
      <c r="BK37" s="37"/>
      <c r="BL37" s="37"/>
      <c r="BM37" s="37"/>
      <c r="BN37" s="37"/>
      <c r="BO37" s="37"/>
      <c r="BP37" s="37"/>
      <c r="BQ37" s="37"/>
      <c r="BR37" s="37"/>
      <c r="BS37" s="37"/>
      <c r="BT37" s="41"/>
      <c r="BU37" s="44">
        <f t="shared" si="2"/>
        <v>4</v>
      </c>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row>
    <row r="38" spans="1:170" s="6" customFormat="1" ht="16.5" customHeight="1" x14ac:dyDescent="0.25">
      <c r="A38" s="179" t="s">
        <v>142</v>
      </c>
      <c r="B38" s="179" t="s">
        <v>169</v>
      </c>
      <c r="C38" s="17" t="s">
        <v>170</v>
      </c>
      <c r="D38" s="16" t="s">
        <v>173</v>
      </c>
      <c r="E38" s="16" t="s">
        <v>174</v>
      </c>
      <c r="F38" s="37"/>
      <c r="G38" s="37"/>
      <c r="H38" s="37"/>
      <c r="I38" s="37"/>
      <c r="J38" s="37"/>
      <c r="K38" s="37"/>
      <c r="L38" s="37"/>
      <c r="M38" s="37"/>
      <c r="N38" s="37"/>
      <c r="O38" s="37"/>
      <c r="P38" s="37"/>
      <c r="Q38" s="37"/>
      <c r="R38" s="37"/>
      <c r="S38" s="37"/>
      <c r="T38" s="37"/>
      <c r="U38" s="37"/>
      <c r="V38" s="37"/>
      <c r="W38" s="37"/>
      <c r="X38" s="37"/>
      <c r="Y38" s="37" t="s">
        <v>102</v>
      </c>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41"/>
      <c r="BU38" s="44">
        <f t="shared" ref="BU38:BU69" si="3">COUNTIF(F38:BT38,"A")+COUNTIF(F38:BT38,"B")</f>
        <v>1</v>
      </c>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row>
    <row r="39" spans="1:170" s="6" customFormat="1" ht="16.5" customHeight="1" x14ac:dyDescent="0.25">
      <c r="A39" s="179" t="s">
        <v>175</v>
      </c>
      <c r="B39" s="179" t="s">
        <v>183</v>
      </c>
      <c r="C39" s="27" t="s">
        <v>105</v>
      </c>
      <c r="D39" s="30" t="s">
        <v>184</v>
      </c>
      <c r="E39" s="28" t="s">
        <v>185</v>
      </c>
      <c r="F39" s="37"/>
      <c r="G39" s="37"/>
      <c r="H39" s="37"/>
      <c r="I39" s="37"/>
      <c r="J39" s="37"/>
      <c r="K39" s="37"/>
      <c r="L39" s="37"/>
      <c r="M39" s="37"/>
      <c r="N39" s="37" t="s">
        <v>102</v>
      </c>
      <c r="O39" s="37" t="s">
        <v>1650</v>
      </c>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41"/>
      <c r="BU39" s="44">
        <f>COUNTIF(F39:BT39,"A")+COUNTIF(F39:BT39,"B")</f>
        <v>1</v>
      </c>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row>
    <row r="40" spans="1:170" s="6" customFormat="1" ht="16.5" customHeight="1" x14ac:dyDescent="0.25">
      <c r="A40" s="179" t="s">
        <v>175</v>
      </c>
      <c r="B40" s="179" t="s">
        <v>176</v>
      </c>
      <c r="C40" s="17" t="s">
        <v>177</v>
      </c>
      <c r="D40" s="29" t="s">
        <v>2068</v>
      </c>
      <c r="E40" s="27" t="s">
        <v>178</v>
      </c>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t="s">
        <v>102</v>
      </c>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41"/>
      <c r="BU40" s="44">
        <f t="shared" si="3"/>
        <v>1</v>
      </c>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row>
    <row r="41" spans="1:170" s="6" customFormat="1" ht="16.5" customHeight="1" x14ac:dyDescent="0.25">
      <c r="A41" s="179" t="s">
        <v>175</v>
      </c>
      <c r="B41" s="179" t="s">
        <v>176</v>
      </c>
      <c r="C41" s="17" t="s">
        <v>177</v>
      </c>
      <c r="D41" s="29" t="s">
        <v>179</v>
      </c>
      <c r="E41" s="27" t="s">
        <v>180</v>
      </c>
      <c r="F41" s="37"/>
      <c r="G41" s="37" t="s">
        <v>102</v>
      </c>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t="s">
        <v>102</v>
      </c>
      <c r="BI41" s="37"/>
      <c r="BJ41" s="37"/>
      <c r="BK41" s="37"/>
      <c r="BL41" s="37"/>
      <c r="BM41" s="37"/>
      <c r="BN41" s="37"/>
      <c r="BO41" s="37"/>
      <c r="BP41" s="37"/>
      <c r="BQ41" s="37"/>
      <c r="BR41" s="37" t="s">
        <v>102</v>
      </c>
      <c r="BS41" s="37" t="s">
        <v>102</v>
      </c>
      <c r="BT41" s="41"/>
      <c r="BU41" s="44">
        <f t="shared" si="3"/>
        <v>4</v>
      </c>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row>
    <row r="42" spans="1:170" s="6" customFormat="1" ht="16.149999999999999" customHeight="1" x14ac:dyDescent="0.25">
      <c r="A42" s="179" t="s">
        <v>175</v>
      </c>
      <c r="B42" s="179" t="s">
        <v>176</v>
      </c>
      <c r="C42" s="17" t="s">
        <v>181</v>
      </c>
      <c r="D42" s="16" t="s">
        <v>2069</v>
      </c>
      <c r="E42" s="16" t="s">
        <v>182</v>
      </c>
      <c r="F42" s="37"/>
      <c r="G42" s="37" t="s">
        <v>102</v>
      </c>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41"/>
      <c r="BU42" s="44">
        <f t="shared" si="3"/>
        <v>1</v>
      </c>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row>
    <row r="43" spans="1:170" s="6" customFormat="1" ht="16.5" customHeight="1" x14ac:dyDescent="0.25">
      <c r="A43" s="179" t="s">
        <v>175</v>
      </c>
      <c r="B43" s="179" t="s">
        <v>176</v>
      </c>
      <c r="C43" s="17" t="s">
        <v>186</v>
      </c>
      <c r="D43" s="16" t="s">
        <v>187</v>
      </c>
      <c r="E43" s="16" t="s">
        <v>188</v>
      </c>
      <c r="F43" s="37"/>
      <c r="G43" s="37"/>
      <c r="H43" s="37"/>
      <c r="I43" s="37"/>
      <c r="J43" s="37"/>
      <c r="K43" s="37"/>
      <c r="L43" s="37"/>
      <c r="M43" s="37"/>
      <c r="N43" s="37"/>
      <c r="O43" s="37"/>
      <c r="P43" s="37"/>
      <c r="Q43" s="37"/>
      <c r="R43" s="37"/>
      <c r="S43" s="37"/>
      <c r="T43" s="37"/>
      <c r="U43" s="37"/>
      <c r="V43" s="37"/>
      <c r="W43" s="37"/>
      <c r="X43" s="37"/>
      <c r="Y43" s="37"/>
      <c r="Z43" s="37"/>
      <c r="AA43" s="37"/>
      <c r="AB43" s="37" t="s">
        <v>102</v>
      </c>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41"/>
      <c r="BU43" s="44">
        <f t="shared" si="3"/>
        <v>1</v>
      </c>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row>
    <row r="44" spans="1:170" s="6" customFormat="1" ht="16.5" customHeight="1" x14ac:dyDescent="0.25">
      <c r="A44" s="179" t="s">
        <v>175</v>
      </c>
      <c r="B44" s="179" t="s">
        <v>176</v>
      </c>
      <c r="C44" s="17" t="s">
        <v>181</v>
      </c>
      <c r="D44" s="16" t="s">
        <v>2070</v>
      </c>
      <c r="E44" s="16" t="s">
        <v>189</v>
      </c>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t="s">
        <v>102</v>
      </c>
      <c r="AK44" s="37"/>
      <c r="AL44" s="37"/>
      <c r="AM44" s="37"/>
      <c r="AN44" s="37" t="s">
        <v>102</v>
      </c>
      <c r="AO44" s="37"/>
      <c r="AP44" s="37"/>
      <c r="AQ44" s="37"/>
      <c r="AR44" s="37"/>
      <c r="AS44" s="37"/>
      <c r="AT44" s="37"/>
      <c r="AU44" s="37"/>
      <c r="AV44" s="37"/>
      <c r="AW44" s="37"/>
      <c r="AX44" s="37" t="s">
        <v>102</v>
      </c>
      <c r="AY44" s="37" t="s">
        <v>102</v>
      </c>
      <c r="AZ44" s="37" t="s">
        <v>102</v>
      </c>
      <c r="BA44" s="37"/>
      <c r="BB44" s="37"/>
      <c r="BC44" s="37"/>
      <c r="BD44" s="37"/>
      <c r="BE44" s="37"/>
      <c r="BF44" s="37"/>
      <c r="BG44" s="37"/>
      <c r="BH44" s="37"/>
      <c r="BI44" s="37"/>
      <c r="BJ44" s="37"/>
      <c r="BK44" s="37"/>
      <c r="BL44" s="37"/>
      <c r="BM44" s="37"/>
      <c r="BN44" s="37"/>
      <c r="BO44" s="37"/>
      <c r="BP44" s="37"/>
      <c r="BQ44" s="37"/>
      <c r="BR44" s="37"/>
      <c r="BS44" s="37"/>
      <c r="BT44" s="41"/>
      <c r="BU44" s="44">
        <f t="shared" si="3"/>
        <v>5</v>
      </c>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row>
    <row r="45" spans="1:170" s="6" customFormat="1" ht="16.5" customHeight="1" x14ac:dyDescent="0.25">
      <c r="A45" s="179" t="s">
        <v>175</v>
      </c>
      <c r="B45" s="179" t="s">
        <v>176</v>
      </c>
      <c r="C45" s="17" t="s">
        <v>181</v>
      </c>
      <c r="D45" s="16" t="s">
        <v>190</v>
      </c>
      <c r="E45" s="16" t="s">
        <v>191</v>
      </c>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t="s">
        <v>102</v>
      </c>
      <c r="AQ45" s="37"/>
      <c r="AR45" s="37"/>
      <c r="AS45" s="37"/>
      <c r="AT45" s="37"/>
      <c r="AU45" s="37"/>
      <c r="AV45" s="37"/>
      <c r="AW45" s="37"/>
      <c r="AX45" s="37"/>
      <c r="AY45" s="37"/>
      <c r="AZ45" s="37"/>
      <c r="BA45" s="37" t="s">
        <v>102</v>
      </c>
      <c r="BB45" s="37"/>
      <c r="BC45" s="37"/>
      <c r="BD45" s="37"/>
      <c r="BE45" s="37"/>
      <c r="BF45" s="37"/>
      <c r="BG45" s="37"/>
      <c r="BH45" s="37"/>
      <c r="BI45" s="37"/>
      <c r="BJ45" s="37"/>
      <c r="BK45" s="37"/>
      <c r="BL45" s="37"/>
      <c r="BM45" s="37"/>
      <c r="BN45" s="37"/>
      <c r="BO45" s="37"/>
      <c r="BP45" s="37"/>
      <c r="BQ45" s="37"/>
      <c r="BR45" s="37"/>
      <c r="BS45" s="37"/>
      <c r="BT45" s="41"/>
      <c r="BU45" s="44">
        <f t="shared" si="3"/>
        <v>2</v>
      </c>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row>
    <row r="46" spans="1:170" s="6" customFormat="1" ht="16.5" customHeight="1" x14ac:dyDescent="0.25">
      <c r="A46" s="179" t="s">
        <v>175</v>
      </c>
      <c r="B46" s="179" t="s">
        <v>176</v>
      </c>
      <c r="C46" s="17" t="s">
        <v>186</v>
      </c>
      <c r="D46" s="16" t="s">
        <v>192</v>
      </c>
      <c r="E46" s="16" t="s">
        <v>193</v>
      </c>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t="s">
        <v>102</v>
      </c>
      <c r="BF46" s="37"/>
      <c r="BG46" s="37"/>
      <c r="BH46" s="37"/>
      <c r="BI46" s="37"/>
      <c r="BJ46" s="37"/>
      <c r="BK46" s="37"/>
      <c r="BL46" s="37"/>
      <c r="BM46" s="37"/>
      <c r="BN46" s="37"/>
      <c r="BO46" s="37"/>
      <c r="BP46" s="37"/>
      <c r="BQ46" s="37"/>
      <c r="BR46" s="37"/>
      <c r="BS46" s="37"/>
      <c r="BT46" s="41"/>
      <c r="BU46" s="44">
        <f t="shared" si="3"/>
        <v>1</v>
      </c>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row>
    <row r="47" spans="1:170" s="6" customFormat="1" ht="16.5" customHeight="1" x14ac:dyDescent="0.25">
      <c r="A47" s="179" t="s">
        <v>175</v>
      </c>
      <c r="B47" s="179" t="s">
        <v>176</v>
      </c>
      <c r="C47" s="17" t="s">
        <v>181</v>
      </c>
      <c r="D47" s="16" t="s">
        <v>194</v>
      </c>
      <c r="E47" s="16" t="s">
        <v>182</v>
      </c>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t="s">
        <v>102</v>
      </c>
      <c r="BK47" s="37"/>
      <c r="BL47" s="37"/>
      <c r="BM47" s="37"/>
      <c r="BN47" s="37"/>
      <c r="BO47" s="37"/>
      <c r="BP47" s="37"/>
      <c r="BQ47" s="37"/>
      <c r="BR47" s="37"/>
      <c r="BS47" s="37"/>
      <c r="BT47" s="41" t="s">
        <v>102</v>
      </c>
      <c r="BU47" s="44">
        <f t="shared" si="3"/>
        <v>2</v>
      </c>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row>
    <row r="48" spans="1:170" s="6" customFormat="1" ht="16.5" customHeight="1" x14ac:dyDescent="0.25">
      <c r="A48" s="179" t="s">
        <v>175</v>
      </c>
      <c r="B48" s="179" t="s">
        <v>176</v>
      </c>
      <c r="C48" s="17" t="s">
        <v>186</v>
      </c>
      <c r="D48" s="16" t="s">
        <v>195</v>
      </c>
      <c r="E48" s="16" t="s">
        <v>196</v>
      </c>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t="s">
        <v>102</v>
      </c>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41"/>
      <c r="BU48" s="44">
        <f t="shared" si="3"/>
        <v>1</v>
      </c>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row>
    <row r="49" spans="1:170" s="6" customFormat="1" ht="16.5" customHeight="1" x14ac:dyDescent="0.25">
      <c r="A49" s="179" t="s">
        <v>175</v>
      </c>
      <c r="B49" s="179" t="s">
        <v>176</v>
      </c>
      <c r="C49" s="17" t="s">
        <v>186</v>
      </c>
      <c r="D49" s="16" t="s">
        <v>197</v>
      </c>
      <c r="E49" s="16" t="s">
        <v>198</v>
      </c>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t="s">
        <v>102</v>
      </c>
      <c r="BK49" s="37"/>
      <c r="BL49" s="37"/>
      <c r="BM49" s="37"/>
      <c r="BN49" s="37"/>
      <c r="BO49" s="37"/>
      <c r="BP49" s="37"/>
      <c r="BQ49" s="37"/>
      <c r="BR49" s="37"/>
      <c r="BS49" s="37"/>
      <c r="BT49" s="41"/>
      <c r="BU49" s="44">
        <f t="shared" si="3"/>
        <v>1</v>
      </c>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row>
    <row r="50" spans="1:170" s="6" customFormat="1" ht="16.5" customHeight="1" x14ac:dyDescent="0.25">
      <c r="A50" s="179" t="s">
        <v>175</v>
      </c>
      <c r="B50" s="179" t="s">
        <v>176</v>
      </c>
      <c r="C50" s="17" t="s">
        <v>177</v>
      </c>
      <c r="D50" s="16" t="s">
        <v>2071</v>
      </c>
      <c r="E50" s="16" t="s">
        <v>199</v>
      </c>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t="s">
        <v>102</v>
      </c>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41"/>
      <c r="BU50" s="44">
        <f t="shared" si="3"/>
        <v>1</v>
      </c>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row>
    <row r="51" spans="1:170" s="6" customFormat="1" ht="16.5" customHeight="1" x14ac:dyDescent="0.25">
      <c r="A51" s="179" t="s">
        <v>200</v>
      </c>
      <c r="B51" s="179" t="s">
        <v>201</v>
      </c>
      <c r="C51" s="17" t="s">
        <v>202</v>
      </c>
      <c r="D51" s="20" t="s">
        <v>2072</v>
      </c>
      <c r="E51" s="16" t="s">
        <v>203</v>
      </c>
      <c r="F51" s="37"/>
      <c r="G51" s="37"/>
      <c r="H51" s="37"/>
      <c r="I51" s="37"/>
      <c r="J51" s="37"/>
      <c r="K51" s="37"/>
      <c r="L51" s="37"/>
      <c r="M51" s="37"/>
      <c r="N51" s="37"/>
      <c r="O51" s="37"/>
      <c r="P51" s="37"/>
      <c r="Q51" s="37"/>
      <c r="R51" s="37"/>
      <c r="S51" s="37"/>
      <c r="T51" s="37"/>
      <c r="U51" s="37"/>
      <c r="V51" s="37"/>
      <c r="W51" s="37" t="s">
        <v>204</v>
      </c>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t="s">
        <v>102</v>
      </c>
      <c r="AX51" s="37"/>
      <c r="AY51" s="37"/>
      <c r="AZ51" s="37"/>
      <c r="BA51" s="37"/>
      <c r="BB51" s="37"/>
      <c r="BC51" s="37"/>
      <c r="BD51" s="37"/>
      <c r="BE51" s="37"/>
      <c r="BF51" s="37"/>
      <c r="BG51" s="37"/>
      <c r="BH51" s="37"/>
      <c r="BI51" s="37"/>
      <c r="BJ51" s="37"/>
      <c r="BK51" s="37"/>
      <c r="BL51" s="37"/>
      <c r="BM51" s="37"/>
      <c r="BN51" s="37"/>
      <c r="BO51" s="37"/>
      <c r="BP51" s="37"/>
      <c r="BQ51" s="37"/>
      <c r="BR51" s="37"/>
      <c r="BS51" s="37"/>
      <c r="BT51" s="41"/>
      <c r="BU51" s="44">
        <f t="shared" si="3"/>
        <v>1</v>
      </c>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row>
    <row r="52" spans="1:170" s="6" customFormat="1" ht="16.5" customHeight="1" x14ac:dyDescent="0.25">
      <c r="A52" s="179" t="s">
        <v>200</v>
      </c>
      <c r="B52" s="179" t="s">
        <v>201</v>
      </c>
      <c r="C52" s="17" t="s">
        <v>205</v>
      </c>
      <c r="D52" s="20" t="s">
        <v>2073</v>
      </c>
      <c r="E52" s="16" t="s">
        <v>206</v>
      </c>
      <c r="F52" s="37"/>
      <c r="G52" s="37"/>
      <c r="H52" s="37"/>
      <c r="I52" s="37"/>
      <c r="J52" s="37"/>
      <c r="K52" s="37"/>
      <c r="L52" s="37"/>
      <c r="M52" s="37"/>
      <c r="N52" s="37"/>
      <c r="O52" s="37"/>
      <c r="P52" s="37"/>
      <c r="Q52" s="37"/>
      <c r="R52" s="37"/>
      <c r="S52" s="37"/>
      <c r="T52" s="37"/>
      <c r="U52" s="37"/>
      <c r="V52" s="37"/>
      <c r="W52" s="37" t="s">
        <v>204</v>
      </c>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t="s">
        <v>102</v>
      </c>
      <c r="AX52" s="37"/>
      <c r="AY52" s="37"/>
      <c r="AZ52" s="37"/>
      <c r="BA52" s="37"/>
      <c r="BB52" s="37"/>
      <c r="BC52" s="37"/>
      <c r="BD52" s="37"/>
      <c r="BE52" s="37"/>
      <c r="BF52" s="37"/>
      <c r="BG52" s="37"/>
      <c r="BH52" s="37"/>
      <c r="BI52" s="37"/>
      <c r="BJ52" s="37"/>
      <c r="BK52" s="37"/>
      <c r="BL52" s="37"/>
      <c r="BM52" s="37"/>
      <c r="BN52" s="37"/>
      <c r="BO52" s="37"/>
      <c r="BP52" s="37"/>
      <c r="BQ52" s="37"/>
      <c r="BR52" s="37"/>
      <c r="BS52" s="37"/>
      <c r="BT52" s="41"/>
      <c r="BU52" s="44">
        <f t="shared" si="3"/>
        <v>1</v>
      </c>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row>
    <row r="53" spans="1:170" s="6" customFormat="1" ht="16.5" customHeight="1" x14ac:dyDescent="0.25">
      <c r="A53" s="179" t="s">
        <v>207</v>
      </c>
      <c r="B53" s="179" t="s">
        <v>208</v>
      </c>
      <c r="C53" s="17" t="s">
        <v>209</v>
      </c>
      <c r="D53" s="29" t="s">
        <v>2074</v>
      </c>
      <c r="E53" s="31" t="s">
        <v>210</v>
      </c>
      <c r="F53" s="37" t="s">
        <v>102</v>
      </c>
      <c r="G53" s="37" t="s">
        <v>102</v>
      </c>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t="s">
        <v>102</v>
      </c>
      <c r="AH53" s="37" t="s">
        <v>102</v>
      </c>
      <c r="AI53" s="37"/>
      <c r="AJ53" s="37" t="s">
        <v>102</v>
      </c>
      <c r="AK53" s="37" t="s">
        <v>102</v>
      </c>
      <c r="AL53" s="37" t="s">
        <v>102</v>
      </c>
      <c r="AM53" s="37"/>
      <c r="AN53" s="37"/>
      <c r="AO53" s="37"/>
      <c r="AP53" s="37"/>
      <c r="AQ53" s="37"/>
      <c r="AR53" s="37" t="s">
        <v>102</v>
      </c>
      <c r="AS53" s="37"/>
      <c r="AT53" s="37"/>
      <c r="AU53" s="37"/>
      <c r="AV53" s="37"/>
      <c r="AW53" s="37"/>
      <c r="AX53" s="37" t="s">
        <v>102</v>
      </c>
      <c r="AY53" s="37" t="s">
        <v>102</v>
      </c>
      <c r="AZ53" s="37" t="s">
        <v>102</v>
      </c>
      <c r="BA53" s="37" t="s">
        <v>102</v>
      </c>
      <c r="BB53" s="37" t="s">
        <v>102</v>
      </c>
      <c r="BC53" s="37" t="s">
        <v>102</v>
      </c>
      <c r="BD53" s="37" t="s">
        <v>102</v>
      </c>
      <c r="BE53" s="37"/>
      <c r="BF53" s="37" t="s">
        <v>102</v>
      </c>
      <c r="BG53" s="37" t="s">
        <v>102</v>
      </c>
      <c r="BH53" s="37" t="s">
        <v>102</v>
      </c>
      <c r="BI53" s="37" t="s">
        <v>102</v>
      </c>
      <c r="BJ53" s="37"/>
      <c r="BK53" s="37" t="s">
        <v>102</v>
      </c>
      <c r="BL53" s="37" t="s">
        <v>102</v>
      </c>
      <c r="BM53" s="37" t="s">
        <v>102</v>
      </c>
      <c r="BN53" s="37"/>
      <c r="BO53" s="37"/>
      <c r="BP53" s="37"/>
      <c r="BQ53" s="37"/>
      <c r="BR53" s="37"/>
      <c r="BS53" s="37" t="s">
        <v>102</v>
      </c>
      <c r="BT53" s="41"/>
      <c r="BU53" s="44">
        <f t="shared" si="3"/>
        <v>23</v>
      </c>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row>
    <row r="54" spans="1:170" s="6" customFormat="1" ht="16.5" customHeight="1" x14ac:dyDescent="0.25">
      <c r="A54" s="179" t="s">
        <v>207</v>
      </c>
      <c r="B54" s="179" t="s">
        <v>208</v>
      </c>
      <c r="C54" s="17" t="s">
        <v>209</v>
      </c>
      <c r="D54" s="29" t="s">
        <v>2075</v>
      </c>
      <c r="E54" s="27" t="s">
        <v>211</v>
      </c>
      <c r="F54" s="37"/>
      <c r="G54" s="37"/>
      <c r="H54" s="37"/>
      <c r="I54" s="37"/>
      <c r="J54" s="37"/>
      <c r="K54" s="37"/>
      <c r="L54" s="37"/>
      <c r="M54" s="37"/>
      <c r="N54" s="37"/>
      <c r="O54" s="37"/>
      <c r="P54" s="37"/>
      <c r="Q54" s="37"/>
      <c r="R54" s="37"/>
      <c r="S54" s="37"/>
      <c r="T54" s="37"/>
      <c r="U54" s="37"/>
      <c r="V54" s="37"/>
      <c r="W54" s="37"/>
      <c r="X54" s="37"/>
      <c r="Y54" s="37"/>
      <c r="Z54" s="37"/>
      <c r="AA54" s="37"/>
      <c r="AB54" s="37" t="s">
        <v>102</v>
      </c>
      <c r="AC54" s="37"/>
      <c r="AD54" s="37"/>
      <c r="AE54" s="37" t="s">
        <v>102</v>
      </c>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t="s">
        <v>102</v>
      </c>
      <c r="BF54" s="37"/>
      <c r="BG54" s="37"/>
      <c r="BH54" s="37"/>
      <c r="BI54" s="37"/>
      <c r="BJ54" s="37"/>
      <c r="BK54" s="37"/>
      <c r="BL54" s="37"/>
      <c r="BM54" s="37"/>
      <c r="BN54" s="37"/>
      <c r="BO54" s="37"/>
      <c r="BP54" s="37"/>
      <c r="BQ54" s="37"/>
      <c r="BR54" s="37"/>
      <c r="BS54" s="37"/>
      <c r="BT54" s="41"/>
      <c r="BU54" s="44">
        <f t="shared" si="3"/>
        <v>3</v>
      </c>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row>
    <row r="55" spans="1:170" s="6" customFormat="1" ht="16.5" customHeight="1" x14ac:dyDescent="0.25">
      <c r="A55" s="179" t="s">
        <v>207</v>
      </c>
      <c r="B55" s="179" t="s">
        <v>208</v>
      </c>
      <c r="C55" s="17" t="s">
        <v>209</v>
      </c>
      <c r="D55" s="29" t="s">
        <v>2076</v>
      </c>
      <c r="E55" s="27" t="s">
        <v>212</v>
      </c>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t="s">
        <v>102</v>
      </c>
      <c r="AX55" s="37"/>
      <c r="AY55" s="37"/>
      <c r="AZ55" s="37"/>
      <c r="BA55" s="37" t="s">
        <v>102</v>
      </c>
      <c r="BB55" s="37"/>
      <c r="BC55" s="37"/>
      <c r="BD55" s="37"/>
      <c r="BE55" s="37"/>
      <c r="BF55" s="37"/>
      <c r="BG55" s="37"/>
      <c r="BH55" s="37"/>
      <c r="BI55" s="37"/>
      <c r="BJ55" s="37"/>
      <c r="BK55" s="37"/>
      <c r="BL55" s="37"/>
      <c r="BM55" s="37"/>
      <c r="BN55" s="37"/>
      <c r="BO55" s="37"/>
      <c r="BP55" s="37"/>
      <c r="BQ55" s="37"/>
      <c r="BR55" s="37"/>
      <c r="BS55" s="37"/>
      <c r="BT55" s="41"/>
      <c r="BU55" s="44">
        <f t="shared" si="3"/>
        <v>2</v>
      </c>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row>
    <row r="56" spans="1:170" s="6" customFormat="1" ht="16.5" customHeight="1" x14ac:dyDescent="0.25">
      <c r="A56" s="179" t="s">
        <v>207</v>
      </c>
      <c r="B56" s="179" t="s">
        <v>208</v>
      </c>
      <c r="C56" s="17" t="s">
        <v>209</v>
      </c>
      <c r="D56" s="29" t="s">
        <v>213</v>
      </c>
      <c r="E56" s="27" t="s">
        <v>214</v>
      </c>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t="s">
        <v>102</v>
      </c>
      <c r="BA56" s="37"/>
      <c r="BB56" s="37"/>
      <c r="BC56" s="37"/>
      <c r="BD56" s="37"/>
      <c r="BE56" s="37"/>
      <c r="BF56" s="37"/>
      <c r="BG56" s="37"/>
      <c r="BH56" s="37"/>
      <c r="BI56" s="37"/>
      <c r="BJ56" s="37"/>
      <c r="BK56" s="37"/>
      <c r="BL56" s="37"/>
      <c r="BM56" s="37"/>
      <c r="BN56" s="37"/>
      <c r="BO56" s="37"/>
      <c r="BP56" s="37"/>
      <c r="BQ56" s="37"/>
      <c r="BR56" s="37"/>
      <c r="BS56" s="37"/>
      <c r="BT56" s="41"/>
      <c r="BU56" s="44">
        <f t="shared" si="3"/>
        <v>1</v>
      </c>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row>
    <row r="57" spans="1:170" s="6" customFormat="1" ht="16.5" customHeight="1" x14ac:dyDescent="0.25">
      <c r="A57" s="179" t="s">
        <v>207</v>
      </c>
      <c r="B57" s="179" t="s">
        <v>208</v>
      </c>
      <c r="C57" s="17" t="s">
        <v>209</v>
      </c>
      <c r="D57" s="29" t="s">
        <v>2077</v>
      </c>
      <c r="E57" s="27" t="s">
        <v>215</v>
      </c>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t="s">
        <v>102</v>
      </c>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9"/>
      <c r="BU57" s="44">
        <f t="shared" si="3"/>
        <v>1</v>
      </c>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row>
    <row r="58" spans="1:170" s="6" customFormat="1" ht="16.5" customHeight="1" x14ac:dyDescent="0.25">
      <c r="A58" s="179" t="s">
        <v>207</v>
      </c>
      <c r="B58" s="179" t="s">
        <v>208</v>
      </c>
      <c r="C58" s="17" t="s">
        <v>216</v>
      </c>
      <c r="D58" s="29" t="s">
        <v>2163</v>
      </c>
      <c r="E58" s="12" t="s">
        <v>2168</v>
      </c>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41" t="s">
        <v>102</v>
      </c>
      <c r="BU58" s="44">
        <f t="shared" si="3"/>
        <v>1</v>
      </c>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row>
    <row r="59" spans="1:170" s="6" customFormat="1" ht="16.5" customHeight="1" x14ac:dyDescent="0.25">
      <c r="A59" s="179" t="s">
        <v>207</v>
      </c>
      <c r="B59" s="179" t="s">
        <v>208</v>
      </c>
      <c r="C59" s="17" t="s">
        <v>216</v>
      </c>
      <c r="D59" s="26" t="s">
        <v>2164</v>
      </c>
      <c r="E59" s="26" t="s">
        <v>2167</v>
      </c>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41" t="s">
        <v>102</v>
      </c>
      <c r="BU59" s="44">
        <f>COUNTIF(F59:BT59,"A")+COUNTIF(F59:BT59,"B")</f>
        <v>1</v>
      </c>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row>
    <row r="60" spans="1:170" s="6" customFormat="1" ht="16.5" customHeight="1" x14ac:dyDescent="0.25">
      <c r="A60" s="179" t="s">
        <v>207</v>
      </c>
      <c r="B60" s="179" t="s">
        <v>208</v>
      </c>
      <c r="C60" s="17" t="s">
        <v>209</v>
      </c>
      <c r="D60" s="16" t="s">
        <v>217</v>
      </c>
      <c r="E60" s="16" t="s">
        <v>218</v>
      </c>
      <c r="F60" s="37"/>
      <c r="G60" s="37"/>
      <c r="H60" s="37"/>
      <c r="I60" s="37"/>
      <c r="J60" s="37"/>
      <c r="K60" s="37"/>
      <c r="L60" s="37"/>
      <c r="M60" s="37"/>
      <c r="N60" s="37"/>
      <c r="O60" s="37" t="s">
        <v>102</v>
      </c>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41"/>
      <c r="BU60" s="44">
        <f t="shared" si="3"/>
        <v>1</v>
      </c>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row>
    <row r="61" spans="1:170" s="6" customFormat="1" ht="16.5" customHeight="1" x14ac:dyDescent="0.25">
      <c r="A61" s="179" t="s">
        <v>207</v>
      </c>
      <c r="B61" s="179" t="s">
        <v>208</v>
      </c>
      <c r="C61" s="17" t="s">
        <v>209</v>
      </c>
      <c r="D61" s="16" t="s">
        <v>219</v>
      </c>
      <c r="E61" s="16" t="s">
        <v>220</v>
      </c>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t="s">
        <v>102</v>
      </c>
      <c r="BK61" s="37"/>
      <c r="BL61" s="37"/>
      <c r="BM61" s="37"/>
      <c r="BN61" s="37"/>
      <c r="BO61" s="37"/>
      <c r="BP61" s="37"/>
      <c r="BQ61" s="37"/>
      <c r="BR61" s="37"/>
      <c r="BS61" s="37"/>
      <c r="BT61" s="42"/>
      <c r="BU61" s="44">
        <f t="shared" si="3"/>
        <v>1</v>
      </c>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row>
    <row r="62" spans="1:170" s="6" customFormat="1" ht="16.5" customHeight="1" x14ac:dyDescent="0.25">
      <c r="A62" s="179" t="s">
        <v>207</v>
      </c>
      <c r="B62" s="179" t="s">
        <v>208</v>
      </c>
      <c r="C62" s="17" t="s">
        <v>216</v>
      </c>
      <c r="D62" s="16" t="s">
        <v>221</v>
      </c>
      <c r="E62" s="16" t="s">
        <v>222</v>
      </c>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t="s">
        <v>102</v>
      </c>
      <c r="BF62" s="37"/>
      <c r="BG62" s="37"/>
      <c r="BH62" s="37"/>
      <c r="BI62" s="37"/>
      <c r="BJ62" s="37"/>
      <c r="BK62" s="37"/>
      <c r="BL62" s="37"/>
      <c r="BM62" s="37"/>
      <c r="BN62" s="37"/>
      <c r="BO62" s="37"/>
      <c r="BP62" s="37"/>
      <c r="BQ62" s="37"/>
      <c r="BR62" s="37"/>
      <c r="BS62" s="37"/>
      <c r="BT62" s="41"/>
      <c r="BU62" s="44">
        <f t="shared" si="3"/>
        <v>1</v>
      </c>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row>
    <row r="63" spans="1:170" s="6" customFormat="1" ht="16.5" customHeight="1" x14ac:dyDescent="0.25">
      <c r="A63" s="179" t="s">
        <v>223</v>
      </c>
      <c r="B63" s="179" t="s">
        <v>224</v>
      </c>
      <c r="C63" s="11" t="s">
        <v>105</v>
      </c>
      <c r="D63" s="22" t="s">
        <v>225</v>
      </c>
      <c r="E63" s="22" t="s">
        <v>226</v>
      </c>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t="s">
        <v>102</v>
      </c>
      <c r="BO63" s="37"/>
      <c r="BP63" s="37"/>
      <c r="BQ63" s="37"/>
      <c r="BR63" s="37"/>
      <c r="BS63" s="37"/>
      <c r="BT63" s="41"/>
      <c r="BU63" s="44">
        <f t="shared" si="3"/>
        <v>1</v>
      </c>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row>
    <row r="64" spans="1:170" s="6" customFormat="1" ht="16.5" customHeight="1" x14ac:dyDescent="0.25">
      <c r="A64" s="179" t="s">
        <v>223</v>
      </c>
      <c r="B64" s="179" t="s">
        <v>224</v>
      </c>
      <c r="C64" s="11" t="s">
        <v>105</v>
      </c>
      <c r="D64" s="22" t="s">
        <v>227</v>
      </c>
      <c r="E64" s="22" t="s">
        <v>228</v>
      </c>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t="s">
        <v>102</v>
      </c>
      <c r="BP64" s="37"/>
      <c r="BQ64" s="37"/>
      <c r="BR64" s="37"/>
      <c r="BS64" s="37"/>
      <c r="BT64" s="41"/>
      <c r="BU64" s="44">
        <f t="shared" si="3"/>
        <v>1</v>
      </c>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row>
    <row r="65" spans="1:170" s="7" customFormat="1" ht="15" customHeight="1" x14ac:dyDescent="0.25">
      <c r="A65" s="179" t="s">
        <v>223</v>
      </c>
      <c r="B65" s="179" t="s">
        <v>224</v>
      </c>
      <c r="C65" s="11" t="s">
        <v>105</v>
      </c>
      <c r="D65" s="22" t="s">
        <v>229</v>
      </c>
      <c r="E65" s="22" t="s">
        <v>230</v>
      </c>
      <c r="F65" s="37"/>
      <c r="G65" s="37"/>
      <c r="H65" s="37"/>
      <c r="I65" s="37"/>
      <c r="J65" s="37" t="s">
        <v>102</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41"/>
      <c r="BU65" s="44">
        <f t="shared" si="3"/>
        <v>1</v>
      </c>
      <c r="BV65" s="13"/>
      <c r="BW65" s="13"/>
      <c r="BX65" s="13"/>
      <c r="BY65" s="13"/>
      <c r="BZ65" s="13"/>
      <c r="CA65" s="13"/>
      <c r="CB65" s="1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row>
    <row r="66" spans="1:170" s="6" customFormat="1" ht="16.5" customHeight="1" x14ac:dyDescent="0.25">
      <c r="A66" s="179" t="s">
        <v>223</v>
      </c>
      <c r="B66" s="179" t="s">
        <v>231</v>
      </c>
      <c r="C66" s="34" t="s">
        <v>232</v>
      </c>
      <c r="D66" s="14" t="s">
        <v>2078</v>
      </c>
      <c r="E66" s="11" t="s">
        <v>233</v>
      </c>
      <c r="F66" s="37"/>
      <c r="G66" s="37"/>
      <c r="H66" s="37"/>
      <c r="I66" s="37"/>
      <c r="J66" s="37"/>
      <c r="K66" s="37"/>
      <c r="L66" s="37"/>
      <c r="M66" s="37"/>
      <c r="N66" s="37"/>
      <c r="O66" s="37"/>
      <c r="P66" s="37"/>
      <c r="Q66" s="37" t="s">
        <v>116</v>
      </c>
      <c r="R66" s="37"/>
      <c r="S66" s="37" t="s">
        <v>116</v>
      </c>
      <c r="T66" s="37" t="s">
        <v>116</v>
      </c>
      <c r="U66" s="37"/>
      <c r="V66" s="37"/>
      <c r="W66" s="37"/>
      <c r="X66" s="37" t="s">
        <v>116</v>
      </c>
      <c r="Y66" s="37"/>
      <c r="Z66" s="37" t="s">
        <v>102</v>
      </c>
      <c r="AA66" s="37" t="s">
        <v>102</v>
      </c>
      <c r="AB66" s="37"/>
      <c r="AC66" s="37" t="s">
        <v>102</v>
      </c>
      <c r="AD66" s="37" t="s">
        <v>102</v>
      </c>
      <c r="AE66" s="37" t="s">
        <v>116</v>
      </c>
      <c r="AF66" s="37"/>
      <c r="AG66" s="37"/>
      <c r="AH66" s="37"/>
      <c r="AI66" s="37"/>
      <c r="AJ66" s="37" t="s">
        <v>1650</v>
      </c>
      <c r="AK66" s="37" t="s">
        <v>102</v>
      </c>
      <c r="AL66" s="37" t="s">
        <v>102</v>
      </c>
      <c r="AM66" s="37"/>
      <c r="AN66" s="37"/>
      <c r="AO66" s="37"/>
      <c r="AP66" s="37"/>
      <c r="AQ66" s="37"/>
      <c r="AR66" s="37"/>
      <c r="AS66" s="37"/>
      <c r="AT66" s="37"/>
      <c r="AU66" s="37"/>
      <c r="AV66" s="37"/>
      <c r="AW66" s="37"/>
      <c r="AX66" s="37"/>
      <c r="AZ66" s="37"/>
      <c r="BA66" s="37"/>
      <c r="BB66" s="37"/>
      <c r="BC66" s="37"/>
      <c r="BD66" s="40"/>
      <c r="BE66" s="37"/>
      <c r="BF66" s="37"/>
      <c r="BG66" s="37"/>
      <c r="BH66" s="37"/>
      <c r="BI66" s="37"/>
      <c r="BJ66" s="37"/>
      <c r="BK66" s="37"/>
      <c r="BL66" s="37"/>
      <c r="BM66" s="37"/>
      <c r="BN66" s="37"/>
      <c r="BO66" s="37"/>
      <c r="BP66" s="37"/>
      <c r="BQ66" s="37"/>
      <c r="BR66" s="37"/>
      <c r="BS66" s="37"/>
      <c r="BT66" s="41"/>
      <c r="BU66" s="44">
        <f t="shared" si="3"/>
        <v>11</v>
      </c>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row>
    <row r="67" spans="1:170" s="6" customFormat="1" ht="16.5" customHeight="1" x14ac:dyDescent="0.25">
      <c r="A67" s="179" t="s">
        <v>223</v>
      </c>
      <c r="B67" s="179" t="s">
        <v>231</v>
      </c>
      <c r="C67" s="34" t="s">
        <v>232</v>
      </c>
      <c r="D67" s="25" t="s">
        <v>234</v>
      </c>
      <c r="E67" s="23" t="s">
        <v>235</v>
      </c>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t="s">
        <v>102</v>
      </c>
      <c r="AW67" s="37"/>
      <c r="AX67" s="37"/>
      <c r="AY67" s="37"/>
      <c r="AZ67" s="37"/>
      <c r="BA67" s="37"/>
      <c r="BB67" s="37"/>
      <c r="BC67" s="37"/>
      <c r="BD67" s="40"/>
      <c r="BE67" s="37"/>
      <c r="BF67" s="37"/>
      <c r="BG67" s="37"/>
      <c r="BH67" s="37"/>
      <c r="BI67" s="37"/>
      <c r="BJ67" s="37"/>
      <c r="BK67" s="37"/>
      <c r="BL67" s="37"/>
      <c r="BM67" s="37"/>
      <c r="BN67" s="37"/>
      <c r="BO67" s="37"/>
      <c r="BP67" s="37"/>
      <c r="BQ67" s="37"/>
      <c r="BR67" s="37"/>
      <c r="BS67" s="37"/>
      <c r="BT67" s="41"/>
      <c r="BU67" s="44">
        <f t="shared" si="3"/>
        <v>1</v>
      </c>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row>
    <row r="68" spans="1:170" s="6" customFormat="1" ht="16.5" customHeight="1" x14ac:dyDescent="0.25">
      <c r="A68" s="179" t="s">
        <v>223</v>
      </c>
      <c r="B68" s="179" t="s">
        <v>231</v>
      </c>
      <c r="C68" s="11" t="s">
        <v>105</v>
      </c>
      <c r="D68" s="22" t="s">
        <v>236</v>
      </c>
      <c r="E68" s="22" t="s">
        <v>237</v>
      </c>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41" t="s">
        <v>102</v>
      </c>
      <c r="BU68" s="44">
        <f t="shared" si="3"/>
        <v>1</v>
      </c>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row>
    <row r="69" spans="1:170" s="6" customFormat="1" ht="16.5" customHeight="1" x14ac:dyDescent="0.25">
      <c r="A69" s="179" t="s">
        <v>223</v>
      </c>
      <c r="B69" s="179" t="s">
        <v>238</v>
      </c>
      <c r="C69" s="11" t="s">
        <v>105</v>
      </c>
      <c r="D69" s="25" t="s">
        <v>239</v>
      </c>
      <c r="E69" s="24" t="s">
        <v>240</v>
      </c>
      <c r="F69" s="37"/>
      <c r="G69" s="37"/>
      <c r="H69" s="37"/>
      <c r="I69" s="37"/>
      <c r="J69" s="37"/>
      <c r="K69" s="37"/>
      <c r="L69" s="37"/>
      <c r="M69" s="37"/>
      <c r="N69" s="37"/>
      <c r="O69" s="37"/>
      <c r="P69" s="37"/>
      <c r="Q69" s="37"/>
      <c r="R69" s="37"/>
      <c r="S69" s="37"/>
      <c r="T69" s="37"/>
      <c r="U69" s="37"/>
      <c r="V69" s="37"/>
      <c r="W69" s="37"/>
      <c r="X69" s="37"/>
      <c r="Y69" s="37"/>
      <c r="Z69" s="37" t="s">
        <v>102</v>
      </c>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t="s">
        <v>102</v>
      </c>
      <c r="BK69" s="37"/>
      <c r="BL69" s="37"/>
      <c r="BM69" s="37"/>
      <c r="BN69" s="37"/>
      <c r="BO69" s="37"/>
      <c r="BP69" s="37"/>
      <c r="BQ69" s="37"/>
      <c r="BR69" s="37"/>
      <c r="BS69" s="37"/>
      <c r="BT69" s="41"/>
      <c r="BU69" s="44">
        <f t="shared" si="3"/>
        <v>2</v>
      </c>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row>
    <row r="70" spans="1:170" s="6" customFormat="1" ht="16.5" customHeight="1" x14ac:dyDescent="0.25">
      <c r="A70" s="179" t="s">
        <v>223</v>
      </c>
      <c r="B70" s="179" t="s">
        <v>238</v>
      </c>
      <c r="C70" s="11" t="s">
        <v>105</v>
      </c>
      <c r="D70" s="25" t="s">
        <v>241</v>
      </c>
      <c r="E70" s="24" t="s">
        <v>242</v>
      </c>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t="s">
        <v>102</v>
      </c>
      <c r="BL70" s="37"/>
      <c r="BM70" s="37"/>
      <c r="BN70" s="37"/>
      <c r="BO70" s="37"/>
      <c r="BP70" s="37"/>
      <c r="BQ70" s="37" t="s">
        <v>102</v>
      </c>
      <c r="BR70" s="37"/>
      <c r="BS70" s="37"/>
      <c r="BT70" s="41"/>
      <c r="BU70" s="44">
        <f t="shared" ref="BU70:BU97" si="4">COUNTIF(F70:BT70,"A")+COUNTIF(F70:BT70,"B")</f>
        <v>2</v>
      </c>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row>
    <row r="71" spans="1:170" s="6" customFormat="1" ht="16.5" customHeight="1" x14ac:dyDescent="0.25">
      <c r="A71" s="179" t="s">
        <v>223</v>
      </c>
      <c r="B71" s="179" t="s">
        <v>245</v>
      </c>
      <c r="C71" s="17" t="s">
        <v>246</v>
      </c>
      <c r="D71" s="21" t="s">
        <v>2079</v>
      </c>
      <c r="E71" s="11" t="s">
        <v>247</v>
      </c>
      <c r="F71" s="37"/>
      <c r="G71" s="37"/>
      <c r="H71" s="37"/>
      <c r="I71" s="37"/>
      <c r="J71" s="37"/>
      <c r="K71" s="37"/>
      <c r="L71" s="37"/>
      <c r="M71" s="37" t="s">
        <v>102</v>
      </c>
      <c r="N71" s="37"/>
      <c r="O71" s="37" t="s">
        <v>102</v>
      </c>
      <c r="P71" s="37"/>
      <c r="Q71" s="37"/>
      <c r="R71" s="37"/>
      <c r="S71" s="37"/>
      <c r="T71" s="37"/>
      <c r="U71" s="37"/>
      <c r="V71" s="37"/>
      <c r="W71" s="37"/>
      <c r="X71" s="37"/>
      <c r="Y71" s="37"/>
      <c r="Z71" s="37"/>
      <c r="AA71" s="37"/>
      <c r="AB71" s="37"/>
      <c r="AC71" s="37"/>
      <c r="AD71" s="37"/>
      <c r="AE71" s="37"/>
      <c r="AF71" s="37"/>
      <c r="AG71" s="37"/>
      <c r="AH71" s="37"/>
      <c r="AI71" s="37"/>
      <c r="AJ71" s="37"/>
      <c r="AK71" s="37"/>
      <c r="AL71" s="37"/>
      <c r="AM71" s="37" t="s">
        <v>102</v>
      </c>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41"/>
      <c r="BU71" s="44">
        <f t="shared" si="4"/>
        <v>3</v>
      </c>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row>
    <row r="72" spans="1:170" s="6" customFormat="1" ht="16.5" customHeight="1" x14ac:dyDescent="0.25">
      <c r="A72" s="179" t="s">
        <v>223</v>
      </c>
      <c r="B72" s="179" t="s">
        <v>245</v>
      </c>
      <c r="C72" s="34" t="s">
        <v>248</v>
      </c>
      <c r="D72" s="20" t="s">
        <v>2080</v>
      </c>
      <c r="E72" s="18" t="s">
        <v>249</v>
      </c>
      <c r="F72" s="37"/>
      <c r="G72" s="37"/>
      <c r="H72" s="37"/>
      <c r="I72" s="37"/>
      <c r="J72" s="37" t="s">
        <v>102</v>
      </c>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41"/>
      <c r="BU72" s="44">
        <f t="shared" si="4"/>
        <v>1</v>
      </c>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row>
    <row r="73" spans="1:170" s="6" customFormat="1" ht="16.5" customHeight="1" x14ac:dyDescent="0.25">
      <c r="A73" s="179" t="s">
        <v>223</v>
      </c>
      <c r="B73" s="179" t="s">
        <v>245</v>
      </c>
      <c r="C73" s="34" t="s">
        <v>248</v>
      </c>
      <c r="D73" s="20" t="s">
        <v>2081</v>
      </c>
      <c r="E73" s="18" t="s">
        <v>250</v>
      </c>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t="s">
        <v>102</v>
      </c>
      <c r="BF73" s="37"/>
      <c r="BG73" s="37"/>
      <c r="BH73" s="37"/>
      <c r="BI73" s="37"/>
      <c r="BJ73" s="37"/>
      <c r="BK73" s="37"/>
      <c r="BL73" s="37"/>
      <c r="BM73" s="37"/>
      <c r="BN73" s="37"/>
      <c r="BO73" s="37"/>
      <c r="BP73" s="37"/>
      <c r="BQ73" s="37"/>
      <c r="BR73" s="37"/>
      <c r="BS73" s="37"/>
      <c r="BT73" s="41"/>
      <c r="BU73" s="44">
        <f t="shared" si="4"/>
        <v>1</v>
      </c>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row>
    <row r="74" spans="1:170" s="6" customFormat="1" ht="16.5" customHeight="1" x14ac:dyDescent="0.25">
      <c r="A74" s="179" t="s">
        <v>223</v>
      </c>
      <c r="B74" s="179" t="s">
        <v>245</v>
      </c>
      <c r="C74" s="34" t="s">
        <v>251</v>
      </c>
      <c r="D74" s="20" t="s">
        <v>2082</v>
      </c>
      <c r="E74" s="18" t="s">
        <v>252</v>
      </c>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t="s">
        <v>102</v>
      </c>
      <c r="BF74" s="37"/>
      <c r="BG74" s="37"/>
      <c r="BH74" s="37"/>
      <c r="BI74" s="37"/>
      <c r="BJ74" s="37"/>
      <c r="BK74" s="37"/>
      <c r="BL74" s="37"/>
      <c r="BM74" s="37"/>
      <c r="BN74" s="37"/>
      <c r="BO74" s="37"/>
      <c r="BP74" s="37"/>
      <c r="BQ74" s="37"/>
      <c r="BR74" s="37"/>
      <c r="BS74" s="37"/>
      <c r="BT74" s="41"/>
      <c r="BU74" s="44">
        <f t="shared" si="4"/>
        <v>1</v>
      </c>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row>
    <row r="75" spans="1:170" s="6" customFormat="1" ht="16.5" customHeight="1" x14ac:dyDescent="0.25">
      <c r="A75" s="179" t="s">
        <v>223</v>
      </c>
      <c r="B75" s="179" t="s">
        <v>245</v>
      </c>
      <c r="C75" s="34" t="s">
        <v>251</v>
      </c>
      <c r="D75" s="20" t="s">
        <v>2083</v>
      </c>
      <c r="E75" s="18" t="s">
        <v>253</v>
      </c>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t="s">
        <v>102</v>
      </c>
      <c r="BK75" s="37"/>
      <c r="BL75" s="37"/>
      <c r="BM75" s="37"/>
      <c r="BN75" s="37"/>
      <c r="BO75" s="37"/>
      <c r="BP75" s="37"/>
      <c r="BQ75" s="37"/>
      <c r="BR75" s="37"/>
      <c r="BS75" s="37"/>
      <c r="BT75" s="41"/>
      <c r="BU75" s="44">
        <f t="shared" si="4"/>
        <v>1</v>
      </c>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row>
    <row r="76" spans="1:170" s="6" customFormat="1" ht="16.5" customHeight="1" x14ac:dyDescent="0.25">
      <c r="A76" s="179" t="s">
        <v>223</v>
      </c>
      <c r="B76" s="179" t="s">
        <v>245</v>
      </c>
      <c r="C76" s="34" t="s">
        <v>251</v>
      </c>
      <c r="D76" s="20" t="s">
        <v>2084</v>
      </c>
      <c r="E76" s="18" t="s">
        <v>254</v>
      </c>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t="s">
        <v>102</v>
      </c>
      <c r="BK76" s="37"/>
      <c r="BL76" s="37"/>
      <c r="BM76" s="37"/>
      <c r="BN76" s="37"/>
      <c r="BO76" s="37"/>
      <c r="BP76" s="37"/>
      <c r="BQ76" s="37"/>
      <c r="BR76" s="37"/>
      <c r="BS76" s="37"/>
      <c r="BT76" s="41"/>
      <c r="BU76" s="44">
        <f t="shared" si="4"/>
        <v>1</v>
      </c>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row>
    <row r="77" spans="1:170" s="6" customFormat="1" ht="16.5" customHeight="1" x14ac:dyDescent="0.25">
      <c r="A77" s="179" t="s">
        <v>255</v>
      </c>
      <c r="B77" s="179" t="s">
        <v>256</v>
      </c>
      <c r="C77" s="17" t="s">
        <v>257</v>
      </c>
      <c r="D77" s="29" t="s">
        <v>258</v>
      </c>
      <c r="E77" s="27" t="s">
        <v>259</v>
      </c>
      <c r="F77" s="37"/>
      <c r="G77" s="37"/>
      <c r="H77" s="37"/>
      <c r="I77" s="37"/>
      <c r="J77" s="37"/>
      <c r="K77" s="37" t="s">
        <v>102</v>
      </c>
      <c r="L77" s="37" t="s">
        <v>102</v>
      </c>
      <c r="M77" s="37"/>
      <c r="N77" s="37"/>
      <c r="O77" s="37"/>
      <c r="P77" s="37"/>
      <c r="Q77" s="37" t="s">
        <v>102</v>
      </c>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t="s">
        <v>102</v>
      </c>
      <c r="AW77" s="37"/>
      <c r="AX77" s="37"/>
      <c r="AY77" s="37"/>
      <c r="AZ77" s="37"/>
      <c r="BA77" s="37"/>
      <c r="BB77" s="37"/>
      <c r="BC77" s="37"/>
      <c r="BD77" s="37"/>
      <c r="BE77" s="37"/>
      <c r="BF77" s="37"/>
      <c r="BG77" s="37"/>
      <c r="BH77" s="37" t="s">
        <v>102</v>
      </c>
      <c r="BI77" s="37"/>
      <c r="BJ77" s="37"/>
      <c r="BK77" s="37"/>
      <c r="BL77" s="37"/>
      <c r="BM77" s="37"/>
      <c r="BN77" s="37"/>
      <c r="BO77" s="37"/>
      <c r="BP77" s="37"/>
      <c r="BQ77" s="37"/>
      <c r="BR77" s="37"/>
      <c r="BS77" s="37"/>
      <c r="BT77" s="41"/>
      <c r="BU77" s="44">
        <f t="shared" si="4"/>
        <v>5</v>
      </c>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row>
    <row r="78" spans="1:170" s="6" customFormat="1" ht="16.5" customHeight="1" x14ac:dyDescent="0.25">
      <c r="A78" s="179" t="s">
        <v>260</v>
      </c>
      <c r="B78" s="179" t="s">
        <v>261</v>
      </c>
      <c r="C78" s="34" t="s">
        <v>262</v>
      </c>
      <c r="D78" s="21" t="s">
        <v>263</v>
      </c>
      <c r="E78" s="21" t="s">
        <v>264</v>
      </c>
      <c r="F78" s="37"/>
      <c r="G78" s="37"/>
      <c r="H78" s="37"/>
      <c r="I78" s="37" t="s">
        <v>102</v>
      </c>
      <c r="J78" s="37"/>
      <c r="K78" s="37"/>
      <c r="L78" s="37"/>
      <c r="M78" s="37"/>
      <c r="N78" s="37"/>
      <c r="O78" s="37" t="s">
        <v>102</v>
      </c>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41"/>
      <c r="BU78" s="44">
        <f t="shared" si="4"/>
        <v>2</v>
      </c>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row>
    <row r="79" spans="1:170" s="6" customFormat="1" ht="16.5" customHeight="1" x14ac:dyDescent="0.25">
      <c r="A79" s="179" t="s">
        <v>260</v>
      </c>
      <c r="B79" s="179" t="s">
        <v>261</v>
      </c>
      <c r="C79" s="17" t="s">
        <v>262</v>
      </c>
      <c r="D79" s="21" t="s">
        <v>2085</v>
      </c>
      <c r="E79" s="21" t="s">
        <v>265</v>
      </c>
      <c r="F79" s="37"/>
      <c r="G79" s="37"/>
      <c r="H79" s="37"/>
      <c r="I79" s="37"/>
      <c r="J79" s="37"/>
      <c r="K79" s="37"/>
      <c r="L79" s="37"/>
      <c r="M79" s="37"/>
      <c r="N79" s="37"/>
      <c r="O79" s="37"/>
      <c r="P79" s="37"/>
      <c r="Q79" s="37"/>
      <c r="R79" s="37"/>
      <c r="S79" s="37"/>
      <c r="T79" s="37"/>
      <c r="U79" s="37"/>
      <c r="V79" s="37"/>
      <c r="W79" s="37"/>
      <c r="X79" s="37"/>
      <c r="Y79" s="37"/>
      <c r="Z79" s="37"/>
      <c r="AA79" s="37"/>
      <c r="AB79" s="37" t="s">
        <v>102</v>
      </c>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41"/>
      <c r="BU79" s="44">
        <f t="shared" si="4"/>
        <v>1</v>
      </c>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row>
    <row r="80" spans="1:170" s="6" customFormat="1" ht="16.5" customHeight="1" x14ac:dyDescent="0.25">
      <c r="A80" s="179" t="s">
        <v>260</v>
      </c>
      <c r="B80" s="179" t="s">
        <v>261</v>
      </c>
      <c r="C80" s="34" t="s">
        <v>262</v>
      </c>
      <c r="D80" s="20" t="s">
        <v>2086</v>
      </c>
      <c r="E80" s="18" t="s">
        <v>266</v>
      </c>
      <c r="F80" s="37"/>
      <c r="G80" s="37"/>
      <c r="H80" s="37"/>
      <c r="I80" s="37"/>
      <c r="J80" s="37"/>
      <c r="K80" s="37"/>
      <c r="L80" s="37"/>
      <c r="M80" s="37"/>
      <c r="N80" s="37"/>
      <c r="O80" s="37"/>
      <c r="P80" s="37"/>
      <c r="Q80" s="37"/>
      <c r="R80" s="37"/>
      <c r="S80" s="37"/>
      <c r="T80" s="37"/>
      <c r="U80" s="37"/>
      <c r="V80" s="37"/>
      <c r="W80" s="37"/>
      <c r="X80" s="37"/>
      <c r="Y80" s="37" t="s">
        <v>102</v>
      </c>
      <c r="Z80" s="37"/>
      <c r="AA80" s="37"/>
      <c r="AB80" s="37"/>
      <c r="AC80" s="37"/>
      <c r="AD80" s="37"/>
      <c r="AE80" s="37"/>
      <c r="AF80" s="37"/>
      <c r="AG80" s="37"/>
      <c r="AH80" s="37"/>
      <c r="AI80" s="37"/>
      <c r="AJ80" s="37"/>
      <c r="AK80" s="37"/>
      <c r="AL80" s="37"/>
      <c r="AM80" s="37"/>
      <c r="AN80" s="37"/>
      <c r="AO80" s="37"/>
      <c r="AP80" s="37" t="s">
        <v>102</v>
      </c>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41"/>
      <c r="BU80" s="44">
        <f t="shared" si="4"/>
        <v>2</v>
      </c>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row>
    <row r="81" spans="1:170" s="6" customFormat="1" ht="16.5" customHeight="1" x14ac:dyDescent="0.25">
      <c r="A81" s="179" t="s">
        <v>260</v>
      </c>
      <c r="B81" s="179" t="s">
        <v>261</v>
      </c>
      <c r="C81" s="17" t="s">
        <v>262</v>
      </c>
      <c r="D81" s="20" t="s">
        <v>2087</v>
      </c>
      <c r="E81" s="18" t="s">
        <v>267</v>
      </c>
      <c r="F81" s="37"/>
      <c r="G81" s="37"/>
      <c r="H81" s="37"/>
      <c r="I81" s="37"/>
      <c r="J81" s="37"/>
      <c r="K81" s="37"/>
      <c r="L81" s="37"/>
      <c r="M81" s="37"/>
      <c r="N81" s="37"/>
      <c r="O81" s="37"/>
      <c r="P81" s="37"/>
      <c r="Q81" s="37"/>
      <c r="R81" s="37"/>
      <c r="S81" s="37"/>
      <c r="T81" s="37"/>
      <c r="U81" s="37"/>
      <c r="V81" s="37"/>
      <c r="W81" s="37"/>
      <c r="X81" s="37"/>
      <c r="Y81" s="37" t="s">
        <v>102</v>
      </c>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41"/>
      <c r="BU81" s="44">
        <f t="shared" si="4"/>
        <v>1</v>
      </c>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row>
    <row r="82" spans="1:170" s="6" customFormat="1" ht="16.5" customHeight="1" x14ac:dyDescent="0.25">
      <c r="A82" s="179" t="s">
        <v>260</v>
      </c>
      <c r="B82" s="179" t="s">
        <v>261</v>
      </c>
      <c r="C82" s="17" t="s">
        <v>262</v>
      </c>
      <c r="D82" s="20" t="s">
        <v>2088</v>
      </c>
      <c r="E82" s="18" t="s">
        <v>268</v>
      </c>
      <c r="F82" s="37"/>
      <c r="G82" s="37"/>
      <c r="H82" s="37"/>
      <c r="I82" s="37"/>
      <c r="J82" s="37"/>
      <c r="K82" s="37"/>
      <c r="L82" s="37"/>
      <c r="M82" s="37"/>
      <c r="N82" s="37"/>
      <c r="O82" s="37"/>
      <c r="P82" s="37"/>
      <c r="Q82" s="37"/>
      <c r="R82" s="37"/>
      <c r="S82" s="37"/>
      <c r="T82" s="37"/>
      <c r="U82" s="37"/>
      <c r="V82" s="37"/>
      <c r="W82" s="37"/>
      <c r="X82" s="37"/>
      <c r="Y82" s="37"/>
      <c r="Z82" s="37"/>
      <c r="AA82" s="37"/>
      <c r="AB82" s="37" t="s">
        <v>102</v>
      </c>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41"/>
      <c r="BU82" s="44">
        <f t="shared" si="4"/>
        <v>1</v>
      </c>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row>
    <row r="83" spans="1:170" s="6" customFormat="1" ht="16.5" customHeight="1" x14ac:dyDescent="0.25">
      <c r="A83" s="179" t="s">
        <v>269</v>
      </c>
      <c r="B83" s="179" t="s">
        <v>270</v>
      </c>
      <c r="C83" s="17" t="s">
        <v>271</v>
      </c>
      <c r="D83" s="27" t="s">
        <v>2089</v>
      </c>
      <c r="E83" s="27" t="s">
        <v>272</v>
      </c>
      <c r="F83" s="37"/>
      <c r="G83" s="37"/>
      <c r="H83" s="37"/>
      <c r="I83" s="37"/>
      <c r="J83" s="37"/>
      <c r="K83" s="37" t="s">
        <v>116</v>
      </c>
      <c r="L83" s="37" t="s">
        <v>116</v>
      </c>
      <c r="M83" s="37"/>
      <c r="N83" s="37" t="s">
        <v>116</v>
      </c>
      <c r="O83" s="37"/>
      <c r="P83" s="37" t="s">
        <v>116</v>
      </c>
      <c r="Q83" s="37" t="s">
        <v>116</v>
      </c>
      <c r="R83" s="37"/>
      <c r="S83" s="37" t="s">
        <v>102</v>
      </c>
      <c r="T83" s="37"/>
      <c r="U83" s="37"/>
      <c r="V83" s="37"/>
      <c r="W83" s="37"/>
      <c r="X83" s="37"/>
      <c r="Y83" s="37"/>
      <c r="Z83" s="37" t="s">
        <v>116</v>
      </c>
      <c r="AA83" s="37"/>
      <c r="AB83" s="37"/>
      <c r="AC83" s="37"/>
      <c r="AD83" s="37" t="s">
        <v>116</v>
      </c>
      <c r="AE83" s="37"/>
      <c r="AF83" s="37"/>
      <c r="AG83" s="37"/>
      <c r="AH83" s="37"/>
      <c r="AI83" s="37"/>
      <c r="AJ83" s="37"/>
      <c r="AK83" s="37"/>
      <c r="AL83" s="37"/>
      <c r="AM83" s="37"/>
      <c r="AN83" s="37"/>
      <c r="AO83" s="37"/>
      <c r="AP83" s="37"/>
      <c r="AQ83" s="37"/>
      <c r="AR83" s="37"/>
      <c r="AS83" s="37"/>
      <c r="AT83" s="37" t="s">
        <v>116</v>
      </c>
      <c r="AU83" s="37" t="s">
        <v>102</v>
      </c>
      <c r="AV83" s="37"/>
      <c r="AW83" s="37"/>
      <c r="AX83" s="37"/>
      <c r="AY83" s="37"/>
      <c r="AZ83" s="37"/>
      <c r="BA83" s="37"/>
      <c r="BB83" s="37"/>
      <c r="BC83" s="37"/>
      <c r="BD83" s="37"/>
      <c r="BE83" s="37"/>
      <c r="BF83" s="37"/>
      <c r="BG83" s="37"/>
      <c r="BH83" s="37"/>
      <c r="BI83" s="37"/>
      <c r="BJ83" s="37"/>
      <c r="BK83" s="37"/>
      <c r="BL83" s="37"/>
      <c r="BM83" s="37"/>
      <c r="BN83" s="37"/>
      <c r="BO83" s="37"/>
      <c r="BP83" s="37" t="s">
        <v>116</v>
      </c>
      <c r="BQ83" s="37"/>
      <c r="BR83" s="37"/>
      <c r="BS83" s="37"/>
      <c r="BT83" s="41"/>
      <c r="BU83" s="44">
        <f t="shared" si="4"/>
        <v>11</v>
      </c>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row>
    <row r="84" spans="1:170" s="6" customFormat="1" ht="16.5" customHeight="1" x14ac:dyDescent="0.25">
      <c r="A84" s="179" t="s">
        <v>269</v>
      </c>
      <c r="B84" s="179" t="s">
        <v>270</v>
      </c>
      <c r="C84" s="17" t="s">
        <v>271</v>
      </c>
      <c r="D84" s="27" t="s">
        <v>2090</v>
      </c>
      <c r="E84" s="31" t="s">
        <v>273</v>
      </c>
      <c r="F84" s="37"/>
      <c r="G84" s="37"/>
      <c r="H84" s="37"/>
      <c r="I84" s="37"/>
      <c r="J84" s="37"/>
      <c r="K84" s="37"/>
      <c r="L84" s="37"/>
      <c r="M84" s="37"/>
      <c r="N84" s="37"/>
      <c r="O84" s="37"/>
      <c r="P84" s="37"/>
      <c r="Q84" s="37" t="s">
        <v>116</v>
      </c>
      <c r="R84" s="37"/>
      <c r="S84" s="37" t="s">
        <v>116</v>
      </c>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41"/>
      <c r="BU84" s="44">
        <f t="shared" si="4"/>
        <v>2</v>
      </c>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row>
    <row r="85" spans="1:170" s="6" customFormat="1" ht="16.5" customHeight="1" x14ac:dyDescent="0.25">
      <c r="A85" s="179" t="s">
        <v>269</v>
      </c>
      <c r="B85" s="179" t="s">
        <v>270</v>
      </c>
      <c r="C85" s="17" t="s">
        <v>271</v>
      </c>
      <c r="D85" s="27" t="s">
        <v>2091</v>
      </c>
      <c r="E85" s="27" t="s">
        <v>274</v>
      </c>
      <c r="F85" s="37"/>
      <c r="G85" s="37"/>
      <c r="H85" s="37"/>
      <c r="I85" s="37"/>
      <c r="J85" s="37"/>
      <c r="K85" s="37"/>
      <c r="L85" s="37"/>
      <c r="M85" s="37"/>
      <c r="N85" s="37" t="s">
        <v>116</v>
      </c>
      <c r="O85" s="37"/>
      <c r="P85" s="37"/>
      <c r="Q85" s="37" t="s">
        <v>116</v>
      </c>
      <c r="R85" s="37"/>
      <c r="S85" s="37" t="s">
        <v>102</v>
      </c>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t="s">
        <v>116</v>
      </c>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41"/>
      <c r="BU85" s="44">
        <f t="shared" si="4"/>
        <v>4</v>
      </c>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row>
    <row r="86" spans="1:170" s="6" customFormat="1" ht="16.5" customHeight="1" x14ac:dyDescent="0.25">
      <c r="A86" s="179" t="s">
        <v>269</v>
      </c>
      <c r="B86" s="179" t="s">
        <v>270</v>
      </c>
      <c r="C86" s="17" t="s">
        <v>271</v>
      </c>
      <c r="D86" s="27" t="s">
        <v>2092</v>
      </c>
      <c r="E86" s="27" t="s">
        <v>275</v>
      </c>
      <c r="F86" s="37"/>
      <c r="G86" s="37"/>
      <c r="H86" s="37"/>
      <c r="I86" s="37"/>
      <c r="J86" s="37"/>
      <c r="K86" s="37"/>
      <c r="L86" s="37"/>
      <c r="M86" s="37"/>
      <c r="N86" s="37" t="s">
        <v>102</v>
      </c>
      <c r="O86" s="37"/>
      <c r="P86" s="37"/>
      <c r="Q86" s="37"/>
      <c r="R86" s="37"/>
      <c r="S86" s="37"/>
      <c r="T86" s="37"/>
      <c r="U86" s="37"/>
      <c r="V86" s="37"/>
      <c r="W86" s="37"/>
      <c r="X86" s="37"/>
      <c r="Y86" s="37"/>
      <c r="Z86" s="37"/>
      <c r="AA86" s="37"/>
      <c r="AB86" s="37"/>
      <c r="AC86" s="37"/>
      <c r="AD86" s="37"/>
      <c r="AE86" s="37"/>
      <c r="AF86" s="37"/>
      <c r="AG86" s="37"/>
      <c r="AH86" s="37"/>
      <c r="AI86" s="37"/>
      <c r="AJ86" s="37"/>
      <c r="AK86" s="37" t="s">
        <v>102</v>
      </c>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41"/>
      <c r="BU86" s="44">
        <f t="shared" si="4"/>
        <v>2</v>
      </c>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row>
    <row r="87" spans="1:170" s="6" customFormat="1" ht="16.5" customHeight="1" x14ac:dyDescent="0.25">
      <c r="A87" s="179" t="s">
        <v>269</v>
      </c>
      <c r="B87" s="179" t="s">
        <v>270</v>
      </c>
      <c r="C87" s="17" t="s">
        <v>276</v>
      </c>
      <c r="D87" s="32" t="s">
        <v>2093</v>
      </c>
      <c r="E87" s="32" t="s">
        <v>278</v>
      </c>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t="s">
        <v>102</v>
      </c>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41"/>
      <c r="BU87" s="44">
        <f t="shared" si="4"/>
        <v>1</v>
      </c>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row>
    <row r="88" spans="1:170" s="6" customFormat="1" ht="16.5" customHeight="1" x14ac:dyDescent="0.25">
      <c r="A88" s="179" t="s">
        <v>269</v>
      </c>
      <c r="B88" s="179" t="s">
        <v>270</v>
      </c>
      <c r="C88" s="17" t="s">
        <v>279</v>
      </c>
      <c r="D88" s="19" t="s">
        <v>280</v>
      </c>
      <c r="E88" s="18" t="s">
        <v>281</v>
      </c>
      <c r="F88" s="37"/>
      <c r="G88" s="37"/>
      <c r="H88" s="37"/>
      <c r="I88" s="37"/>
      <c r="J88" s="37"/>
      <c r="K88" s="37"/>
      <c r="L88" s="37"/>
      <c r="M88" s="37"/>
      <c r="N88" s="37"/>
      <c r="O88" s="37"/>
      <c r="P88" s="37"/>
      <c r="Q88" s="37"/>
      <c r="R88" s="37"/>
      <c r="S88" s="37"/>
      <c r="T88" s="37"/>
      <c r="U88" s="37"/>
      <c r="V88" s="37"/>
      <c r="W88" s="37"/>
      <c r="X88" s="37"/>
      <c r="Y88" s="37"/>
      <c r="Z88" s="37"/>
      <c r="AA88" s="37"/>
      <c r="AB88" s="37" t="s">
        <v>102</v>
      </c>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t="s">
        <v>102</v>
      </c>
      <c r="BF88" s="37"/>
      <c r="BG88" s="37"/>
      <c r="BH88" s="37"/>
      <c r="BI88" s="37"/>
      <c r="BJ88" s="37"/>
      <c r="BK88" s="37"/>
      <c r="BL88" s="37"/>
      <c r="BM88" s="37"/>
      <c r="BN88" s="37"/>
      <c r="BO88" s="37"/>
      <c r="BP88" s="37"/>
      <c r="BQ88" s="37"/>
      <c r="BR88" s="37"/>
      <c r="BS88" s="37"/>
      <c r="BT88" s="41"/>
      <c r="BU88" s="44">
        <f t="shared" si="4"/>
        <v>2</v>
      </c>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row>
    <row r="89" spans="1:170" s="6" customFormat="1" ht="16.5" customHeight="1" x14ac:dyDescent="0.25">
      <c r="A89" s="179" t="s">
        <v>269</v>
      </c>
      <c r="B89" s="179" t="s">
        <v>270</v>
      </c>
      <c r="C89" s="17" t="s">
        <v>279</v>
      </c>
      <c r="D89" s="16" t="s">
        <v>282</v>
      </c>
      <c r="E89" s="18" t="s">
        <v>283</v>
      </c>
      <c r="F89" s="37"/>
      <c r="G89" s="37"/>
      <c r="H89" s="37"/>
      <c r="I89" s="37"/>
      <c r="J89" s="37"/>
      <c r="K89" s="37"/>
      <c r="L89" s="37"/>
      <c r="M89" s="37"/>
      <c r="N89" s="37"/>
      <c r="O89" s="37"/>
      <c r="P89" s="37"/>
      <c r="Q89" s="37"/>
      <c r="R89" s="37"/>
      <c r="S89" s="37"/>
      <c r="T89" s="37"/>
      <c r="U89" s="37"/>
      <c r="V89" s="37"/>
      <c r="W89" s="37"/>
      <c r="X89" s="37"/>
      <c r="Y89" s="37"/>
      <c r="Z89" s="37"/>
      <c r="AA89" s="37"/>
      <c r="AB89" s="37" t="s">
        <v>102</v>
      </c>
      <c r="AC89" s="37"/>
      <c r="AD89" s="37"/>
      <c r="AE89" s="37"/>
      <c r="AF89" s="37"/>
      <c r="AG89" s="37"/>
      <c r="AH89" s="37"/>
      <c r="AI89" s="37"/>
      <c r="AJ89" s="37"/>
      <c r="AK89" s="37"/>
      <c r="AL89" s="37"/>
      <c r="AM89" s="37"/>
      <c r="AN89" s="37"/>
      <c r="AO89" s="37"/>
      <c r="AP89" s="37" t="s">
        <v>102</v>
      </c>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41"/>
      <c r="BU89" s="44">
        <f t="shared" si="4"/>
        <v>2</v>
      </c>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row>
    <row r="90" spans="1:170" s="6" customFormat="1" ht="16.5" customHeight="1" x14ac:dyDescent="0.25">
      <c r="A90" s="179" t="s">
        <v>269</v>
      </c>
      <c r="B90" s="179" t="s">
        <v>270</v>
      </c>
      <c r="C90" s="17" t="s">
        <v>284</v>
      </c>
      <c r="D90" s="16" t="s">
        <v>285</v>
      </c>
      <c r="E90" s="18" t="s">
        <v>286</v>
      </c>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t="s">
        <v>102</v>
      </c>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41"/>
      <c r="BU90" s="44">
        <f t="shared" si="4"/>
        <v>1</v>
      </c>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row>
    <row r="91" spans="1:170" s="6" customFormat="1" ht="16.5" customHeight="1" x14ac:dyDescent="0.25">
      <c r="A91" s="179" t="s">
        <v>269</v>
      </c>
      <c r="B91" s="179" t="s">
        <v>270</v>
      </c>
      <c r="C91" s="17" t="s">
        <v>287</v>
      </c>
      <c r="D91" s="16" t="s">
        <v>288</v>
      </c>
      <c r="E91" s="15" t="s">
        <v>289</v>
      </c>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t="s">
        <v>102</v>
      </c>
      <c r="AX91" s="37"/>
      <c r="AY91" s="37"/>
      <c r="AZ91" s="37"/>
      <c r="BA91" s="37"/>
      <c r="BB91" s="37"/>
      <c r="BC91" s="37"/>
      <c r="BD91" s="37"/>
      <c r="BE91" s="37" t="s">
        <v>102</v>
      </c>
      <c r="BF91" s="37"/>
      <c r="BG91" s="37"/>
      <c r="BH91" s="37"/>
      <c r="BI91" s="37"/>
      <c r="BJ91" s="37"/>
      <c r="BK91" s="37"/>
      <c r="BL91" s="37"/>
      <c r="BM91" s="37"/>
      <c r="BN91" s="37"/>
      <c r="BO91" s="37"/>
      <c r="BP91" s="37"/>
      <c r="BQ91" s="37"/>
      <c r="BR91" s="37"/>
      <c r="BS91" s="37"/>
      <c r="BT91" s="41"/>
      <c r="BU91" s="44">
        <f t="shared" si="4"/>
        <v>2</v>
      </c>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row>
    <row r="92" spans="1:170" s="6" customFormat="1" ht="16.5" customHeight="1" x14ac:dyDescent="0.25">
      <c r="A92" s="179" t="s">
        <v>269</v>
      </c>
      <c r="B92" s="179" t="s">
        <v>270</v>
      </c>
      <c r="C92" s="17" t="s">
        <v>290</v>
      </c>
      <c r="D92" s="19" t="s">
        <v>291</v>
      </c>
      <c r="E92" s="18" t="s">
        <v>292</v>
      </c>
      <c r="F92" s="37"/>
      <c r="G92" s="37"/>
      <c r="H92" s="37"/>
      <c r="I92" s="37"/>
      <c r="J92" s="37"/>
      <c r="K92" s="37"/>
      <c r="L92" s="37"/>
      <c r="M92" s="37"/>
      <c r="N92" s="37"/>
      <c r="O92" s="37"/>
      <c r="P92" s="37"/>
      <c r="Q92" s="37"/>
      <c r="R92" s="37"/>
      <c r="S92" s="37"/>
      <c r="T92" s="37"/>
      <c r="U92" s="37"/>
      <c r="V92" s="37"/>
      <c r="W92" s="37"/>
      <c r="X92" s="37"/>
      <c r="Y92" s="37" t="s">
        <v>102</v>
      </c>
      <c r="Z92" s="37"/>
      <c r="AA92" s="37"/>
      <c r="AB92" s="37"/>
      <c r="AC92" s="37"/>
      <c r="AD92" s="37"/>
      <c r="AE92" s="37"/>
      <c r="AF92" s="37"/>
      <c r="AG92" s="37"/>
      <c r="AH92" s="37"/>
      <c r="AI92" s="37"/>
      <c r="AJ92" s="37"/>
      <c r="AK92" s="37"/>
      <c r="AL92" s="37"/>
      <c r="AM92" s="37"/>
      <c r="AN92" s="37"/>
      <c r="AO92" s="37"/>
      <c r="AP92" s="37" t="s">
        <v>102</v>
      </c>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t="s">
        <v>102</v>
      </c>
      <c r="BP92" s="37"/>
      <c r="BQ92" s="37"/>
      <c r="BR92" s="37"/>
      <c r="BS92" s="37"/>
      <c r="BT92" s="41"/>
      <c r="BU92" s="44">
        <f t="shared" si="4"/>
        <v>3</v>
      </c>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row>
    <row r="93" spans="1:170" s="6" customFormat="1" ht="15" customHeight="1" x14ac:dyDescent="0.25">
      <c r="A93" s="179" t="s">
        <v>293</v>
      </c>
      <c r="B93" s="179" t="s">
        <v>294</v>
      </c>
      <c r="C93" s="17" t="s">
        <v>295</v>
      </c>
      <c r="D93" s="11" t="s">
        <v>2094</v>
      </c>
      <c r="E93" s="11" t="s">
        <v>296</v>
      </c>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41" t="s">
        <v>102</v>
      </c>
      <c r="BU93" s="44">
        <f t="shared" si="4"/>
        <v>1</v>
      </c>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row>
    <row r="94" spans="1:170" s="7" customFormat="1" ht="15" customHeight="1" x14ac:dyDescent="0.25">
      <c r="A94" s="179" t="s">
        <v>293</v>
      </c>
      <c r="B94" s="179" t="s">
        <v>294</v>
      </c>
      <c r="C94" s="17" t="s">
        <v>295</v>
      </c>
      <c r="D94" s="19" t="s">
        <v>297</v>
      </c>
      <c r="E94" s="18" t="s">
        <v>298</v>
      </c>
      <c r="F94" s="37"/>
      <c r="G94" s="37"/>
      <c r="H94" s="37"/>
      <c r="I94" s="37"/>
      <c r="J94" s="37"/>
      <c r="K94" s="37"/>
      <c r="L94" s="37"/>
      <c r="M94" s="37"/>
      <c r="N94" s="37"/>
      <c r="O94" s="37"/>
      <c r="P94" s="37"/>
      <c r="Q94" s="37"/>
      <c r="R94" s="37"/>
      <c r="S94" s="37"/>
      <c r="T94" s="37"/>
      <c r="U94" s="37"/>
      <c r="V94" s="37"/>
      <c r="W94" s="37"/>
      <c r="X94" s="37"/>
      <c r="Y94" s="37"/>
      <c r="Z94" s="37"/>
      <c r="AA94" s="37"/>
      <c r="AB94" s="37" t="s">
        <v>102</v>
      </c>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41"/>
      <c r="BU94" s="44">
        <f t="shared" si="4"/>
        <v>1</v>
      </c>
      <c r="BV94" s="13"/>
      <c r="BW94" s="13"/>
      <c r="BX94" s="13"/>
      <c r="BY94" s="13"/>
      <c r="BZ94" s="13"/>
      <c r="CA94" s="13"/>
      <c r="CB94" s="1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c r="DA94" s="43"/>
      <c r="DB94" s="43"/>
      <c r="DC94" s="43"/>
      <c r="DD94" s="43"/>
      <c r="DE94" s="43"/>
      <c r="DF94" s="43"/>
      <c r="DG94" s="43"/>
      <c r="DH94" s="43"/>
      <c r="DI94" s="43"/>
      <c r="DJ94" s="43"/>
      <c r="DK94" s="43"/>
      <c r="DL94" s="43"/>
      <c r="DM94" s="43"/>
      <c r="DN94" s="43"/>
      <c r="DO94" s="43"/>
      <c r="DP94" s="43"/>
      <c r="DQ94" s="43"/>
      <c r="DR94" s="43"/>
      <c r="DS94" s="43"/>
      <c r="DT94" s="43"/>
      <c r="DU94" s="43"/>
      <c r="DV94" s="43"/>
      <c r="DW94" s="43"/>
      <c r="DX94" s="43"/>
      <c r="DY94" s="43"/>
      <c r="DZ94" s="43"/>
      <c r="EA94" s="43"/>
      <c r="EB94" s="43"/>
      <c r="EC94" s="43"/>
      <c r="ED94" s="43"/>
      <c r="EE94" s="43"/>
      <c r="EF94" s="43"/>
      <c r="EG94" s="43"/>
      <c r="EH94" s="43"/>
      <c r="EI94" s="43"/>
      <c r="EJ94" s="43"/>
      <c r="EK94" s="43"/>
      <c r="EL94" s="43"/>
      <c r="EM94" s="43"/>
      <c r="EN94" s="43"/>
      <c r="EO94" s="43"/>
      <c r="EP94" s="43"/>
      <c r="EQ94" s="43"/>
      <c r="ER94" s="43"/>
      <c r="ES94" s="43"/>
      <c r="ET94" s="43"/>
      <c r="EU94" s="43"/>
      <c r="EV94" s="43"/>
      <c r="EW94" s="43"/>
      <c r="EX94" s="43"/>
      <c r="EY94" s="43"/>
      <c r="EZ94" s="43"/>
      <c r="FA94" s="43"/>
      <c r="FB94" s="43"/>
      <c r="FC94" s="43"/>
      <c r="FD94" s="43"/>
      <c r="FE94" s="43"/>
      <c r="FF94" s="43"/>
      <c r="FG94" s="43"/>
      <c r="FH94" s="43"/>
      <c r="FI94" s="43"/>
      <c r="FJ94" s="43"/>
      <c r="FK94" s="43"/>
      <c r="FL94" s="43"/>
      <c r="FM94" s="43"/>
      <c r="FN94" s="43"/>
    </row>
    <row r="95" spans="1:170" s="6" customFormat="1" ht="15" customHeight="1" x14ac:dyDescent="0.25">
      <c r="A95" s="179" t="s">
        <v>293</v>
      </c>
      <c r="B95" s="179" t="s">
        <v>299</v>
      </c>
      <c r="C95" s="17" t="s">
        <v>300</v>
      </c>
      <c r="D95" s="14" t="s">
        <v>2095</v>
      </c>
      <c r="E95" s="11" t="s">
        <v>301</v>
      </c>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t="s">
        <v>102</v>
      </c>
      <c r="AI95" s="37"/>
      <c r="AJ95" s="37"/>
      <c r="AK95" s="37"/>
      <c r="AL95" s="37"/>
      <c r="AM95" s="37"/>
      <c r="AN95" s="37"/>
      <c r="AO95" s="37"/>
      <c r="AP95" s="37"/>
      <c r="AQ95" s="37"/>
      <c r="AR95" s="37"/>
      <c r="AS95" s="37"/>
      <c r="AT95" s="37"/>
      <c r="AU95" s="37"/>
      <c r="AV95" s="37"/>
      <c r="AW95" s="37"/>
      <c r="AX95" s="37"/>
      <c r="AY95" s="37"/>
      <c r="AZ95" s="37"/>
      <c r="BA95" s="37"/>
      <c r="BB95" s="37" t="s">
        <v>102</v>
      </c>
      <c r="BC95" s="37" t="s">
        <v>102</v>
      </c>
      <c r="BD95" s="37" t="s">
        <v>102</v>
      </c>
      <c r="BE95" s="37"/>
      <c r="BF95" s="37"/>
      <c r="BG95" s="37"/>
      <c r="BH95" s="37"/>
      <c r="BI95" s="37" t="s">
        <v>102</v>
      </c>
      <c r="BJ95" s="37"/>
      <c r="BK95" s="37"/>
      <c r="BL95" s="37"/>
      <c r="BM95" s="37"/>
      <c r="BN95" s="37"/>
      <c r="BO95" s="37"/>
      <c r="BP95" s="37"/>
      <c r="BQ95" s="37"/>
      <c r="BR95" s="37"/>
      <c r="BS95" s="37"/>
      <c r="BT95" s="41"/>
      <c r="BU95" s="44">
        <f t="shared" si="4"/>
        <v>5</v>
      </c>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row>
    <row r="96" spans="1:170" s="6" customFormat="1" ht="15" customHeight="1" x14ac:dyDescent="0.25">
      <c r="A96" s="179" t="s">
        <v>293</v>
      </c>
      <c r="B96" s="179" t="s">
        <v>299</v>
      </c>
      <c r="C96" s="17" t="s">
        <v>300</v>
      </c>
      <c r="D96" s="14" t="s">
        <v>2096</v>
      </c>
      <c r="E96" s="11" t="s">
        <v>302</v>
      </c>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t="s">
        <v>102</v>
      </c>
      <c r="AK96" s="37"/>
      <c r="AL96" s="37" t="s">
        <v>102</v>
      </c>
      <c r="AM96" s="37"/>
      <c r="AN96" s="37"/>
      <c r="AO96" s="37"/>
      <c r="AP96" s="37"/>
      <c r="AQ96" s="37"/>
      <c r="AR96" s="37"/>
      <c r="AS96" s="37"/>
      <c r="AT96" s="37"/>
      <c r="AU96" s="37"/>
      <c r="AV96" s="37"/>
      <c r="AW96" s="37"/>
      <c r="AX96" s="37"/>
      <c r="AY96" s="37" t="s">
        <v>102</v>
      </c>
      <c r="AZ96" s="37"/>
      <c r="BA96" s="37"/>
      <c r="BB96" s="37"/>
      <c r="BC96" s="37"/>
      <c r="BD96" s="37"/>
      <c r="BE96" s="37"/>
      <c r="BF96" s="37"/>
      <c r="BG96" s="37"/>
      <c r="BH96" s="37"/>
      <c r="BI96" s="37"/>
      <c r="BJ96" s="37"/>
      <c r="BK96" s="37"/>
      <c r="BL96" s="37"/>
      <c r="BM96" s="37"/>
      <c r="BN96" s="37"/>
      <c r="BO96" s="37"/>
      <c r="BP96" s="37"/>
      <c r="BQ96" s="37"/>
      <c r="BR96" s="37"/>
      <c r="BS96" s="37"/>
      <c r="BT96" s="41"/>
      <c r="BU96" s="44">
        <f t="shared" si="4"/>
        <v>3</v>
      </c>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row>
    <row r="97" spans="1:170" s="6" customFormat="1" ht="15" customHeight="1" x14ac:dyDescent="0.25">
      <c r="A97" s="179" t="s">
        <v>293</v>
      </c>
      <c r="B97" s="179" t="s">
        <v>299</v>
      </c>
      <c r="C97" s="17" t="s">
        <v>303</v>
      </c>
      <c r="D97" s="16" t="s">
        <v>2097</v>
      </c>
      <c r="E97" s="15" t="s">
        <v>304</v>
      </c>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t="s">
        <v>102</v>
      </c>
      <c r="AZ97" s="37" t="s">
        <v>102</v>
      </c>
      <c r="BA97" s="37"/>
      <c r="BB97" s="37"/>
      <c r="BC97" s="37"/>
      <c r="BD97" s="37"/>
      <c r="BE97" s="37"/>
      <c r="BF97" s="37"/>
      <c r="BG97" s="37"/>
      <c r="BH97" s="37"/>
      <c r="BI97" s="37"/>
      <c r="BJ97" s="37"/>
      <c r="BK97" s="37"/>
      <c r="BL97" s="37"/>
      <c r="BM97" s="37"/>
      <c r="BN97" s="37"/>
      <c r="BO97" s="37"/>
      <c r="BP97" s="37"/>
      <c r="BQ97" s="37"/>
      <c r="BR97" s="37"/>
      <c r="BS97" s="37"/>
      <c r="BT97" s="41"/>
      <c r="BU97" s="44">
        <f t="shared" si="4"/>
        <v>2</v>
      </c>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row>
    <row r="98" spans="1:170" s="6" customFormat="1" ht="15" customHeight="1" x14ac:dyDescent="0.25">
      <c r="A98" s="35" t="s">
        <v>105</v>
      </c>
      <c r="B98" s="35" t="s">
        <v>105</v>
      </c>
      <c r="C98" s="17" t="s">
        <v>305</v>
      </c>
      <c r="D98" s="16" t="s">
        <v>2098</v>
      </c>
      <c r="E98" s="15" t="s">
        <v>306</v>
      </c>
      <c r="F98" s="37"/>
      <c r="G98" s="37"/>
      <c r="H98" s="37"/>
      <c r="I98" s="37"/>
      <c r="J98" s="37"/>
      <c r="K98" s="37"/>
      <c r="L98" s="37"/>
      <c r="M98" s="37"/>
      <c r="N98" s="37"/>
      <c r="O98" s="37"/>
      <c r="P98" s="37"/>
      <c r="Q98" s="37"/>
      <c r="R98" s="37"/>
      <c r="S98" s="37" t="s">
        <v>102</v>
      </c>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41"/>
      <c r="BU98" s="44">
        <f t="shared" ref="BU98:BU129" si="5">COUNTIF(F98:BT98,"A")+COUNTIF(F98:BT98,"B")</f>
        <v>1</v>
      </c>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row>
    <row r="99" spans="1:170" s="6" customFormat="1" x14ac:dyDescent="0.25">
      <c r="A99" s="35" t="s">
        <v>105</v>
      </c>
      <c r="B99" s="35" t="s">
        <v>105</v>
      </c>
      <c r="C99" s="35" t="s">
        <v>105</v>
      </c>
      <c r="D99" s="70" t="s">
        <v>307</v>
      </c>
      <c r="E99" s="74" t="s">
        <v>308</v>
      </c>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41" t="s">
        <v>102</v>
      </c>
      <c r="BU99" s="44">
        <f t="shared" si="5"/>
        <v>1</v>
      </c>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row>
    <row r="100" spans="1:170" s="6" customFormat="1" x14ac:dyDescent="0.25">
      <c r="A100" s="35" t="s">
        <v>105</v>
      </c>
      <c r="B100" s="35" t="s">
        <v>105</v>
      </c>
      <c r="C100" s="35" t="s">
        <v>105</v>
      </c>
      <c r="D100" s="70" t="s">
        <v>2099</v>
      </c>
      <c r="E100" s="74" t="s">
        <v>309</v>
      </c>
      <c r="F100" s="37"/>
      <c r="G100" s="37"/>
      <c r="H100" s="37"/>
      <c r="I100" s="37"/>
      <c r="J100" s="37"/>
      <c r="K100" s="37"/>
      <c r="L100" s="37"/>
      <c r="M100" s="37" t="s">
        <v>102</v>
      </c>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9"/>
      <c r="BG100" s="37"/>
      <c r="BH100" s="37"/>
      <c r="BI100" s="37"/>
      <c r="BJ100" s="37"/>
      <c r="BK100" s="37"/>
      <c r="BL100" s="37"/>
      <c r="BM100" s="37"/>
      <c r="BN100" s="37"/>
      <c r="BO100" s="37"/>
      <c r="BP100" s="37"/>
      <c r="BQ100" s="37"/>
      <c r="BR100" s="37"/>
      <c r="BS100" s="37"/>
      <c r="BT100" s="41"/>
      <c r="BU100" s="44">
        <f t="shared" si="5"/>
        <v>1</v>
      </c>
      <c r="BV100" s="43"/>
      <c r="BW100" s="43"/>
      <c r="BX100" s="43"/>
      <c r="BY100" s="43"/>
      <c r="BZ100" s="43"/>
      <c r="CA100" s="43"/>
      <c r="CB100" s="4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row>
    <row r="101" spans="1:170" s="6" customFormat="1" ht="15" customHeight="1" x14ac:dyDescent="0.25">
      <c r="A101" s="35" t="s">
        <v>105</v>
      </c>
      <c r="B101" s="35" t="s">
        <v>105</v>
      </c>
      <c r="C101" s="35" t="s">
        <v>105</v>
      </c>
      <c r="D101" s="70" t="s">
        <v>2100</v>
      </c>
      <c r="E101" s="74" t="s">
        <v>310</v>
      </c>
      <c r="F101" s="37"/>
      <c r="G101" s="37"/>
      <c r="H101" s="37"/>
      <c r="I101" s="37"/>
      <c r="J101" s="37"/>
      <c r="K101" s="37"/>
      <c r="L101" s="37"/>
      <c r="M101" s="37" t="s">
        <v>102</v>
      </c>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t="s">
        <v>102</v>
      </c>
      <c r="BO101" s="37" t="s">
        <v>102</v>
      </c>
      <c r="BP101" s="37"/>
      <c r="BQ101" s="37"/>
      <c r="BR101" s="37"/>
      <c r="BS101" s="37"/>
      <c r="BT101" s="41"/>
      <c r="BU101" s="44">
        <f t="shared" si="5"/>
        <v>3</v>
      </c>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row>
    <row r="102" spans="1:170" s="6" customFormat="1" x14ac:dyDescent="0.25">
      <c r="A102" s="35" t="s">
        <v>105</v>
      </c>
      <c r="B102" s="35" t="s">
        <v>105</v>
      </c>
      <c r="C102" s="35" t="s">
        <v>105</v>
      </c>
      <c r="D102" s="70" t="s">
        <v>2101</v>
      </c>
      <c r="E102" s="74" t="s">
        <v>311</v>
      </c>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t="s">
        <v>102</v>
      </c>
      <c r="AY102" s="37"/>
      <c r="AZ102" s="37"/>
      <c r="BA102" s="38"/>
      <c r="BB102" s="37"/>
      <c r="BC102" s="37"/>
      <c r="BD102" s="37"/>
      <c r="BE102" s="37"/>
      <c r="BF102" s="37"/>
      <c r="BG102" s="37"/>
      <c r="BH102" s="37"/>
      <c r="BI102" s="37"/>
      <c r="BJ102" s="37"/>
      <c r="BK102" s="37"/>
      <c r="BL102" s="37"/>
      <c r="BM102" s="37"/>
      <c r="BN102" s="37"/>
      <c r="BO102" s="37"/>
      <c r="BP102" s="37"/>
      <c r="BQ102" s="37"/>
      <c r="BR102" s="37"/>
      <c r="BS102" s="37"/>
      <c r="BT102" s="41"/>
      <c r="BU102" s="44">
        <f t="shared" si="5"/>
        <v>1</v>
      </c>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row>
    <row r="103" spans="1:170" s="6" customFormat="1" x14ac:dyDescent="0.25">
      <c r="A103" s="35" t="s">
        <v>105</v>
      </c>
      <c r="B103" s="35" t="s">
        <v>105</v>
      </c>
      <c r="C103" s="35" t="s">
        <v>105</v>
      </c>
      <c r="D103" s="70" t="s">
        <v>2102</v>
      </c>
      <c r="E103" s="74" t="s">
        <v>312</v>
      </c>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t="s">
        <v>102</v>
      </c>
      <c r="BF103" s="37"/>
      <c r="BG103" s="37"/>
      <c r="BH103" s="37"/>
      <c r="BI103" s="37"/>
      <c r="BJ103" s="37"/>
      <c r="BK103" s="37"/>
      <c r="BL103" s="37"/>
      <c r="BM103" s="37"/>
      <c r="BN103" s="37"/>
      <c r="BO103" s="37"/>
      <c r="BP103" s="37"/>
      <c r="BQ103" s="37"/>
      <c r="BR103" s="37"/>
      <c r="BS103" s="37"/>
      <c r="BT103" s="41"/>
      <c r="BU103" s="44">
        <f t="shared" si="5"/>
        <v>1</v>
      </c>
      <c r="BV103" s="43"/>
      <c r="BW103" s="43"/>
      <c r="BX103" s="43"/>
      <c r="BY103" s="43"/>
      <c r="BZ103" s="43"/>
      <c r="CA103" s="43"/>
      <c r="CB103" s="4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row>
    <row r="104" spans="1:170" s="6" customFormat="1" x14ac:dyDescent="0.25">
      <c r="A104" s="35" t="s">
        <v>105</v>
      </c>
      <c r="B104" s="35" t="s">
        <v>105</v>
      </c>
      <c r="C104" s="35" t="s">
        <v>313</v>
      </c>
      <c r="D104" s="71" t="s">
        <v>2103</v>
      </c>
      <c r="E104" s="74" t="s">
        <v>314</v>
      </c>
      <c r="F104" s="37"/>
      <c r="G104" s="37"/>
      <c r="H104" s="37"/>
      <c r="I104" s="37"/>
      <c r="J104" s="37"/>
      <c r="K104" s="37"/>
      <c r="L104" s="37"/>
      <c r="M104" s="37"/>
      <c r="N104" s="37"/>
      <c r="O104" s="37"/>
      <c r="P104" s="37"/>
      <c r="Q104" s="37"/>
      <c r="R104" s="37"/>
      <c r="S104" s="37"/>
      <c r="T104" s="37"/>
      <c r="U104" s="37"/>
      <c r="V104" s="37"/>
      <c r="W104" s="37"/>
      <c r="X104" s="37"/>
      <c r="Y104" s="37"/>
      <c r="Z104" s="37"/>
      <c r="AA104" s="37"/>
      <c r="AB104" s="37" t="s">
        <v>102</v>
      </c>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t="s">
        <v>102</v>
      </c>
      <c r="BF104" s="37"/>
      <c r="BG104" s="37"/>
      <c r="BH104" s="37"/>
      <c r="BI104" s="37"/>
      <c r="BJ104" s="37"/>
      <c r="BK104" s="37"/>
      <c r="BL104" s="37"/>
      <c r="BM104" s="37"/>
      <c r="BN104" s="37"/>
      <c r="BO104" s="37"/>
      <c r="BP104" s="37"/>
      <c r="BQ104" s="37"/>
      <c r="BR104" s="37"/>
      <c r="BS104" s="37"/>
      <c r="BT104" s="41"/>
      <c r="BU104" s="44">
        <f t="shared" si="5"/>
        <v>2</v>
      </c>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row>
    <row r="105" spans="1:170" s="6" customFormat="1" x14ac:dyDescent="0.25">
      <c r="A105" s="35" t="s">
        <v>105</v>
      </c>
      <c r="B105" s="35" t="s">
        <v>105</v>
      </c>
      <c r="C105" s="35" t="s">
        <v>313</v>
      </c>
      <c r="D105" s="71" t="s">
        <v>2104</v>
      </c>
      <c r="E105" s="74" t="s">
        <v>315</v>
      </c>
      <c r="F105" s="37"/>
      <c r="G105" s="37"/>
      <c r="H105" s="37"/>
      <c r="I105" s="37"/>
      <c r="J105" s="37"/>
      <c r="K105" s="37"/>
      <c r="L105" s="37"/>
      <c r="M105" s="37"/>
      <c r="N105" s="37"/>
      <c r="O105" s="37"/>
      <c r="P105" s="37"/>
      <c r="Q105" s="37"/>
      <c r="R105" s="37"/>
      <c r="S105" s="37"/>
      <c r="T105" s="37"/>
      <c r="U105" s="37"/>
      <c r="V105" s="37"/>
      <c r="W105" s="37"/>
      <c r="X105" s="37"/>
      <c r="Y105" s="37"/>
      <c r="Z105" s="37"/>
      <c r="AA105" s="37"/>
      <c r="AB105" s="37" t="s">
        <v>102</v>
      </c>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t="s">
        <v>102</v>
      </c>
      <c r="BF105" s="39"/>
      <c r="BG105" s="37"/>
      <c r="BH105" s="37"/>
      <c r="BI105" s="37"/>
      <c r="BJ105" s="37"/>
      <c r="BK105" s="37"/>
      <c r="BL105" s="37"/>
      <c r="BM105" s="37"/>
      <c r="BN105" s="37"/>
      <c r="BO105" s="37"/>
      <c r="BP105" s="37"/>
      <c r="BQ105" s="37"/>
      <c r="BR105" s="37"/>
      <c r="BS105" s="37"/>
      <c r="BT105" s="41"/>
      <c r="BU105" s="44">
        <f t="shared" si="5"/>
        <v>2</v>
      </c>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row>
    <row r="106" spans="1:170" s="6" customFormat="1" x14ac:dyDescent="0.25">
      <c r="A106" s="35" t="s">
        <v>105</v>
      </c>
      <c r="B106" s="35" t="s">
        <v>105</v>
      </c>
      <c r="C106" s="35" t="s">
        <v>313</v>
      </c>
      <c r="D106" s="71" t="s">
        <v>2105</v>
      </c>
      <c r="E106" s="74" t="s">
        <v>316</v>
      </c>
      <c r="F106" s="37"/>
      <c r="G106" s="37"/>
      <c r="H106" s="37"/>
      <c r="I106" s="40"/>
      <c r="J106" s="40"/>
      <c r="K106" s="37"/>
      <c r="L106" s="37"/>
      <c r="M106" s="40"/>
      <c r="N106" s="37"/>
      <c r="O106" s="40"/>
      <c r="P106" s="37"/>
      <c r="Q106" s="37"/>
      <c r="R106" s="40"/>
      <c r="S106" s="37"/>
      <c r="T106" s="37"/>
      <c r="U106" s="40"/>
      <c r="V106" s="37"/>
      <c r="W106" s="37"/>
      <c r="X106" s="37"/>
      <c r="Y106" s="40"/>
      <c r="Z106" s="37"/>
      <c r="AA106" s="37"/>
      <c r="AB106" s="40"/>
      <c r="AC106" s="37"/>
      <c r="AD106" s="37"/>
      <c r="AE106" s="40"/>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t="s">
        <v>102</v>
      </c>
      <c r="BF106" s="39"/>
      <c r="BG106" s="37"/>
      <c r="BH106" s="37"/>
      <c r="BI106" s="37"/>
      <c r="BJ106" s="37"/>
      <c r="BK106" s="37"/>
      <c r="BL106" s="37"/>
      <c r="BM106" s="37"/>
      <c r="BN106" s="37"/>
      <c r="BO106" s="37"/>
      <c r="BP106" s="37"/>
      <c r="BQ106" s="37"/>
      <c r="BR106" s="37"/>
      <c r="BS106" s="37"/>
      <c r="BT106" s="41"/>
      <c r="BU106" s="44">
        <f t="shared" si="5"/>
        <v>1</v>
      </c>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row>
    <row r="107" spans="1:170" s="6" customFormat="1" ht="15" customHeight="1" x14ac:dyDescent="0.25">
      <c r="A107" s="35" t="s">
        <v>105</v>
      </c>
      <c r="B107" s="35" t="s">
        <v>105</v>
      </c>
      <c r="C107" s="35" t="s">
        <v>313</v>
      </c>
      <c r="D107" s="72" t="s">
        <v>317</v>
      </c>
      <c r="E107" s="75" t="s">
        <v>449</v>
      </c>
      <c r="F107" s="37"/>
      <c r="G107" s="37"/>
      <c r="H107" s="37"/>
      <c r="I107" s="37"/>
      <c r="J107" s="37"/>
      <c r="K107" s="37"/>
      <c r="L107" s="37"/>
      <c r="M107" s="37"/>
      <c r="N107" s="37" t="s">
        <v>102</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41"/>
      <c r="BU107" s="44">
        <f t="shared" si="5"/>
        <v>1</v>
      </c>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row>
    <row r="108" spans="1:170" s="6" customFormat="1" x14ac:dyDescent="0.25">
      <c r="A108" s="35" t="s">
        <v>105</v>
      </c>
      <c r="B108" s="35" t="s">
        <v>105</v>
      </c>
      <c r="C108" s="35" t="s">
        <v>313</v>
      </c>
      <c r="D108" s="71" t="s">
        <v>2106</v>
      </c>
      <c r="E108" s="74" t="s">
        <v>318</v>
      </c>
      <c r="F108" s="37"/>
      <c r="G108" s="37"/>
      <c r="H108" s="37"/>
      <c r="I108" s="37"/>
      <c r="J108" s="37"/>
      <c r="K108" s="37"/>
      <c r="L108" s="37"/>
      <c r="M108" s="37"/>
      <c r="N108" s="37" t="s">
        <v>102</v>
      </c>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41"/>
      <c r="BU108" s="44">
        <f t="shared" si="5"/>
        <v>1</v>
      </c>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row>
    <row r="109" spans="1:170" s="6" customFormat="1" x14ac:dyDescent="0.25">
      <c r="A109" s="35" t="s">
        <v>105</v>
      </c>
      <c r="B109" s="35" t="s">
        <v>105</v>
      </c>
      <c r="C109" s="35" t="s">
        <v>313</v>
      </c>
      <c r="D109" s="72" t="s">
        <v>2107</v>
      </c>
      <c r="E109" s="75" t="s">
        <v>319</v>
      </c>
      <c r="F109" s="37"/>
      <c r="G109" s="37"/>
      <c r="H109" s="37"/>
      <c r="I109" s="37"/>
      <c r="J109" s="37"/>
      <c r="K109" s="37"/>
      <c r="L109" s="37"/>
      <c r="M109" s="37"/>
      <c r="N109" s="37" t="s">
        <v>116</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41"/>
      <c r="BU109" s="44">
        <f t="shared" si="5"/>
        <v>1</v>
      </c>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row>
    <row r="110" spans="1:170" s="6" customFormat="1" x14ac:dyDescent="0.25">
      <c r="A110" s="35" t="s">
        <v>105</v>
      </c>
      <c r="B110" s="35" t="s">
        <v>105</v>
      </c>
      <c r="C110" s="35" t="s">
        <v>313</v>
      </c>
      <c r="D110" s="72" t="s">
        <v>2108</v>
      </c>
      <c r="E110" s="75" t="s">
        <v>320</v>
      </c>
      <c r="F110" s="37"/>
      <c r="G110" s="37"/>
      <c r="H110" s="37"/>
      <c r="I110" s="37"/>
      <c r="J110" s="37"/>
      <c r="K110" s="37"/>
      <c r="L110" s="37"/>
      <c r="M110" s="37"/>
      <c r="N110" s="37" t="s">
        <v>116</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41"/>
      <c r="BU110" s="44">
        <f t="shared" si="5"/>
        <v>1</v>
      </c>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row>
    <row r="111" spans="1:170" s="6" customFormat="1" x14ac:dyDescent="0.25">
      <c r="A111" s="179" t="s">
        <v>2045</v>
      </c>
      <c r="B111" s="27" t="s">
        <v>105</v>
      </c>
      <c r="C111" s="27" t="s">
        <v>105</v>
      </c>
      <c r="D111" s="28" t="s">
        <v>321</v>
      </c>
      <c r="E111" s="28" t="s">
        <v>322</v>
      </c>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t="s">
        <v>116</v>
      </c>
      <c r="AT111" s="37" t="s">
        <v>102</v>
      </c>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41"/>
      <c r="BU111" s="44">
        <f>COUNTIF(F111:BT111,"A")+COUNTIF(F111:BT111,"B")</f>
        <v>2</v>
      </c>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row>
    <row r="112" spans="1:170" s="6" customFormat="1" ht="15" customHeight="1" x14ac:dyDescent="0.25">
      <c r="A112" s="179" t="s">
        <v>2045</v>
      </c>
      <c r="B112" s="27" t="s">
        <v>105</v>
      </c>
      <c r="C112" s="27" t="s">
        <v>105</v>
      </c>
      <c r="D112" s="70" t="s">
        <v>2109</v>
      </c>
      <c r="E112" s="74" t="s">
        <v>323</v>
      </c>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t="s">
        <v>102</v>
      </c>
      <c r="AF112" s="37"/>
      <c r="AG112" s="37"/>
      <c r="AH112" s="37"/>
      <c r="AI112" s="37"/>
      <c r="AJ112" s="37"/>
      <c r="AK112" s="37"/>
      <c r="AL112" s="37"/>
      <c r="AM112" s="37"/>
      <c r="AN112" s="37"/>
      <c r="AO112" s="37"/>
      <c r="AP112" s="37"/>
      <c r="AQ112" s="37"/>
      <c r="AR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41"/>
      <c r="BU112" s="44">
        <f t="shared" si="5"/>
        <v>1</v>
      </c>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row>
    <row r="113" spans="1:170" s="6" customFormat="1" x14ac:dyDescent="0.25">
      <c r="A113" s="179" t="s">
        <v>2045</v>
      </c>
      <c r="B113" s="27" t="s">
        <v>105</v>
      </c>
      <c r="C113" s="27" t="s">
        <v>105</v>
      </c>
      <c r="D113" s="70" t="s">
        <v>2110</v>
      </c>
      <c r="E113" s="74" t="s">
        <v>324</v>
      </c>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t="s">
        <v>102</v>
      </c>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41"/>
      <c r="BU113" s="44">
        <f t="shared" si="5"/>
        <v>1</v>
      </c>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row>
    <row r="114" spans="1:170" s="6" customFormat="1" x14ac:dyDescent="0.25">
      <c r="A114" s="179" t="s">
        <v>2045</v>
      </c>
      <c r="B114" s="27" t="s">
        <v>105</v>
      </c>
      <c r="C114" s="27" t="s">
        <v>105</v>
      </c>
      <c r="D114" s="28" t="s">
        <v>325</v>
      </c>
      <c r="E114" s="28" t="s">
        <v>326</v>
      </c>
      <c r="F114" s="37"/>
      <c r="G114" s="37"/>
      <c r="H114" s="37"/>
      <c r="I114" s="37"/>
      <c r="J114" s="37"/>
      <c r="K114" s="37"/>
      <c r="L114" s="37"/>
      <c r="M114" s="37"/>
      <c r="N114" s="37"/>
      <c r="O114" s="37"/>
      <c r="P114" s="37"/>
      <c r="Q114" s="37"/>
      <c r="R114" s="37" t="s">
        <v>102</v>
      </c>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41"/>
      <c r="BU114" s="44">
        <f t="shared" si="5"/>
        <v>1</v>
      </c>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row>
    <row r="115" spans="1:170" s="6" customFormat="1" ht="15" customHeight="1" x14ac:dyDescent="0.25">
      <c r="A115" s="179" t="s">
        <v>2045</v>
      </c>
      <c r="B115" s="27" t="s">
        <v>105</v>
      </c>
      <c r="C115" s="27" t="s">
        <v>105</v>
      </c>
      <c r="D115" s="28" t="s">
        <v>327</v>
      </c>
      <c r="E115" s="28" t="s">
        <v>328</v>
      </c>
      <c r="F115" s="37"/>
      <c r="G115" s="37"/>
      <c r="H115" s="37"/>
      <c r="I115" s="37"/>
      <c r="J115" s="37"/>
      <c r="K115" s="37"/>
      <c r="L115" s="37"/>
      <c r="M115" s="37"/>
      <c r="N115" s="37"/>
      <c r="O115" s="37"/>
      <c r="P115" s="37"/>
      <c r="Q115" s="37"/>
      <c r="R115" s="37"/>
      <c r="S115" s="37"/>
      <c r="T115" s="37"/>
      <c r="U115" s="37"/>
      <c r="V115" s="37"/>
      <c r="W115" s="37"/>
      <c r="X115" s="37"/>
      <c r="Y115" s="37"/>
      <c r="Z115" s="37" t="s">
        <v>102</v>
      </c>
      <c r="AA115" s="37" t="s">
        <v>102</v>
      </c>
      <c r="AB115" s="37"/>
      <c r="AC115" s="37" t="s">
        <v>102</v>
      </c>
      <c r="AD115" s="37" t="s">
        <v>102</v>
      </c>
      <c r="AE115" s="37"/>
      <c r="AF115" s="37"/>
      <c r="AG115" s="37"/>
      <c r="AH115" s="37"/>
      <c r="AI115" s="37"/>
      <c r="AJ115" s="37"/>
      <c r="AK115" s="37"/>
      <c r="AL115" s="37" t="s">
        <v>102</v>
      </c>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41"/>
      <c r="BU115" s="44">
        <f t="shared" si="5"/>
        <v>5</v>
      </c>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row>
    <row r="116" spans="1:170" s="6" customFormat="1" x14ac:dyDescent="0.25">
      <c r="A116" s="179" t="s">
        <v>2045</v>
      </c>
      <c r="B116" s="27" t="s">
        <v>105</v>
      </c>
      <c r="C116" s="27" t="s">
        <v>105</v>
      </c>
      <c r="D116" s="73" t="s">
        <v>329</v>
      </c>
      <c r="E116" s="76" t="s">
        <v>330</v>
      </c>
      <c r="F116" s="37"/>
      <c r="G116" s="37"/>
      <c r="H116" s="37"/>
      <c r="I116" s="37"/>
      <c r="J116" s="37"/>
      <c r="K116" s="37"/>
      <c r="L116" s="37"/>
      <c r="M116" s="37"/>
      <c r="N116" s="37"/>
      <c r="O116" s="37"/>
      <c r="P116" s="37"/>
      <c r="Q116" s="37"/>
      <c r="R116" s="37" t="s">
        <v>102</v>
      </c>
      <c r="S116" s="40"/>
      <c r="T116" s="37"/>
      <c r="U116" s="37"/>
      <c r="V116" s="37"/>
      <c r="W116" s="37"/>
      <c r="X116" s="37"/>
      <c r="Y116" s="40"/>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t="s">
        <v>102</v>
      </c>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41"/>
      <c r="BU116" s="44">
        <f t="shared" si="5"/>
        <v>2</v>
      </c>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row>
    <row r="117" spans="1:170" s="6" customFormat="1" x14ac:dyDescent="0.25">
      <c r="A117" s="179" t="s">
        <v>2045</v>
      </c>
      <c r="B117" s="27" t="s">
        <v>105</v>
      </c>
      <c r="C117" s="27" t="s">
        <v>105</v>
      </c>
      <c r="D117" s="73" t="s">
        <v>331</v>
      </c>
      <c r="E117" s="76" t="s">
        <v>332</v>
      </c>
      <c r="F117" s="37"/>
      <c r="G117" s="37"/>
      <c r="H117" s="37"/>
      <c r="I117" s="37"/>
      <c r="J117" s="37"/>
      <c r="K117" s="37"/>
      <c r="L117" s="37"/>
      <c r="M117" s="37"/>
      <c r="N117" s="37"/>
      <c r="O117" s="37"/>
      <c r="P117" s="37"/>
      <c r="Q117" s="37"/>
      <c r="R117" s="37"/>
      <c r="S117" s="37"/>
      <c r="T117" s="37"/>
      <c r="U117" s="37"/>
      <c r="V117" s="37"/>
      <c r="W117" s="37"/>
      <c r="X117" s="37"/>
      <c r="Y117" s="37"/>
      <c r="Z117" s="37"/>
      <c r="AA117" s="37"/>
      <c r="AB117" s="38"/>
      <c r="AC117" s="37"/>
      <c r="AD117" s="37"/>
      <c r="AE117" s="37"/>
      <c r="AF117" s="37"/>
      <c r="AG117" s="37"/>
      <c r="AH117" s="37"/>
      <c r="AI117" s="37"/>
      <c r="AJ117" s="37"/>
      <c r="AK117" s="37"/>
      <c r="AL117" s="37"/>
      <c r="AM117" s="37"/>
      <c r="AN117" s="37"/>
      <c r="AO117" s="37"/>
      <c r="AP117" s="37"/>
      <c r="AQ117" s="37"/>
      <c r="AR117" s="37"/>
      <c r="AS117" s="37"/>
      <c r="AT117" s="37"/>
      <c r="AU117" s="37"/>
      <c r="AV117" s="37" t="s">
        <v>102</v>
      </c>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41"/>
      <c r="BU117" s="44">
        <f t="shared" si="5"/>
        <v>1</v>
      </c>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row>
    <row r="118" spans="1:170" s="6" customFormat="1" x14ac:dyDescent="0.25">
      <c r="A118" s="179" t="s">
        <v>2045</v>
      </c>
      <c r="B118" s="27" t="s">
        <v>105</v>
      </c>
      <c r="C118" s="27" t="s">
        <v>105</v>
      </c>
      <c r="D118" s="73" t="s">
        <v>333</v>
      </c>
      <c r="E118" s="76" t="s">
        <v>334</v>
      </c>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t="s">
        <v>102</v>
      </c>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41"/>
      <c r="BU118" s="44">
        <f t="shared" si="5"/>
        <v>1</v>
      </c>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row>
    <row r="119" spans="1:170" s="6" customFormat="1" x14ac:dyDescent="0.25">
      <c r="A119" s="179" t="s">
        <v>2045</v>
      </c>
      <c r="B119" s="27" t="s">
        <v>105</v>
      </c>
      <c r="C119" s="27" t="s">
        <v>105</v>
      </c>
      <c r="D119" s="73" t="s">
        <v>335</v>
      </c>
      <c r="E119" s="76" t="s">
        <v>336</v>
      </c>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8"/>
      <c r="AD119" s="37"/>
      <c r="AE119" s="37"/>
      <c r="AF119" s="37"/>
      <c r="AG119" s="37"/>
      <c r="AH119" s="37"/>
      <c r="AI119" s="37"/>
      <c r="AJ119" s="37"/>
      <c r="AK119" s="37"/>
      <c r="AL119" s="37"/>
      <c r="AM119" s="37"/>
      <c r="AN119" s="37"/>
      <c r="AO119" s="37"/>
      <c r="AP119" s="37"/>
      <c r="AQ119" s="37"/>
      <c r="AR119" s="37"/>
      <c r="AS119" s="37"/>
      <c r="AT119" s="37"/>
      <c r="AU119" s="37"/>
      <c r="AV119" s="37" t="s">
        <v>102</v>
      </c>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41"/>
      <c r="BU119" s="44">
        <f t="shared" si="5"/>
        <v>1</v>
      </c>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row>
    <row r="120" spans="1:170" s="6" customFormat="1" x14ac:dyDescent="0.25">
      <c r="A120" s="179" t="s">
        <v>2045</v>
      </c>
      <c r="B120" s="27" t="s">
        <v>105</v>
      </c>
      <c r="C120" s="27" t="s">
        <v>105</v>
      </c>
      <c r="D120" s="73" t="s">
        <v>337</v>
      </c>
      <c r="E120" s="76" t="s">
        <v>338</v>
      </c>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t="s">
        <v>102</v>
      </c>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9"/>
      <c r="BU120" s="44">
        <f t="shared" si="5"/>
        <v>1</v>
      </c>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row>
    <row r="121" spans="1:170" s="6" customFormat="1" ht="16.5" customHeight="1" x14ac:dyDescent="0.25">
      <c r="A121" s="179" t="s">
        <v>2045</v>
      </c>
      <c r="B121" s="27" t="s">
        <v>105</v>
      </c>
      <c r="C121" s="27" t="s">
        <v>105</v>
      </c>
      <c r="D121" s="73" t="s">
        <v>243</v>
      </c>
      <c r="E121" s="76" t="s">
        <v>244</v>
      </c>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t="s">
        <v>102</v>
      </c>
      <c r="BR121" s="37"/>
      <c r="BS121" s="37"/>
      <c r="BT121" s="41"/>
      <c r="BU121" s="44">
        <f>COUNTIF(F121:BT121,"A")+COUNTIF(F121:BT121,"B")</f>
        <v>1</v>
      </c>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row>
    <row r="122" spans="1:170" s="6" customFormat="1" x14ac:dyDescent="0.25">
      <c r="A122" s="179" t="s">
        <v>2045</v>
      </c>
      <c r="B122" s="27" t="s">
        <v>105</v>
      </c>
      <c r="C122" s="27" t="s">
        <v>105</v>
      </c>
      <c r="D122" s="73" t="s">
        <v>2111</v>
      </c>
      <c r="E122" s="76" t="s">
        <v>339</v>
      </c>
      <c r="F122" s="37"/>
      <c r="G122" s="37"/>
      <c r="H122" s="37"/>
      <c r="I122" s="37"/>
      <c r="J122" s="37"/>
      <c r="K122" s="37"/>
      <c r="L122" s="37"/>
      <c r="M122" s="37"/>
      <c r="N122" s="37"/>
      <c r="O122" s="37"/>
      <c r="P122" s="37"/>
      <c r="Q122" s="37"/>
      <c r="R122" s="37"/>
      <c r="S122" s="37"/>
      <c r="T122" s="37"/>
      <c r="U122" s="37"/>
      <c r="V122" s="37"/>
      <c r="W122" s="37"/>
      <c r="X122" s="37"/>
      <c r="Y122" s="37"/>
      <c r="Z122" s="37" t="s">
        <v>102</v>
      </c>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t="s">
        <v>102</v>
      </c>
      <c r="BC122" s="37"/>
      <c r="BD122" s="37" t="s">
        <v>102</v>
      </c>
      <c r="BE122" s="37"/>
      <c r="BF122" s="40"/>
      <c r="BG122" s="37"/>
      <c r="BH122" s="37"/>
      <c r="BI122" s="37"/>
      <c r="BJ122" s="37"/>
      <c r="BK122" s="37"/>
      <c r="BL122" s="37"/>
      <c r="BM122" s="37"/>
      <c r="BN122" s="37"/>
      <c r="BO122" s="37"/>
      <c r="BP122" s="37"/>
      <c r="BQ122" s="37"/>
      <c r="BR122" s="37"/>
      <c r="BS122" s="37"/>
      <c r="BT122" s="41"/>
      <c r="BU122" s="44">
        <f t="shared" si="5"/>
        <v>3</v>
      </c>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row>
    <row r="123" spans="1:170" s="6" customFormat="1" ht="15" customHeight="1" x14ac:dyDescent="0.25">
      <c r="A123" s="179" t="s">
        <v>2045</v>
      </c>
      <c r="B123" s="27" t="s">
        <v>105</v>
      </c>
      <c r="C123" s="27" t="s">
        <v>105</v>
      </c>
      <c r="D123" s="73" t="s">
        <v>2112</v>
      </c>
      <c r="E123" s="76" t="s">
        <v>340</v>
      </c>
      <c r="F123" s="37"/>
      <c r="G123" s="37"/>
      <c r="H123" s="37"/>
      <c r="I123" s="37"/>
      <c r="J123" s="37"/>
      <c r="K123" s="37"/>
      <c r="L123" s="37"/>
      <c r="M123" s="37"/>
      <c r="N123" s="37"/>
      <c r="O123" s="37"/>
      <c r="P123" s="37"/>
      <c r="Q123" s="37"/>
      <c r="R123" s="37"/>
      <c r="S123" s="37" t="s">
        <v>102</v>
      </c>
      <c r="T123" s="37"/>
      <c r="U123" s="37"/>
      <c r="V123" s="37"/>
      <c r="W123" s="37"/>
      <c r="X123" s="37"/>
      <c r="Y123" s="37"/>
      <c r="Z123" s="37" t="s">
        <v>102</v>
      </c>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t="s">
        <v>102</v>
      </c>
      <c r="BG123" s="37"/>
      <c r="BH123" s="37"/>
      <c r="BI123" s="37"/>
      <c r="BJ123" s="37"/>
      <c r="BK123" s="37"/>
      <c r="BL123" s="37"/>
      <c r="BM123" s="37"/>
      <c r="BN123" s="37"/>
      <c r="BO123" s="37"/>
      <c r="BP123" s="37"/>
      <c r="BQ123" s="37"/>
      <c r="BR123" s="37"/>
      <c r="BS123" s="37"/>
      <c r="BT123" s="41"/>
      <c r="BU123" s="44">
        <f t="shared" si="5"/>
        <v>3</v>
      </c>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row>
    <row r="124" spans="1:170" s="7" customFormat="1" ht="15" customHeight="1" x14ac:dyDescent="0.25">
      <c r="A124" s="179" t="s">
        <v>2045</v>
      </c>
      <c r="B124" s="27" t="s">
        <v>105</v>
      </c>
      <c r="C124" s="27" t="s">
        <v>105</v>
      </c>
      <c r="D124" s="36" t="s">
        <v>341</v>
      </c>
      <c r="E124" s="36" t="s">
        <v>342</v>
      </c>
      <c r="F124" s="37"/>
      <c r="G124" s="37"/>
      <c r="H124" s="37"/>
      <c r="I124" s="37"/>
      <c r="J124" s="37"/>
      <c r="K124" s="37"/>
      <c r="L124" s="37"/>
      <c r="M124" s="37" t="s">
        <v>102</v>
      </c>
      <c r="N124" s="37"/>
      <c r="O124" s="37"/>
      <c r="P124" s="37"/>
      <c r="Q124" s="37"/>
      <c r="R124" s="37"/>
      <c r="S124" s="37"/>
      <c r="T124" s="37" t="s">
        <v>102</v>
      </c>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t="s">
        <v>116</v>
      </c>
      <c r="BG124" s="37"/>
      <c r="BH124" s="37"/>
      <c r="BI124" s="37"/>
      <c r="BJ124" s="37"/>
      <c r="BK124" s="37"/>
      <c r="BL124" s="37"/>
      <c r="BM124" s="37"/>
      <c r="BN124" s="37"/>
      <c r="BO124" s="37"/>
      <c r="BP124" s="37"/>
      <c r="BQ124" s="37"/>
      <c r="BR124" s="37"/>
      <c r="BS124" s="37"/>
      <c r="BT124" s="41"/>
      <c r="BU124" s="44">
        <f t="shared" si="5"/>
        <v>3</v>
      </c>
      <c r="BV124" s="13"/>
      <c r="BW124" s="13"/>
      <c r="BX124" s="13"/>
      <c r="BY124" s="13"/>
      <c r="BZ124" s="13"/>
      <c r="CA124" s="13"/>
      <c r="CB124" s="1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c r="DA124" s="43"/>
      <c r="DB124" s="43"/>
      <c r="DC124" s="43"/>
      <c r="DD124" s="43"/>
      <c r="DE124" s="43"/>
      <c r="DF124" s="43"/>
      <c r="DG124" s="43"/>
      <c r="DH124" s="43"/>
      <c r="DI124" s="43"/>
      <c r="DJ124" s="43"/>
      <c r="DK124" s="43"/>
      <c r="DL124" s="43"/>
      <c r="DM124" s="43"/>
      <c r="DN124" s="43"/>
      <c r="DO124" s="43"/>
      <c r="DP124" s="43"/>
      <c r="DQ124" s="43"/>
      <c r="DR124" s="43"/>
      <c r="DS124" s="43"/>
      <c r="DT124" s="43"/>
      <c r="DU124" s="43"/>
      <c r="DV124" s="43"/>
      <c r="DW124" s="43"/>
      <c r="DX124" s="43"/>
      <c r="DY124" s="43"/>
      <c r="DZ124" s="43"/>
      <c r="EA124" s="43"/>
      <c r="EB124" s="43"/>
      <c r="EC124" s="43"/>
      <c r="ED124" s="43"/>
      <c r="EE124" s="43"/>
      <c r="EF124" s="43"/>
      <c r="EG124" s="43"/>
      <c r="EH124" s="43"/>
      <c r="EI124" s="43"/>
      <c r="EJ124" s="43"/>
      <c r="EK124" s="43"/>
      <c r="EL124" s="43"/>
      <c r="EM124" s="43"/>
      <c r="EN124" s="43"/>
      <c r="EO124" s="43"/>
      <c r="EP124" s="43"/>
      <c r="EQ124" s="43"/>
      <c r="ER124" s="43"/>
      <c r="ES124" s="43"/>
      <c r="ET124" s="43"/>
      <c r="EU124" s="43"/>
      <c r="EV124" s="43"/>
      <c r="EW124" s="43"/>
      <c r="EX124" s="43"/>
      <c r="EY124" s="43"/>
      <c r="EZ124" s="43"/>
      <c r="FA124" s="43"/>
      <c r="FB124" s="43"/>
      <c r="FC124" s="43"/>
      <c r="FD124" s="43"/>
      <c r="FE124" s="43"/>
      <c r="FF124" s="43"/>
      <c r="FG124" s="43"/>
      <c r="FH124" s="43"/>
      <c r="FI124" s="43"/>
      <c r="FJ124" s="43"/>
      <c r="FK124" s="43"/>
      <c r="FL124" s="43"/>
      <c r="FM124" s="43"/>
      <c r="FN124" s="43"/>
    </row>
    <row r="125" spans="1:170" s="7" customFormat="1" ht="15" customHeight="1" x14ac:dyDescent="0.25">
      <c r="A125" s="179" t="s">
        <v>2045</v>
      </c>
      <c r="B125" s="27" t="s">
        <v>105</v>
      </c>
      <c r="C125" s="27" t="s">
        <v>105</v>
      </c>
      <c r="D125" s="73" t="s">
        <v>2113</v>
      </c>
      <c r="E125" s="76" t="s">
        <v>172</v>
      </c>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t="s">
        <v>102</v>
      </c>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41"/>
      <c r="BU125" s="44">
        <f t="shared" si="5"/>
        <v>1</v>
      </c>
      <c r="BV125" s="13"/>
      <c r="BW125" s="13"/>
      <c r="BX125" s="13"/>
      <c r="BY125" s="13"/>
      <c r="BZ125" s="13"/>
      <c r="CA125" s="13"/>
      <c r="CB125" s="1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c r="DA125" s="43"/>
      <c r="DB125" s="43"/>
      <c r="DC125" s="43"/>
      <c r="DD125" s="43"/>
      <c r="DE125" s="43"/>
      <c r="DF125" s="43"/>
      <c r="DG125" s="43"/>
      <c r="DH125" s="43"/>
      <c r="DI125" s="43"/>
      <c r="DJ125" s="43"/>
      <c r="DK125" s="43"/>
      <c r="DL125" s="43"/>
      <c r="DM125" s="43"/>
      <c r="DN125" s="43"/>
      <c r="DO125" s="43"/>
      <c r="DP125" s="43"/>
      <c r="DQ125" s="43"/>
      <c r="DR125" s="43"/>
      <c r="DS125" s="43"/>
      <c r="DT125" s="43"/>
      <c r="DU125" s="43"/>
      <c r="DV125" s="43"/>
      <c r="DW125" s="43"/>
      <c r="DX125" s="43"/>
      <c r="DY125" s="43"/>
      <c r="DZ125" s="43"/>
      <c r="EA125" s="43"/>
      <c r="EB125" s="43"/>
      <c r="EC125" s="43"/>
      <c r="ED125" s="43"/>
      <c r="EE125" s="43"/>
      <c r="EF125" s="43"/>
      <c r="EG125" s="43"/>
      <c r="EH125" s="43"/>
      <c r="EI125" s="43"/>
      <c r="EJ125" s="43"/>
      <c r="EK125" s="43"/>
      <c r="EL125" s="43"/>
      <c r="EM125" s="43"/>
      <c r="EN125" s="43"/>
      <c r="EO125" s="43"/>
      <c r="EP125" s="43"/>
      <c r="EQ125" s="43"/>
      <c r="ER125" s="43"/>
      <c r="ES125" s="43"/>
      <c r="ET125" s="43"/>
      <c r="EU125" s="43"/>
      <c r="EV125" s="43"/>
      <c r="EW125" s="43"/>
      <c r="EX125" s="43"/>
      <c r="EY125" s="43"/>
      <c r="EZ125" s="43"/>
      <c r="FA125" s="43"/>
      <c r="FB125" s="43"/>
      <c r="FC125" s="43"/>
      <c r="FD125" s="43"/>
      <c r="FE125" s="43"/>
      <c r="FF125" s="43"/>
      <c r="FG125" s="43"/>
      <c r="FH125" s="43"/>
      <c r="FI125" s="43"/>
      <c r="FJ125" s="43"/>
      <c r="FK125" s="43"/>
      <c r="FL125" s="43"/>
      <c r="FM125" s="43"/>
      <c r="FN125" s="43"/>
    </row>
    <row r="126" spans="1:170" s="6" customFormat="1" ht="16.5" customHeight="1" x14ac:dyDescent="0.25">
      <c r="A126" s="179" t="s">
        <v>2045</v>
      </c>
      <c r="B126" s="27" t="s">
        <v>105</v>
      </c>
      <c r="C126" s="27" t="s">
        <v>105</v>
      </c>
      <c r="D126" s="73" t="s">
        <v>2114</v>
      </c>
      <c r="E126" s="76" t="s">
        <v>343</v>
      </c>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t="s">
        <v>102</v>
      </c>
      <c r="AJ126" s="37"/>
      <c r="AK126" s="37"/>
      <c r="AL126" s="37"/>
      <c r="AM126" s="37"/>
      <c r="AN126" s="37"/>
      <c r="AO126" s="37"/>
      <c r="AP126" s="37"/>
      <c r="AQ126" s="37"/>
      <c r="AR126" s="37"/>
      <c r="AS126" s="37"/>
      <c r="AT126" s="37"/>
      <c r="AU126" s="40"/>
      <c r="AV126" s="40"/>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41"/>
      <c r="BU126" s="44">
        <f t="shared" si="5"/>
        <v>1</v>
      </c>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row>
    <row r="127" spans="1:170" s="6" customFormat="1" ht="16.5" customHeight="1" x14ac:dyDescent="0.25">
      <c r="A127" s="179" t="s">
        <v>2045</v>
      </c>
      <c r="B127" s="27" t="s">
        <v>105</v>
      </c>
      <c r="C127" s="27" t="s">
        <v>105</v>
      </c>
      <c r="D127" s="36" t="s">
        <v>344</v>
      </c>
      <c r="E127" s="36" t="s">
        <v>345</v>
      </c>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t="s">
        <v>102</v>
      </c>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41"/>
      <c r="BU127" s="44">
        <f t="shared" si="5"/>
        <v>1</v>
      </c>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row>
    <row r="128" spans="1:170" s="6" customFormat="1" ht="15" customHeight="1" x14ac:dyDescent="0.25">
      <c r="A128" s="179" t="s">
        <v>2045</v>
      </c>
      <c r="B128" s="27" t="s">
        <v>105</v>
      </c>
      <c r="C128" s="27" t="s">
        <v>105</v>
      </c>
      <c r="D128" s="36" t="s">
        <v>346</v>
      </c>
      <c r="E128" s="36" t="s">
        <v>347</v>
      </c>
      <c r="F128" s="37"/>
      <c r="G128" s="37"/>
      <c r="H128" s="37"/>
      <c r="I128" s="37"/>
      <c r="J128" s="37"/>
      <c r="K128" s="37"/>
      <c r="L128" s="37"/>
      <c r="M128" s="37"/>
      <c r="N128" s="37"/>
      <c r="O128" s="37"/>
      <c r="P128" s="37"/>
      <c r="Q128" s="37"/>
      <c r="R128" s="37" t="s">
        <v>102</v>
      </c>
      <c r="S128" s="37"/>
      <c r="T128" s="37" t="s">
        <v>102</v>
      </c>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t="s">
        <v>102</v>
      </c>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42"/>
      <c r="BU128" s="44">
        <f t="shared" si="5"/>
        <v>3</v>
      </c>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row>
    <row r="129" spans="1:170" s="7" customFormat="1" ht="15" customHeight="1" x14ac:dyDescent="0.25">
      <c r="A129" s="179" t="s">
        <v>2045</v>
      </c>
      <c r="B129" s="27" t="s">
        <v>105</v>
      </c>
      <c r="C129" s="27" t="s">
        <v>105</v>
      </c>
      <c r="D129" s="73" t="s">
        <v>2115</v>
      </c>
      <c r="E129" s="76" t="s">
        <v>348</v>
      </c>
      <c r="F129" s="37"/>
      <c r="G129" s="37"/>
      <c r="H129" s="37"/>
      <c r="I129" s="37"/>
      <c r="J129" s="37"/>
      <c r="K129" s="37"/>
      <c r="L129" s="37"/>
      <c r="M129" s="37"/>
      <c r="N129" s="37"/>
      <c r="O129" s="37"/>
      <c r="P129" s="37"/>
      <c r="Q129" s="37"/>
      <c r="R129" s="37" t="s">
        <v>102</v>
      </c>
      <c r="S129" s="37"/>
      <c r="T129" s="37" t="s">
        <v>102</v>
      </c>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41"/>
      <c r="BU129" s="44">
        <f t="shared" si="5"/>
        <v>2</v>
      </c>
      <c r="BV129" s="13"/>
      <c r="BW129" s="13"/>
      <c r="BX129" s="13"/>
      <c r="BY129" s="13"/>
      <c r="BZ129" s="13"/>
      <c r="CA129" s="13"/>
      <c r="CB129" s="1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c r="DK129" s="43"/>
      <c r="DL129" s="43"/>
      <c r="DM129" s="43"/>
      <c r="DN129" s="43"/>
      <c r="DO129" s="43"/>
      <c r="DP129" s="43"/>
      <c r="DQ129" s="43"/>
      <c r="DR129" s="43"/>
      <c r="DS129" s="43"/>
      <c r="DT129" s="43"/>
      <c r="DU129" s="43"/>
      <c r="DV129" s="43"/>
      <c r="DW129" s="43"/>
      <c r="DX129" s="43"/>
      <c r="DY129" s="43"/>
      <c r="DZ129" s="43"/>
      <c r="EA129" s="43"/>
      <c r="EB129" s="43"/>
      <c r="EC129" s="43"/>
      <c r="ED129" s="43"/>
      <c r="EE129" s="43"/>
      <c r="EF129" s="43"/>
      <c r="EG129" s="43"/>
      <c r="EH129" s="43"/>
      <c r="EI129" s="43"/>
      <c r="EJ129" s="43"/>
      <c r="EK129" s="43"/>
      <c r="EL129" s="43"/>
      <c r="EM129" s="43"/>
      <c r="EN129" s="43"/>
      <c r="EO129" s="43"/>
      <c r="EP129" s="43"/>
      <c r="EQ129" s="43"/>
      <c r="ER129" s="43"/>
      <c r="ES129" s="43"/>
      <c r="ET129" s="43"/>
      <c r="EU129" s="43"/>
      <c r="EV129" s="43"/>
      <c r="EW129" s="43"/>
      <c r="EX129" s="43"/>
      <c r="EY129" s="43"/>
      <c r="EZ129" s="43"/>
      <c r="FA129" s="43"/>
      <c r="FB129" s="43"/>
      <c r="FC129" s="43"/>
      <c r="FD129" s="43"/>
      <c r="FE129" s="43"/>
      <c r="FF129" s="43"/>
      <c r="FG129" s="43"/>
      <c r="FH129" s="43"/>
      <c r="FI129" s="43"/>
      <c r="FJ129" s="43"/>
      <c r="FK129" s="43"/>
      <c r="FL129" s="43"/>
      <c r="FM129" s="43"/>
      <c r="FN129" s="43"/>
    </row>
    <row r="130" spans="1:170" s="6" customFormat="1" x14ac:dyDescent="0.25">
      <c r="A130" s="179" t="s">
        <v>2045</v>
      </c>
      <c r="B130" s="27" t="s">
        <v>105</v>
      </c>
      <c r="C130" s="27" t="s">
        <v>105</v>
      </c>
      <c r="D130" s="73" t="s">
        <v>2116</v>
      </c>
      <c r="E130" s="76" t="s">
        <v>349</v>
      </c>
      <c r="F130" s="37"/>
      <c r="G130" s="37"/>
      <c r="H130" s="37"/>
      <c r="I130" s="37"/>
      <c r="J130" s="37"/>
      <c r="K130" s="37"/>
      <c r="L130" s="37"/>
      <c r="M130" s="37"/>
      <c r="N130" s="37"/>
      <c r="O130" s="37"/>
      <c r="P130" s="37"/>
      <c r="Q130" s="37"/>
      <c r="R130" s="37" t="s">
        <v>102</v>
      </c>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t="s">
        <v>102</v>
      </c>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41"/>
      <c r="BU130" s="44">
        <f t="shared" ref="BU130:BU131" si="6">COUNTIF(F130:BT130,"A")+COUNTIF(F130:BT130,"B")</f>
        <v>2</v>
      </c>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row>
    <row r="131" spans="1:170" s="6" customFormat="1" x14ac:dyDescent="0.25">
      <c r="A131" s="179" t="s">
        <v>2045</v>
      </c>
      <c r="B131" s="27" t="s">
        <v>105</v>
      </c>
      <c r="C131" s="27" t="s">
        <v>105</v>
      </c>
      <c r="D131" s="73" t="s">
        <v>2117</v>
      </c>
      <c r="E131" s="76" t="s">
        <v>350</v>
      </c>
      <c r="F131" s="37"/>
      <c r="G131" s="37"/>
      <c r="H131" s="37"/>
      <c r="I131" s="37"/>
      <c r="J131" s="37"/>
      <c r="K131" s="37"/>
      <c r="L131" s="37"/>
      <c r="M131" s="37"/>
      <c r="N131" s="37"/>
      <c r="O131" s="37"/>
      <c r="P131" s="37"/>
      <c r="Q131" s="37"/>
      <c r="R131" s="37"/>
      <c r="S131" s="37"/>
      <c r="T131" s="37"/>
      <c r="U131" s="37"/>
      <c r="V131" s="37"/>
      <c r="W131" s="37"/>
      <c r="X131" s="37"/>
      <c r="Y131" s="37"/>
      <c r="Z131" s="37" t="s">
        <v>102</v>
      </c>
      <c r="AA131" s="37"/>
      <c r="AB131" s="37"/>
      <c r="AC131" s="37"/>
      <c r="AD131" s="37"/>
      <c r="AE131" s="37"/>
      <c r="AF131" s="37"/>
      <c r="AG131" s="37"/>
      <c r="AH131" s="37"/>
      <c r="AI131" s="38"/>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41"/>
      <c r="BU131" s="44">
        <f t="shared" si="6"/>
        <v>1</v>
      </c>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3"/>
    </row>
    <row r="132" spans="1:170" s="6" customFormat="1" x14ac:dyDescent="0.25">
      <c r="A132" s="180"/>
      <c r="B132" s="180"/>
      <c r="D132" s="7"/>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10"/>
      <c r="AV132" s="10"/>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row>
    <row r="133" spans="1:170" s="6" customFormat="1" x14ac:dyDescent="0.25">
      <c r="A133" s="180"/>
      <c r="B133" s="180"/>
      <c r="D133" s="7"/>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row>
    <row r="134" spans="1:170" s="6" customFormat="1" x14ac:dyDescent="0.25">
      <c r="A134" s="180"/>
      <c r="B134" s="180"/>
      <c r="D134" s="7"/>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row>
    <row r="135" spans="1:170" s="6" customFormat="1" x14ac:dyDescent="0.25">
      <c r="A135" s="180"/>
      <c r="B135" s="180"/>
      <c r="D135" s="7"/>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row>
    <row r="136" spans="1:170" s="6" customFormat="1" x14ac:dyDescent="0.25">
      <c r="A136" s="180"/>
      <c r="B136" s="180"/>
      <c r="D136" s="7"/>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row>
    <row r="137" spans="1:170" s="6" customFormat="1" x14ac:dyDescent="0.25">
      <c r="A137" s="180"/>
      <c r="B137" s="180"/>
      <c r="D137" s="7"/>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row>
    <row r="138" spans="1:170" s="6" customFormat="1" x14ac:dyDescent="0.25">
      <c r="A138" s="180"/>
      <c r="B138" s="180"/>
      <c r="D138" s="7"/>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row>
    <row r="139" spans="1:170" s="6" customFormat="1" x14ac:dyDescent="0.25">
      <c r="A139" s="180"/>
      <c r="B139" s="180"/>
      <c r="D139" s="7"/>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row>
    <row r="140" spans="1:170" s="6" customFormat="1" x14ac:dyDescent="0.25">
      <c r="A140" s="180"/>
      <c r="B140" s="180"/>
      <c r="D140" s="7"/>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row>
    <row r="141" spans="1:170" s="6" customFormat="1" x14ac:dyDescent="0.25">
      <c r="A141" s="180"/>
      <c r="B141" s="180"/>
      <c r="D141" s="7"/>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row>
    <row r="142" spans="1:170" s="6" customFormat="1" x14ac:dyDescent="0.25">
      <c r="A142" s="180"/>
      <c r="B142" s="180"/>
      <c r="D142" s="7"/>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row>
    <row r="143" spans="1:170" s="6" customFormat="1" x14ac:dyDescent="0.25">
      <c r="A143" s="180"/>
      <c r="B143" s="180"/>
      <c r="D143" s="7"/>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row>
    <row r="144" spans="1:170" s="6" customFormat="1" x14ac:dyDescent="0.25">
      <c r="A144" s="180"/>
      <c r="B144" s="180"/>
      <c r="D144" s="9"/>
      <c r="E144" s="8"/>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row>
    <row r="145" spans="1:80" s="6" customFormat="1" x14ac:dyDescent="0.25">
      <c r="A145" s="180"/>
      <c r="B145" s="180"/>
      <c r="D145" s="7"/>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row>
    <row r="146" spans="1:80" s="6" customFormat="1" x14ac:dyDescent="0.25">
      <c r="A146" s="180"/>
      <c r="B146" s="180"/>
      <c r="D146" s="7"/>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row>
    <row r="147" spans="1:80" s="6" customFormat="1" x14ac:dyDescent="0.25">
      <c r="A147" s="180"/>
      <c r="B147" s="180"/>
      <c r="D147" s="7"/>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row>
    <row r="148" spans="1:80" s="6" customFormat="1" x14ac:dyDescent="0.25">
      <c r="A148" s="180"/>
      <c r="B148" s="180"/>
      <c r="D148" s="7"/>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row>
    <row r="149" spans="1:80" s="6" customFormat="1" x14ac:dyDescent="0.25">
      <c r="A149" s="180"/>
      <c r="B149" s="180"/>
      <c r="D149" s="7"/>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row>
    <row r="150" spans="1:80" s="6" customFormat="1" x14ac:dyDescent="0.25">
      <c r="A150" s="180"/>
      <c r="B150" s="180"/>
      <c r="D150" s="7"/>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row>
    <row r="151" spans="1:80" s="6" customFormat="1" x14ac:dyDescent="0.25">
      <c r="A151" s="180"/>
      <c r="B151" s="180"/>
      <c r="D151" s="7"/>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row>
    <row r="152" spans="1:80" s="6" customFormat="1" x14ac:dyDescent="0.25">
      <c r="A152" s="180"/>
      <c r="B152" s="180"/>
      <c r="D152" s="7"/>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row>
    <row r="153" spans="1:80" s="6" customFormat="1" x14ac:dyDescent="0.25">
      <c r="A153" s="180"/>
      <c r="B153" s="180"/>
      <c r="D153" s="7"/>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row>
    <row r="154" spans="1:80" s="6" customFormat="1" x14ac:dyDescent="0.25">
      <c r="A154" s="180"/>
      <c r="B154" s="180"/>
      <c r="D154" s="7"/>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row>
    <row r="155" spans="1:80" s="6" customFormat="1" x14ac:dyDescent="0.25">
      <c r="A155" s="180"/>
      <c r="B155" s="180"/>
      <c r="D155" s="7"/>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row>
    <row r="156" spans="1:80" s="6" customFormat="1" x14ac:dyDescent="0.25">
      <c r="A156" s="180"/>
      <c r="B156" s="180"/>
      <c r="D156" s="7"/>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row>
    <row r="157" spans="1:80" s="6" customFormat="1" x14ac:dyDescent="0.25">
      <c r="A157" s="180"/>
      <c r="B157" s="180"/>
      <c r="D157" s="7"/>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row>
    <row r="158" spans="1:80" x14ac:dyDescent="0.3">
      <c r="B158" s="181"/>
      <c r="C158" s="1"/>
      <c r="D158" s="5"/>
      <c r="E158" s="1"/>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1"/>
      <c r="BV158" s="1"/>
      <c r="BW158" s="1"/>
      <c r="BX158" s="1"/>
      <c r="BY158" s="1"/>
      <c r="BZ158" s="1"/>
      <c r="CA158" s="1"/>
      <c r="CB158" s="1"/>
    </row>
    <row r="159" spans="1:80" x14ac:dyDescent="0.3">
      <c r="B159" s="181"/>
      <c r="C159" s="1"/>
      <c r="D159" s="5"/>
      <c r="E159" s="1"/>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1"/>
      <c r="BV159" s="1"/>
      <c r="BW159" s="1"/>
      <c r="BX159" s="1"/>
      <c r="BY159" s="1"/>
      <c r="BZ159" s="1"/>
      <c r="CA159" s="1"/>
      <c r="CB159" s="1"/>
    </row>
    <row r="160" spans="1:80" x14ac:dyDescent="0.3">
      <c r="B160" s="181"/>
      <c r="C160" s="1"/>
      <c r="D160" s="5"/>
      <c r="E160" s="1"/>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1"/>
      <c r="BV160" s="1"/>
      <c r="BW160" s="1"/>
      <c r="BX160" s="1"/>
      <c r="BY160" s="1"/>
      <c r="BZ160" s="1"/>
      <c r="CA160" s="1"/>
      <c r="CB160" s="1"/>
    </row>
    <row r="161" spans="2:80" x14ac:dyDescent="0.3">
      <c r="B161" s="181"/>
      <c r="C161" s="1"/>
      <c r="D161" s="5"/>
      <c r="E161" s="1"/>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1"/>
      <c r="BV161" s="1"/>
      <c r="BW161" s="1"/>
      <c r="BX161" s="1"/>
      <c r="BY161" s="1"/>
      <c r="BZ161" s="1"/>
      <c r="CA161" s="1"/>
      <c r="CB161" s="1"/>
    </row>
    <row r="162" spans="2:80" x14ac:dyDescent="0.3">
      <c r="B162" s="181"/>
      <c r="C162" s="1"/>
      <c r="D162" s="5"/>
      <c r="E162" s="1"/>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1"/>
      <c r="BV162" s="1"/>
      <c r="BW162" s="1"/>
      <c r="BX162" s="1"/>
      <c r="BY162" s="1"/>
      <c r="BZ162" s="1"/>
      <c r="CA162" s="1"/>
      <c r="CB162" s="1"/>
    </row>
    <row r="163" spans="2:80" x14ac:dyDescent="0.3">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1"/>
      <c r="BV163" s="1"/>
      <c r="BW163" s="1"/>
      <c r="BX163" s="1"/>
      <c r="BY163" s="1"/>
      <c r="BZ163" s="1"/>
      <c r="CA163" s="1"/>
      <c r="CB163" s="1"/>
    </row>
    <row r="164" spans="2:80" x14ac:dyDescent="0.3">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1"/>
      <c r="BV164" s="1"/>
      <c r="BW164" s="1"/>
      <c r="BX164" s="1"/>
      <c r="BY164" s="1"/>
      <c r="BZ164" s="1"/>
      <c r="CA164" s="1"/>
      <c r="CB164" s="1"/>
    </row>
    <row r="165" spans="2:80" x14ac:dyDescent="0.3">
      <c r="BU165" s="1"/>
      <c r="BV165" s="1"/>
      <c r="BW165" s="1"/>
      <c r="BX165" s="1"/>
      <c r="BY165" s="1"/>
      <c r="BZ165" s="1"/>
      <c r="CA165" s="1"/>
      <c r="CB165" s="1"/>
    </row>
    <row r="166" spans="2:80" x14ac:dyDescent="0.3">
      <c r="BU166" s="1"/>
      <c r="BV166" s="1"/>
      <c r="BW166" s="1"/>
      <c r="BX166" s="1"/>
      <c r="BY166" s="1"/>
      <c r="BZ166" s="1"/>
      <c r="CA166" s="1"/>
      <c r="CB166" s="1"/>
    </row>
    <row r="167" spans="2:80" x14ac:dyDescent="0.3">
      <c r="BU167" s="1"/>
      <c r="BV167" s="1"/>
      <c r="BW167" s="1"/>
      <c r="BX167" s="1"/>
      <c r="BY167" s="1"/>
      <c r="BZ167" s="1"/>
      <c r="CA167" s="1"/>
      <c r="CB167" s="1"/>
    </row>
    <row r="168" spans="2:80" x14ac:dyDescent="0.3">
      <c r="BU168" s="1"/>
      <c r="BV168" s="1"/>
      <c r="BW168" s="1"/>
      <c r="BX168" s="1"/>
      <c r="BY168" s="1"/>
      <c r="BZ168" s="1"/>
      <c r="CA168" s="1"/>
      <c r="CB168" s="1"/>
    </row>
    <row r="169" spans="2:80" x14ac:dyDescent="0.3">
      <c r="BU169" s="1"/>
      <c r="BV169" s="1"/>
      <c r="BW169" s="1"/>
      <c r="BX169" s="1"/>
      <c r="BY169" s="1"/>
      <c r="BZ169" s="1"/>
      <c r="CA169" s="1"/>
      <c r="CB169" s="1"/>
    </row>
    <row r="170" spans="2:80" x14ac:dyDescent="0.3">
      <c r="BU170" s="1"/>
      <c r="BV170" s="1"/>
      <c r="BW170" s="1"/>
      <c r="BX170" s="1"/>
      <c r="BY170" s="1"/>
      <c r="BZ170" s="1"/>
      <c r="CA170" s="1"/>
      <c r="CB170" s="1"/>
    </row>
    <row r="171" spans="2:80" x14ac:dyDescent="0.3">
      <c r="BU171" s="1"/>
      <c r="BV171" s="1"/>
      <c r="BW171" s="1"/>
      <c r="BX171" s="1"/>
      <c r="BY171" s="1"/>
      <c r="BZ171" s="1"/>
      <c r="CA171" s="1"/>
      <c r="CB171" s="1"/>
    </row>
    <row r="172" spans="2:80" x14ac:dyDescent="0.3">
      <c r="BU172" s="1"/>
      <c r="BV172" s="1"/>
      <c r="BW172" s="1"/>
      <c r="BX172" s="1"/>
      <c r="BY172" s="1"/>
      <c r="BZ172" s="1"/>
      <c r="CA172" s="1"/>
      <c r="CB172" s="1"/>
    </row>
    <row r="173" spans="2:80" x14ac:dyDescent="0.3">
      <c r="BU173" s="1"/>
      <c r="BV173" s="1"/>
      <c r="BW173" s="1"/>
      <c r="BX173" s="1"/>
      <c r="BY173" s="1"/>
      <c r="BZ173" s="1"/>
      <c r="CA173" s="1"/>
      <c r="CB173" s="1"/>
    </row>
    <row r="174" spans="2:80" x14ac:dyDescent="0.3">
      <c r="BU174" s="1"/>
      <c r="BV174" s="1"/>
      <c r="BW174" s="1"/>
      <c r="BX174" s="1"/>
      <c r="BY174" s="1"/>
      <c r="BZ174" s="1"/>
      <c r="CA174" s="1"/>
      <c r="CB174" s="1"/>
    </row>
    <row r="175" spans="2:80" x14ac:dyDescent="0.3">
      <c r="BU175" s="1"/>
      <c r="BV175" s="1"/>
      <c r="BW175" s="1"/>
      <c r="BX175" s="1"/>
      <c r="BY175" s="1"/>
      <c r="BZ175" s="1"/>
      <c r="CA175" s="1"/>
      <c r="CB175" s="1"/>
    </row>
    <row r="176" spans="2:80" x14ac:dyDescent="0.3">
      <c r="BU176" s="1"/>
      <c r="BV176" s="1"/>
      <c r="BW176" s="1"/>
      <c r="BX176" s="1"/>
      <c r="BY176" s="1"/>
      <c r="BZ176" s="1"/>
      <c r="CA176" s="1"/>
      <c r="CB176" s="1"/>
    </row>
    <row r="177" spans="73:80" x14ac:dyDescent="0.3">
      <c r="BU177" s="1"/>
      <c r="BV177" s="1"/>
      <c r="BW177" s="1"/>
      <c r="BX177" s="1"/>
      <c r="BY177" s="1"/>
      <c r="BZ177" s="1"/>
      <c r="CA177" s="1"/>
      <c r="CB177" s="1"/>
    </row>
    <row r="178" spans="73:80" x14ac:dyDescent="0.3">
      <c r="BU178" s="1"/>
      <c r="BV178" s="1"/>
      <c r="BW178" s="1"/>
      <c r="BX178" s="1"/>
      <c r="BY178" s="1"/>
      <c r="BZ178" s="1"/>
      <c r="CA178" s="1"/>
      <c r="CB178" s="1"/>
    </row>
    <row r="179" spans="73:80" x14ac:dyDescent="0.3">
      <c r="BU179" s="1"/>
      <c r="BV179" s="1"/>
      <c r="BW179" s="1"/>
      <c r="BX179" s="1"/>
      <c r="BY179" s="1"/>
      <c r="BZ179" s="1"/>
      <c r="CA179" s="1"/>
      <c r="CB179" s="1"/>
    </row>
    <row r="180" spans="73:80" x14ac:dyDescent="0.3">
      <c r="BU180" s="1"/>
      <c r="BV180" s="1"/>
      <c r="BW180" s="1"/>
      <c r="BX180" s="1"/>
      <c r="BY180" s="1"/>
      <c r="BZ180" s="1"/>
      <c r="CA180" s="1"/>
      <c r="CB180" s="1"/>
    </row>
    <row r="181" spans="73:80" x14ac:dyDescent="0.3">
      <c r="BU181" s="1"/>
      <c r="BV181" s="1"/>
      <c r="BW181" s="1"/>
      <c r="BX181" s="1"/>
      <c r="BY181" s="1"/>
      <c r="BZ181" s="1"/>
      <c r="CA181" s="1"/>
      <c r="CB181" s="1"/>
    </row>
    <row r="182" spans="73:80" x14ac:dyDescent="0.3">
      <c r="BU182" s="1"/>
      <c r="BV182" s="1"/>
      <c r="BW182" s="1"/>
      <c r="BX182" s="1"/>
      <c r="BY182" s="1"/>
      <c r="BZ182" s="1"/>
      <c r="CA182" s="1"/>
      <c r="CB182" s="1"/>
    </row>
    <row r="183" spans="73:80" x14ac:dyDescent="0.3">
      <c r="BU183" s="1"/>
      <c r="BV183" s="1"/>
      <c r="BW183" s="1"/>
      <c r="BX183" s="1"/>
      <c r="BY183" s="1"/>
      <c r="BZ183" s="1"/>
      <c r="CA183" s="1"/>
      <c r="CB183" s="1"/>
    </row>
    <row r="184" spans="73:80" x14ac:dyDescent="0.3">
      <c r="BU184" s="1"/>
      <c r="BV184" s="1"/>
      <c r="BW184" s="1"/>
      <c r="BX184" s="1"/>
      <c r="BY184" s="1"/>
      <c r="BZ184" s="1"/>
      <c r="CA184" s="1"/>
      <c r="CB184" s="1"/>
    </row>
    <row r="185" spans="73:80" x14ac:dyDescent="0.3">
      <c r="BU185" s="1"/>
      <c r="BV185" s="1"/>
      <c r="BW185" s="1"/>
      <c r="BX185" s="1"/>
      <c r="BY185" s="1"/>
      <c r="BZ185" s="1"/>
      <c r="CA185" s="1"/>
      <c r="CB185" s="1"/>
    </row>
    <row r="186" spans="73:80" x14ac:dyDescent="0.3">
      <c r="BU186" s="1"/>
      <c r="BV186" s="1"/>
      <c r="BW186" s="1"/>
      <c r="BX186" s="1"/>
      <c r="BY186" s="1"/>
      <c r="BZ186" s="1"/>
      <c r="CA186" s="1"/>
      <c r="CB186" s="1"/>
    </row>
    <row r="187" spans="73:80" x14ac:dyDescent="0.3">
      <c r="BU187" s="1"/>
      <c r="BV187" s="1"/>
      <c r="BW187" s="1"/>
      <c r="BX187" s="1"/>
      <c r="BY187" s="1"/>
      <c r="BZ187" s="1"/>
      <c r="CA187" s="1"/>
      <c r="CB187" s="1"/>
    </row>
    <row r="188" spans="73:80" x14ac:dyDescent="0.3">
      <c r="BU188" s="1"/>
      <c r="BV188" s="1"/>
      <c r="BW188" s="1"/>
      <c r="BX188" s="1"/>
      <c r="BY188" s="1"/>
      <c r="BZ188" s="1"/>
      <c r="CA188" s="1"/>
      <c r="CB188" s="1"/>
    </row>
    <row r="189" spans="73:80" x14ac:dyDescent="0.3">
      <c r="BU189" s="1"/>
      <c r="BV189" s="1"/>
      <c r="BW189" s="1"/>
      <c r="BX189" s="1"/>
      <c r="BY189" s="1"/>
      <c r="BZ189" s="1"/>
      <c r="CA189" s="1"/>
      <c r="CB189" s="1"/>
    </row>
    <row r="190" spans="73:80" x14ac:dyDescent="0.3">
      <c r="BU190" s="1"/>
      <c r="BV190" s="1"/>
      <c r="BW190" s="1"/>
      <c r="BX190" s="1"/>
      <c r="BY190" s="1"/>
      <c r="BZ190" s="1"/>
      <c r="CA190" s="1"/>
      <c r="CB190" s="1"/>
    </row>
    <row r="191" spans="73:80" x14ac:dyDescent="0.3">
      <c r="BU191" s="1"/>
      <c r="BV191" s="1"/>
      <c r="BW191" s="1"/>
      <c r="BX191" s="1"/>
      <c r="BY191" s="1"/>
      <c r="BZ191" s="1"/>
      <c r="CA191" s="1"/>
      <c r="CB191" s="1"/>
    </row>
    <row r="192" spans="73:80" x14ac:dyDescent="0.3">
      <c r="BU192" s="1"/>
      <c r="BV192" s="1"/>
      <c r="BW192" s="1"/>
      <c r="BX192" s="1"/>
      <c r="BY192" s="1"/>
      <c r="BZ192" s="1"/>
      <c r="CA192" s="1"/>
      <c r="CB192" s="1"/>
    </row>
    <row r="193" spans="73:80" x14ac:dyDescent="0.3">
      <c r="BU193" s="1"/>
      <c r="BV193" s="1"/>
      <c r="BW193" s="1"/>
      <c r="BX193" s="1"/>
      <c r="BY193" s="1"/>
      <c r="BZ193" s="1"/>
      <c r="CA193" s="1"/>
      <c r="CB193" s="1"/>
    </row>
    <row r="194" spans="73:80" x14ac:dyDescent="0.3">
      <c r="BU194" s="1"/>
      <c r="BV194" s="1"/>
      <c r="BW194" s="1"/>
      <c r="BX194" s="1"/>
      <c r="BY194" s="1"/>
      <c r="BZ194" s="1"/>
      <c r="CA194" s="1"/>
      <c r="CB194" s="1"/>
    </row>
    <row r="195" spans="73:80" x14ac:dyDescent="0.3">
      <c r="BU195" s="1"/>
      <c r="BV195" s="1"/>
      <c r="BW195" s="1"/>
      <c r="BX195" s="1"/>
      <c r="BY195" s="1"/>
      <c r="BZ195" s="1"/>
      <c r="CA195" s="1"/>
      <c r="CB195" s="1"/>
    </row>
    <row r="196" spans="73:80" x14ac:dyDescent="0.3">
      <c r="BU196" s="1"/>
      <c r="BV196" s="1"/>
      <c r="BW196" s="1"/>
      <c r="BX196" s="1"/>
      <c r="BY196" s="1"/>
      <c r="BZ196" s="1"/>
      <c r="CA196" s="1"/>
      <c r="CB196" s="1"/>
    </row>
    <row r="197" spans="73:80" x14ac:dyDescent="0.3">
      <c r="BU197" s="1"/>
      <c r="BV197" s="1"/>
      <c r="BW197" s="1"/>
      <c r="BX197" s="1"/>
      <c r="BY197" s="1"/>
      <c r="BZ197" s="1"/>
      <c r="CA197" s="1"/>
      <c r="CB197" s="1"/>
    </row>
    <row r="198" spans="73:80" x14ac:dyDescent="0.3">
      <c r="BU198" s="1"/>
      <c r="BV198" s="1"/>
      <c r="BW198" s="1"/>
      <c r="BX198" s="1"/>
      <c r="BY198" s="1"/>
      <c r="BZ198" s="1"/>
      <c r="CA198" s="1"/>
      <c r="CB198" s="1"/>
    </row>
    <row r="199" spans="73:80" x14ac:dyDescent="0.3">
      <c r="BU199" s="1"/>
      <c r="BV199" s="1"/>
      <c r="BW199" s="1"/>
      <c r="BX199" s="1"/>
      <c r="BY199" s="1"/>
      <c r="BZ199" s="1"/>
      <c r="CA199" s="1"/>
      <c r="CB199" s="1"/>
    </row>
    <row r="200" spans="73:80" x14ac:dyDescent="0.3">
      <c r="BU200" s="1"/>
      <c r="BV200" s="1"/>
      <c r="BW200" s="1"/>
      <c r="BX200" s="1"/>
      <c r="BY200" s="1"/>
      <c r="BZ200" s="1"/>
      <c r="CA200" s="1"/>
      <c r="CB200" s="1"/>
    </row>
    <row r="201" spans="73:80" x14ac:dyDescent="0.3">
      <c r="BU201" s="1"/>
      <c r="BV201" s="1"/>
      <c r="BW201" s="1"/>
      <c r="BX201" s="1"/>
      <c r="BY201" s="1"/>
      <c r="BZ201" s="1"/>
      <c r="CA201" s="1"/>
      <c r="CB201" s="1"/>
    </row>
    <row r="202" spans="73:80" x14ac:dyDescent="0.3">
      <c r="BU202" s="1"/>
      <c r="BV202" s="1"/>
      <c r="BW202" s="1"/>
      <c r="BX202" s="1"/>
      <c r="BY202" s="1"/>
      <c r="BZ202" s="1"/>
      <c r="CA202" s="1"/>
      <c r="CB202" s="1"/>
    </row>
    <row r="203" spans="73:80" x14ac:dyDescent="0.3">
      <c r="BU203" s="1"/>
      <c r="BV203" s="1"/>
      <c r="BW203" s="1"/>
      <c r="BX203" s="1"/>
      <c r="BY203" s="1"/>
      <c r="BZ203" s="1"/>
      <c r="CA203" s="1"/>
      <c r="CB203" s="1"/>
    </row>
    <row r="204" spans="73:80" x14ac:dyDescent="0.3">
      <c r="BU204" s="1"/>
      <c r="BV204" s="1"/>
      <c r="BW204" s="1"/>
      <c r="BX204" s="1"/>
      <c r="BY204" s="1"/>
      <c r="BZ204" s="1"/>
      <c r="CA204" s="1"/>
      <c r="CB204" s="1"/>
    </row>
    <row r="205" spans="73:80" x14ac:dyDescent="0.3">
      <c r="BU205" s="1"/>
      <c r="BV205" s="1"/>
      <c r="BW205" s="1"/>
      <c r="BX205" s="1"/>
      <c r="BY205" s="1"/>
      <c r="BZ205" s="1"/>
      <c r="CA205" s="1"/>
      <c r="CB205" s="1"/>
    </row>
    <row r="206" spans="73:80" x14ac:dyDescent="0.3">
      <c r="BU206" s="1"/>
      <c r="BV206" s="1"/>
      <c r="BW206" s="1"/>
      <c r="BX206" s="1"/>
      <c r="BY206" s="1"/>
      <c r="BZ206" s="1"/>
      <c r="CA206" s="1"/>
      <c r="CB206" s="1"/>
    </row>
    <row r="207" spans="73:80" x14ac:dyDescent="0.3">
      <c r="BU207" s="1"/>
      <c r="BV207" s="1"/>
      <c r="BW207" s="1"/>
      <c r="BX207" s="1"/>
      <c r="BY207" s="1"/>
      <c r="BZ207" s="1"/>
      <c r="CA207" s="1"/>
      <c r="CB207" s="1"/>
    </row>
    <row r="208" spans="73:80" x14ac:dyDescent="0.3">
      <c r="BU208" s="1"/>
      <c r="BV208" s="1"/>
      <c r="BW208" s="1"/>
      <c r="BX208" s="1"/>
      <c r="BY208" s="1"/>
      <c r="BZ208" s="1"/>
      <c r="CA208" s="1"/>
      <c r="CB208" s="1"/>
    </row>
    <row r="209" spans="73:80" x14ac:dyDescent="0.3">
      <c r="BU209" s="1"/>
      <c r="BV209" s="1"/>
      <c r="BW209" s="1"/>
      <c r="BX209" s="1"/>
      <c r="BY209" s="1"/>
      <c r="BZ209" s="1"/>
      <c r="CA209" s="1"/>
      <c r="CB209" s="1"/>
    </row>
    <row r="210" spans="73:80" x14ac:dyDescent="0.3">
      <c r="BU210" s="1"/>
      <c r="BV210" s="1"/>
      <c r="BW210" s="1"/>
      <c r="BX210" s="1"/>
      <c r="BY210" s="1"/>
      <c r="BZ210" s="1"/>
      <c r="CA210" s="1"/>
      <c r="CB210" s="1"/>
    </row>
    <row r="211" spans="73:80" x14ac:dyDescent="0.3">
      <c r="BU211" s="1"/>
      <c r="BV211" s="1"/>
      <c r="BW211" s="1"/>
      <c r="BX211" s="1"/>
      <c r="BY211" s="1"/>
      <c r="BZ211" s="1"/>
      <c r="CA211" s="1"/>
      <c r="CB211" s="1"/>
    </row>
    <row r="212" spans="73:80" x14ac:dyDescent="0.3">
      <c r="BU212" s="1"/>
      <c r="BV212" s="1"/>
      <c r="BW212" s="1"/>
      <c r="BX212" s="1"/>
      <c r="BY212" s="1"/>
      <c r="BZ212" s="1"/>
      <c r="CA212" s="1"/>
      <c r="CB212" s="1"/>
    </row>
    <row r="213" spans="73:80" x14ac:dyDescent="0.3">
      <c r="BU213" s="1"/>
      <c r="BV213" s="1"/>
      <c r="BW213" s="1"/>
      <c r="BX213" s="1"/>
      <c r="BY213" s="1"/>
      <c r="BZ213" s="1"/>
      <c r="CA213" s="1"/>
      <c r="CB213" s="1"/>
    </row>
    <row r="214" spans="73:80" x14ac:dyDescent="0.3">
      <c r="BU214" s="1"/>
      <c r="BV214" s="1"/>
      <c r="BW214" s="1"/>
      <c r="BX214" s="1"/>
      <c r="BY214" s="1"/>
      <c r="BZ214" s="1"/>
      <c r="CA214" s="1"/>
      <c r="CB214" s="1"/>
    </row>
  </sheetData>
  <autoFilter ref="A5:E131" xr:uid="{00000000-0009-0000-0000-000001000000}"/>
  <mergeCells count="20">
    <mergeCell ref="BV5:CB5"/>
    <mergeCell ref="AC2:AE2"/>
    <mergeCell ref="AF2:AI2"/>
    <mergeCell ref="AJ2:AM2"/>
    <mergeCell ref="AN2:AP2"/>
    <mergeCell ref="BF2:BJ2"/>
    <mergeCell ref="BK2:BO2"/>
    <mergeCell ref="BP2:BT2"/>
    <mergeCell ref="AT2:AW2"/>
    <mergeCell ref="AX2:BA2"/>
    <mergeCell ref="BB2:BE2"/>
    <mergeCell ref="N2:O2"/>
    <mergeCell ref="P2:R2"/>
    <mergeCell ref="S2:U2"/>
    <mergeCell ref="Z2:AB2"/>
    <mergeCell ref="A1:FN1"/>
    <mergeCell ref="AQ2:AS2"/>
    <mergeCell ref="F2:J2"/>
    <mergeCell ref="V2:Y2"/>
    <mergeCell ref="K2:M2"/>
  </mergeCells>
  <phoneticPr fontId="16" type="noConversion"/>
  <conditionalFormatting sqref="AQ40:BT40 BF23:BT23 AW120:BS120 AQ16:BT16 AY94 M115 S129 AJ131:BT131 AB115 BB102:BT102 AC117:BT117 AD119:BT119 F116:Y120 F95:BT96 AB132:BS164 F131:AA164 AB119 AB120:AU120 AB23:BD23 AB40:AO40 AB57:BS57 AB131:AH131 AB118:BT118 AB116:BT116 AB17:BT22 J16:AO16 J17:AA18 F16:I18 F6:BT15 Z113:AA120 F113:Y114 AB99:BT101 AY97:AZ97 AY102:AZ102 AB102:AW102 AB113:BT114 AB112:AR112 AT112:BT112 X66:AI66 F69:I69 K69:AC69 AE69:BT69 F87:BT92 F86:AK86 AM86:BT86 AV98:BT98 F126:L128 V128:AT128 AV128:BT128 F39:BT39 F63:BT64 F40:AA62 F66:U66 AK66:AX66 AZ66:BT66 AB24:BT39 F19:AA38 AB41:BT56 AB58:BT62 I65 AA65:BJ65 F67:BT68 F70:BT85 F98:M98 R98:AT98 AB103:BT111 F99:AA112 F121:BT123 F130:L130 N130:P130 N126:P128 R127:T128 R130:BT130 R126:S126 Q124:Q130 V126:BT127 U124:U129">
    <cfRule type="containsText" dxfId="159" priority="289" operator="containsText" text="D">
      <formula>NOT(ISERROR(SEARCH("D",F6)))</formula>
    </cfRule>
    <cfRule type="containsText" dxfId="158" priority="290" operator="containsText" text="C">
      <formula>NOT(ISERROR(SEARCH("C",F6)))</formula>
    </cfRule>
    <cfRule type="containsText" dxfId="157" priority="291" operator="containsText" text="B">
      <formula>NOT(ISERROR(SEARCH("B",F6)))</formula>
    </cfRule>
    <cfRule type="containsText" dxfId="156" priority="292" operator="containsText" text="A">
      <formula>NOT(ISERROR(SEARCH("A",F6)))</formula>
    </cfRule>
  </conditionalFormatting>
  <conditionalFormatting sqref="AY93 AL93 AJ93">
    <cfRule type="containsText" dxfId="155" priority="229" operator="containsText" text="D">
      <formula>NOT(ISERROR(SEARCH("D",AJ93)))</formula>
    </cfRule>
    <cfRule type="containsText" dxfId="154" priority="230" operator="containsText" text="C">
      <formula>NOT(ISERROR(SEARCH("C",AJ93)))</formula>
    </cfRule>
    <cfRule type="containsText" dxfId="153" priority="231" operator="containsText" text="B">
      <formula>NOT(ISERROR(SEARCH("B",AJ93)))</formula>
    </cfRule>
    <cfRule type="containsText" dxfId="152" priority="232" operator="containsText" text="A">
      <formula>NOT(ISERROR(SEARCH("A",AJ93)))</formula>
    </cfRule>
  </conditionalFormatting>
  <conditionalFormatting sqref="BT124:BT125 BN129:BO129 AZ94">
    <cfRule type="containsText" dxfId="151" priority="225" operator="containsText" text="D">
      <formula>NOT(ISERROR(SEARCH("D",AZ94)))</formula>
    </cfRule>
    <cfRule type="containsText" dxfId="150" priority="226" operator="containsText" text="C">
      <formula>NOT(ISERROR(SEARCH("C",AZ94)))</formula>
    </cfRule>
    <cfRule type="containsText" dxfId="149" priority="227" operator="containsText" text="B">
      <formula>NOT(ISERROR(SEARCH("B",AZ94)))</formula>
    </cfRule>
    <cfRule type="containsText" dxfId="148" priority="228" operator="containsText" text="A">
      <formula>NOT(ISERROR(SEARCH("A",AZ94)))</formula>
    </cfRule>
  </conditionalFormatting>
  <conditionalFormatting sqref="AV120">
    <cfRule type="containsText" dxfId="147" priority="221" operator="containsText" text="D">
      <formula>NOT(ISERROR(SEARCH("D",AV120)))</formula>
    </cfRule>
    <cfRule type="containsText" dxfId="146" priority="222" operator="containsText" text="C">
      <formula>NOT(ISERROR(SEARCH("C",AV120)))</formula>
    </cfRule>
    <cfRule type="containsText" dxfId="145" priority="223" operator="containsText" text="B">
      <formula>NOT(ISERROR(SEARCH("B",AV120)))</formula>
    </cfRule>
    <cfRule type="containsText" dxfId="144" priority="224" operator="containsText" text="A">
      <formula>NOT(ISERROR(SEARCH("A",AV120)))</formula>
    </cfRule>
  </conditionalFormatting>
  <conditionalFormatting sqref="AB94">
    <cfRule type="containsText" dxfId="143" priority="217" operator="containsText" text="D">
      <formula>NOT(ISERROR(SEARCH("D",AB94)))</formula>
    </cfRule>
    <cfRule type="containsText" dxfId="142" priority="218" operator="containsText" text="C">
      <formula>NOT(ISERROR(SEARCH("C",AB94)))</formula>
    </cfRule>
    <cfRule type="containsText" dxfId="141" priority="219" operator="containsText" text="B">
      <formula>NOT(ISERROR(SEARCH("B",AB94)))</formula>
    </cfRule>
    <cfRule type="containsText" dxfId="140" priority="220" operator="containsText" text="A">
      <formula>NOT(ISERROR(SEARCH("A",AB94)))</formula>
    </cfRule>
  </conditionalFormatting>
  <conditionalFormatting sqref="M124:M130">
    <cfRule type="containsText" dxfId="139" priority="213" operator="containsText" text="D">
      <formula>NOT(ISERROR(SEARCH("D",M124)))</formula>
    </cfRule>
    <cfRule type="containsText" dxfId="138" priority="214" operator="containsText" text="C">
      <formula>NOT(ISERROR(SEARCH("C",M124)))</formula>
    </cfRule>
    <cfRule type="containsText" dxfId="137" priority="215" operator="containsText" text="B">
      <formula>NOT(ISERROR(SEARCH("B",M124)))</formula>
    </cfRule>
    <cfRule type="containsText" dxfId="136" priority="216" operator="containsText" text="A">
      <formula>NOT(ISERROR(SEARCH("A",M124)))</formula>
    </cfRule>
  </conditionalFormatting>
  <conditionalFormatting sqref="T124:T125">
    <cfRule type="containsText" dxfId="135" priority="209" operator="containsText" text="D">
      <formula>NOT(ISERROR(SEARCH("D",T124)))</formula>
    </cfRule>
    <cfRule type="containsText" dxfId="134" priority="210" operator="containsText" text="C">
      <formula>NOT(ISERROR(SEARCH("C",T124)))</formula>
    </cfRule>
    <cfRule type="containsText" dxfId="133" priority="211" operator="containsText" text="B">
      <formula>NOT(ISERROR(SEARCH("B",T124)))</formula>
    </cfRule>
    <cfRule type="containsText" dxfId="132" priority="212" operator="containsText" text="A">
      <formula>NOT(ISERROR(SEARCH("A",T124)))</formula>
    </cfRule>
  </conditionalFormatting>
  <conditionalFormatting sqref="T129">
    <cfRule type="containsText" dxfId="131" priority="205" operator="containsText" text="D">
      <formula>NOT(ISERROR(SEARCH("D",T129)))</formula>
    </cfRule>
    <cfRule type="containsText" dxfId="130" priority="206" operator="containsText" text="C">
      <formula>NOT(ISERROR(SEARCH("C",T129)))</formula>
    </cfRule>
    <cfRule type="containsText" dxfId="129" priority="207" operator="containsText" text="B">
      <formula>NOT(ISERROR(SEARCH("B",T129)))</formula>
    </cfRule>
    <cfRule type="containsText" dxfId="128" priority="208" operator="containsText" text="A">
      <formula>NOT(ISERROR(SEARCH("A",T129)))</formula>
    </cfRule>
  </conditionalFormatting>
  <conditionalFormatting sqref="AC115:AD115">
    <cfRule type="containsText" dxfId="127" priority="201" operator="containsText" text="D">
      <formula>NOT(ISERROR(SEARCH("D",AC115)))</formula>
    </cfRule>
    <cfRule type="containsText" dxfId="126" priority="202" operator="containsText" text="C">
      <formula>NOT(ISERROR(SEARCH("C",AC115)))</formula>
    </cfRule>
    <cfRule type="containsText" dxfId="125" priority="203" operator="containsText" text="B">
      <formula>NOT(ISERROR(SEARCH("B",AC115)))</formula>
    </cfRule>
    <cfRule type="containsText" dxfId="124" priority="204" operator="containsText" text="A">
      <formula>NOT(ISERROR(SEARCH("A",AC115)))</formula>
    </cfRule>
  </conditionalFormatting>
  <conditionalFormatting sqref="AL115">
    <cfRule type="containsText" dxfId="123" priority="197" operator="containsText" text="D">
      <formula>NOT(ISERROR(SEARCH("D",AL115)))</formula>
    </cfRule>
    <cfRule type="containsText" dxfId="122" priority="198" operator="containsText" text="C">
      <formula>NOT(ISERROR(SEARCH("C",AL115)))</formula>
    </cfRule>
    <cfRule type="containsText" dxfId="121" priority="199" operator="containsText" text="B">
      <formula>NOT(ISERROR(SEARCH("B",AL115)))</formula>
    </cfRule>
    <cfRule type="containsText" dxfId="120" priority="200" operator="containsText" text="A">
      <formula>NOT(ISERROR(SEARCH("A",AL115)))</formula>
    </cfRule>
  </conditionalFormatting>
  <conditionalFormatting sqref="AV129">
    <cfRule type="containsText" dxfId="119" priority="193" operator="containsText" text="D">
      <formula>NOT(ISERROR(SEARCH("D",AV129)))</formula>
    </cfRule>
    <cfRule type="containsText" dxfId="118" priority="194" operator="containsText" text="C">
      <formula>NOT(ISERROR(SEARCH("C",AV129)))</formula>
    </cfRule>
    <cfRule type="containsText" dxfId="117" priority="195" operator="containsText" text="B">
      <formula>NOT(ISERROR(SEARCH("B",AV129)))</formula>
    </cfRule>
    <cfRule type="containsText" dxfId="116" priority="196" operator="containsText" text="A">
      <formula>NOT(ISERROR(SEARCH("A",AV129)))</formula>
    </cfRule>
  </conditionalFormatting>
  <conditionalFormatting sqref="J65">
    <cfRule type="containsText" dxfId="115" priority="189" operator="containsText" text="D">
      <formula>NOT(ISERROR(SEARCH("D",J65)))</formula>
    </cfRule>
    <cfRule type="containsText" dxfId="114" priority="190" operator="containsText" text="C">
      <formula>NOT(ISERROR(SEARCH("C",J65)))</formula>
    </cfRule>
    <cfRule type="containsText" dxfId="113" priority="191" operator="containsText" text="B">
      <formula>NOT(ISERROR(SEARCH("B",J65)))</formula>
    </cfRule>
    <cfRule type="containsText" dxfId="112" priority="192" operator="containsText" text="A">
      <formula>NOT(ISERROR(SEARCH("A",J65)))</formula>
    </cfRule>
  </conditionalFormatting>
  <conditionalFormatting sqref="AT125:AU125">
    <cfRule type="containsText" dxfId="111" priority="185" operator="containsText" text="D">
      <formula>NOT(ISERROR(SEARCH("D",AT125)))</formula>
    </cfRule>
    <cfRule type="containsText" dxfId="110" priority="186" operator="containsText" text="C">
      <formula>NOT(ISERROR(SEARCH("C",AT125)))</formula>
    </cfRule>
    <cfRule type="containsText" dxfId="109" priority="187" operator="containsText" text="B">
      <formula>NOT(ISERROR(SEARCH("B",AT125)))</formula>
    </cfRule>
    <cfRule type="containsText" dxfId="108" priority="188" operator="containsText" text="A">
      <formula>NOT(ISERROR(SEARCH("A",AT125)))</formula>
    </cfRule>
  </conditionalFormatting>
  <conditionalFormatting sqref="S124:S125">
    <cfRule type="containsText" dxfId="107" priority="177" operator="containsText" text="D">
      <formula>NOT(ISERROR(SEARCH("D",S124)))</formula>
    </cfRule>
    <cfRule type="containsText" dxfId="106" priority="178" operator="containsText" text="C">
      <formula>NOT(ISERROR(SEARCH("C",S124)))</formula>
    </cfRule>
    <cfRule type="containsText" dxfId="105" priority="179" operator="containsText" text="B">
      <formula>NOT(ISERROR(SEARCH("B",S124)))</formula>
    </cfRule>
    <cfRule type="containsText" dxfId="104" priority="180" operator="containsText" text="A">
      <formula>NOT(ISERROR(SEARCH("A",S124)))</formula>
    </cfRule>
  </conditionalFormatting>
  <conditionalFormatting sqref="N125">
    <cfRule type="containsText" dxfId="103" priority="173" operator="containsText" text="D">
      <formula>NOT(ISERROR(SEARCH("D",N125)))</formula>
    </cfRule>
    <cfRule type="containsText" dxfId="102" priority="174" operator="containsText" text="C">
      <formula>NOT(ISERROR(SEARCH("C",N125)))</formula>
    </cfRule>
    <cfRule type="containsText" dxfId="101" priority="175" operator="containsText" text="B">
      <formula>NOT(ISERROR(SEARCH("B",N125)))</formula>
    </cfRule>
    <cfRule type="containsText" dxfId="100" priority="176" operator="containsText" text="A">
      <formula>NOT(ISERROR(SEARCH("A",N125)))</formula>
    </cfRule>
  </conditionalFormatting>
  <conditionalFormatting sqref="V125:W125">
    <cfRule type="containsText" dxfId="99" priority="169" operator="containsText" text="D">
      <formula>NOT(ISERROR(SEARCH("D",V125)))</formula>
    </cfRule>
    <cfRule type="containsText" dxfId="98" priority="170" operator="containsText" text="C">
      <formula>NOT(ISERROR(SEARCH("C",V125)))</formula>
    </cfRule>
    <cfRule type="containsText" dxfId="97" priority="171" operator="containsText" text="B">
      <formula>NOT(ISERROR(SEARCH("B",V125)))</formula>
    </cfRule>
    <cfRule type="containsText" dxfId="96" priority="172" operator="containsText" text="A">
      <formula>NOT(ISERROR(SEARCH("A",V125)))</formula>
    </cfRule>
  </conditionalFormatting>
  <conditionalFormatting sqref="Z125">
    <cfRule type="containsText" dxfId="95" priority="161" operator="containsText" text="D">
      <formula>NOT(ISERROR(SEARCH("D",Z125)))</formula>
    </cfRule>
    <cfRule type="containsText" dxfId="94" priority="162" operator="containsText" text="C">
      <formula>NOT(ISERROR(SEARCH("C",Z125)))</formula>
    </cfRule>
    <cfRule type="containsText" dxfId="93" priority="163" operator="containsText" text="B">
      <formula>NOT(ISERROR(SEARCH("B",Z125)))</formula>
    </cfRule>
    <cfRule type="containsText" dxfId="92" priority="164" operator="containsText" text="A">
      <formula>NOT(ISERROR(SEARCH("A",Z125)))</formula>
    </cfRule>
  </conditionalFormatting>
  <conditionalFormatting sqref="AD124:AD125">
    <cfRule type="containsText" dxfId="91" priority="157" operator="containsText" text="D">
      <formula>NOT(ISERROR(SEARCH("D",AD124)))</formula>
    </cfRule>
    <cfRule type="containsText" dxfId="90" priority="158" operator="containsText" text="C">
      <formula>NOT(ISERROR(SEARCH("C",AD124)))</formula>
    </cfRule>
    <cfRule type="containsText" dxfId="89" priority="159" operator="containsText" text="B">
      <formula>NOT(ISERROR(SEARCH("B",AD124)))</formula>
    </cfRule>
    <cfRule type="containsText" dxfId="88" priority="160" operator="containsText" text="A">
      <formula>NOT(ISERROR(SEARCH("A",AD124)))</formula>
    </cfRule>
  </conditionalFormatting>
  <conditionalFormatting sqref="BP125">
    <cfRule type="containsText" dxfId="87" priority="153" operator="containsText" text="D">
      <formula>NOT(ISERROR(SEARCH("D",BP125)))</formula>
    </cfRule>
    <cfRule type="containsText" dxfId="86" priority="154" operator="containsText" text="C">
      <formula>NOT(ISERROR(SEARCH("C",BP125)))</formula>
    </cfRule>
    <cfRule type="containsText" dxfId="85" priority="155" operator="containsText" text="B">
      <formula>NOT(ISERROR(SEARCH("B",BP125)))</formula>
    </cfRule>
    <cfRule type="containsText" dxfId="84" priority="156" operator="containsText" text="A">
      <formula>NOT(ISERROR(SEARCH("A",BP125)))</formula>
    </cfRule>
  </conditionalFormatting>
  <conditionalFormatting sqref="BR125:BS125">
    <cfRule type="containsText" dxfId="83" priority="149" operator="containsText" text="D">
      <formula>NOT(ISERROR(SEARCH("D",BR125)))</formula>
    </cfRule>
    <cfRule type="containsText" dxfId="82" priority="150" operator="containsText" text="C">
      <formula>NOT(ISERROR(SEARCH("C",BR125)))</formula>
    </cfRule>
    <cfRule type="containsText" dxfId="81" priority="151" operator="containsText" text="B">
      <formula>NOT(ISERROR(SEARCH("B",BR125)))</formula>
    </cfRule>
    <cfRule type="containsText" dxfId="80" priority="152" operator="containsText" text="A">
      <formula>NOT(ISERROR(SEARCH("A",BR125)))</formula>
    </cfRule>
  </conditionalFormatting>
  <conditionalFormatting sqref="Z65">
    <cfRule type="containsText" dxfId="79" priority="133" operator="containsText" text="D">
      <formula>NOT(ISERROR(SEARCH("D",Z65)))</formula>
    </cfRule>
    <cfRule type="containsText" dxfId="78" priority="134" operator="containsText" text="C">
      <formula>NOT(ISERROR(SEARCH("C",Z65)))</formula>
    </cfRule>
    <cfRule type="containsText" dxfId="77" priority="135" operator="containsText" text="B">
      <formula>NOT(ISERROR(SEARCH("B",Z65)))</formula>
    </cfRule>
    <cfRule type="containsText" dxfId="76" priority="136" operator="containsText" text="A">
      <formula>NOT(ISERROR(SEARCH("A",Z65)))</formula>
    </cfRule>
  </conditionalFormatting>
  <conditionalFormatting sqref="AV124:AV125">
    <cfRule type="containsText" dxfId="75" priority="117" operator="containsText" text="D">
      <formula>NOT(ISERROR(SEARCH("D",AV124)))</formula>
    </cfRule>
    <cfRule type="containsText" dxfId="74" priority="118" operator="containsText" text="C">
      <formula>NOT(ISERROR(SEARCH("C",AV124)))</formula>
    </cfRule>
    <cfRule type="containsText" dxfId="73" priority="119" operator="containsText" text="B">
      <formula>NOT(ISERROR(SEARCH("B",AV124)))</formula>
    </cfRule>
    <cfRule type="containsText" dxfId="72" priority="120" operator="containsText" text="A">
      <formula>NOT(ISERROR(SEARCH("A",AV124)))</formula>
    </cfRule>
  </conditionalFormatting>
  <conditionalFormatting sqref="BH125">
    <cfRule type="containsText" dxfId="71" priority="113" operator="containsText" text="D">
      <formula>NOT(ISERROR(SEARCH("D",BH125)))</formula>
    </cfRule>
    <cfRule type="containsText" dxfId="70" priority="114" operator="containsText" text="C">
      <formula>NOT(ISERROR(SEARCH("C",BH125)))</formula>
    </cfRule>
    <cfRule type="containsText" dxfId="69" priority="115" operator="containsText" text="B">
      <formula>NOT(ISERROR(SEARCH("B",BH125)))</formula>
    </cfRule>
    <cfRule type="containsText" dxfId="68" priority="116" operator="containsText" text="A">
      <formula>NOT(ISERROR(SEARCH("A",BH125)))</formula>
    </cfRule>
  </conditionalFormatting>
  <conditionalFormatting sqref="BF124:BF125">
    <cfRule type="containsText" dxfId="67" priority="109" operator="containsText" text="D">
      <formula>NOT(ISERROR(SEARCH("D",BF124)))</formula>
    </cfRule>
    <cfRule type="containsText" dxfId="66" priority="110" operator="containsText" text="C">
      <formula>NOT(ISERROR(SEARCH("C",BF124)))</formula>
    </cfRule>
    <cfRule type="containsText" dxfId="65" priority="111" operator="containsText" text="B">
      <formula>NOT(ISERROR(SEARCH("B",BF124)))</formula>
    </cfRule>
    <cfRule type="containsText" dxfId="64" priority="112" operator="containsText" text="A">
      <formula>NOT(ISERROR(SEARCH("A",BF124)))</formula>
    </cfRule>
  </conditionalFormatting>
  <conditionalFormatting sqref="BT93">
    <cfRule type="containsText" dxfId="63" priority="105" operator="containsText" text="D">
      <formula>NOT(ISERROR(SEARCH("D",BT93)))</formula>
    </cfRule>
    <cfRule type="containsText" dxfId="62" priority="106" operator="containsText" text="C">
      <formula>NOT(ISERROR(SEARCH("C",BT93)))</formula>
    </cfRule>
    <cfRule type="containsText" dxfId="61" priority="107" operator="containsText" text="B">
      <formula>NOT(ISERROR(SEARCH("B",BT93)))</formula>
    </cfRule>
    <cfRule type="containsText" dxfId="60" priority="108" operator="containsText" text="A">
      <formula>NOT(ISERROR(SEARCH("A",BT93)))</formula>
    </cfRule>
  </conditionalFormatting>
  <conditionalFormatting sqref="R129">
    <cfRule type="containsText" dxfId="59" priority="101" operator="containsText" text="D">
      <formula>NOT(ISERROR(SEARCH("D",R129)))</formula>
    </cfRule>
    <cfRule type="containsText" dxfId="58" priority="102" operator="containsText" text="C">
      <formula>NOT(ISERROR(SEARCH("C",R129)))</formula>
    </cfRule>
    <cfRule type="containsText" dxfId="57" priority="103" operator="containsText" text="B">
      <formula>NOT(ISERROR(SEARCH("B",R129)))</formula>
    </cfRule>
    <cfRule type="containsText" dxfId="56" priority="104" operator="containsText" text="A">
      <formula>NOT(ISERROR(SEARCH("A",R129)))</formula>
    </cfRule>
  </conditionalFormatting>
  <conditionalFormatting sqref="V66:W66">
    <cfRule type="containsText" dxfId="55" priority="81" operator="containsText" text="D">
      <formula>NOT(ISERROR(SEARCH("D",V66)))</formula>
    </cfRule>
    <cfRule type="containsText" dxfId="54" priority="82" operator="containsText" text="C">
      <formula>NOT(ISERROR(SEARCH("C",V66)))</formula>
    </cfRule>
    <cfRule type="containsText" dxfId="53" priority="83" operator="containsText" text="B">
      <formula>NOT(ISERROR(SEARCH("B",V66)))</formula>
    </cfRule>
    <cfRule type="containsText" dxfId="52" priority="84" operator="containsText" text="A">
      <formula>NOT(ISERROR(SEARCH("A",V66)))</formula>
    </cfRule>
  </conditionalFormatting>
  <conditionalFormatting sqref="AJ66">
    <cfRule type="containsText" dxfId="51" priority="77" operator="containsText" text="D">
      <formula>NOT(ISERROR(SEARCH("D",AJ66)))</formula>
    </cfRule>
    <cfRule type="containsText" dxfId="50" priority="78" operator="containsText" text="C">
      <formula>NOT(ISERROR(SEARCH("C",AJ66)))</formula>
    </cfRule>
    <cfRule type="containsText" dxfId="49" priority="79" operator="containsText" text="B">
      <formula>NOT(ISERROR(SEARCH("B",AJ66)))</formula>
    </cfRule>
    <cfRule type="containsText" dxfId="48" priority="80" operator="containsText" text="A">
      <formula>NOT(ISERROR(SEARCH("A",AJ66)))</formula>
    </cfRule>
  </conditionalFormatting>
  <conditionalFormatting sqref="J69">
    <cfRule type="containsText" dxfId="47" priority="73" operator="containsText" text="D">
      <formula>NOT(ISERROR(SEARCH("D",J69)))</formula>
    </cfRule>
    <cfRule type="containsText" dxfId="46" priority="74" operator="containsText" text="C">
      <formula>NOT(ISERROR(SEARCH("C",J69)))</formula>
    </cfRule>
    <cfRule type="containsText" dxfId="45" priority="75" operator="containsText" text="B">
      <formula>NOT(ISERROR(SEARCH("B",J69)))</formula>
    </cfRule>
    <cfRule type="containsText" dxfId="44" priority="76" operator="containsText" text="A">
      <formula>NOT(ISERROR(SEARCH("A",J69)))</formula>
    </cfRule>
  </conditionalFormatting>
  <conditionalFormatting sqref="AD69">
    <cfRule type="containsText" dxfId="43" priority="69" operator="containsText" text="D">
      <formula>NOT(ISERROR(SEARCH("D",AD69)))</formula>
    </cfRule>
    <cfRule type="containsText" dxfId="42" priority="70" operator="containsText" text="C">
      <formula>NOT(ISERROR(SEARCH("C",AD69)))</formula>
    </cfRule>
    <cfRule type="containsText" dxfId="41" priority="71" operator="containsText" text="B">
      <formula>NOT(ISERROR(SEARCH("B",AD69)))</formula>
    </cfRule>
    <cfRule type="containsText" dxfId="40" priority="72" operator="containsText" text="A">
      <formula>NOT(ISERROR(SEARCH("A",AD69)))</formula>
    </cfRule>
  </conditionalFormatting>
  <conditionalFormatting sqref="AL86">
    <cfRule type="containsText" dxfId="39" priority="61" operator="containsText" text="D">
      <formula>NOT(ISERROR(SEARCH("D",AL86)))</formula>
    </cfRule>
    <cfRule type="containsText" dxfId="38" priority="62" operator="containsText" text="C">
      <formula>NOT(ISERROR(SEARCH("C",AL86)))</formula>
    </cfRule>
    <cfRule type="containsText" dxfId="37" priority="63" operator="containsText" text="B">
      <formula>NOT(ISERROR(SEARCH("B",AL86)))</formula>
    </cfRule>
    <cfRule type="containsText" dxfId="36" priority="64" operator="containsText" text="A">
      <formula>NOT(ISERROR(SEARCH("A",AL86)))</formula>
    </cfRule>
  </conditionalFormatting>
  <conditionalFormatting sqref="N124">
    <cfRule type="containsText" dxfId="35" priority="53" operator="containsText" text="D">
      <formula>NOT(ISERROR(SEARCH("D",N124)))</formula>
    </cfRule>
    <cfRule type="containsText" dxfId="34" priority="54" operator="containsText" text="C">
      <formula>NOT(ISERROR(SEARCH("C",N124)))</formula>
    </cfRule>
    <cfRule type="containsText" dxfId="33" priority="55" operator="containsText" text="B">
      <formula>NOT(ISERROR(SEARCH("B",N124)))</formula>
    </cfRule>
    <cfRule type="containsText" dxfId="32" priority="56" operator="containsText" text="A">
      <formula>NOT(ISERROR(SEARCH("A",N124)))</formula>
    </cfRule>
  </conditionalFormatting>
  <conditionalFormatting sqref="V124:W124">
    <cfRule type="containsText" dxfId="31" priority="45" operator="containsText" text="D">
      <formula>NOT(ISERROR(SEARCH("D",V124)))</formula>
    </cfRule>
    <cfRule type="containsText" dxfId="30" priority="46" operator="containsText" text="C">
      <formula>NOT(ISERROR(SEARCH("C",V124)))</formula>
    </cfRule>
    <cfRule type="containsText" dxfId="29" priority="47" operator="containsText" text="B">
      <formula>NOT(ISERROR(SEARCH("B",V124)))</formula>
    </cfRule>
    <cfRule type="containsText" dxfId="28" priority="48" operator="containsText" text="A">
      <formula>NOT(ISERROR(SEARCH("A",V124)))</formula>
    </cfRule>
  </conditionalFormatting>
  <conditionalFormatting sqref="Z124">
    <cfRule type="containsText" dxfId="27" priority="41" operator="containsText" text="D">
      <formula>NOT(ISERROR(SEARCH("D",Z124)))</formula>
    </cfRule>
    <cfRule type="containsText" dxfId="26" priority="42" operator="containsText" text="C">
      <formula>NOT(ISERROR(SEARCH("C",Z124)))</formula>
    </cfRule>
    <cfRule type="containsText" dxfId="25" priority="43" operator="containsText" text="B">
      <formula>NOT(ISERROR(SEARCH("B",Z124)))</formula>
    </cfRule>
    <cfRule type="containsText" dxfId="24" priority="44" operator="containsText" text="A">
      <formula>NOT(ISERROR(SEARCH("A",Z124)))</formula>
    </cfRule>
  </conditionalFormatting>
  <conditionalFormatting sqref="AC124">
    <cfRule type="containsText" dxfId="23" priority="37" operator="containsText" text="D">
      <formula>NOT(ISERROR(SEARCH("D",AC124)))</formula>
    </cfRule>
    <cfRule type="containsText" dxfId="22" priority="38" operator="containsText" text="C">
      <formula>NOT(ISERROR(SEARCH("C",AC124)))</formula>
    </cfRule>
    <cfRule type="containsText" dxfId="21" priority="39" operator="containsText" text="B">
      <formula>NOT(ISERROR(SEARCH("B",AC124)))</formula>
    </cfRule>
    <cfRule type="containsText" dxfId="20" priority="40" operator="containsText" text="A">
      <formula>NOT(ISERROR(SEARCH("A",AC124)))</formula>
    </cfRule>
  </conditionalFormatting>
  <conditionalFormatting sqref="AT124:AU124">
    <cfRule type="containsText" dxfId="19" priority="33" operator="containsText" text="D">
      <formula>NOT(ISERROR(SEARCH("D",AT124)))</formula>
    </cfRule>
    <cfRule type="containsText" dxfId="18" priority="34" operator="containsText" text="C">
      <formula>NOT(ISERROR(SEARCH("C",AT124)))</formula>
    </cfRule>
    <cfRule type="containsText" dxfId="17" priority="35" operator="containsText" text="B">
      <formula>NOT(ISERROR(SEARCH("B",AT124)))</formula>
    </cfRule>
    <cfRule type="containsText" dxfId="16" priority="36" operator="containsText" text="A">
      <formula>NOT(ISERROR(SEARCH("A",AT124)))</formula>
    </cfRule>
  </conditionalFormatting>
  <conditionalFormatting sqref="BH124">
    <cfRule type="containsText" dxfId="15" priority="29" operator="containsText" text="D">
      <formula>NOT(ISERROR(SEARCH("D",BH124)))</formula>
    </cfRule>
    <cfRule type="containsText" dxfId="14" priority="30" operator="containsText" text="C">
      <formula>NOT(ISERROR(SEARCH("C",BH124)))</formula>
    </cfRule>
    <cfRule type="containsText" dxfId="13" priority="31" operator="containsText" text="B">
      <formula>NOT(ISERROR(SEARCH("B",BH124)))</formula>
    </cfRule>
    <cfRule type="containsText" dxfId="12" priority="32" operator="containsText" text="A">
      <formula>NOT(ISERROR(SEARCH("A",BH124)))</formula>
    </cfRule>
  </conditionalFormatting>
  <conditionalFormatting sqref="BR124:BS124 BP124">
    <cfRule type="containsText" dxfId="11" priority="25" operator="containsText" text="D">
      <formula>NOT(ISERROR(SEARCH("D",BP124)))</formula>
    </cfRule>
    <cfRule type="containsText" dxfId="10" priority="26" operator="containsText" text="C">
      <formula>NOT(ISERROR(SEARCH("C",BP124)))</formula>
    </cfRule>
    <cfRule type="containsText" dxfId="9" priority="27" operator="containsText" text="B">
      <formula>NOT(ISERROR(SEARCH("B",BP124)))</formula>
    </cfRule>
    <cfRule type="containsText" dxfId="8" priority="28" operator="containsText" text="A">
      <formula>NOT(ISERROR(SEARCH("A",BP124)))</formula>
    </cfRule>
  </conditionalFormatting>
  <conditionalFormatting sqref="T126">
    <cfRule type="containsText" dxfId="7" priority="17" operator="containsText" text="D">
      <formula>NOT(ISERROR(SEARCH("D",T126)))</formula>
    </cfRule>
    <cfRule type="containsText" dxfId="6" priority="18" operator="containsText" text="C">
      <formula>NOT(ISERROR(SEARCH("C",T126)))</formula>
    </cfRule>
    <cfRule type="containsText" dxfId="5" priority="19" operator="containsText" text="B">
      <formula>NOT(ISERROR(SEARCH("B",T126)))</formula>
    </cfRule>
    <cfRule type="containsText" dxfId="4" priority="20" operator="containsText" text="A">
      <formula>NOT(ISERROR(SEARCH("A",T126)))</formula>
    </cfRule>
  </conditionalFormatting>
  <conditionalFormatting sqref="AU128:AU129">
    <cfRule type="containsText" dxfId="3" priority="1" operator="containsText" text="D">
      <formula>NOT(ISERROR(SEARCH("D",AU128)))</formula>
    </cfRule>
    <cfRule type="containsText" dxfId="2" priority="2" operator="containsText" text="C">
      <formula>NOT(ISERROR(SEARCH("C",AU128)))</formula>
    </cfRule>
    <cfRule type="containsText" dxfId="1" priority="3" operator="containsText" text="B">
      <formula>NOT(ISERROR(SEARCH("B",AU128)))</formula>
    </cfRule>
    <cfRule type="containsText" dxfId="0" priority="4" operator="containsText" text="A">
      <formula>NOT(ISERROR(SEARCH("A",AU128)))</formula>
    </cfRule>
  </conditionalFormatting>
  <pageMargins left="0.59055118110236227" right="0.59055118110236227" top="0.59055118110236227" bottom="0.59055118110236227" header="0.59055118110236227" footer="0.59055118110236227"/>
  <pageSetup paperSize="8" scale="34"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57"/>
  <sheetViews>
    <sheetView zoomScale="115" zoomScaleNormal="115" workbookViewId="0">
      <pane ySplit="4" topLeftCell="A324" activePane="bottomLeft" state="frozen"/>
      <selection pane="bottomLeft" activeCell="I330" sqref="I330"/>
    </sheetView>
  </sheetViews>
  <sheetFormatPr defaultColWidth="8.7109375" defaultRowHeight="12.75" x14ac:dyDescent="0.25"/>
  <cols>
    <col min="1" max="1" width="2.42578125" style="80" customWidth="1"/>
    <col min="2" max="2" width="41.42578125" style="114" customWidth="1"/>
    <col min="3" max="3" width="16.28515625" style="125" customWidth="1"/>
    <col min="4" max="4" width="12.140625" style="125" customWidth="1"/>
    <col min="5" max="5" width="5.5703125" style="116" bestFit="1" customWidth="1"/>
    <col min="6" max="6" width="3.140625" style="115" customWidth="1"/>
    <col min="7" max="7" width="12.140625" style="125" customWidth="1"/>
    <col min="8" max="8" width="5.5703125" style="116" bestFit="1" customWidth="1"/>
    <col min="9" max="9" width="8.7109375" style="117" customWidth="1"/>
    <col min="10" max="10" width="8.28515625" style="116" customWidth="1"/>
    <col min="11" max="11" width="12.140625" style="126" customWidth="1"/>
    <col min="12" max="12" width="10.28515625" style="118" customWidth="1"/>
    <col min="13" max="13" width="5.5703125" style="119" bestFit="1" customWidth="1"/>
    <col min="14" max="14" width="12.140625" style="125" customWidth="1"/>
    <col min="15" max="15" width="58.7109375" style="125" customWidth="1"/>
    <col min="16" max="36" width="20.7109375" style="114" customWidth="1"/>
    <col min="37" max="16384" width="8.7109375" style="114"/>
  </cols>
  <sheetData>
    <row r="1" spans="1:15" s="88" customFormat="1" ht="57" customHeight="1" x14ac:dyDescent="0.25">
      <c r="A1" s="87"/>
      <c r="C1" s="127"/>
      <c r="D1" s="127"/>
      <c r="E1" s="90"/>
      <c r="F1" s="89"/>
      <c r="G1" s="127"/>
      <c r="H1" s="90"/>
      <c r="I1" s="91"/>
      <c r="J1" s="90"/>
      <c r="K1" s="122"/>
      <c r="L1" s="92"/>
      <c r="M1" s="93"/>
      <c r="N1" s="127"/>
      <c r="O1" s="127"/>
    </row>
    <row r="2" spans="1:15" s="78" customFormat="1" ht="30.75" customHeight="1" x14ac:dyDescent="0.25">
      <c r="A2" s="201" t="s">
        <v>351</v>
      </c>
      <c r="B2" s="204" t="s">
        <v>352</v>
      </c>
      <c r="C2" s="204" t="s">
        <v>353</v>
      </c>
      <c r="D2" s="207" t="s">
        <v>354</v>
      </c>
      <c r="E2" s="208"/>
      <c r="F2" s="193" t="s">
        <v>355</v>
      </c>
      <c r="G2" s="207" t="s">
        <v>2039</v>
      </c>
      <c r="H2" s="208"/>
      <c r="I2" s="194" t="s">
        <v>356</v>
      </c>
      <c r="J2" s="195"/>
      <c r="K2" s="195"/>
      <c r="L2" s="195"/>
      <c r="M2" s="196"/>
      <c r="N2" s="192" t="s">
        <v>2034</v>
      </c>
      <c r="O2" s="192" t="s">
        <v>1886</v>
      </c>
    </row>
    <row r="3" spans="1:15" s="78" customFormat="1" ht="16.5" x14ac:dyDescent="0.25">
      <c r="A3" s="202"/>
      <c r="B3" s="205"/>
      <c r="C3" s="205"/>
      <c r="D3" s="209"/>
      <c r="E3" s="210"/>
      <c r="F3" s="193"/>
      <c r="G3" s="209"/>
      <c r="H3" s="210"/>
      <c r="I3" s="197" t="s">
        <v>357</v>
      </c>
      <c r="J3" s="199" t="s">
        <v>358</v>
      </c>
      <c r="K3" s="194" t="s">
        <v>2027</v>
      </c>
      <c r="L3" s="195"/>
      <c r="M3" s="196"/>
      <c r="N3" s="192"/>
      <c r="O3" s="192"/>
    </row>
    <row r="4" spans="1:15" s="85" customFormat="1" ht="29.25" x14ac:dyDescent="0.25">
      <c r="A4" s="203"/>
      <c r="B4" s="206"/>
      <c r="C4" s="206"/>
      <c r="D4" s="141" t="s">
        <v>359</v>
      </c>
      <c r="E4" s="142" t="s">
        <v>360</v>
      </c>
      <c r="F4" s="193"/>
      <c r="G4" s="141" t="s">
        <v>359</v>
      </c>
      <c r="H4" s="142" t="s">
        <v>360</v>
      </c>
      <c r="I4" s="198"/>
      <c r="J4" s="200"/>
      <c r="K4" s="141" t="s">
        <v>359</v>
      </c>
      <c r="L4" s="143" t="s">
        <v>361</v>
      </c>
      <c r="M4" s="144" t="s">
        <v>360</v>
      </c>
      <c r="N4" s="192"/>
      <c r="O4" s="192"/>
    </row>
    <row r="5" spans="1:15" s="80" customFormat="1" x14ac:dyDescent="0.25">
      <c r="A5" s="79" t="s">
        <v>2025</v>
      </c>
      <c r="C5" s="124"/>
      <c r="D5" s="124"/>
      <c r="E5" s="81"/>
      <c r="F5" s="82"/>
      <c r="G5" s="124"/>
      <c r="H5" s="81"/>
      <c r="I5" s="86"/>
      <c r="J5" s="81"/>
      <c r="K5" s="123"/>
      <c r="L5" s="83"/>
      <c r="M5" s="84"/>
      <c r="N5" s="124"/>
      <c r="O5" s="124"/>
    </row>
    <row r="6" spans="1:15" s="95" customFormat="1" x14ac:dyDescent="0.25">
      <c r="A6" s="94" t="s">
        <v>2025</v>
      </c>
      <c r="B6" s="95" t="s">
        <v>2074</v>
      </c>
      <c r="C6" s="121" t="s">
        <v>210</v>
      </c>
      <c r="D6" s="121" t="s">
        <v>362</v>
      </c>
      <c r="E6" s="96">
        <v>99.69</v>
      </c>
      <c r="F6" s="107"/>
      <c r="G6" s="121" t="s">
        <v>363</v>
      </c>
      <c r="H6" s="96" t="s">
        <v>363</v>
      </c>
      <c r="I6" s="97">
        <f>113228/15977126</f>
        <v>7.0868815830832151E-3</v>
      </c>
      <c r="J6" s="96">
        <v>1745.64</v>
      </c>
      <c r="K6" s="121" t="s">
        <v>362</v>
      </c>
      <c r="L6" s="98" t="s">
        <v>364</v>
      </c>
      <c r="M6" s="99">
        <v>100</v>
      </c>
      <c r="N6" s="121" t="s">
        <v>1795</v>
      </c>
      <c r="O6" s="121" t="s">
        <v>365</v>
      </c>
    </row>
    <row r="7" spans="1:15" s="95" customFormat="1" x14ac:dyDescent="0.25">
      <c r="A7" s="94" t="s">
        <v>2025</v>
      </c>
      <c r="B7" s="95" t="s">
        <v>2066</v>
      </c>
      <c r="C7" s="121" t="s">
        <v>366</v>
      </c>
      <c r="D7" s="121" t="s">
        <v>367</v>
      </c>
      <c r="E7" s="96">
        <v>99</v>
      </c>
      <c r="F7" s="109"/>
      <c r="G7" s="121" t="s">
        <v>363</v>
      </c>
      <c r="H7" s="96" t="s">
        <v>363</v>
      </c>
      <c r="I7" s="97">
        <f>14973449/15977126</f>
        <v>0.93718037899932694</v>
      </c>
      <c r="J7" s="96">
        <v>351439.67</v>
      </c>
      <c r="K7" s="121" t="s">
        <v>367</v>
      </c>
      <c r="L7" s="98" t="s">
        <v>368</v>
      </c>
      <c r="M7" s="99">
        <v>99</v>
      </c>
      <c r="N7" s="121" t="s">
        <v>1796</v>
      </c>
      <c r="O7" s="121" t="s">
        <v>365</v>
      </c>
    </row>
    <row r="8" spans="1:15" s="95" customFormat="1" x14ac:dyDescent="0.25">
      <c r="A8" s="94" t="s">
        <v>2025</v>
      </c>
      <c r="B8" s="95" t="s">
        <v>2048</v>
      </c>
      <c r="C8" s="121" t="s">
        <v>115</v>
      </c>
      <c r="D8" s="121" t="s">
        <v>369</v>
      </c>
      <c r="E8" s="96">
        <v>96</v>
      </c>
      <c r="F8" s="111"/>
      <c r="G8" s="121" t="s">
        <v>363</v>
      </c>
      <c r="H8" s="96" t="s">
        <v>363</v>
      </c>
      <c r="I8" s="97">
        <f>55/15977126</f>
        <v>3.4424213716534499E-6</v>
      </c>
      <c r="J8" s="96">
        <v>2.4500000000000002</v>
      </c>
      <c r="K8" s="121" t="s">
        <v>369</v>
      </c>
      <c r="L8" s="98" t="s">
        <v>363</v>
      </c>
      <c r="M8" s="99">
        <v>96</v>
      </c>
      <c r="N8" s="121" t="s">
        <v>363</v>
      </c>
      <c r="O8" s="121" t="s">
        <v>2041</v>
      </c>
    </row>
    <row r="9" spans="1:15" s="80" customFormat="1" x14ac:dyDescent="0.25">
      <c r="A9" s="79" t="s">
        <v>2026</v>
      </c>
      <c r="C9" s="124"/>
      <c r="D9" s="124"/>
      <c r="E9" s="81"/>
      <c r="F9" s="82"/>
      <c r="G9" s="82"/>
      <c r="H9" s="129"/>
      <c r="I9" s="86"/>
      <c r="J9" s="81"/>
      <c r="K9" s="123"/>
      <c r="L9" s="83"/>
      <c r="M9" s="84"/>
      <c r="N9" s="124"/>
      <c r="O9" s="124"/>
    </row>
    <row r="10" spans="1:15" s="95" customFormat="1" ht="25.5" x14ac:dyDescent="0.25">
      <c r="A10" s="94" t="s">
        <v>2026</v>
      </c>
      <c r="B10" s="95" t="s">
        <v>2074</v>
      </c>
      <c r="C10" s="121" t="s">
        <v>210</v>
      </c>
      <c r="D10" s="121" t="s">
        <v>371</v>
      </c>
      <c r="E10" s="96">
        <v>99.8</v>
      </c>
      <c r="F10" s="107"/>
      <c r="G10" s="121" t="s">
        <v>363</v>
      </c>
      <c r="H10" s="96" t="s">
        <v>363</v>
      </c>
      <c r="I10" s="97">
        <f>79104/15212226</f>
        <v>5.2000279249072422E-3</v>
      </c>
      <c r="J10" s="96">
        <v>1209.2</v>
      </c>
      <c r="K10" s="121" t="s">
        <v>371</v>
      </c>
      <c r="L10" s="98" t="s">
        <v>363</v>
      </c>
      <c r="M10" s="99">
        <v>98</v>
      </c>
      <c r="N10" s="121" t="s">
        <v>363</v>
      </c>
      <c r="O10" s="121" t="s">
        <v>2040</v>
      </c>
    </row>
    <row r="11" spans="1:15" s="95" customFormat="1" x14ac:dyDescent="0.25">
      <c r="A11" s="94" t="s">
        <v>2026</v>
      </c>
      <c r="B11" s="95" t="s">
        <v>2066</v>
      </c>
      <c r="C11" s="121" t="s">
        <v>366</v>
      </c>
      <c r="D11" s="121" t="s">
        <v>367</v>
      </c>
      <c r="E11" s="96">
        <v>99.42</v>
      </c>
      <c r="F11" s="109"/>
      <c r="G11" s="121" t="s">
        <v>363</v>
      </c>
      <c r="H11" s="96" t="s">
        <v>363</v>
      </c>
      <c r="I11" s="97">
        <f>14678227/15212226</f>
        <v>0.96489672188672448</v>
      </c>
      <c r="J11" s="96">
        <v>8246.41</v>
      </c>
      <c r="K11" s="121" t="s">
        <v>367</v>
      </c>
      <c r="L11" s="98" t="s">
        <v>372</v>
      </c>
      <c r="M11" s="99">
        <v>99</v>
      </c>
      <c r="N11" s="121" t="s">
        <v>1797</v>
      </c>
      <c r="O11" s="121" t="s">
        <v>365</v>
      </c>
    </row>
    <row r="12" spans="1:15" s="95" customFormat="1" x14ac:dyDescent="0.25">
      <c r="A12" s="94" t="s">
        <v>2026</v>
      </c>
      <c r="B12" s="95" t="s">
        <v>373</v>
      </c>
      <c r="C12" s="121" t="s">
        <v>180</v>
      </c>
      <c r="D12" s="121" t="s">
        <v>374</v>
      </c>
      <c r="E12" s="96">
        <v>96</v>
      </c>
      <c r="F12" s="109"/>
      <c r="G12" s="121" t="s">
        <v>363</v>
      </c>
      <c r="H12" s="96" t="s">
        <v>363</v>
      </c>
      <c r="I12" s="97">
        <f>100401/15212226</f>
        <v>6.6000202731671224E-3</v>
      </c>
      <c r="J12" s="96">
        <v>1132.9100000000001</v>
      </c>
      <c r="K12" s="121" t="s">
        <v>374</v>
      </c>
      <c r="L12" s="98" t="s">
        <v>375</v>
      </c>
      <c r="M12" s="99">
        <v>99</v>
      </c>
      <c r="N12" s="121" t="s">
        <v>1799</v>
      </c>
      <c r="O12" s="121" t="s">
        <v>365</v>
      </c>
    </row>
    <row r="13" spans="1:15" s="95" customFormat="1" x14ac:dyDescent="0.25">
      <c r="A13" s="94" t="s">
        <v>2026</v>
      </c>
      <c r="B13" s="100" t="s">
        <v>2069</v>
      </c>
      <c r="C13" s="121" t="s">
        <v>182</v>
      </c>
      <c r="D13" s="121" t="s">
        <v>376</v>
      </c>
      <c r="E13" s="96">
        <v>66.8</v>
      </c>
      <c r="F13" s="111"/>
      <c r="G13" s="121" t="s">
        <v>363</v>
      </c>
      <c r="H13" s="96" t="s">
        <v>363</v>
      </c>
      <c r="I13" s="97">
        <f>1615/15212226</f>
        <v>1.0616460733623074E-4</v>
      </c>
      <c r="J13" s="96">
        <v>17.829999999999998</v>
      </c>
      <c r="K13" s="121" t="s">
        <v>376</v>
      </c>
      <c r="L13" s="98" t="s">
        <v>377</v>
      </c>
      <c r="M13" s="99">
        <v>66.8</v>
      </c>
      <c r="N13" s="121" t="s">
        <v>1798</v>
      </c>
      <c r="O13" s="121" t="s">
        <v>378</v>
      </c>
    </row>
    <row r="14" spans="1:15" s="80" customFormat="1" x14ac:dyDescent="0.25">
      <c r="A14" s="79" t="s">
        <v>1773</v>
      </c>
      <c r="C14" s="124"/>
      <c r="D14" s="124"/>
      <c r="E14" s="81"/>
      <c r="F14" s="82"/>
      <c r="G14" s="82"/>
      <c r="H14" s="129"/>
      <c r="I14" s="86"/>
      <c r="J14" s="81"/>
      <c r="K14" s="123"/>
      <c r="L14" s="83"/>
      <c r="M14" s="84"/>
      <c r="N14" s="124"/>
      <c r="O14" s="124"/>
    </row>
    <row r="15" spans="1:15" s="95" customFormat="1" x14ac:dyDescent="0.25">
      <c r="A15" s="94" t="s">
        <v>1773</v>
      </c>
      <c r="B15" s="95" t="s">
        <v>2066</v>
      </c>
      <c r="C15" s="121" t="s">
        <v>366</v>
      </c>
      <c r="D15" s="121" t="s">
        <v>367</v>
      </c>
      <c r="E15" s="96">
        <v>99.4</v>
      </c>
      <c r="F15" s="107"/>
      <c r="G15" s="121" t="s">
        <v>363</v>
      </c>
      <c r="H15" s="96" t="s">
        <v>363</v>
      </c>
      <c r="I15" s="97">
        <f>16845/2105618</f>
        <v>8.000026595517325E-3</v>
      </c>
      <c r="J15" s="96">
        <v>398.36</v>
      </c>
      <c r="K15" s="120" t="s">
        <v>367</v>
      </c>
      <c r="L15" s="98" t="s">
        <v>379</v>
      </c>
      <c r="M15" s="99">
        <v>99.4</v>
      </c>
      <c r="N15" s="121" t="s">
        <v>1800</v>
      </c>
      <c r="O15" s="121" t="s">
        <v>365</v>
      </c>
    </row>
    <row r="16" spans="1:15" s="95" customFormat="1" x14ac:dyDescent="0.25">
      <c r="A16" s="94" t="s">
        <v>1773</v>
      </c>
      <c r="B16" s="95" t="s">
        <v>2048</v>
      </c>
      <c r="C16" s="121" t="s">
        <v>115</v>
      </c>
      <c r="D16" s="121" t="s">
        <v>380</v>
      </c>
      <c r="E16" s="96">
        <v>100</v>
      </c>
      <c r="F16" s="111"/>
      <c r="G16" s="121" t="s">
        <v>363</v>
      </c>
      <c r="H16" s="96" t="s">
        <v>363</v>
      </c>
      <c r="I16" s="97">
        <f>146/2105618</f>
        <v>6.9338313027339244E-5</v>
      </c>
      <c r="J16" s="96">
        <v>6.41</v>
      </c>
      <c r="K16" s="120" t="s">
        <v>380</v>
      </c>
      <c r="L16" s="98" t="s">
        <v>363</v>
      </c>
      <c r="M16" s="99">
        <v>100</v>
      </c>
      <c r="N16" s="121" t="s">
        <v>363</v>
      </c>
      <c r="O16" s="121" t="s">
        <v>2041</v>
      </c>
    </row>
    <row r="17" spans="1:15" s="80" customFormat="1" x14ac:dyDescent="0.25">
      <c r="A17" s="79" t="s">
        <v>1771</v>
      </c>
      <c r="C17" s="124"/>
      <c r="D17" s="124"/>
      <c r="E17" s="81"/>
      <c r="F17" s="82"/>
      <c r="G17" s="82"/>
      <c r="H17" s="129"/>
      <c r="I17" s="86"/>
      <c r="J17" s="81"/>
      <c r="K17" s="123"/>
      <c r="L17" s="83"/>
      <c r="M17" s="84"/>
      <c r="N17" s="124"/>
      <c r="O17" s="124"/>
    </row>
    <row r="18" spans="1:15" s="95" customFormat="1" x14ac:dyDescent="0.25">
      <c r="A18" s="94" t="s">
        <v>1771</v>
      </c>
      <c r="B18" s="95" t="s">
        <v>2120</v>
      </c>
      <c r="C18" s="121" t="s">
        <v>145</v>
      </c>
      <c r="D18" s="121" t="s">
        <v>381</v>
      </c>
      <c r="E18" s="96">
        <v>99</v>
      </c>
      <c r="F18" s="107"/>
      <c r="G18" s="121" t="s">
        <v>363</v>
      </c>
      <c r="H18" s="96" t="s">
        <v>363</v>
      </c>
      <c r="I18" s="97">
        <f>9959/9900018</f>
        <v>1.0059577669454742E-3</v>
      </c>
      <c r="J18" s="96">
        <v>441.58</v>
      </c>
      <c r="K18" s="120" t="s">
        <v>381</v>
      </c>
      <c r="L18" s="98" t="s">
        <v>382</v>
      </c>
      <c r="M18" s="99">
        <v>98.7</v>
      </c>
      <c r="N18" s="121" t="s">
        <v>1729</v>
      </c>
      <c r="O18" s="121" t="s">
        <v>365</v>
      </c>
    </row>
    <row r="19" spans="1:15" s="95" customFormat="1" x14ac:dyDescent="0.25">
      <c r="A19" s="94" t="s">
        <v>1771</v>
      </c>
      <c r="B19" s="95" t="s">
        <v>2121</v>
      </c>
      <c r="C19" s="121" t="s">
        <v>145</v>
      </c>
      <c r="D19" s="121" t="s">
        <v>383</v>
      </c>
      <c r="E19" s="96">
        <v>99</v>
      </c>
      <c r="F19" s="109"/>
      <c r="G19" s="121" t="s">
        <v>363</v>
      </c>
      <c r="H19" s="96" t="s">
        <v>363</v>
      </c>
      <c r="I19" s="97">
        <f>10071/9900018</f>
        <v>1.0172708776893134E-3</v>
      </c>
      <c r="J19" s="96">
        <v>490.83</v>
      </c>
      <c r="K19" s="120" t="s">
        <v>383</v>
      </c>
      <c r="L19" s="98" t="s">
        <v>384</v>
      </c>
      <c r="M19" s="99">
        <v>98.7</v>
      </c>
      <c r="N19" s="121" t="s">
        <v>1731</v>
      </c>
      <c r="O19" s="121" t="s">
        <v>365</v>
      </c>
    </row>
    <row r="20" spans="1:15" s="95" customFormat="1" x14ac:dyDescent="0.25">
      <c r="A20" s="94" t="s">
        <v>1771</v>
      </c>
      <c r="B20" s="95" t="s">
        <v>2122</v>
      </c>
      <c r="C20" s="121" t="s">
        <v>145</v>
      </c>
      <c r="D20" s="121" t="s">
        <v>385</v>
      </c>
      <c r="E20" s="96">
        <v>99</v>
      </c>
      <c r="F20" s="109"/>
      <c r="G20" s="121" t="s">
        <v>363</v>
      </c>
      <c r="H20" s="96" t="s">
        <v>363</v>
      </c>
      <c r="I20" s="97">
        <f>28666/9900018</f>
        <v>2.8955502909186631E-3</v>
      </c>
      <c r="J20" s="96">
        <v>1935.45</v>
      </c>
      <c r="K20" s="120" t="s">
        <v>385</v>
      </c>
      <c r="L20" s="98" t="s">
        <v>386</v>
      </c>
      <c r="M20" s="99">
        <v>99.2</v>
      </c>
      <c r="N20" s="121" t="s">
        <v>1730</v>
      </c>
      <c r="O20" s="121" t="s">
        <v>365</v>
      </c>
    </row>
    <row r="21" spans="1:15" s="95" customFormat="1" x14ac:dyDescent="0.25">
      <c r="A21" s="94" t="s">
        <v>1771</v>
      </c>
      <c r="B21" s="95" t="s">
        <v>2066</v>
      </c>
      <c r="C21" s="121" t="s">
        <v>366</v>
      </c>
      <c r="D21" s="121" t="s">
        <v>367</v>
      </c>
      <c r="E21" s="96">
        <v>97.74</v>
      </c>
      <c r="F21" s="109"/>
      <c r="G21" s="121" t="s">
        <v>363</v>
      </c>
      <c r="H21" s="96" t="s">
        <v>363</v>
      </c>
      <c r="I21" s="97">
        <f>1400/9900018</f>
        <v>1.4141388429798814E-4</v>
      </c>
      <c r="J21" s="96">
        <v>32.92</v>
      </c>
      <c r="K21" s="120" t="s">
        <v>367</v>
      </c>
      <c r="L21" s="98" t="s">
        <v>387</v>
      </c>
      <c r="M21" s="99">
        <v>99.4</v>
      </c>
      <c r="N21" s="121" t="s">
        <v>1801</v>
      </c>
      <c r="O21" s="121" t="s">
        <v>365</v>
      </c>
    </row>
    <row r="22" spans="1:15" s="95" customFormat="1" x14ac:dyDescent="0.25">
      <c r="A22" s="94" t="s">
        <v>1771</v>
      </c>
      <c r="B22" s="95" t="s">
        <v>263</v>
      </c>
      <c r="C22" s="121" t="s">
        <v>264</v>
      </c>
      <c r="D22" s="121" t="s">
        <v>388</v>
      </c>
      <c r="E22" s="96">
        <v>98</v>
      </c>
      <c r="F22" s="109"/>
      <c r="G22" s="121" t="s">
        <v>363</v>
      </c>
      <c r="H22" s="96" t="s">
        <v>363</v>
      </c>
      <c r="I22" s="97">
        <f>40964/9900018</f>
        <v>4.1377702545591331E-3</v>
      </c>
      <c r="J22" s="96">
        <v>1009.61</v>
      </c>
      <c r="K22" s="120" t="s">
        <v>388</v>
      </c>
      <c r="L22" s="98" t="s">
        <v>389</v>
      </c>
      <c r="M22" s="99">
        <v>99.1</v>
      </c>
      <c r="N22" s="121" t="s">
        <v>1802</v>
      </c>
      <c r="O22" s="121" t="s">
        <v>365</v>
      </c>
    </row>
    <row r="23" spans="1:15" s="95" customFormat="1" x14ac:dyDescent="0.25">
      <c r="A23" s="94" t="s">
        <v>1771</v>
      </c>
      <c r="B23" s="95" t="s">
        <v>813</v>
      </c>
      <c r="C23" s="121" t="s">
        <v>131</v>
      </c>
      <c r="D23" s="121" t="s">
        <v>363</v>
      </c>
      <c r="E23" s="96" t="s">
        <v>363</v>
      </c>
      <c r="F23" s="109"/>
      <c r="G23" s="121" t="s">
        <v>814</v>
      </c>
      <c r="H23" s="96">
        <v>73.849999999999994</v>
      </c>
      <c r="I23" s="97">
        <f>12/9900018</f>
        <v>1.2121190082684698E-6</v>
      </c>
      <c r="J23" s="96" t="s">
        <v>363</v>
      </c>
      <c r="K23" s="121" t="s">
        <v>814</v>
      </c>
      <c r="L23" s="98" t="s">
        <v>2170</v>
      </c>
      <c r="M23" s="99">
        <v>73.849999999999994</v>
      </c>
      <c r="N23" s="121" t="s">
        <v>363</v>
      </c>
      <c r="O23" s="121" t="s">
        <v>2041</v>
      </c>
    </row>
    <row r="24" spans="1:15" s="95" customFormat="1" x14ac:dyDescent="0.25">
      <c r="A24" s="94" t="s">
        <v>1771</v>
      </c>
      <c r="B24" s="100" t="s">
        <v>2064</v>
      </c>
      <c r="C24" s="121" t="s">
        <v>165</v>
      </c>
      <c r="D24" s="121" t="s">
        <v>390</v>
      </c>
      <c r="E24" s="96">
        <v>65.599999999999994</v>
      </c>
      <c r="F24" s="109"/>
      <c r="G24" s="121" t="s">
        <v>363</v>
      </c>
      <c r="H24" s="96" t="s">
        <v>363</v>
      </c>
      <c r="I24" s="97">
        <f>1776/9900018</f>
        <v>1.7939361322373353E-4</v>
      </c>
      <c r="J24" s="96">
        <v>18.350000000000001</v>
      </c>
      <c r="K24" s="120" t="s">
        <v>390</v>
      </c>
      <c r="L24" s="98" t="s">
        <v>391</v>
      </c>
      <c r="M24" s="99">
        <v>65.599999999999994</v>
      </c>
      <c r="N24" s="121" t="s">
        <v>1803</v>
      </c>
      <c r="O24" s="121" t="s">
        <v>378</v>
      </c>
    </row>
    <row r="25" spans="1:15" s="95" customFormat="1" x14ac:dyDescent="0.25">
      <c r="A25" s="94" t="s">
        <v>1771</v>
      </c>
      <c r="B25" s="100" t="s">
        <v>2124</v>
      </c>
      <c r="C25" s="121" t="s">
        <v>119</v>
      </c>
      <c r="D25" s="121" t="s">
        <v>363</v>
      </c>
      <c r="E25" s="96" t="s">
        <v>363</v>
      </c>
      <c r="F25" s="109"/>
      <c r="G25" s="121" t="s">
        <v>392</v>
      </c>
      <c r="H25" s="96">
        <v>76.099999999999994</v>
      </c>
      <c r="I25" s="97">
        <f>902/9900018</f>
        <v>9.1110945454846642E-5</v>
      </c>
      <c r="J25" s="96">
        <v>79</v>
      </c>
      <c r="K25" s="121" t="s">
        <v>392</v>
      </c>
      <c r="L25" s="98" t="s">
        <v>393</v>
      </c>
      <c r="M25" s="96">
        <v>76.099999999999994</v>
      </c>
      <c r="N25" s="121" t="s">
        <v>1709</v>
      </c>
      <c r="O25" s="121" t="s">
        <v>378</v>
      </c>
    </row>
    <row r="26" spans="1:15" s="95" customFormat="1" x14ac:dyDescent="0.25">
      <c r="A26" s="94" t="s">
        <v>1771</v>
      </c>
      <c r="B26" s="100" t="s">
        <v>2125</v>
      </c>
      <c r="C26" s="121" t="s">
        <v>119</v>
      </c>
      <c r="D26" s="121" t="s">
        <v>363</v>
      </c>
      <c r="E26" s="96" t="s">
        <v>363</v>
      </c>
      <c r="F26" s="109"/>
      <c r="G26" s="121" t="s">
        <v>394</v>
      </c>
      <c r="H26" s="96">
        <v>70.31</v>
      </c>
      <c r="I26" s="97">
        <f>748/9900018</f>
        <v>7.5555418182067958E-5</v>
      </c>
      <c r="J26" s="96">
        <v>72.760000000000005</v>
      </c>
      <c r="K26" s="121" t="s">
        <v>394</v>
      </c>
      <c r="L26" s="98" t="s">
        <v>395</v>
      </c>
      <c r="M26" s="96">
        <v>70.31</v>
      </c>
      <c r="N26" s="121" t="s">
        <v>1710</v>
      </c>
      <c r="O26" s="121" t="s">
        <v>378</v>
      </c>
    </row>
    <row r="27" spans="1:15" s="95" customFormat="1" x14ac:dyDescent="0.25">
      <c r="A27" s="94" t="s">
        <v>1771</v>
      </c>
      <c r="B27" s="100" t="s">
        <v>2126</v>
      </c>
      <c r="C27" s="121" t="s">
        <v>119</v>
      </c>
      <c r="D27" s="121" t="s">
        <v>363</v>
      </c>
      <c r="E27" s="96" t="s">
        <v>363</v>
      </c>
      <c r="F27" s="111"/>
      <c r="G27" s="121" t="s">
        <v>396</v>
      </c>
      <c r="H27" s="96">
        <v>64.88</v>
      </c>
      <c r="I27" s="97">
        <f>323/9900018</f>
        <v>3.2626203305892977E-5</v>
      </c>
      <c r="J27" s="96">
        <v>32.11</v>
      </c>
      <c r="K27" s="121" t="s">
        <v>396</v>
      </c>
      <c r="L27" s="98" t="s">
        <v>397</v>
      </c>
      <c r="M27" s="96">
        <v>64.88</v>
      </c>
      <c r="N27" s="121" t="s">
        <v>1711</v>
      </c>
      <c r="O27" s="121" t="s">
        <v>378</v>
      </c>
    </row>
    <row r="28" spans="1:15" s="80" customFormat="1" x14ac:dyDescent="0.25">
      <c r="A28" s="79" t="s">
        <v>1772</v>
      </c>
      <c r="C28" s="124"/>
      <c r="D28" s="124"/>
      <c r="E28" s="81"/>
      <c r="F28" s="82"/>
      <c r="G28" s="124"/>
      <c r="H28" s="81"/>
      <c r="I28" s="86"/>
      <c r="J28" s="81"/>
      <c r="K28" s="123"/>
      <c r="L28" s="83"/>
      <c r="M28" s="84"/>
      <c r="N28" s="124"/>
      <c r="O28" s="124"/>
    </row>
    <row r="29" spans="1:15" s="95" customFormat="1" x14ac:dyDescent="0.25">
      <c r="A29" s="94" t="s">
        <v>1772</v>
      </c>
      <c r="B29" s="95" t="s">
        <v>2066</v>
      </c>
      <c r="C29" s="121" t="s">
        <v>366</v>
      </c>
      <c r="D29" s="121" t="s">
        <v>367</v>
      </c>
      <c r="E29" s="96">
        <v>99.3</v>
      </c>
      <c r="F29" s="107"/>
      <c r="G29" s="121" t="s">
        <v>363</v>
      </c>
      <c r="H29" s="96" t="s">
        <v>363</v>
      </c>
      <c r="I29" s="97">
        <f>1648/8690108</f>
        <v>1.8964091125219619E-4</v>
      </c>
      <c r="J29" s="96">
        <v>38.68</v>
      </c>
      <c r="K29" s="121" t="s">
        <v>367</v>
      </c>
      <c r="L29" s="98" t="s">
        <v>398</v>
      </c>
      <c r="M29" s="99">
        <v>99.4</v>
      </c>
      <c r="N29" s="121" t="s">
        <v>1805</v>
      </c>
      <c r="O29" s="121" t="s">
        <v>365</v>
      </c>
    </row>
    <row r="30" spans="1:15" s="95" customFormat="1" x14ac:dyDescent="0.25">
      <c r="A30" s="94" t="s">
        <v>1772</v>
      </c>
      <c r="B30" s="100" t="s">
        <v>2060</v>
      </c>
      <c r="C30" s="121" t="s">
        <v>157</v>
      </c>
      <c r="D30" s="121" t="s">
        <v>363</v>
      </c>
      <c r="E30" s="96" t="s">
        <v>363</v>
      </c>
      <c r="F30" s="109"/>
      <c r="G30" s="121" t="s">
        <v>399</v>
      </c>
      <c r="H30" s="96">
        <v>65.8</v>
      </c>
      <c r="I30" s="97">
        <f>2570/8690108</f>
        <v>2.9573855698916516E-4</v>
      </c>
      <c r="J30" s="96">
        <v>29.22</v>
      </c>
      <c r="K30" s="121" t="s">
        <v>399</v>
      </c>
      <c r="L30" s="98" t="s">
        <v>400</v>
      </c>
      <c r="M30" s="99">
        <v>65.8</v>
      </c>
      <c r="N30" s="121" t="s">
        <v>1804</v>
      </c>
      <c r="O30" s="121" t="s">
        <v>378</v>
      </c>
    </row>
    <row r="31" spans="1:15" s="95" customFormat="1" x14ac:dyDescent="0.25">
      <c r="A31" s="94" t="s">
        <v>1772</v>
      </c>
      <c r="B31" s="100" t="s">
        <v>2080</v>
      </c>
      <c r="C31" s="121" t="s">
        <v>249</v>
      </c>
      <c r="D31" s="121" t="s">
        <v>363</v>
      </c>
      <c r="E31" s="96" t="s">
        <v>363</v>
      </c>
      <c r="F31" s="109"/>
      <c r="G31" s="121" t="s">
        <v>401</v>
      </c>
      <c r="H31" s="96">
        <v>67</v>
      </c>
      <c r="I31" s="97">
        <f>2148/8690108</f>
        <v>2.4717759549133339E-4</v>
      </c>
      <c r="J31" s="96">
        <v>29.23</v>
      </c>
      <c r="K31" s="121" t="s">
        <v>401</v>
      </c>
      <c r="L31" s="98" t="s">
        <v>402</v>
      </c>
      <c r="M31" s="99">
        <v>67.040000000000006</v>
      </c>
      <c r="N31" s="121" t="s">
        <v>1806</v>
      </c>
      <c r="O31" s="121" t="s">
        <v>378</v>
      </c>
    </row>
    <row r="32" spans="1:15" s="95" customFormat="1" x14ac:dyDescent="0.25">
      <c r="A32" s="94" t="s">
        <v>1772</v>
      </c>
      <c r="B32" s="100" t="s">
        <v>229</v>
      </c>
      <c r="C32" s="121" t="s">
        <v>230</v>
      </c>
      <c r="D32" s="121" t="s">
        <v>363</v>
      </c>
      <c r="E32" s="96" t="s">
        <v>363</v>
      </c>
      <c r="F32" s="111"/>
      <c r="G32" s="121" t="s">
        <v>403</v>
      </c>
      <c r="H32" s="96">
        <v>67</v>
      </c>
      <c r="I32" s="97">
        <f>6745/8690108</f>
        <v>7.7616987038596063E-4</v>
      </c>
      <c r="J32" s="96">
        <v>114.32</v>
      </c>
      <c r="K32" s="121" t="s">
        <v>403</v>
      </c>
      <c r="L32" s="98" t="s">
        <v>404</v>
      </c>
      <c r="M32" s="99">
        <v>67</v>
      </c>
      <c r="N32" s="121" t="s">
        <v>1807</v>
      </c>
      <c r="O32" s="121" t="s">
        <v>378</v>
      </c>
    </row>
    <row r="33" spans="1:15" s="80" customFormat="1" x14ac:dyDescent="0.25">
      <c r="A33" s="79" t="s">
        <v>1774</v>
      </c>
      <c r="C33" s="124"/>
      <c r="D33" s="124"/>
      <c r="E33" s="81"/>
      <c r="F33" s="82"/>
      <c r="G33" s="124"/>
      <c r="H33" s="81"/>
      <c r="I33" s="86"/>
      <c r="J33" s="81"/>
      <c r="K33" s="124"/>
      <c r="L33" s="83"/>
      <c r="M33" s="84"/>
      <c r="N33" s="124"/>
      <c r="O33" s="124"/>
    </row>
    <row r="34" spans="1:15" s="95" customFormat="1" x14ac:dyDescent="0.25">
      <c r="A34" s="94" t="s">
        <v>1774</v>
      </c>
      <c r="B34" s="95" t="s">
        <v>2048</v>
      </c>
      <c r="C34" s="121" t="s">
        <v>115</v>
      </c>
      <c r="D34" s="121" t="s">
        <v>405</v>
      </c>
      <c r="E34" s="96">
        <v>100</v>
      </c>
      <c r="F34" s="107"/>
      <c r="G34" s="121" t="s">
        <v>363</v>
      </c>
      <c r="H34" s="96" t="s">
        <v>363</v>
      </c>
      <c r="I34" s="97">
        <f>3817/7633846</f>
        <v>5.0001008665880866E-4</v>
      </c>
      <c r="J34" s="96">
        <v>180.61</v>
      </c>
      <c r="K34" s="121" t="s">
        <v>405</v>
      </c>
      <c r="L34" s="98" t="s">
        <v>406</v>
      </c>
      <c r="M34" s="99">
        <v>100</v>
      </c>
      <c r="N34" s="121" t="s">
        <v>1685</v>
      </c>
      <c r="O34" s="121" t="s">
        <v>365</v>
      </c>
    </row>
    <row r="35" spans="1:15" s="95" customFormat="1" x14ac:dyDescent="0.25">
      <c r="A35" s="94" t="s">
        <v>1774</v>
      </c>
      <c r="B35" s="95" t="s">
        <v>2089</v>
      </c>
      <c r="C35" s="121" t="s">
        <v>272</v>
      </c>
      <c r="D35" s="121" t="s">
        <v>407</v>
      </c>
      <c r="E35" s="96">
        <v>98</v>
      </c>
      <c r="F35" s="109"/>
      <c r="G35" s="121" t="s">
        <v>363</v>
      </c>
      <c r="H35" s="96" t="s">
        <v>363</v>
      </c>
      <c r="I35" s="97">
        <f>165/7633846</f>
        <v>2.1614268875741008E-5</v>
      </c>
      <c r="J35" s="96">
        <v>7.64</v>
      </c>
      <c r="K35" s="121" t="s">
        <v>407</v>
      </c>
      <c r="L35" s="98" t="s">
        <v>363</v>
      </c>
      <c r="M35" s="99">
        <v>98</v>
      </c>
      <c r="N35" s="121" t="s">
        <v>363</v>
      </c>
      <c r="O35" s="121" t="s">
        <v>2041</v>
      </c>
    </row>
    <row r="36" spans="1:15" s="95" customFormat="1" x14ac:dyDescent="0.25">
      <c r="A36" s="94" t="s">
        <v>1774</v>
      </c>
      <c r="B36" s="95" t="s">
        <v>409</v>
      </c>
      <c r="C36" s="121" t="s">
        <v>259</v>
      </c>
      <c r="D36" s="121" t="s">
        <v>410</v>
      </c>
      <c r="E36" s="96">
        <v>91.2</v>
      </c>
      <c r="F36" s="109"/>
      <c r="G36" s="121" t="s">
        <v>363</v>
      </c>
      <c r="H36" s="96" t="s">
        <v>363</v>
      </c>
      <c r="I36" s="101">
        <f>16334/7633846</f>
        <v>2.1396816231294162E-3</v>
      </c>
      <c r="J36" s="102">
        <v>201</v>
      </c>
      <c r="K36" s="121" t="s">
        <v>410</v>
      </c>
      <c r="L36" s="98" t="s">
        <v>411</v>
      </c>
      <c r="M36" s="99">
        <v>91.24</v>
      </c>
      <c r="N36" s="121" t="s">
        <v>1808</v>
      </c>
      <c r="O36" s="121" t="s">
        <v>412</v>
      </c>
    </row>
    <row r="37" spans="1:15" s="95" customFormat="1" x14ac:dyDescent="0.25">
      <c r="A37" s="94" t="s">
        <v>1774</v>
      </c>
      <c r="B37" s="95" t="s">
        <v>413</v>
      </c>
      <c r="C37" s="121" t="s">
        <v>259</v>
      </c>
      <c r="D37" s="121" t="s">
        <v>414</v>
      </c>
      <c r="E37" s="96">
        <v>90.1</v>
      </c>
      <c r="F37" s="109"/>
      <c r="G37" s="121" t="s">
        <v>363</v>
      </c>
      <c r="H37" s="96" t="s">
        <v>363</v>
      </c>
      <c r="I37" s="103"/>
      <c r="J37" s="104"/>
      <c r="K37" s="121" t="s">
        <v>414</v>
      </c>
      <c r="L37" s="98" t="s">
        <v>415</v>
      </c>
      <c r="M37" s="99">
        <v>90.08</v>
      </c>
      <c r="N37" s="121" t="s">
        <v>1809</v>
      </c>
      <c r="O37" s="121" t="s">
        <v>412</v>
      </c>
    </row>
    <row r="38" spans="1:15" s="95" customFormat="1" x14ac:dyDescent="0.25">
      <c r="A38" s="94" t="s">
        <v>1774</v>
      </c>
      <c r="B38" s="95" t="s">
        <v>416</v>
      </c>
      <c r="C38" s="121" t="s">
        <v>259</v>
      </c>
      <c r="D38" s="121" t="s">
        <v>417</v>
      </c>
      <c r="E38" s="96">
        <v>91.9</v>
      </c>
      <c r="F38" s="109"/>
      <c r="G38" s="121" t="s">
        <v>363</v>
      </c>
      <c r="H38" s="96" t="s">
        <v>363</v>
      </c>
      <c r="I38" s="103"/>
      <c r="J38" s="104"/>
      <c r="K38" s="121" t="s">
        <v>417</v>
      </c>
      <c r="L38" s="98" t="s">
        <v>418</v>
      </c>
      <c r="M38" s="99">
        <v>91.94</v>
      </c>
      <c r="N38" s="121" t="s">
        <v>1810</v>
      </c>
      <c r="O38" s="121" t="s">
        <v>412</v>
      </c>
    </row>
    <row r="39" spans="1:15" s="95" customFormat="1" x14ac:dyDescent="0.25">
      <c r="A39" s="94" t="s">
        <v>1774</v>
      </c>
      <c r="B39" s="95" t="s">
        <v>419</v>
      </c>
      <c r="C39" s="121" t="s">
        <v>259</v>
      </c>
      <c r="D39" s="121" t="s">
        <v>420</v>
      </c>
      <c r="E39" s="96">
        <v>71.099999999999994</v>
      </c>
      <c r="F39" s="111"/>
      <c r="G39" s="121" t="s">
        <v>363</v>
      </c>
      <c r="H39" s="96" t="s">
        <v>363</v>
      </c>
      <c r="I39" s="105"/>
      <c r="J39" s="106"/>
      <c r="K39" s="121" t="s">
        <v>420</v>
      </c>
      <c r="L39" s="98" t="s">
        <v>421</v>
      </c>
      <c r="M39" s="99">
        <v>71.11</v>
      </c>
      <c r="N39" s="121" t="s">
        <v>1811</v>
      </c>
      <c r="O39" s="121" t="s">
        <v>412</v>
      </c>
    </row>
    <row r="40" spans="1:15" s="80" customFormat="1" x14ac:dyDescent="0.25">
      <c r="A40" s="79" t="s">
        <v>1775</v>
      </c>
      <c r="C40" s="124"/>
      <c r="D40" s="124"/>
      <c r="E40" s="81"/>
      <c r="F40" s="82"/>
      <c r="G40" s="124"/>
      <c r="H40" s="81"/>
      <c r="I40" s="86"/>
      <c r="J40" s="81"/>
      <c r="K40" s="124"/>
      <c r="L40" s="83"/>
      <c r="M40" s="84"/>
      <c r="N40" s="124"/>
      <c r="O40" s="124"/>
    </row>
    <row r="41" spans="1:15" s="95" customFormat="1" x14ac:dyDescent="0.25">
      <c r="A41" s="94" t="s">
        <v>1775</v>
      </c>
      <c r="B41" s="95" t="s">
        <v>2048</v>
      </c>
      <c r="C41" s="121" t="s">
        <v>115</v>
      </c>
      <c r="D41" s="121" t="s">
        <v>405</v>
      </c>
      <c r="E41" s="96">
        <v>100</v>
      </c>
      <c r="F41" s="107"/>
      <c r="G41" s="121" t="s">
        <v>363</v>
      </c>
      <c r="H41" s="96" t="s">
        <v>363</v>
      </c>
      <c r="I41" s="97">
        <f>10263/9562864</f>
        <v>1.0732140496821873E-3</v>
      </c>
      <c r="J41" s="96">
        <v>434.84</v>
      </c>
      <c r="K41" s="121" t="s">
        <v>405</v>
      </c>
      <c r="L41" s="98" t="s">
        <v>406</v>
      </c>
      <c r="M41" s="99">
        <v>100</v>
      </c>
      <c r="N41" s="121" t="s">
        <v>1686</v>
      </c>
      <c r="O41" s="121" t="s">
        <v>365</v>
      </c>
    </row>
    <row r="42" spans="1:15" s="95" customFormat="1" x14ac:dyDescent="0.25">
      <c r="A42" s="94" t="s">
        <v>1775</v>
      </c>
      <c r="B42" s="95" t="s">
        <v>2089</v>
      </c>
      <c r="C42" s="121" t="s">
        <v>272</v>
      </c>
      <c r="D42" s="121" t="s">
        <v>407</v>
      </c>
      <c r="E42" s="96">
        <v>97.7</v>
      </c>
      <c r="F42" s="109"/>
      <c r="G42" s="121" t="s">
        <v>363</v>
      </c>
      <c r="H42" s="96" t="s">
        <v>363</v>
      </c>
      <c r="I42" s="97">
        <f>384/9562864</f>
        <v>4.0155334217866115E-5</v>
      </c>
      <c r="J42" s="96">
        <v>15.2</v>
      </c>
      <c r="K42" s="121" t="s">
        <v>407</v>
      </c>
      <c r="L42" s="98" t="s">
        <v>408</v>
      </c>
      <c r="M42" s="99">
        <v>98</v>
      </c>
      <c r="N42" s="121" t="s">
        <v>363</v>
      </c>
      <c r="O42" s="121" t="s">
        <v>370</v>
      </c>
    </row>
    <row r="43" spans="1:15" s="95" customFormat="1" x14ac:dyDescent="0.25">
      <c r="A43" s="94" t="s">
        <v>1775</v>
      </c>
      <c r="B43" s="95" t="s">
        <v>409</v>
      </c>
      <c r="C43" s="121" t="s">
        <v>259</v>
      </c>
      <c r="D43" s="121" t="s">
        <v>410</v>
      </c>
      <c r="E43" s="96">
        <v>91.2</v>
      </c>
      <c r="F43" s="109"/>
      <c r="G43" s="121" t="s">
        <v>363</v>
      </c>
      <c r="H43" s="96" t="s">
        <v>363</v>
      </c>
      <c r="I43" s="101">
        <f>18831/9562864</f>
        <v>1.9691799444183249E-3</v>
      </c>
      <c r="J43" s="102">
        <v>231</v>
      </c>
      <c r="K43" s="121" t="s">
        <v>410</v>
      </c>
      <c r="L43" s="98" t="s">
        <v>411</v>
      </c>
      <c r="M43" s="99">
        <v>91.24</v>
      </c>
      <c r="N43" s="121" t="s">
        <v>1812</v>
      </c>
      <c r="O43" s="121" t="s">
        <v>412</v>
      </c>
    </row>
    <row r="44" spans="1:15" s="95" customFormat="1" x14ac:dyDescent="0.25">
      <c r="A44" s="94" t="s">
        <v>1775</v>
      </c>
      <c r="B44" s="95" t="s">
        <v>413</v>
      </c>
      <c r="C44" s="121" t="s">
        <v>259</v>
      </c>
      <c r="D44" s="121" t="s">
        <v>414</v>
      </c>
      <c r="E44" s="96">
        <v>90.1</v>
      </c>
      <c r="F44" s="109"/>
      <c r="G44" s="121" t="s">
        <v>363</v>
      </c>
      <c r="H44" s="96" t="s">
        <v>363</v>
      </c>
      <c r="I44" s="103"/>
      <c r="J44" s="104"/>
      <c r="K44" s="121" t="s">
        <v>414</v>
      </c>
      <c r="L44" s="98" t="s">
        <v>415</v>
      </c>
      <c r="M44" s="99">
        <v>90.08</v>
      </c>
      <c r="N44" s="121" t="s">
        <v>1813</v>
      </c>
      <c r="O44" s="121" t="s">
        <v>412</v>
      </c>
    </row>
    <row r="45" spans="1:15" s="95" customFormat="1" x14ac:dyDescent="0.25">
      <c r="A45" s="94" t="s">
        <v>1775</v>
      </c>
      <c r="B45" s="95" t="s">
        <v>416</v>
      </c>
      <c r="C45" s="121" t="s">
        <v>259</v>
      </c>
      <c r="D45" s="121" t="s">
        <v>417</v>
      </c>
      <c r="E45" s="96">
        <v>91.9</v>
      </c>
      <c r="F45" s="109"/>
      <c r="G45" s="121" t="s">
        <v>363</v>
      </c>
      <c r="H45" s="96" t="s">
        <v>363</v>
      </c>
      <c r="I45" s="103"/>
      <c r="J45" s="104"/>
      <c r="K45" s="121" t="s">
        <v>417</v>
      </c>
      <c r="L45" s="98" t="s">
        <v>418</v>
      </c>
      <c r="M45" s="99">
        <v>91.94</v>
      </c>
      <c r="N45" s="121" t="s">
        <v>1814</v>
      </c>
      <c r="O45" s="121" t="s">
        <v>412</v>
      </c>
    </row>
    <row r="46" spans="1:15" s="95" customFormat="1" x14ac:dyDescent="0.25">
      <c r="A46" s="94" t="s">
        <v>1775</v>
      </c>
      <c r="B46" s="95" t="s">
        <v>419</v>
      </c>
      <c r="C46" s="121" t="s">
        <v>259</v>
      </c>
      <c r="D46" s="121" t="s">
        <v>420</v>
      </c>
      <c r="E46" s="96">
        <v>71.099999999999994</v>
      </c>
      <c r="F46" s="111"/>
      <c r="G46" s="121" t="s">
        <v>363</v>
      </c>
      <c r="H46" s="96" t="s">
        <v>363</v>
      </c>
      <c r="I46" s="105"/>
      <c r="J46" s="106"/>
      <c r="K46" s="121" t="s">
        <v>420</v>
      </c>
      <c r="L46" s="98" t="s">
        <v>421</v>
      </c>
      <c r="M46" s="99">
        <v>71.11</v>
      </c>
      <c r="N46" s="121" t="s">
        <v>1815</v>
      </c>
      <c r="O46" s="121" t="s">
        <v>412</v>
      </c>
    </row>
    <row r="47" spans="1:15" s="80" customFormat="1" x14ac:dyDescent="0.25">
      <c r="A47" s="79" t="s">
        <v>1776</v>
      </c>
      <c r="C47" s="124"/>
      <c r="D47" s="124"/>
      <c r="E47" s="81"/>
      <c r="F47" s="82"/>
      <c r="G47" s="124"/>
      <c r="H47" s="81"/>
      <c r="I47" s="86"/>
      <c r="J47" s="81"/>
      <c r="K47" s="124"/>
      <c r="L47" s="83"/>
      <c r="M47" s="84"/>
      <c r="N47" s="124"/>
      <c r="O47" s="124"/>
    </row>
    <row r="48" spans="1:15" s="95" customFormat="1" x14ac:dyDescent="0.25">
      <c r="A48" s="94" t="s">
        <v>1776</v>
      </c>
      <c r="B48" s="95" t="s">
        <v>2118</v>
      </c>
      <c r="C48" s="121" t="s">
        <v>247</v>
      </c>
      <c r="D48" s="121" t="s">
        <v>363</v>
      </c>
      <c r="E48" s="96" t="s">
        <v>363</v>
      </c>
      <c r="F48" s="107"/>
      <c r="G48" s="121" t="s">
        <v>422</v>
      </c>
      <c r="H48" s="96">
        <v>88.3</v>
      </c>
      <c r="I48" s="97">
        <f>148435/8391776</f>
        <v>1.7688150875333184E-2</v>
      </c>
      <c r="J48" s="96">
        <v>3820.85</v>
      </c>
      <c r="K48" s="121" t="s">
        <v>422</v>
      </c>
      <c r="L48" s="98" t="s">
        <v>423</v>
      </c>
      <c r="M48" s="96">
        <v>88.27</v>
      </c>
      <c r="N48" s="121" t="s">
        <v>1816</v>
      </c>
      <c r="O48" s="121" t="s">
        <v>424</v>
      </c>
    </row>
    <row r="49" spans="1:15" s="95" customFormat="1" x14ac:dyDescent="0.25">
      <c r="A49" s="94" t="s">
        <v>1776</v>
      </c>
      <c r="B49" s="95" t="s">
        <v>2119</v>
      </c>
      <c r="C49" s="121" t="s">
        <v>247</v>
      </c>
      <c r="D49" s="121" t="s">
        <v>363</v>
      </c>
      <c r="E49" s="96" t="s">
        <v>363</v>
      </c>
      <c r="F49" s="109"/>
      <c r="G49" s="121" t="s">
        <v>425</v>
      </c>
      <c r="H49" s="96">
        <v>88.7</v>
      </c>
      <c r="I49" s="97">
        <f>182345/8391776</f>
        <v>2.1729011832536997E-2</v>
      </c>
      <c r="J49" s="96">
        <v>7952.26</v>
      </c>
      <c r="K49" s="121" t="s">
        <v>425</v>
      </c>
      <c r="L49" s="98" t="s">
        <v>426</v>
      </c>
      <c r="M49" s="96">
        <v>88.68</v>
      </c>
      <c r="N49" s="121" t="s">
        <v>1817</v>
      </c>
      <c r="O49" s="121" t="s">
        <v>424</v>
      </c>
    </row>
    <row r="50" spans="1:15" s="95" customFormat="1" x14ac:dyDescent="0.25">
      <c r="A50" s="94" t="s">
        <v>1776</v>
      </c>
      <c r="B50" s="95" t="s">
        <v>341</v>
      </c>
      <c r="C50" s="121" t="s">
        <v>427</v>
      </c>
      <c r="D50" s="121" t="s">
        <v>363</v>
      </c>
      <c r="E50" s="96" t="s">
        <v>363</v>
      </c>
      <c r="F50" s="109"/>
      <c r="G50" s="121" t="s">
        <v>428</v>
      </c>
      <c r="H50" s="96">
        <v>97.9</v>
      </c>
      <c r="I50" s="97">
        <f>351/8391776</f>
        <v>4.1826664582086082E-5</v>
      </c>
      <c r="J50" s="96">
        <v>16.34</v>
      </c>
      <c r="K50" s="121" t="s">
        <v>428</v>
      </c>
      <c r="L50" s="98" t="s">
        <v>429</v>
      </c>
      <c r="M50" s="96">
        <v>97.9</v>
      </c>
      <c r="N50" s="121" t="s">
        <v>1818</v>
      </c>
      <c r="O50" s="121" t="s">
        <v>365</v>
      </c>
    </row>
    <row r="51" spans="1:15" s="95" customFormat="1" ht="13.5" x14ac:dyDescent="0.25">
      <c r="A51" s="94" t="s">
        <v>1776</v>
      </c>
      <c r="B51" s="100" t="s">
        <v>2099</v>
      </c>
      <c r="C51" s="121" t="s">
        <v>309</v>
      </c>
      <c r="D51" s="130" t="s">
        <v>430</v>
      </c>
      <c r="E51" s="96" t="s">
        <v>363</v>
      </c>
      <c r="F51" s="109"/>
      <c r="G51" s="130" t="s">
        <v>430</v>
      </c>
      <c r="H51" s="96" t="s">
        <v>363</v>
      </c>
      <c r="I51" s="97">
        <f>204/8391776</f>
        <v>2.4309514457964558E-5</v>
      </c>
      <c r="J51" s="96">
        <v>55.03</v>
      </c>
      <c r="K51" s="130" t="s">
        <v>430</v>
      </c>
      <c r="L51" s="96" t="s">
        <v>431</v>
      </c>
      <c r="M51" s="96" t="s">
        <v>363</v>
      </c>
      <c r="N51" s="121" t="s">
        <v>1819</v>
      </c>
      <c r="O51" s="121" t="s">
        <v>432</v>
      </c>
    </row>
    <row r="52" spans="1:15" s="95" customFormat="1" ht="13.5" x14ac:dyDescent="0.25">
      <c r="A52" s="94" t="s">
        <v>1776</v>
      </c>
      <c r="B52" s="100" t="s">
        <v>2100</v>
      </c>
      <c r="C52" s="121" t="s">
        <v>310</v>
      </c>
      <c r="D52" s="130" t="s">
        <v>430</v>
      </c>
      <c r="E52" s="96" t="s">
        <v>363</v>
      </c>
      <c r="F52" s="111"/>
      <c r="G52" s="130" t="s">
        <v>430</v>
      </c>
      <c r="H52" s="96" t="s">
        <v>363</v>
      </c>
      <c r="I52" s="97">
        <f>216/8391776</f>
        <v>2.5739485896668358E-5</v>
      </c>
      <c r="J52" s="96">
        <v>65.88</v>
      </c>
      <c r="K52" s="130" t="s">
        <v>430</v>
      </c>
      <c r="L52" s="96" t="s">
        <v>433</v>
      </c>
      <c r="M52" s="96" t="s">
        <v>363</v>
      </c>
      <c r="N52" s="121" t="s">
        <v>1820</v>
      </c>
      <c r="O52" s="121" t="s">
        <v>432</v>
      </c>
    </row>
    <row r="53" spans="1:15" s="80" customFormat="1" x14ac:dyDescent="0.25">
      <c r="A53" s="79" t="s">
        <v>1777</v>
      </c>
      <c r="C53" s="124"/>
      <c r="D53" s="124"/>
      <c r="E53" s="81"/>
      <c r="F53" s="82"/>
      <c r="G53" s="124"/>
      <c r="H53" s="81"/>
      <c r="I53" s="86"/>
      <c r="J53" s="81"/>
      <c r="K53" s="124"/>
      <c r="L53" s="83"/>
      <c r="M53" s="84"/>
      <c r="N53" s="124"/>
      <c r="O53" s="124"/>
    </row>
    <row r="54" spans="1:15" s="95" customFormat="1" x14ac:dyDescent="0.25">
      <c r="A54" s="94" t="s">
        <v>1777</v>
      </c>
      <c r="B54" s="95" t="s">
        <v>2048</v>
      </c>
      <c r="C54" s="121" t="s">
        <v>115</v>
      </c>
      <c r="D54" s="121" t="s">
        <v>434</v>
      </c>
      <c r="E54" s="96">
        <v>99.7</v>
      </c>
      <c r="F54" s="107"/>
      <c r="G54" s="121" t="s">
        <v>363</v>
      </c>
      <c r="H54" s="96" t="s">
        <v>363</v>
      </c>
      <c r="I54" s="97">
        <f>551/11930282</f>
        <v>4.6184993783047204E-5</v>
      </c>
      <c r="J54" s="96">
        <v>23.56</v>
      </c>
      <c r="K54" s="121" t="s">
        <v>434</v>
      </c>
      <c r="L54" s="98" t="s">
        <v>435</v>
      </c>
      <c r="M54" s="99">
        <v>99.6</v>
      </c>
      <c r="N54" s="121" t="s">
        <v>363</v>
      </c>
      <c r="O54" s="121" t="s">
        <v>370</v>
      </c>
    </row>
    <row r="55" spans="1:15" s="95" customFormat="1" x14ac:dyDescent="0.25">
      <c r="A55" s="94" t="s">
        <v>1777</v>
      </c>
      <c r="B55" s="95" t="s">
        <v>2092</v>
      </c>
      <c r="C55" s="121" t="s">
        <v>275</v>
      </c>
      <c r="D55" s="121" t="s">
        <v>436</v>
      </c>
      <c r="E55" s="96">
        <v>94</v>
      </c>
      <c r="F55" s="109"/>
      <c r="G55" s="121" t="s">
        <v>363</v>
      </c>
      <c r="H55" s="96" t="s">
        <v>363</v>
      </c>
      <c r="I55" s="97">
        <f>893/11930282</f>
        <v>7.4851541648386847E-5</v>
      </c>
      <c r="J55" s="96">
        <v>2748</v>
      </c>
      <c r="K55" s="121" t="s">
        <v>436</v>
      </c>
      <c r="L55" s="98" t="s">
        <v>437</v>
      </c>
      <c r="M55" s="99">
        <v>94</v>
      </c>
      <c r="N55" s="121" t="s">
        <v>1822</v>
      </c>
      <c r="O55" s="121" t="s">
        <v>365</v>
      </c>
    </row>
    <row r="56" spans="1:15" s="95" customFormat="1" x14ac:dyDescent="0.25">
      <c r="A56" s="94" t="s">
        <v>1777</v>
      </c>
      <c r="B56" s="95" t="s">
        <v>438</v>
      </c>
      <c r="C56" s="121" t="s">
        <v>185</v>
      </c>
      <c r="D56" s="121" t="s">
        <v>439</v>
      </c>
      <c r="E56" s="96">
        <v>99.8</v>
      </c>
      <c r="F56" s="109"/>
      <c r="G56" s="121" t="s">
        <v>363</v>
      </c>
      <c r="H56" s="96" t="s">
        <v>363</v>
      </c>
      <c r="I56" s="97">
        <f>2344/11930282</f>
        <v>1.9647481928759103E-4</v>
      </c>
      <c r="J56" s="96">
        <v>24.94</v>
      </c>
      <c r="K56" s="121" t="s">
        <v>439</v>
      </c>
      <c r="L56" s="98" t="s">
        <v>440</v>
      </c>
      <c r="M56" s="99">
        <v>99.8</v>
      </c>
      <c r="N56" s="121" t="s">
        <v>1821</v>
      </c>
      <c r="O56" s="121" t="s">
        <v>365</v>
      </c>
    </row>
    <row r="57" spans="1:15" s="95" customFormat="1" x14ac:dyDescent="0.25">
      <c r="A57" s="94" t="s">
        <v>1777</v>
      </c>
      <c r="B57" s="95" t="s">
        <v>2089</v>
      </c>
      <c r="C57" s="121" t="s">
        <v>272</v>
      </c>
      <c r="D57" s="121" t="s">
        <v>407</v>
      </c>
      <c r="E57" s="96">
        <v>97</v>
      </c>
      <c r="F57" s="109"/>
      <c r="G57" s="121" t="s">
        <v>363</v>
      </c>
      <c r="H57" s="96" t="s">
        <v>363</v>
      </c>
      <c r="I57" s="97">
        <f>382/11930282</f>
        <v>3.2019360481168847E-5</v>
      </c>
      <c r="J57" s="96">
        <v>15.26</v>
      </c>
      <c r="K57" s="121" t="s">
        <v>407</v>
      </c>
      <c r="L57" s="98" t="s">
        <v>363</v>
      </c>
      <c r="M57" s="99">
        <v>98</v>
      </c>
      <c r="N57" s="121" t="s">
        <v>363</v>
      </c>
      <c r="O57" s="121" t="s">
        <v>2041</v>
      </c>
    </row>
    <row r="58" spans="1:15" s="95" customFormat="1" x14ac:dyDescent="0.25">
      <c r="A58" s="94" t="s">
        <v>1777</v>
      </c>
      <c r="B58" s="95" t="s">
        <v>2108</v>
      </c>
      <c r="C58" s="131" t="s">
        <v>320</v>
      </c>
      <c r="D58" s="121" t="s">
        <v>441</v>
      </c>
      <c r="E58" s="96">
        <v>90.7</v>
      </c>
      <c r="F58" s="109"/>
      <c r="G58" s="121" t="s">
        <v>363</v>
      </c>
      <c r="H58" s="96" t="s">
        <v>363</v>
      </c>
      <c r="I58" s="97">
        <f>13/11930282</f>
        <v>1.0896641001444896E-6</v>
      </c>
      <c r="J58" s="96">
        <v>3.14</v>
      </c>
      <c r="K58" s="121" t="s">
        <v>441</v>
      </c>
      <c r="L58" s="98" t="s">
        <v>442</v>
      </c>
      <c r="M58" s="99">
        <v>91.1</v>
      </c>
      <c r="N58" s="121" t="s">
        <v>1826</v>
      </c>
      <c r="O58" s="121" t="s">
        <v>443</v>
      </c>
    </row>
    <row r="59" spans="1:15" s="95" customFormat="1" x14ac:dyDescent="0.25">
      <c r="A59" s="94" t="s">
        <v>1777</v>
      </c>
      <c r="B59" s="95" t="s">
        <v>2147</v>
      </c>
      <c r="C59" s="131" t="s">
        <v>319</v>
      </c>
      <c r="D59" s="121" t="s">
        <v>444</v>
      </c>
      <c r="E59" s="96">
        <v>94.1</v>
      </c>
      <c r="F59" s="109"/>
      <c r="G59" s="121" t="s">
        <v>363</v>
      </c>
      <c r="H59" s="96" t="s">
        <v>363</v>
      </c>
      <c r="I59" s="97">
        <f>166/11930282</f>
        <v>1.3914172355691172E-5</v>
      </c>
      <c r="J59" s="96">
        <v>41.41</v>
      </c>
      <c r="K59" s="121" t="s">
        <v>444</v>
      </c>
      <c r="L59" s="98" t="s">
        <v>445</v>
      </c>
      <c r="M59" s="96">
        <v>94.1</v>
      </c>
      <c r="N59" s="121" t="s">
        <v>1825</v>
      </c>
      <c r="O59" s="121" t="s">
        <v>443</v>
      </c>
    </row>
    <row r="60" spans="1:15" s="95" customFormat="1" x14ac:dyDescent="0.25">
      <c r="A60" s="94" t="s">
        <v>1777</v>
      </c>
      <c r="B60" s="100" t="s">
        <v>2106</v>
      </c>
      <c r="C60" s="131" t="s">
        <v>318</v>
      </c>
      <c r="D60" s="121" t="s">
        <v>446</v>
      </c>
      <c r="E60" s="96">
        <v>82.2</v>
      </c>
      <c r="F60" s="109"/>
      <c r="G60" s="121" t="s">
        <v>363</v>
      </c>
      <c r="H60" s="96" t="s">
        <v>363</v>
      </c>
      <c r="I60" s="97">
        <f>90/11930282</f>
        <v>7.543828385615696E-6</v>
      </c>
      <c r="J60" s="96">
        <v>16.96</v>
      </c>
      <c r="K60" s="121" t="s">
        <v>446</v>
      </c>
      <c r="L60" s="98" t="s">
        <v>447</v>
      </c>
      <c r="M60" s="99">
        <v>81.3</v>
      </c>
      <c r="N60" s="121" t="s">
        <v>1824</v>
      </c>
      <c r="O60" s="121" t="s">
        <v>448</v>
      </c>
    </row>
    <row r="61" spans="1:15" s="95" customFormat="1" ht="13.5" x14ac:dyDescent="0.25">
      <c r="A61" s="94" t="s">
        <v>1777</v>
      </c>
      <c r="B61" s="95" t="s">
        <v>317</v>
      </c>
      <c r="C61" s="130" t="s">
        <v>449</v>
      </c>
      <c r="D61" s="121" t="s">
        <v>450</v>
      </c>
      <c r="E61" s="96">
        <v>94.81</v>
      </c>
      <c r="F61" s="111"/>
      <c r="G61" s="121" t="s">
        <v>363</v>
      </c>
      <c r="H61" s="96" t="s">
        <v>363</v>
      </c>
      <c r="I61" s="97">
        <f>98/11930282</f>
        <v>8.2143909087815354E-6</v>
      </c>
      <c r="J61" s="96">
        <v>25.3</v>
      </c>
      <c r="K61" s="121" t="s">
        <v>450</v>
      </c>
      <c r="L61" s="98" t="s">
        <v>451</v>
      </c>
      <c r="M61" s="99">
        <v>94.8</v>
      </c>
      <c r="N61" s="121" t="s">
        <v>1823</v>
      </c>
      <c r="O61" s="121" t="s">
        <v>365</v>
      </c>
    </row>
    <row r="62" spans="1:15" s="80" customFormat="1" x14ac:dyDescent="0.25">
      <c r="A62" s="79" t="s">
        <v>1778</v>
      </c>
      <c r="C62" s="124"/>
      <c r="D62" s="124"/>
      <c r="E62" s="81"/>
      <c r="F62" s="82"/>
      <c r="G62" s="124"/>
      <c r="H62" s="81"/>
      <c r="I62" s="86"/>
      <c r="J62" s="81"/>
      <c r="K62" s="124"/>
      <c r="L62" s="83"/>
      <c r="M62" s="84"/>
      <c r="N62" s="124"/>
      <c r="O62" s="124"/>
    </row>
    <row r="63" spans="1:15" s="95" customFormat="1" x14ac:dyDescent="0.25">
      <c r="A63" s="94" t="s">
        <v>1778</v>
      </c>
      <c r="B63" s="95" t="s">
        <v>2118</v>
      </c>
      <c r="C63" s="121" t="s">
        <v>247</v>
      </c>
      <c r="D63" s="121" t="s">
        <v>363</v>
      </c>
      <c r="E63" s="96" t="s">
        <v>363</v>
      </c>
      <c r="F63" s="107"/>
      <c r="G63" s="121" t="s">
        <v>422</v>
      </c>
      <c r="H63" s="96">
        <v>82.6</v>
      </c>
      <c r="I63" s="97">
        <f>109525/8382226</f>
        <v>1.306633822566941E-2</v>
      </c>
      <c r="J63" s="96">
        <v>2809.68</v>
      </c>
      <c r="K63" s="121" t="s">
        <v>422</v>
      </c>
      <c r="L63" s="98" t="s">
        <v>452</v>
      </c>
      <c r="M63" s="99">
        <v>82.63</v>
      </c>
      <c r="N63" s="121" t="s">
        <v>1828</v>
      </c>
      <c r="O63" s="121" t="s">
        <v>424</v>
      </c>
    </row>
    <row r="64" spans="1:15" s="95" customFormat="1" x14ac:dyDescent="0.25">
      <c r="A64" s="94" t="s">
        <v>1778</v>
      </c>
      <c r="B64" s="95" t="s">
        <v>2119</v>
      </c>
      <c r="C64" s="121" t="s">
        <v>247</v>
      </c>
      <c r="D64" s="121" t="s">
        <v>363</v>
      </c>
      <c r="E64" s="96" t="s">
        <v>363</v>
      </c>
      <c r="F64" s="109"/>
      <c r="G64" s="121" t="s">
        <v>425</v>
      </c>
      <c r="H64" s="96">
        <v>71.599999999999994</v>
      </c>
      <c r="I64" s="97">
        <f>549754/8382226</f>
        <v>6.5585680939645383E-2</v>
      </c>
      <c r="J64" s="96">
        <v>23566.87</v>
      </c>
      <c r="K64" s="121" t="s">
        <v>425</v>
      </c>
      <c r="L64" s="98" t="s">
        <v>453</v>
      </c>
      <c r="M64" s="99">
        <v>71.569999999999993</v>
      </c>
      <c r="N64" s="121" t="s">
        <v>1829</v>
      </c>
      <c r="O64" s="121" t="s">
        <v>424</v>
      </c>
    </row>
    <row r="65" spans="1:15" s="95" customFormat="1" x14ac:dyDescent="0.25">
      <c r="A65" s="94" t="s">
        <v>1778</v>
      </c>
      <c r="B65" s="95" t="s">
        <v>263</v>
      </c>
      <c r="C65" s="121" t="s">
        <v>264</v>
      </c>
      <c r="D65" s="121" t="s">
        <v>363</v>
      </c>
      <c r="E65" s="96" t="s">
        <v>363</v>
      </c>
      <c r="F65" s="109"/>
      <c r="G65" s="121" t="s">
        <v>388</v>
      </c>
      <c r="H65" s="96">
        <v>97.4</v>
      </c>
      <c r="I65" s="97">
        <f>45373/8382226</f>
        <v>5.4130012719771576E-3</v>
      </c>
      <c r="J65" s="96">
        <v>1117.07</v>
      </c>
      <c r="K65" s="121" t="s">
        <v>388</v>
      </c>
      <c r="L65" s="98" t="s">
        <v>389</v>
      </c>
      <c r="M65" s="99">
        <v>97.4</v>
      </c>
      <c r="N65" s="121" t="s">
        <v>1830</v>
      </c>
      <c r="O65" s="121" t="s">
        <v>365</v>
      </c>
    </row>
    <row r="66" spans="1:15" s="95" customFormat="1" x14ac:dyDescent="0.25">
      <c r="A66" s="94" t="s">
        <v>1778</v>
      </c>
      <c r="B66" s="95" t="s">
        <v>438</v>
      </c>
      <c r="C66" s="121" t="s">
        <v>185</v>
      </c>
      <c r="D66" s="121" t="s">
        <v>439</v>
      </c>
      <c r="E66" s="96">
        <v>99.8</v>
      </c>
      <c r="F66" s="109"/>
      <c r="G66" s="121" t="s">
        <v>363</v>
      </c>
      <c r="H66" s="96" t="s">
        <v>363</v>
      </c>
      <c r="I66" s="97">
        <f>211/11930282</f>
        <v>1.7686086548499023E-5</v>
      </c>
      <c r="J66" s="96" t="s">
        <v>363</v>
      </c>
      <c r="K66" s="121" t="s">
        <v>439</v>
      </c>
      <c r="L66" s="98" t="s">
        <v>363</v>
      </c>
      <c r="M66" s="99">
        <v>99.8</v>
      </c>
      <c r="N66" s="121" t="s">
        <v>363</v>
      </c>
      <c r="O66" s="121" t="s">
        <v>2171</v>
      </c>
    </row>
    <row r="67" spans="1:15" s="95" customFormat="1" x14ac:dyDescent="0.25">
      <c r="A67" s="94" t="s">
        <v>1778</v>
      </c>
      <c r="B67" s="100" t="s">
        <v>217</v>
      </c>
      <c r="C67" s="121" t="s">
        <v>218</v>
      </c>
      <c r="D67" s="121" t="s">
        <v>363</v>
      </c>
      <c r="E67" s="96" t="s">
        <v>363</v>
      </c>
      <c r="F67" s="111"/>
      <c r="G67" s="121" t="s">
        <v>454</v>
      </c>
      <c r="H67" s="96">
        <v>73.599999999999994</v>
      </c>
      <c r="I67" s="97">
        <f>76442/8382226</f>
        <v>9.1195345961800605E-3</v>
      </c>
      <c r="J67" s="96">
        <v>1199.42</v>
      </c>
      <c r="K67" s="121" t="s">
        <v>454</v>
      </c>
      <c r="L67" s="98" t="s">
        <v>455</v>
      </c>
      <c r="M67" s="99">
        <v>73.599999999999994</v>
      </c>
      <c r="N67" s="121" t="s">
        <v>1827</v>
      </c>
      <c r="O67" s="121" t="s">
        <v>378</v>
      </c>
    </row>
    <row r="68" spans="1:15" s="80" customFormat="1" x14ac:dyDescent="0.25">
      <c r="A68" s="79" t="s">
        <v>1779</v>
      </c>
      <c r="C68" s="124"/>
      <c r="D68" s="124"/>
      <c r="E68" s="81"/>
      <c r="F68" s="82"/>
      <c r="G68" s="124"/>
      <c r="H68" s="81"/>
      <c r="I68" s="86"/>
      <c r="J68" s="81"/>
      <c r="K68" s="124"/>
      <c r="L68" s="83"/>
      <c r="M68" s="84"/>
      <c r="N68" s="124"/>
      <c r="O68" s="124"/>
    </row>
    <row r="69" spans="1:15" s="95" customFormat="1" x14ac:dyDescent="0.25">
      <c r="A69" s="94" t="s">
        <v>1779</v>
      </c>
      <c r="B69" s="95" t="s">
        <v>2089</v>
      </c>
      <c r="C69" s="121" t="s">
        <v>272</v>
      </c>
      <c r="D69" s="121" t="s">
        <v>407</v>
      </c>
      <c r="E69" s="96">
        <v>97</v>
      </c>
      <c r="F69" s="77"/>
      <c r="G69" s="121" t="s">
        <v>363</v>
      </c>
      <c r="H69" s="96" t="s">
        <v>363</v>
      </c>
      <c r="I69" s="97">
        <f>28/6887490</f>
        <v>4.0653416556684656E-6</v>
      </c>
      <c r="J69" s="96">
        <v>1.82</v>
      </c>
      <c r="K69" s="121" t="s">
        <v>407</v>
      </c>
      <c r="L69" s="98" t="s">
        <v>363</v>
      </c>
      <c r="M69" s="99">
        <v>97</v>
      </c>
      <c r="N69" s="121" t="s">
        <v>363</v>
      </c>
      <c r="O69" s="121" t="s">
        <v>370</v>
      </c>
    </row>
    <row r="70" spans="1:15" s="80" customFormat="1" x14ac:dyDescent="0.25">
      <c r="A70" s="79" t="s">
        <v>1780</v>
      </c>
      <c r="C70" s="124"/>
      <c r="D70" s="124"/>
      <c r="E70" s="81"/>
      <c r="F70" s="82"/>
      <c r="G70" s="124"/>
      <c r="H70" s="81"/>
      <c r="I70" s="86"/>
      <c r="J70" s="81"/>
      <c r="K70" s="124"/>
      <c r="L70" s="83"/>
      <c r="M70" s="84"/>
      <c r="N70" s="124"/>
      <c r="O70" s="124"/>
    </row>
    <row r="71" spans="1:15" s="95" customFormat="1" x14ac:dyDescent="0.25">
      <c r="A71" s="94" t="s">
        <v>1780</v>
      </c>
      <c r="B71" s="95" t="s">
        <v>2089</v>
      </c>
      <c r="C71" s="121" t="s">
        <v>272</v>
      </c>
      <c r="D71" s="121" t="s">
        <v>407</v>
      </c>
      <c r="E71" s="96">
        <v>95.78</v>
      </c>
      <c r="F71" s="107"/>
      <c r="G71" s="121" t="s">
        <v>363</v>
      </c>
      <c r="H71" s="96" t="s">
        <v>363</v>
      </c>
      <c r="I71" s="97">
        <f>395/10534437</f>
        <v>3.7496071218613772E-5</v>
      </c>
      <c r="J71" s="96">
        <v>15.37</v>
      </c>
      <c r="K71" s="121" t="s">
        <v>407</v>
      </c>
      <c r="L71" s="98" t="s">
        <v>363</v>
      </c>
      <c r="M71" s="99">
        <v>95.66</v>
      </c>
      <c r="N71" s="121" t="s">
        <v>363</v>
      </c>
      <c r="O71" s="121" t="s">
        <v>370</v>
      </c>
    </row>
    <row r="72" spans="1:15" s="95" customFormat="1" x14ac:dyDescent="0.25">
      <c r="A72" s="94" t="s">
        <v>1780</v>
      </c>
      <c r="B72" s="95" t="s">
        <v>2091</v>
      </c>
      <c r="C72" s="121" t="s">
        <v>274</v>
      </c>
      <c r="D72" s="121" t="s">
        <v>456</v>
      </c>
      <c r="E72" s="96">
        <v>92.98</v>
      </c>
      <c r="F72" s="109"/>
      <c r="G72" s="121" t="s">
        <v>363</v>
      </c>
      <c r="H72" s="96" t="s">
        <v>363</v>
      </c>
      <c r="I72" s="97">
        <f>391/10534437</f>
        <v>3.7116364168298695E-5</v>
      </c>
      <c r="J72" s="96">
        <v>15.84</v>
      </c>
      <c r="K72" s="121" t="s">
        <v>456</v>
      </c>
      <c r="L72" s="98" t="s">
        <v>363</v>
      </c>
      <c r="M72" s="99">
        <v>89.35</v>
      </c>
      <c r="N72" s="121" t="s">
        <v>363</v>
      </c>
      <c r="O72" s="121" t="s">
        <v>370</v>
      </c>
    </row>
    <row r="73" spans="1:15" s="95" customFormat="1" x14ac:dyDescent="0.25">
      <c r="A73" s="94" t="s">
        <v>1780</v>
      </c>
      <c r="B73" s="95" t="s">
        <v>2127</v>
      </c>
      <c r="C73" s="121" t="s">
        <v>273</v>
      </c>
      <c r="D73" s="121" t="s">
        <v>457</v>
      </c>
      <c r="E73" s="96">
        <v>92.63</v>
      </c>
      <c r="F73" s="109"/>
      <c r="G73" s="121" t="s">
        <v>363</v>
      </c>
      <c r="H73" s="96" t="s">
        <v>363</v>
      </c>
      <c r="I73" s="97">
        <f>451/10534437</f>
        <v>4.2811969923024838E-5</v>
      </c>
      <c r="J73" s="96">
        <v>18.14</v>
      </c>
      <c r="K73" s="121" t="s">
        <v>457</v>
      </c>
      <c r="L73" s="98" t="s">
        <v>363</v>
      </c>
      <c r="M73" s="99">
        <v>94.1</v>
      </c>
      <c r="N73" s="121" t="s">
        <v>363</v>
      </c>
      <c r="O73" s="121" t="s">
        <v>370</v>
      </c>
    </row>
    <row r="74" spans="1:15" s="95" customFormat="1" x14ac:dyDescent="0.25">
      <c r="A74" s="94" t="s">
        <v>1780</v>
      </c>
      <c r="B74" s="95" t="s">
        <v>2066</v>
      </c>
      <c r="C74" s="121" t="s">
        <v>171</v>
      </c>
      <c r="D74" s="121" t="s">
        <v>367</v>
      </c>
      <c r="E74" s="96">
        <v>97.45</v>
      </c>
      <c r="F74" s="109"/>
      <c r="G74" s="121" t="s">
        <v>363</v>
      </c>
      <c r="H74" s="96" t="s">
        <v>363</v>
      </c>
      <c r="I74" s="97">
        <f>245/10534437</f>
        <v>2.3257056831798414E-5</v>
      </c>
      <c r="J74" s="96">
        <v>5.45</v>
      </c>
      <c r="K74" s="121" t="s">
        <v>367</v>
      </c>
      <c r="L74" s="98" t="s">
        <v>363</v>
      </c>
      <c r="M74" s="99">
        <v>97.45</v>
      </c>
      <c r="N74" s="121" t="s">
        <v>363</v>
      </c>
      <c r="O74" s="121" t="s">
        <v>370</v>
      </c>
    </row>
    <row r="75" spans="1:15" s="95" customFormat="1" x14ac:dyDescent="0.25">
      <c r="A75" s="94" t="s">
        <v>1780</v>
      </c>
      <c r="B75" s="95" t="s">
        <v>2078</v>
      </c>
      <c r="C75" s="121" t="s">
        <v>233</v>
      </c>
      <c r="D75" s="121" t="s">
        <v>458</v>
      </c>
      <c r="E75" s="96">
        <v>99.27</v>
      </c>
      <c r="F75" s="109"/>
      <c r="G75" s="121" t="s">
        <v>363</v>
      </c>
      <c r="H75" s="96" t="s">
        <v>363</v>
      </c>
      <c r="I75" s="97">
        <f>682/10534437</f>
        <v>6.474005207872048E-5</v>
      </c>
      <c r="J75" s="96">
        <v>11.81</v>
      </c>
      <c r="K75" s="121" t="s">
        <v>458</v>
      </c>
      <c r="L75" s="98" t="s">
        <v>363</v>
      </c>
      <c r="M75" s="99">
        <v>99.24</v>
      </c>
      <c r="N75" s="121" t="s">
        <v>363</v>
      </c>
      <c r="O75" s="121" t="s">
        <v>370</v>
      </c>
    </row>
    <row r="76" spans="1:15" s="95" customFormat="1" x14ac:dyDescent="0.25">
      <c r="A76" s="94" t="s">
        <v>1780</v>
      </c>
      <c r="B76" s="95" t="s">
        <v>409</v>
      </c>
      <c r="C76" s="121" t="s">
        <v>259</v>
      </c>
      <c r="D76" s="121" t="s">
        <v>410</v>
      </c>
      <c r="E76" s="96">
        <v>91.2</v>
      </c>
      <c r="F76" s="109"/>
      <c r="G76" s="121" t="s">
        <v>363</v>
      </c>
      <c r="H76" s="96" t="s">
        <v>363</v>
      </c>
      <c r="I76" s="101">
        <f>38273/10534437</f>
        <v>3.6331319841772275E-3</v>
      </c>
      <c r="J76" s="102">
        <v>470</v>
      </c>
      <c r="K76" s="121" t="s">
        <v>410</v>
      </c>
      <c r="L76" s="98" t="s">
        <v>411</v>
      </c>
      <c r="M76" s="99">
        <v>91.24</v>
      </c>
      <c r="N76" s="121" t="s">
        <v>1831</v>
      </c>
      <c r="O76" s="121" t="s">
        <v>412</v>
      </c>
    </row>
    <row r="77" spans="1:15" s="95" customFormat="1" x14ac:dyDescent="0.25">
      <c r="A77" s="94" t="s">
        <v>1780</v>
      </c>
      <c r="B77" s="95" t="s">
        <v>413</v>
      </c>
      <c r="C77" s="121" t="s">
        <v>259</v>
      </c>
      <c r="D77" s="121" t="s">
        <v>414</v>
      </c>
      <c r="E77" s="96">
        <v>90.1</v>
      </c>
      <c r="F77" s="109"/>
      <c r="G77" s="121" t="s">
        <v>363</v>
      </c>
      <c r="H77" s="96" t="s">
        <v>363</v>
      </c>
      <c r="I77" s="103"/>
      <c r="J77" s="104"/>
      <c r="K77" s="121" t="s">
        <v>414</v>
      </c>
      <c r="L77" s="98" t="s">
        <v>415</v>
      </c>
      <c r="M77" s="99">
        <v>90.08</v>
      </c>
      <c r="N77" s="121" t="s">
        <v>1832</v>
      </c>
      <c r="O77" s="121" t="s">
        <v>412</v>
      </c>
    </row>
    <row r="78" spans="1:15" s="95" customFormat="1" x14ac:dyDescent="0.25">
      <c r="A78" s="94" t="s">
        <v>1780</v>
      </c>
      <c r="B78" s="95" t="s">
        <v>416</v>
      </c>
      <c r="C78" s="121" t="s">
        <v>259</v>
      </c>
      <c r="D78" s="121" t="s">
        <v>417</v>
      </c>
      <c r="E78" s="96">
        <v>91.9</v>
      </c>
      <c r="F78" s="109"/>
      <c r="G78" s="121" t="s">
        <v>363</v>
      </c>
      <c r="H78" s="96" t="s">
        <v>363</v>
      </c>
      <c r="I78" s="103"/>
      <c r="J78" s="104"/>
      <c r="K78" s="121" t="s">
        <v>417</v>
      </c>
      <c r="L78" s="98" t="s">
        <v>418</v>
      </c>
      <c r="M78" s="99">
        <v>91.94</v>
      </c>
      <c r="N78" s="121" t="s">
        <v>1833</v>
      </c>
      <c r="O78" s="121" t="s">
        <v>412</v>
      </c>
    </row>
    <row r="79" spans="1:15" s="95" customFormat="1" x14ac:dyDescent="0.25">
      <c r="A79" s="94" t="s">
        <v>1780</v>
      </c>
      <c r="B79" s="95" t="s">
        <v>419</v>
      </c>
      <c r="C79" s="121" t="s">
        <v>259</v>
      </c>
      <c r="D79" s="121" t="s">
        <v>420</v>
      </c>
      <c r="E79" s="96">
        <v>71.099999999999994</v>
      </c>
      <c r="F79" s="111"/>
      <c r="G79" s="121" t="s">
        <v>363</v>
      </c>
      <c r="H79" s="96" t="s">
        <v>363</v>
      </c>
      <c r="I79" s="105"/>
      <c r="J79" s="106"/>
      <c r="K79" s="121" t="s">
        <v>420</v>
      </c>
      <c r="L79" s="98" t="s">
        <v>421</v>
      </c>
      <c r="M79" s="99">
        <v>71.11</v>
      </c>
      <c r="N79" s="121" t="s">
        <v>1834</v>
      </c>
      <c r="O79" s="121" t="s">
        <v>412</v>
      </c>
    </row>
    <row r="80" spans="1:15" s="80" customFormat="1" x14ac:dyDescent="0.25">
      <c r="A80" s="79" t="s">
        <v>1781</v>
      </c>
      <c r="C80" s="124"/>
      <c r="D80" s="124"/>
      <c r="E80" s="81"/>
      <c r="F80" s="82"/>
      <c r="G80" s="124"/>
      <c r="H80" s="81"/>
      <c r="I80" s="86"/>
      <c r="J80" s="81"/>
      <c r="K80" s="124"/>
      <c r="L80" s="83"/>
      <c r="M80" s="84"/>
      <c r="N80" s="124"/>
      <c r="O80" s="124"/>
    </row>
    <row r="81" spans="1:15" s="95" customFormat="1" x14ac:dyDescent="0.25">
      <c r="A81" s="94" t="s">
        <v>1781</v>
      </c>
      <c r="B81" s="100" t="s">
        <v>459</v>
      </c>
      <c r="C81" s="121" t="s">
        <v>104</v>
      </c>
      <c r="D81" s="121" t="s">
        <v>363</v>
      </c>
      <c r="E81" s="96" t="s">
        <v>363</v>
      </c>
      <c r="F81" s="107"/>
      <c r="G81" s="121" t="s">
        <v>460</v>
      </c>
      <c r="H81" s="96">
        <v>72.44</v>
      </c>
      <c r="I81" s="97">
        <f>227668/6008882</f>
        <v>3.7888578940308698E-2</v>
      </c>
      <c r="J81" s="96">
        <v>3780.22</v>
      </c>
      <c r="K81" s="121" t="s">
        <v>460</v>
      </c>
      <c r="L81" s="98" t="s">
        <v>461</v>
      </c>
      <c r="M81" s="96">
        <v>72.44</v>
      </c>
      <c r="N81" s="121" t="s">
        <v>1672</v>
      </c>
      <c r="O81" s="121" t="s">
        <v>378</v>
      </c>
    </row>
    <row r="82" spans="1:15" s="95" customFormat="1" x14ac:dyDescent="0.25">
      <c r="A82" s="94" t="s">
        <v>1781</v>
      </c>
      <c r="B82" s="100" t="s">
        <v>462</v>
      </c>
      <c r="C82" s="121" t="s">
        <v>104</v>
      </c>
      <c r="D82" s="121" t="s">
        <v>363</v>
      </c>
      <c r="E82" s="96" t="s">
        <v>363</v>
      </c>
      <c r="F82" s="109"/>
      <c r="G82" s="121" t="s">
        <v>463</v>
      </c>
      <c r="H82" s="96">
        <v>70.77</v>
      </c>
      <c r="I82" s="97">
        <f>161673/6008882</f>
        <v>2.6905670638897553E-2</v>
      </c>
      <c r="J82" s="96">
        <v>4620.18</v>
      </c>
      <c r="K82" s="121" t="s">
        <v>463</v>
      </c>
      <c r="L82" s="98" t="s">
        <v>464</v>
      </c>
      <c r="M82" s="96">
        <v>70.77</v>
      </c>
      <c r="N82" s="121" t="s">
        <v>1673</v>
      </c>
      <c r="O82" s="121" t="s">
        <v>378</v>
      </c>
    </row>
    <row r="83" spans="1:15" s="95" customFormat="1" x14ac:dyDescent="0.25">
      <c r="A83" s="94" t="s">
        <v>1781</v>
      </c>
      <c r="B83" s="100" t="s">
        <v>465</v>
      </c>
      <c r="C83" s="121" t="s">
        <v>104</v>
      </c>
      <c r="D83" s="121" t="s">
        <v>363</v>
      </c>
      <c r="E83" s="96" t="s">
        <v>363</v>
      </c>
      <c r="F83" s="109"/>
      <c r="G83" s="121" t="s">
        <v>466</v>
      </c>
      <c r="H83" s="96">
        <v>65.94</v>
      </c>
      <c r="I83" s="97">
        <f>228513/6008882</f>
        <v>3.8029204101528373E-2</v>
      </c>
      <c r="J83" s="96">
        <v>11629.66</v>
      </c>
      <c r="K83" s="121" t="s">
        <v>466</v>
      </c>
      <c r="L83" s="98" t="s">
        <v>467</v>
      </c>
      <c r="M83" s="96">
        <v>65.94</v>
      </c>
      <c r="N83" s="121" t="s">
        <v>1674</v>
      </c>
      <c r="O83" s="121" t="s">
        <v>378</v>
      </c>
    </row>
    <row r="84" spans="1:15" s="95" customFormat="1" x14ac:dyDescent="0.25">
      <c r="A84" s="94" t="s">
        <v>1781</v>
      </c>
      <c r="B84" s="100" t="s">
        <v>2067</v>
      </c>
      <c r="C84" s="121" t="s">
        <v>468</v>
      </c>
      <c r="D84" s="121" t="s">
        <v>363</v>
      </c>
      <c r="E84" s="96" t="s">
        <v>363</v>
      </c>
      <c r="F84" s="109"/>
      <c r="G84" s="121" t="s">
        <v>469</v>
      </c>
      <c r="H84" s="96">
        <v>35.06</v>
      </c>
      <c r="I84" s="97">
        <f>629/6008882</f>
        <v>1.0467837444636124E-4</v>
      </c>
      <c r="J84" s="96">
        <v>15</v>
      </c>
      <c r="K84" s="121" t="s">
        <v>469</v>
      </c>
      <c r="L84" s="98" t="s">
        <v>470</v>
      </c>
      <c r="M84" s="96">
        <v>35.06</v>
      </c>
      <c r="N84" s="121" t="s">
        <v>1835</v>
      </c>
      <c r="O84" s="121" t="s">
        <v>471</v>
      </c>
    </row>
    <row r="85" spans="1:15" s="95" customFormat="1" x14ac:dyDescent="0.25">
      <c r="A85" s="94" t="s">
        <v>1781</v>
      </c>
      <c r="B85" s="95" t="s">
        <v>346</v>
      </c>
      <c r="C85" s="121" t="s">
        <v>347</v>
      </c>
      <c r="D85" s="121" t="s">
        <v>363</v>
      </c>
      <c r="E85" s="96" t="s">
        <v>363</v>
      </c>
      <c r="F85" s="109"/>
      <c r="G85" s="121" t="s">
        <v>472</v>
      </c>
      <c r="H85" s="96">
        <v>89.97</v>
      </c>
      <c r="I85" s="97">
        <f>635/6008882</f>
        <v>1.0567689630117549E-4</v>
      </c>
      <c r="J85" s="96">
        <v>14.29</v>
      </c>
      <c r="K85" s="121" t="s">
        <v>472</v>
      </c>
      <c r="L85" s="98" t="s">
        <v>473</v>
      </c>
      <c r="M85" s="96">
        <v>89.97</v>
      </c>
      <c r="N85" s="121" t="s">
        <v>1836</v>
      </c>
      <c r="O85" s="121" t="s">
        <v>474</v>
      </c>
    </row>
    <row r="86" spans="1:15" s="95" customFormat="1" x14ac:dyDescent="0.25">
      <c r="A86" s="94" t="s">
        <v>1781</v>
      </c>
      <c r="B86" s="100" t="s">
        <v>2115</v>
      </c>
      <c r="C86" s="121" t="s">
        <v>348</v>
      </c>
      <c r="D86" s="121" t="s">
        <v>363</v>
      </c>
      <c r="E86" s="96" t="s">
        <v>363</v>
      </c>
      <c r="F86" s="109"/>
      <c r="G86" s="121" t="s">
        <v>475</v>
      </c>
      <c r="H86" s="96">
        <v>71.650000000000006</v>
      </c>
      <c r="I86" s="97">
        <f>1179/6008882</f>
        <v>1.9620954447100144E-4</v>
      </c>
      <c r="J86" s="96">
        <v>48.65</v>
      </c>
      <c r="K86" s="121" t="s">
        <v>475</v>
      </c>
      <c r="L86" s="98" t="s">
        <v>476</v>
      </c>
      <c r="M86" s="96">
        <v>71.650000000000006</v>
      </c>
      <c r="N86" s="121" t="s">
        <v>1837</v>
      </c>
      <c r="O86" s="121" t="s">
        <v>1838</v>
      </c>
    </row>
    <row r="87" spans="1:15" s="95" customFormat="1" x14ac:dyDescent="0.25">
      <c r="A87" s="94" t="s">
        <v>1781</v>
      </c>
      <c r="B87" s="100" t="s">
        <v>2116</v>
      </c>
      <c r="C87" s="121" t="s">
        <v>349</v>
      </c>
      <c r="D87" s="121" t="s">
        <v>363</v>
      </c>
      <c r="E87" s="96" t="s">
        <v>363</v>
      </c>
      <c r="F87" s="109"/>
      <c r="G87" s="121" t="s">
        <v>477</v>
      </c>
      <c r="H87" s="96">
        <v>31.15</v>
      </c>
      <c r="I87" s="101">
        <f>13074/6008882</f>
        <v>2.1757791216402652E-3</v>
      </c>
      <c r="J87" s="108">
        <v>538.75</v>
      </c>
      <c r="K87" s="121" t="s">
        <v>477</v>
      </c>
      <c r="L87" s="98" t="s">
        <v>478</v>
      </c>
      <c r="M87" s="96">
        <v>31.15</v>
      </c>
      <c r="N87" s="121" t="s">
        <v>1839</v>
      </c>
      <c r="O87" s="121" t="s">
        <v>471</v>
      </c>
    </row>
    <row r="88" spans="1:15" s="95" customFormat="1" x14ac:dyDescent="0.25">
      <c r="A88" s="94" t="s">
        <v>1781</v>
      </c>
      <c r="B88" s="95" t="s">
        <v>479</v>
      </c>
      <c r="C88" s="121" t="s">
        <v>127</v>
      </c>
      <c r="D88" s="121" t="s">
        <v>363</v>
      </c>
      <c r="E88" s="96" t="s">
        <v>363</v>
      </c>
      <c r="F88" s="109"/>
      <c r="G88" s="121" t="s">
        <v>480</v>
      </c>
      <c r="H88" s="132">
        <v>99.54</v>
      </c>
      <c r="I88" s="137">
        <f>3555/6008882</f>
        <v>5.9162419897744705E-4</v>
      </c>
      <c r="J88" s="139">
        <v>175.42</v>
      </c>
      <c r="K88" s="133" t="s">
        <v>480</v>
      </c>
      <c r="L88" s="98" t="s">
        <v>481</v>
      </c>
      <c r="M88" s="96">
        <v>99.54</v>
      </c>
      <c r="N88" s="121" t="s">
        <v>1707</v>
      </c>
      <c r="O88" s="121" t="s">
        <v>365</v>
      </c>
    </row>
    <row r="89" spans="1:15" s="95" customFormat="1" x14ac:dyDescent="0.25">
      <c r="A89" s="94" t="s">
        <v>1781</v>
      </c>
      <c r="B89" s="95" t="s">
        <v>482</v>
      </c>
      <c r="C89" s="121" t="s">
        <v>127</v>
      </c>
      <c r="D89" s="121" t="s">
        <v>363</v>
      </c>
      <c r="E89" s="96" t="s">
        <v>363</v>
      </c>
      <c r="F89" s="109"/>
      <c r="G89" s="121" t="s">
        <v>483</v>
      </c>
      <c r="H89" s="132">
        <v>99.93</v>
      </c>
      <c r="I89" s="138"/>
      <c r="J89" s="140"/>
      <c r="K89" s="133" t="s">
        <v>483</v>
      </c>
      <c r="L89" s="98" t="s">
        <v>484</v>
      </c>
      <c r="M89" s="96">
        <v>99.93</v>
      </c>
      <c r="N89" s="121" t="s">
        <v>1708</v>
      </c>
      <c r="O89" s="121" t="s">
        <v>365</v>
      </c>
    </row>
    <row r="90" spans="1:15" s="95" customFormat="1" x14ac:dyDescent="0.25">
      <c r="A90" s="94" t="s">
        <v>1781</v>
      </c>
      <c r="B90" s="95" t="s">
        <v>325</v>
      </c>
      <c r="C90" s="121" t="s">
        <v>326</v>
      </c>
      <c r="D90" s="121" t="s">
        <v>363</v>
      </c>
      <c r="E90" s="96" t="s">
        <v>363</v>
      </c>
      <c r="F90" s="109"/>
      <c r="G90" s="121" t="s">
        <v>485</v>
      </c>
      <c r="H90" s="96">
        <v>96.59</v>
      </c>
      <c r="I90" s="105">
        <f>16383/6008882</f>
        <v>2.7264639245703276E-3</v>
      </c>
      <c r="J90" s="112">
        <v>396.98</v>
      </c>
      <c r="K90" s="121" t="s">
        <v>485</v>
      </c>
      <c r="L90" s="98" t="s">
        <v>486</v>
      </c>
      <c r="M90" s="96">
        <v>96.59</v>
      </c>
      <c r="N90" s="121" t="s">
        <v>1840</v>
      </c>
      <c r="O90" s="121" t="s">
        <v>365</v>
      </c>
    </row>
    <row r="91" spans="1:15" s="95" customFormat="1" x14ac:dyDescent="0.25">
      <c r="A91" s="94" t="s">
        <v>1781</v>
      </c>
      <c r="B91" s="100" t="s">
        <v>329</v>
      </c>
      <c r="C91" s="121" t="s">
        <v>330</v>
      </c>
      <c r="D91" s="121" t="s">
        <v>363</v>
      </c>
      <c r="E91" s="96" t="s">
        <v>363</v>
      </c>
      <c r="F91" s="111"/>
      <c r="G91" s="121" t="s">
        <v>487</v>
      </c>
      <c r="H91" s="96">
        <v>67.13</v>
      </c>
      <c r="I91" s="97">
        <f>2016/6008882</f>
        <v>3.3550334321759022E-4</v>
      </c>
      <c r="J91" s="96">
        <v>94.01</v>
      </c>
      <c r="K91" s="121" t="s">
        <v>487</v>
      </c>
      <c r="L91" s="98" t="s">
        <v>488</v>
      </c>
      <c r="M91" s="96">
        <v>67.13</v>
      </c>
      <c r="N91" s="121" t="s">
        <v>1841</v>
      </c>
      <c r="O91" s="121" t="s">
        <v>489</v>
      </c>
    </row>
    <row r="92" spans="1:15" s="80" customFormat="1" x14ac:dyDescent="0.25">
      <c r="A92" s="79" t="s">
        <v>1782</v>
      </c>
      <c r="C92" s="124"/>
      <c r="D92" s="124"/>
      <c r="E92" s="81"/>
      <c r="F92" s="82"/>
      <c r="G92" s="124"/>
      <c r="H92" s="81"/>
      <c r="I92" s="86"/>
      <c r="J92" s="81"/>
      <c r="K92" s="124"/>
      <c r="L92" s="83"/>
      <c r="M92" s="84"/>
      <c r="N92" s="124"/>
      <c r="O92" s="124"/>
    </row>
    <row r="93" spans="1:15" s="95" customFormat="1" x14ac:dyDescent="0.25">
      <c r="A93" s="94" t="s">
        <v>1782</v>
      </c>
      <c r="B93" s="95" t="s">
        <v>114</v>
      </c>
      <c r="C93" s="121" t="s">
        <v>115</v>
      </c>
      <c r="D93" s="121" t="s">
        <v>490</v>
      </c>
      <c r="E93" s="96">
        <v>99.6</v>
      </c>
      <c r="F93" s="107"/>
      <c r="G93" s="121" t="s">
        <v>363</v>
      </c>
      <c r="H93" s="96" t="s">
        <v>363</v>
      </c>
      <c r="I93" s="97">
        <f>2988/6805972</f>
        <v>4.3902619640515713E-4</v>
      </c>
      <c r="J93" s="98">
        <v>129.88</v>
      </c>
      <c r="K93" s="121" t="s">
        <v>490</v>
      </c>
      <c r="L93" s="98" t="s">
        <v>491</v>
      </c>
      <c r="M93" s="99">
        <v>99.7</v>
      </c>
      <c r="N93" s="121" t="s">
        <v>1687</v>
      </c>
      <c r="O93" s="121" t="s">
        <v>365</v>
      </c>
    </row>
    <row r="94" spans="1:15" s="95" customFormat="1" x14ac:dyDescent="0.25">
      <c r="A94" s="94" t="s">
        <v>1782</v>
      </c>
      <c r="B94" s="95" t="s">
        <v>2091</v>
      </c>
      <c r="C94" s="121" t="s">
        <v>274</v>
      </c>
      <c r="D94" s="121" t="s">
        <v>456</v>
      </c>
      <c r="E94" s="96">
        <v>97.1</v>
      </c>
      <c r="F94" s="109"/>
      <c r="G94" s="121" t="s">
        <v>363</v>
      </c>
      <c r="H94" s="96" t="s">
        <v>363</v>
      </c>
      <c r="I94" s="97">
        <f>3046/6805972</f>
        <v>4.4754812391235225E-4</v>
      </c>
      <c r="J94" s="98">
        <v>124.06</v>
      </c>
      <c r="K94" s="121" t="s">
        <v>456</v>
      </c>
      <c r="L94" s="98" t="s">
        <v>492</v>
      </c>
      <c r="M94" s="99">
        <v>97.1</v>
      </c>
      <c r="N94" s="121" t="s">
        <v>1842</v>
      </c>
      <c r="O94" s="121" t="s">
        <v>365</v>
      </c>
    </row>
    <row r="95" spans="1:15" s="95" customFormat="1" x14ac:dyDescent="0.25">
      <c r="A95" s="94" t="s">
        <v>1782</v>
      </c>
      <c r="B95" s="95" t="s">
        <v>2089</v>
      </c>
      <c r="C95" s="121" t="s">
        <v>272</v>
      </c>
      <c r="D95" s="121" t="s">
        <v>407</v>
      </c>
      <c r="E95" s="96">
        <v>97</v>
      </c>
      <c r="F95" s="109"/>
      <c r="G95" s="121" t="s">
        <v>363</v>
      </c>
      <c r="H95" s="96" t="s">
        <v>363</v>
      </c>
      <c r="I95" s="97">
        <f>1557/6805972</f>
        <v>2.2876967463280777E-4</v>
      </c>
      <c r="J95" s="98">
        <v>63.43</v>
      </c>
      <c r="K95" s="121" t="s">
        <v>407</v>
      </c>
      <c r="L95" s="98" t="s">
        <v>493</v>
      </c>
      <c r="M95" s="99">
        <v>96.2</v>
      </c>
      <c r="N95" s="121" t="s">
        <v>1843</v>
      </c>
      <c r="O95" s="121" t="s">
        <v>365</v>
      </c>
    </row>
    <row r="96" spans="1:15" s="95" customFormat="1" x14ac:dyDescent="0.25">
      <c r="A96" s="94" t="s">
        <v>1782</v>
      </c>
      <c r="B96" s="95" t="s">
        <v>2127</v>
      </c>
      <c r="C96" s="121" t="s">
        <v>273</v>
      </c>
      <c r="D96" s="121" t="s">
        <v>494</v>
      </c>
      <c r="E96" s="96">
        <v>91</v>
      </c>
      <c r="F96" s="109"/>
      <c r="G96" s="121" t="s">
        <v>363</v>
      </c>
      <c r="H96" s="96" t="s">
        <v>363</v>
      </c>
      <c r="I96" s="97">
        <f>636/6805972</f>
        <v>9.344734300993304E-5</v>
      </c>
      <c r="J96" s="98">
        <v>25.35</v>
      </c>
      <c r="K96" s="121" t="s">
        <v>494</v>
      </c>
      <c r="L96" s="98" t="s">
        <v>363</v>
      </c>
      <c r="M96" s="99">
        <v>91</v>
      </c>
      <c r="N96" s="121" t="s">
        <v>363</v>
      </c>
      <c r="O96" s="121" t="s">
        <v>370</v>
      </c>
    </row>
    <row r="97" spans="1:15" s="95" customFormat="1" x14ac:dyDescent="0.25">
      <c r="A97" s="94" t="s">
        <v>1782</v>
      </c>
      <c r="B97" s="95" t="s">
        <v>2078</v>
      </c>
      <c r="C97" s="121" t="s">
        <v>233</v>
      </c>
      <c r="D97" s="121" t="s">
        <v>458</v>
      </c>
      <c r="E97" s="96">
        <v>99.5</v>
      </c>
      <c r="F97" s="109"/>
      <c r="G97" s="121" t="s">
        <v>363</v>
      </c>
      <c r="H97" s="96" t="s">
        <v>363</v>
      </c>
      <c r="I97" s="97">
        <f>1158/6805972</f>
        <v>1.7014469057468939E-4</v>
      </c>
      <c r="J97" s="183">
        <v>20.12</v>
      </c>
      <c r="K97" s="121" t="s">
        <v>458</v>
      </c>
      <c r="L97" s="98" t="s">
        <v>2169</v>
      </c>
      <c r="M97" s="99">
        <v>99.5</v>
      </c>
      <c r="N97" s="121" t="s">
        <v>363</v>
      </c>
      <c r="O97" s="121" t="s">
        <v>370</v>
      </c>
    </row>
    <row r="98" spans="1:15" s="95" customFormat="1" x14ac:dyDescent="0.25">
      <c r="A98" s="94" t="s">
        <v>1782</v>
      </c>
      <c r="B98" s="100" t="s">
        <v>2098</v>
      </c>
      <c r="C98" s="121" t="s">
        <v>306</v>
      </c>
      <c r="D98" s="121" t="s">
        <v>363</v>
      </c>
      <c r="E98" s="96" t="s">
        <v>363</v>
      </c>
      <c r="F98" s="109"/>
      <c r="G98" s="121" t="s">
        <v>495</v>
      </c>
      <c r="H98" s="96">
        <v>74.010000000000005</v>
      </c>
      <c r="I98" s="97">
        <f>162/6805972</f>
        <v>2.3802625106303699E-5</v>
      </c>
      <c r="J98" s="98">
        <v>19.350000000000001</v>
      </c>
      <c r="K98" s="121" t="s">
        <v>495</v>
      </c>
      <c r="L98" s="98" t="s">
        <v>496</v>
      </c>
      <c r="M98" s="99">
        <v>74.010000000000005</v>
      </c>
      <c r="N98" s="121" t="s">
        <v>1844</v>
      </c>
      <c r="O98" s="121" t="s">
        <v>378</v>
      </c>
    </row>
    <row r="99" spans="1:15" s="95" customFormat="1" x14ac:dyDescent="0.25">
      <c r="A99" s="94" t="s">
        <v>1782</v>
      </c>
      <c r="B99" s="100" t="s">
        <v>2112</v>
      </c>
      <c r="C99" s="121" t="s">
        <v>340</v>
      </c>
      <c r="D99" s="121" t="s">
        <v>363</v>
      </c>
      <c r="E99" s="96" t="s">
        <v>363</v>
      </c>
      <c r="F99" s="111"/>
      <c r="G99" s="121" t="s">
        <v>497</v>
      </c>
      <c r="H99" s="96">
        <v>69.569999999999993</v>
      </c>
      <c r="I99" s="97">
        <f>2060/6805972</f>
        <v>3.0267535629003472E-4</v>
      </c>
      <c r="J99" s="98">
        <v>89.37</v>
      </c>
      <c r="K99" s="121" t="s">
        <v>497</v>
      </c>
      <c r="L99" s="98" t="s">
        <v>498</v>
      </c>
      <c r="M99" s="99">
        <v>69.569999999999993</v>
      </c>
      <c r="N99" s="121" t="s">
        <v>1845</v>
      </c>
      <c r="O99" s="121" t="s">
        <v>378</v>
      </c>
    </row>
    <row r="100" spans="1:15" s="80" customFormat="1" x14ac:dyDescent="0.25">
      <c r="A100" s="79" t="s">
        <v>1783</v>
      </c>
      <c r="C100" s="124"/>
      <c r="D100" s="124"/>
      <c r="E100" s="81"/>
      <c r="F100" s="82"/>
      <c r="G100" s="124"/>
      <c r="H100" s="81"/>
      <c r="I100" s="86"/>
      <c r="J100" s="81"/>
      <c r="K100" s="124"/>
      <c r="L100" s="83"/>
      <c r="M100" s="84"/>
      <c r="N100" s="124"/>
      <c r="O100" s="124"/>
    </row>
    <row r="101" spans="1:15" s="95" customFormat="1" x14ac:dyDescent="0.25">
      <c r="A101" s="94" t="s">
        <v>1783</v>
      </c>
      <c r="B101" s="95" t="s">
        <v>2066</v>
      </c>
      <c r="C101" s="121" t="s">
        <v>171</v>
      </c>
      <c r="D101" s="121" t="s">
        <v>367</v>
      </c>
      <c r="E101" s="96">
        <v>92.7</v>
      </c>
      <c r="F101" s="107"/>
      <c r="G101" s="121" t="s">
        <v>363</v>
      </c>
      <c r="H101" s="96" t="s">
        <v>363</v>
      </c>
      <c r="I101" s="97">
        <f>56/12495608</f>
        <v>4.4815746460676425E-6</v>
      </c>
      <c r="J101" s="96">
        <v>1.31</v>
      </c>
      <c r="K101" s="121" t="s">
        <v>367</v>
      </c>
      <c r="L101" s="98" t="s">
        <v>363</v>
      </c>
      <c r="M101" s="96">
        <v>92.7</v>
      </c>
      <c r="N101" s="121" t="s">
        <v>363</v>
      </c>
      <c r="O101" s="121" t="s">
        <v>2041</v>
      </c>
    </row>
    <row r="102" spans="1:15" s="95" customFormat="1" x14ac:dyDescent="0.25">
      <c r="A102" s="94" t="s">
        <v>1783</v>
      </c>
      <c r="B102" s="95" t="s">
        <v>2078</v>
      </c>
      <c r="C102" s="121" t="s">
        <v>233</v>
      </c>
      <c r="D102" s="121" t="s">
        <v>458</v>
      </c>
      <c r="E102" s="96">
        <v>99</v>
      </c>
      <c r="F102" s="109"/>
      <c r="G102" s="121" t="s">
        <v>363</v>
      </c>
      <c r="H102" s="96" t="s">
        <v>363</v>
      </c>
      <c r="I102" s="97">
        <f>374/12495608</f>
        <v>2.9930516386237467E-5</v>
      </c>
      <c r="J102" s="96">
        <v>6.5</v>
      </c>
      <c r="K102" s="121" t="s">
        <v>458</v>
      </c>
      <c r="L102" s="98" t="s">
        <v>363</v>
      </c>
      <c r="M102" s="96">
        <v>99</v>
      </c>
      <c r="N102" s="121" t="s">
        <v>363</v>
      </c>
      <c r="O102" s="121" t="s">
        <v>2041</v>
      </c>
    </row>
    <row r="103" spans="1:15" s="95" customFormat="1" x14ac:dyDescent="0.25">
      <c r="A103" s="94" t="s">
        <v>1783</v>
      </c>
      <c r="B103" s="95" t="s">
        <v>341</v>
      </c>
      <c r="C103" s="121" t="s">
        <v>427</v>
      </c>
      <c r="D103" s="121" t="s">
        <v>363</v>
      </c>
      <c r="E103" s="96" t="s">
        <v>363</v>
      </c>
      <c r="F103" s="109"/>
      <c r="G103" s="121" t="s">
        <v>428</v>
      </c>
      <c r="H103" s="99">
        <v>90.27</v>
      </c>
      <c r="I103" s="97">
        <f>885/12495608</f>
        <v>7.0824885031604709E-5</v>
      </c>
      <c r="J103" s="96">
        <v>41.6</v>
      </c>
      <c r="K103" s="121" t="s">
        <v>428</v>
      </c>
      <c r="L103" s="98" t="s">
        <v>429</v>
      </c>
      <c r="M103" s="99">
        <v>90.27</v>
      </c>
      <c r="N103" s="121" t="s">
        <v>1846</v>
      </c>
      <c r="O103" s="121" t="s">
        <v>365</v>
      </c>
    </row>
    <row r="104" spans="1:15" s="95" customFormat="1" x14ac:dyDescent="0.25">
      <c r="A104" s="94" t="s">
        <v>1783</v>
      </c>
      <c r="B104" s="95" t="s">
        <v>346</v>
      </c>
      <c r="C104" s="121" t="s">
        <v>347</v>
      </c>
      <c r="D104" s="121" t="s">
        <v>363</v>
      </c>
      <c r="E104" s="96" t="s">
        <v>363</v>
      </c>
      <c r="F104" s="109"/>
      <c r="G104" s="121" t="s">
        <v>472</v>
      </c>
      <c r="H104" s="99">
        <v>89.97</v>
      </c>
      <c r="I104" s="97">
        <f>1164/12495608</f>
        <v>9.3152730143263143E-5</v>
      </c>
      <c r="J104" s="96">
        <v>50.93</v>
      </c>
      <c r="K104" s="121" t="s">
        <v>472</v>
      </c>
      <c r="L104" s="98" t="s">
        <v>499</v>
      </c>
      <c r="M104" s="99">
        <v>89.97</v>
      </c>
      <c r="N104" s="121" t="s">
        <v>1847</v>
      </c>
      <c r="O104" s="121" t="s">
        <v>474</v>
      </c>
    </row>
    <row r="105" spans="1:15" s="95" customFormat="1" x14ac:dyDescent="0.25">
      <c r="A105" s="94" t="s">
        <v>1783</v>
      </c>
      <c r="B105" s="100" t="s">
        <v>2115</v>
      </c>
      <c r="C105" s="121" t="s">
        <v>348</v>
      </c>
      <c r="D105" s="121" t="s">
        <v>363</v>
      </c>
      <c r="E105" s="96" t="s">
        <v>363</v>
      </c>
      <c r="F105" s="111"/>
      <c r="G105" s="121" t="s">
        <v>475</v>
      </c>
      <c r="H105" s="99">
        <v>71.650000000000006</v>
      </c>
      <c r="I105" s="97">
        <f>993/12495608</f>
        <v>7.9467921849020869E-5</v>
      </c>
      <c r="J105" s="96">
        <v>41.67</v>
      </c>
      <c r="K105" s="121" t="s">
        <v>475</v>
      </c>
      <c r="L105" s="98" t="s">
        <v>500</v>
      </c>
      <c r="M105" s="99">
        <v>71.650000000000006</v>
      </c>
      <c r="N105" s="121" t="s">
        <v>1848</v>
      </c>
      <c r="O105" s="121" t="s">
        <v>501</v>
      </c>
    </row>
    <row r="106" spans="1:15" s="80" customFormat="1" x14ac:dyDescent="0.25">
      <c r="A106" s="79" t="s">
        <v>1784</v>
      </c>
      <c r="C106" s="124"/>
      <c r="D106" s="124"/>
      <c r="E106" s="81"/>
      <c r="F106" s="82"/>
      <c r="G106" s="124"/>
      <c r="H106" s="81"/>
      <c r="I106" s="86"/>
      <c r="J106" s="81"/>
      <c r="K106" s="124"/>
      <c r="L106" s="83"/>
      <c r="M106" s="84"/>
      <c r="N106" s="124"/>
      <c r="O106" s="124"/>
    </row>
    <row r="107" spans="1:15" s="95" customFormat="1" x14ac:dyDescent="0.25">
      <c r="A107" s="94" t="s">
        <v>1784</v>
      </c>
      <c r="B107" s="100" t="s">
        <v>459</v>
      </c>
      <c r="C107" s="121" t="s">
        <v>104</v>
      </c>
      <c r="D107" s="121" t="s">
        <v>363</v>
      </c>
      <c r="E107" s="96" t="s">
        <v>363</v>
      </c>
      <c r="F107" s="107"/>
      <c r="G107" s="121" t="s">
        <v>460</v>
      </c>
      <c r="H107" s="96">
        <v>72.47</v>
      </c>
      <c r="I107" s="97">
        <f>1919/6281082</f>
        <v>3.0552060934724306E-4</v>
      </c>
      <c r="J107" s="96">
        <v>31.81</v>
      </c>
      <c r="K107" s="121" t="s">
        <v>460</v>
      </c>
      <c r="L107" s="98" t="s">
        <v>502</v>
      </c>
      <c r="M107" s="96">
        <v>72.47</v>
      </c>
      <c r="N107" s="121" t="s">
        <v>1672</v>
      </c>
      <c r="O107" s="121" t="s">
        <v>378</v>
      </c>
    </row>
    <row r="108" spans="1:15" s="95" customFormat="1" x14ac:dyDescent="0.25">
      <c r="A108" s="94" t="s">
        <v>1784</v>
      </c>
      <c r="B108" s="100" t="s">
        <v>462</v>
      </c>
      <c r="C108" s="121" t="s">
        <v>104</v>
      </c>
      <c r="D108" s="121" t="s">
        <v>363</v>
      </c>
      <c r="E108" s="96" t="s">
        <v>363</v>
      </c>
      <c r="F108" s="109"/>
      <c r="G108" s="121" t="s">
        <v>463</v>
      </c>
      <c r="H108" s="96">
        <v>70.61</v>
      </c>
      <c r="I108" s="97">
        <f>4470/6281082</f>
        <v>7.1166082531640249E-4</v>
      </c>
      <c r="J108" s="96">
        <v>142</v>
      </c>
      <c r="K108" s="121" t="s">
        <v>463</v>
      </c>
      <c r="L108" s="98" t="s">
        <v>503</v>
      </c>
      <c r="M108" s="96">
        <v>70.61</v>
      </c>
      <c r="N108" s="121" t="s">
        <v>1673</v>
      </c>
      <c r="O108" s="121" t="s">
        <v>378</v>
      </c>
    </row>
    <row r="109" spans="1:15" s="95" customFormat="1" x14ac:dyDescent="0.25">
      <c r="A109" s="94" t="s">
        <v>1784</v>
      </c>
      <c r="B109" s="100" t="s">
        <v>465</v>
      </c>
      <c r="C109" s="121" t="s">
        <v>104</v>
      </c>
      <c r="D109" s="121" t="s">
        <v>363</v>
      </c>
      <c r="E109" s="96" t="s">
        <v>363</v>
      </c>
      <c r="F109" s="111"/>
      <c r="G109" s="121" t="s">
        <v>466</v>
      </c>
      <c r="H109" s="96">
        <v>65.930000000000007</v>
      </c>
      <c r="I109" s="97">
        <f>3992/6281082</f>
        <v>6.3555928739666187E-4</v>
      </c>
      <c r="J109" s="96">
        <v>174.38</v>
      </c>
      <c r="K109" s="121" t="s">
        <v>466</v>
      </c>
      <c r="L109" s="98" t="s">
        <v>504</v>
      </c>
      <c r="M109" s="96">
        <v>65.930000000000007</v>
      </c>
      <c r="N109" s="121" t="s">
        <v>1674</v>
      </c>
      <c r="O109" s="121" t="s">
        <v>378</v>
      </c>
    </row>
    <row r="110" spans="1:15" s="80" customFormat="1" x14ac:dyDescent="0.25">
      <c r="A110" s="79" t="s">
        <v>1785</v>
      </c>
      <c r="C110" s="124"/>
      <c r="D110" s="124"/>
      <c r="E110" s="81"/>
      <c r="F110" s="82"/>
      <c r="G110" s="124"/>
      <c r="H110" s="81"/>
      <c r="I110" s="86"/>
      <c r="J110" s="81"/>
      <c r="K110" s="124"/>
      <c r="L110" s="83"/>
      <c r="M110" s="84"/>
      <c r="N110" s="124"/>
      <c r="O110" s="124"/>
    </row>
    <row r="111" spans="1:15" s="95" customFormat="1" x14ac:dyDescent="0.25">
      <c r="A111" s="94" t="s">
        <v>1785</v>
      </c>
      <c r="B111" s="95" t="s">
        <v>114</v>
      </c>
      <c r="C111" s="121" t="s">
        <v>115</v>
      </c>
      <c r="D111" s="121" t="s">
        <v>405</v>
      </c>
      <c r="E111" s="96">
        <v>99</v>
      </c>
      <c r="F111" s="77"/>
      <c r="G111" s="121" t="s">
        <v>363</v>
      </c>
      <c r="H111" s="96" t="s">
        <v>363</v>
      </c>
      <c r="I111" s="97">
        <f>1466/10129310</f>
        <v>1.4472851556522606E-4</v>
      </c>
      <c r="J111" s="96">
        <v>64.209999999999994</v>
      </c>
      <c r="K111" s="121" t="s">
        <v>405</v>
      </c>
      <c r="L111" s="98" t="s">
        <v>363</v>
      </c>
      <c r="M111" s="96">
        <v>100</v>
      </c>
      <c r="N111" s="121" t="s">
        <v>363</v>
      </c>
      <c r="O111" s="121" t="s">
        <v>370</v>
      </c>
    </row>
    <row r="112" spans="1:15" s="80" customFormat="1" x14ac:dyDescent="0.25">
      <c r="A112" s="79" t="s">
        <v>1786</v>
      </c>
      <c r="C112" s="124"/>
      <c r="D112" s="124"/>
      <c r="E112" s="81"/>
      <c r="F112" s="82"/>
      <c r="G112" s="124"/>
      <c r="H112" s="81"/>
      <c r="I112" s="86"/>
      <c r="J112" s="81"/>
      <c r="K112" s="124"/>
      <c r="L112" s="83"/>
      <c r="M112" s="84"/>
      <c r="N112" s="124"/>
      <c r="O112" s="124"/>
    </row>
    <row r="113" spans="1:15" s="95" customFormat="1" x14ac:dyDescent="0.25">
      <c r="A113" s="94" t="s">
        <v>1786</v>
      </c>
      <c r="B113" s="95" t="s">
        <v>114</v>
      </c>
      <c r="C113" s="121" t="s">
        <v>115</v>
      </c>
      <c r="D113" s="121" t="s">
        <v>405</v>
      </c>
      <c r="E113" s="96">
        <v>99</v>
      </c>
      <c r="F113" s="77"/>
      <c r="G113" s="121" t="s">
        <v>363</v>
      </c>
      <c r="H113" s="96" t="s">
        <v>363</v>
      </c>
      <c r="I113" s="97">
        <f>1804/8130829</f>
        <v>2.2187159513501021E-4</v>
      </c>
      <c r="J113" s="96">
        <v>78.510000000000005</v>
      </c>
      <c r="K113" s="121" t="s">
        <v>405</v>
      </c>
      <c r="L113" s="98" t="s">
        <v>505</v>
      </c>
      <c r="M113" s="96">
        <v>99</v>
      </c>
      <c r="N113" s="121" t="s">
        <v>1688</v>
      </c>
      <c r="O113" s="121" t="s">
        <v>365</v>
      </c>
    </row>
    <row r="114" spans="1:15" s="80" customFormat="1" x14ac:dyDescent="0.25">
      <c r="A114" s="79" t="s">
        <v>1787</v>
      </c>
      <c r="C114" s="124"/>
      <c r="D114" s="124"/>
      <c r="E114" s="81"/>
      <c r="F114" s="82"/>
      <c r="G114" s="124"/>
      <c r="H114" s="81"/>
      <c r="I114" s="86"/>
      <c r="J114" s="81"/>
      <c r="K114" s="124"/>
      <c r="L114" s="83"/>
      <c r="M114" s="84"/>
      <c r="N114" s="124"/>
      <c r="O114" s="124"/>
    </row>
    <row r="115" spans="1:15" s="95" customFormat="1" x14ac:dyDescent="0.25">
      <c r="A115" s="94" t="s">
        <v>1787</v>
      </c>
      <c r="B115" s="95" t="s">
        <v>114</v>
      </c>
      <c r="C115" s="121" t="s">
        <v>115</v>
      </c>
      <c r="D115" s="121" t="s">
        <v>405</v>
      </c>
      <c r="E115" s="96">
        <v>99.5</v>
      </c>
      <c r="F115" s="107"/>
      <c r="G115" s="121" t="s">
        <v>363</v>
      </c>
      <c r="H115" s="96" t="s">
        <v>363</v>
      </c>
      <c r="I115" s="97">
        <f>128/19029420</f>
        <v>6.726426764452096E-6</v>
      </c>
      <c r="J115" s="96">
        <v>5.51</v>
      </c>
      <c r="K115" s="121" t="s">
        <v>405</v>
      </c>
      <c r="L115" s="98" t="s">
        <v>363</v>
      </c>
      <c r="M115" s="96">
        <v>99.5</v>
      </c>
      <c r="N115" s="121" t="s">
        <v>363</v>
      </c>
      <c r="O115" s="121" t="s">
        <v>370</v>
      </c>
    </row>
    <row r="116" spans="1:15" s="95" customFormat="1" x14ac:dyDescent="0.25">
      <c r="A116" s="94" t="s">
        <v>1787</v>
      </c>
      <c r="B116" s="95" t="s">
        <v>2078</v>
      </c>
      <c r="C116" s="121" t="s">
        <v>233</v>
      </c>
      <c r="D116" s="121" t="s">
        <v>458</v>
      </c>
      <c r="E116" s="96">
        <v>99</v>
      </c>
      <c r="F116" s="109"/>
      <c r="G116" s="121" t="s">
        <v>363</v>
      </c>
      <c r="H116" s="96" t="s">
        <v>363</v>
      </c>
      <c r="I116" s="97">
        <f>118/19029420</f>
        <v>6.200924673479276E-6</v>
      </c>
      <c r="J116" s="96">
        <v>2.04</v>
      </c>
      <c r="K116" s="121" t="s">
        <v>458</v>
      </c>
      <c r="L116" s="98" t="s">
        <v>363</v>
      </c>
      <c r="M116" s="96">
        <v>99</v>
      </c>
      <c r="N116" s="121" t="s">
        <v>363</v>
      </c>
      <c r="O116" s="121" t="s">
        <v>370</v>
      </c>
    </row>
    <row r="117" spans="1:15" s="95" customFormat="1" x14ac:dyDescent="0.25">
      <c r="A117" s="94" t="s">
        <v>1787</v>
      </c>
      <c r="B117" s="95" t="s">
        <v>2148</v>
      </c>
      <c r="C117" s="121" t="s">
        <v>168</v>
      </c>
      <c r="D117" s="121" t="s">
        <v>506</v>
      </c>
      <c r="E117" s="96">
        <v>98.1</v>
      </c>
      <c r="F117" s="109"/>
      <c r="G117" s="121" t="s">
        <v>363</v>
      </c>
      <c r="H117" s="96" t="s">
        <v>363</v>
      </c>
      <c r="I117" s="97">
        <f>536/19029420</f>
        <v>2.8166912076143152E-5</v>
      </c>
      <c r="J117" s="96">
        <v>13.74</v>
      </c>
      <c r="K117" s="121" t="s">
        <v>506</v>
      </c>
      <c r="L117" s="98" t="s">
        <v>507</v>
      </c>
      <c r="M117" s="96">
        <v>98.1</v>
      </c>
      <c r="N117" s="121" t="s">
        <v>1849</v>
      </c>
      <c r="O117" s="121" t="s">
        <v>365</v>
      </c>
    </row>
    <row r="118" spans="1:15" s="95" customFormat="1" x14ac:dyDescent="0.25">
      <c r="A118" s="94" t="s">
        <v>1787</v>
      </c>
      <c r="B118" s="95" t="s">
        <v>2149</v>
      </c>
      <c r="C118" s="121" t="s">
        <v>168</v>
      </c>
      <c r="D118" s="121" t="s">
        <v>508</v>
      </c>
      <c r="E118" s="96">
        <v>98.8</v>
      </c>
      <c r="F118" s="109"/>
      <c r="G118" s="121" t="s">
        <v>363</v>
      </c>
      <c r="H118" s="96" t="s">
        <v>363</v>
      </c>
      <c r="I118" s="97">
        <f>194/19029420</f>
        <v>1.0194740564872708E-5</v>
      </c>
      <c r="J118" s="96">
        <v>7.97</v>
      </c>
      <c r="K118" s="121" t="s">
        <v>508</v>
      </c>
      <c r="L118" s="98" t="s">
        <v>509</v>
      </c>
      <c r="M118" s="96">
        <v>98.8</v>
      </c>
      <c r="N118" s="121" t="s">
        <v>1850</v>
      </c>
      <c r="O118" s="121" t="s">
        <v>365</v>
      </c>
    </row>
    <row r="119" spans="1:15" s="95" customFormat="1" x14ac:dyDescent="0.25">
      <c r="A119" s="94" t="s">
        <v>1787</v>
      </c>
      <c r="B119" s="95" t="s">
        <v>2150</v>
      </c>
      <c r="C119" s="121" t="s">
        <v>168</v>
      </c>
      <c r="D119" s="121" t="s">
        <v>510</v>
      </c>
      <c r="E119" s="96">
        <v>94.5</v>
      </c>
      <c r="F119" s="109"/>
      <c r="G119" s="121" t="s">
        <v>363</v>
      </c>
      <c r="H119" s="96" t="s">
        <v>363</v>
      </c>
      <c r="I119" s="97">
        <f>388/19029420</f>
        <v>2.0389481129745417E-5</v>
      </c>
      <c r="J119" s="96">
        <v>20.079999999999998</v>
      </c>
      <c r="K119" s="121" t="s">
        <v>510</v>
      </c>
      <c r="L119" s="98" t="s">
        <v>511</v>
      </c>
      <c r="M119" s="96">
        <v>94.5</v>
      </c>
      <c r="N119" s="121" t="s">
        <v>1851</v>
      </c>
      <c r="O119" s="121" t="s">
        <v>365</v>
      </c>
    </row>
    <row r="120" spans="1:15" s="95" customFormat="1" x14ac:dyDescent="0.25">
      <c r="A120" s="94" t="s">
        <v>1787</v>
      </c>
      <c r="B120" s="95" t="s">
        <v>2151</v>
      </c>
      <c r="C120" s="121" t="s">
        <v>168</v>
      </c>
      <c r="D120" s="121" t="s">
        <v>512</v>
      </c>
      <c r="E120" s="96">
        <v>95.6</v>
      </c>
      <c r="F120" s="111"/>
      <c r="G120" s="121" t="s">
        <v>363</v>
      </c>
      <c r="H120" s="96" t="s">
        <v>363</v>
      </c>
      <c r="I120" s="97">
        <f>177/19029420</f>
        <v>9.3013870102189137E-6</v>
      </c>
      <c r="J120" s="96">
        <v>13.54</v>
      </c>
      <c r="K120" s="121" t="s">
        <v>512</v>
      </c>
      <c r="L120" s="98" t="s">
        <v>513</v>
      </c>
      <c r="M120" s="96">
        <v>95.6</v>
      </c>
      <c r="N120" s="121" t="s">
        <v>1852</v>
      </c>
      <c r="O120" s="121" t="s">
        <v>365</v>
      </c>
    </row>
    <row r="121" spans="1:15" s="80" customFormat="1" x14ac:dyDescent="0.25">
      <c r="A121" s="79" t="s">
        <v>1788</v>
      </c>
      <c r="C121" s="124"/>
      <c r="D121" s="124"/>
      <c r="E121" s="81"/>
      <c r="F121" s="82"/>
      <c r="G121" s="124"/>
      <c r="H121" s="81"/>
      <c r="I121" s="86"/>
      <c r="J121" s="81"/>
      <c r="K121" s="124"/>
      <c r="L121" s="83"/>
      <c r="M121" s="84"/>
      <c r="N121" s="124"/>
      <c r="O121" s="124"/>
    </row>
    <row r="122" spans="1:15" s="95" customFormat="1" x14ac:dyDescent="0.25">
      <c r="A122" s="94" t="s">
        <v>1788</v>
      </c>
      <c r="B122" s="100" t="s">
        <v>459</v>
      </c>
      <c r="C122" s="121" t="s">
        <v>104</v>
      </c>
      <c r="D122" s="121" t="s">
        <v>363</v>
      </c>
      <c r="E122" s="96" t="s">
        <v>363</v>
      </c>
      <c r="F122" s="107"/>
      <c r="G122" s="121" t="s">
        <v>460</v>
      </c>
      <c r="H122" s="96">
        <v>72.5</v>
      </c>
      <c r="I122" s="97">
        <f>813/9230820</f>
        <v>8.8074515590164256E-5</v>
      </c>
      <c r="J122" s="96">
        <v>13.47</v>
      </c>
      <c r="K122" s="121" t="s">
        <v>460</v>
      </c>
      <c r="L122" s="98" t="s">
        <v>514</v>
      </c>
      <c r="M122" s="99">
        <v>72.5</v>
      </c>
      <c r="N122" s="121" t="s">
        <v>1675</v>
      </c>
      <c r="O122" s="121" t="s">
        <v>378</v>
      </c>
    </row>
    <row r="123" spans="1:15" s="95" customFormat="1" x14ac:dyDescent="0.25">
      <c r="A123" s="94" t="s">
        <v>1788</v>
      </c>
      <c r="B123" s="100" t="s">
        <v>462</v>
      </c>
      <c r="C123" s="121" t="s">
        <v>104</v>
      </c>
      <c r="D123" s="121" t="s">
        <v>363</v>
      </c>
      <c r="E123" s="96" t="s">
        <v>363</v>
      </c>
      <c r="F123" s="109"/>
      <c r="G123" s="121" t="s">
        <v>463</v>
      </c>
      <c r="H123" s="96">
        <v>71.92</v>
      </c>
      <c r="I123" s="97">
        <f>2672/9230820</f>
        <v>2.8946507460875633E-4</v>
      </c>
      <c r="J123" s="96">
        <v>79.319999999999993</v>
      </c>
      <c r="K123" s="121" t="s">
        <v>463</v>
      </c>
      <c r="L123" s="98" t="s">
        <v>515</v>
      </c>
      <c r="M123" s="99">
        <v>71.92</v>
      </c>
      <c r="N123" s="121" t="s">
        <v>1676</v>
      </c>
      <c r="O123" s="121" t="s">
        <v>378</v>
      </c>
    </row>
    <row r="124" spans="1:15" s="95" customFormat="1" x14ac:dyDescent="0.25">
      <c r="A124" s="94" t="s">
        <v>1788</v>
      </c>
      <c r="B124" s="100" t="s">
        <v>465</v>
      </c>
      <c r="C124" s="121" t="s">
        <v>104</v>
      </c>
      <c r="D124" s="121" t="s">
        <v>363</v>
      </c>
      <c r="E124" s="96" t="s">
        <v>363</v>
      </c>
      <c r="F124" s="109"/>
      <c r="G124" s="121" t="s">
        <v>466</v>
      </c>
      <c r="H124" s="96">
        <v>65.75</v>
      </c>
      <c r="I124" s="97">
        <f>2177/9230820</f>
        <v>2.3584036954463417E-4</v>
      </c>
      <c r="J124" s="96">
        <v>89.29</v>
      </c>
      <c r="K124" s="121" t="s">
        <v>466</v>
      </c>
      <c r="L124" s="98" t="s">
        <v>516</v>
      </c>
      <c r="M124" s="99">
        <v>65.75</v>
      </c>
      <c r="N124" s="121" t="s">
        <v>1677</v>
      </c>
      <c r="O124" s="121" t="s">
        <v>378</v>
      </c>
    </row>
    <row r="125" spans="1:15" s="95" customFormat="1" x14ac:dyDescent="0.25">
      <c r="A125" s="94" t="s">
        <v>1788</v>
      </c>
      <c r="B125" s="100" t="s">
        <v>173</v>
      </c>
      <c r="C125" s="121" t="s">
        <v>174</v>
      </c>
      <c r="D125" s="121" t="s">
        <v>363</v>
      </c>
      <c r="E125" s="96" t="s">
        <v>363</v>
      </c>
      <c r="F125" s="109"/>
      <c r="G125" s="121" t="s">
        <v>517</v>
      </c>
      <c r="H125" s="96">
        <v>86.22</v>
      </c>
      <c r="I125" s="97">
        <f>1710167/9230820</f>
        <v>0.18526707269776682</v>
      </c>
      <c r="J125" s="96">
        <v>174.38</v>
      </c>
      <c r="K125" s="121" t="s">
        <v>517</v>
      </c>
      <c r="L125" s="98" t="s">
        <v>518</v>
      </c>
      <c r="M125" s="99">
        <v>86.22</v>
      </c>
      <c r="N125" s="121" t="s">
        <v>1857</v>
      </c>
      <c r="O125" s="121" t="s">
        <v>378</v>
      </c>
    </row>
    <row r="126" spans="1:15" s="95" customFormat="1" x14ac:dyDescent="0.25">
      <c r="A126" s="94" t="s">
        <v>1788</v>
      </c>
      <c r="B126" s="100" t="s">
        <v>2086</v>
      </c>
      <c r="C126" s="121" t="s">
        <v>266</v>
      </c>
      <c r="D126" s="121" t="s">
        <v>363</v>
      </c>
      <c r="E126" s="96" t="s">
        <v>363</v>
      </c>
      <c r="F126" s="109"/>
      <c r="G126" s="121" t="s">
        <v>519</v>
      </c>
      <c r="H126" s="96">
        <v>76.87</v>
      </c>
      <c r="I126" s="97">
        <f>18112/9230820</f>
        <v>1.9621225416593543E-3</v>
      </c>
      <c r="J126" s="96">
        <v>448.83</v>
      </c>
      <c r="K126" s="121" t="s">
        <v>519</v>
      </c>
      <c r="L126" s="98" t="s">
        <v>520</v>
      </c>
      <c r="M126" s="99">
        <v>76.87</v>
      </c>
      <c r="N126" s="121" t="s">
        <v>1858</v>
      </c>
      <c r="O126" s="121" t="s">
        <v>378</v>
      </c>
    </row>
    <row r="127" spans="1:15" s="95" customFormat="1" x14ac:dyDescent="0.25">
      <c r="A127" s="94" t="s">
        <v>1788</v>
      </c>
      <c r="B127" s="100" t="s">
        <v>2087</v>
      </c>
      <c r="C127" s="121" t="s">
        <v>267</v>
      </c>
      <c r="D127" s="121" t="s">
        <v>363</v>
      </c>
      <c r="E127" s="96" t="s">
        <v>363</v>
      </c>
      <c r="F127" s="109"/>
      <c r="G127" s="121" t="s">
        <v>521</v>
      </c>
      <c r="H127" s="96">
        <v>73.27</v>
      </c>
      <c r="I127" s="97">
        <f>5910/9230820</f>
        <v>6.4024647864436744E-4</v>
      </c>
      <c r="J127" s="96">
        <v>155.66999999999999</v>
      </c>
      <c r="K127" s="121" t="s">
        <v>521</v>
      </c>
      <c r="L127" s="98" t="s">
        <v>522</v>
      </c>
      <c r="M127" s="99">
        <v>73.27</v>
      </c>
      <c r="N127" s="121" t="s">
        <v>1859</v>
      </c>
      <c r="O127" s="121" t="s">
        <v>378</v>
      </c>
    </row>
    <row r="128" spans="1:15" s="95" customFormat="1" x14ac:dyDescent="0.25">
      <c r="A128" s="94" t="s">
        <v>1788</v>
      </c>
      <c r="B128" s="95" t="s">
        <v>2148</v>
      </c>
      <c r="C128" s="121" t="s">
        <v>168</v>
      </c>
      <c r="D128" s="121" t="s">
        <v>506</v>
      </c>
      <c r="E128" s="96">
        <v>98.15</v>
      </c>
      <c r="F128" s="109"/>
      <c r="G128" s="121" t="s">
        <v>363</v>
      </c>
      <c r="H128" s="96" t="s">
        <v>363</v>
      </c>
      <c r="I128" s="97">
        <f>17571/9230820</f>
        <v>1.9035145306700813E-3</v>
      </c>
      <c r="J128" s="96">
        <v>450.19</v>
      </c>
      <c r="K128" s="121" t="s">
        <v>506</v>
      </c>
      <c r="L128" s="98" t="s">
        <v>523</v>
      </c>
      <c r="M128" s="99">
        <v>98.15</v>
      </c>
      <c r="N128" s="121" t="s">
        <v>1853</v>
      </c>
      <c r="O128" s="121" t="s">
        <v>365</v>
      </c>
    </row>
    <row r="129" spans="1:15" s="95" customFormat="1" x14ac:dyDescent="0.25">
      <c r="A129" s="94" t="s">
        <v>1788</v>
      </c>
      <c r="B129" s="95" t="s">
        <v>2149</v>
      </c>
      <c r="C129" s="121" t="s">
        <v>168</v>
      </c>
      <c r="D129" s="121" t="s">
        <v>508</v>
      </c>
      <c r="E129" s="96">
        <v>98.72</v>
      </c>
      <c r="F129" s="109"/>
      <c r="G129" s="121" t="s">
        <v>363</v>
      </c>
      <c r="H129" s="96" t="s">
        <v>363</v>
      </c>
      <c r="I129" s="97">
        <f>5301/9230820</f>
        <v>5.7427184150487176E-4</v>
      </c>
      <c r="J129" s="96">
        <v>217.18</v>
      </c>
      <c r="K129" s="121" t="s">
        <v>508</v>
      </c>
      <c r="L129" s="98" t="s">
        <v>524</v>
      </c>
      <c r="M129" s="99">
        <v>98.72</v>
      </c>
      <c r="N129" s="121" t="s">
        <v>1854</v>
      </c>
      <c r="O129" s="121" t="s">
        <v>365</v>
      </c>
    </row>
    <row r="130" spans="1:15" s="95" customFormat="1" x14ac:dyDescent="0.25">
      <c r="A130" s="94" t="s">
        <v>1788</v>
      </c>
      <c r="B130" s="95" t="s">
        <v>2150</v>
      </c>
      <c r="C130" s="121" t="s">
        <v>168</v>
      </c>
      <c r="D130" s="121" t="s">
        <v>510</v>
      </c>
      <c r="E130" s="96">
        <v>99.37</v>
      </c>
      <c r="F130" s="109"/>
      <c r="G130" s="121" t="s">
        <v>363</v>
      </c>
      <c r="H130" s="96" t="s">
        <v>363</v>
      </c>
      <c r="I130" s="97">
        <f>28326/9230820</f>
        <v>3.068633122517826E-3</v>
      </c>
      <c r="J130" s="96">
        <v>1470.54</v>
      </c>
      <c r="K130" s="121" t="s">
        <v>510</v>
      </c>
      <c r="L130" s="98" t="s">
        <v>525</v>
      </c>
      <c r="M130" s="99">
        <v>99.37</v>
      </c>
      <c r="N130" s="121" t="s">
        <v>1855</v>
      </c>
      <c r="O130" s="121" t="s">
        <v>365</v>
      </c>
    </row>
    <row r="131" spans="1:15" s="95" customFormat="1" x14ac:dyDescent="0.25">
      <c r="A131" s="94" t="s">
        <v>1788</v>
      </c>
      <c r="B131" s="95" t="s">
        <v>2151</v>
      </c>
      <c r="C131" s="121" t="s">
        <v>168</v>
      </c>
      <c r="D131" s="121" t="s">
        <v>512</v>
      </c>
      <c r="E131" s="96">
        <v>99.64</v>
      </c>
      <c r="F131" s="109"/>
      <c r="G131" s="121" t="s">
        <v>363</v>
      </c>
      <c r="H131" s="96" t="s">
        <v>363</v>
      </c>
      <c r="I131" s="97">
        <f>10354/9230820</f>
        <v>1.1216771641089308E-3</v>
      </c>
      <c r="J131" s="96">
        <v>790.85</v>
      </c>
      <c r="K131" s="121" t="s">
        <v>512</v>
      </c>
      <c r="L131" s="98" t="s">
        <v>526</v>
      </c>
      <c r="M131" s="99">
        <v>99.64</v>
      </c>
      <c r="N131" s="121" t="s">
        <v>1856</v>
      </c>
      <c r="O131" s="121" t="s">
        <v>365</v>
      </c>
    </row>
    <row r="132" spans="1:15" s="95" customFormat="1" x14ac:dyDescent="0.25">
      <c r="A132" s="94" t="s">
        <v>1788</v>
      </c>
      <c r="B132" s="100" t="s">
        <v>291</v>
      </c>
      <c r="C132" s="121" t="s">
        <v>292</v>
      </c>
      <c r="D132" s="121" t="s">
        <v>363</v>
      </c>
      <c r="E132" s="96" t="s">
        <v>363</v>
      </c>
      <c r="F132" s="109"/>
      <c r="G132" s="121" t="s">
        <v>527</v>
      </c>
      <c r="H132" s="96">
        <v>73.239999999999995</v>
      </c>
      <c r="I132" s="101">
        <f>4472586/9230820</f>
        <v>0.48452748509883198</v>
      </c>
      <c r="J132" s="108">
        <v>167483.71</v>
      </c>
      <c r="K132" s="121" t="s">
        <v>527</v>
      </c>
      <c r="L132" s="98" t="s">
        <v>528</v>
      </c>
      <c r="M132" s="99">
        <v>73.239999999999995</v>
      </c>
      <c r="N132" s="121" t="s">
        <v>1860</v>
      </c>
      <c r="O132" s="121" t="s">
        <v>378</v>
      </c>
    </row>
    <row r="133" spans="1:15" s="95" customFormat="1" x14ac:dyDescent="0.25">
      <c r="A133" s="94" t="s">
        <v>1788</v>
      </c>
      <c r="B133" s="100" t="s">
        <v>2132</v>
      </c>
      <c r="C133" s="121" t="s">
        <v>123</v>
      </c>
      <c r="D133" s="121" t="s">
        <v>363</v>
      </c>
      <c r="E133" s="96" t="s">
        <v>363</v>
      </c>
      <c r="F133" s="109"/>
      <c r="G133" s="121" t="s">
        <v>529</v>
      </c>
      <c r="H133" s="132">
        <v>76.099999999999994</v>
      </c>
      <c r="I133" s="137">
        <f>1003/9230820</f>
        <v>1.0865773571578689E-4</v>
      </c>
      <c r="J133" s="139">
        <v>50.22</v>
      </c>
      <c r="K133" s="133" t="s">
        <v>529</v>
      </c>
      <c r="L133" s="98" t="s">
        <v>530</v>
      </c>
      <c r="M133" s="99">
        <v>76.099999999999994</v>
      </c>
      <c r="N133" s="121" t="s">
        <v>1718</v>
      </c>
      <c r="O133" s="121" t="s">
        <v>378</v>
      </c>
    </row>
    <row r="134" spans="1:15" s="95" customFormat="1" x14ac:dyDescent="0.25">
      <c r="A134" s="94" t="s">
        <v>1788</v>
      </c>
      <c r="B134" s="100" t="s">
        <v>2133</v>
      </c>
      <c r="C134" s="121" t="s">
        <v>123</v>
      </c>
      <c r="D134" s="121" t="s">
        <v>363</v>
      </c>
      <c r="E134" s="96" t="s">
        <v>363</v>
      </c>
      <c r="F134" s="111"/>
      <c r="G134" s="121" t="s">
        <v>531</v>
      </c>
      <c r="H134" s="132">
        <v>65.92</v>
      </c>
      <c r="I134" s="138"/>
      <c r="J134" s="140"/>
      <c r="K134" s="133" t="s">
        <v>531</v>
      </c>
      <c r="L134" s="98" t="s">
        <v>532</v>
      </c>
      <c r="M134" s="99">
        <v>65.92</v>
      </c>
      <c r="N134" s="121" t="s">
        <v>1719</v>
      </c>
      <c r="O134" s="121" t="s">
        <v>378</v>
      </c>
    </row>
    <row r="135" spans="1:15" s="80" customFormat="1" x14ac:dyDescent="0.25">
      <c r="A135" s="79" t="s">
        <v>1789</v>
      </c>
      <c r="C135" s="124"/>
      <c r="D135" s="124"/>
      <c r="E135" s="81"/>
      <c r="F135" s="82"/>
      <c r="G135" s="124"/>
      <c r="H135" s="81"/>
      <c r="I135" s="135"/>
      <c r="J135" s="136"/>
      <c r="K135" s="124"/>
      <c r="L135" s="83"/>
      <c r="M135" s="84"/>
      <c r="N135" s="124"/>
      <c r="O135" s="124"/>
    </row>
    <row r="136" spans="1:15" s="95" customFormat="1" x14ac:dyDescent="0.25">
      <c r="A136" s="94" t="s">
        <v>1789</v>
      </c>
      <c r="B136" s="95" t="s">
        <v>114</v>
      </c>
      <c r="C136" s="121" t="s">
        <v>115</v>
      </c>
      <c r="D136" s="121" t="s">
        <v>533</v>
      </c>
      <c r="E136" s="96">
        <v>98</v>
      </c>
      <c r="F136" s="107"/>
      <c r="G136" s="121" t="s">
        <v>363</v>
      </c>
      <c r="H136" s="96" t="s">
        <v>363</v>
      </c>
      <c r="I136" s="97">
        <f>1221/11849598</f>
        <v>1.0304147026759896E-4</v>
      </c>
      <c r="J136" s="96">
        <v>52.88</v>
      </c>
      <c r="K136" s="121" t="s">
        <v>533</v>
      </c>
      <c r="L136" s="98" t="s">
        <v>363</v>
      </c>
      <c r="M136" s="99">
        <v>98</v>
      </c>
      <c r="N136" s="121" t="s">
        <v>363</v>
      </c>
      <c r="O136" s="121" t="s">
        <v>370</v>
      </c>
    </row>
    <row r="137" spans="1:15" s="95" customFormat="1" x14ac:dyDescent="0.25">
      <c r="A137" s="94" t="s">
        <v>1789</v>
      </c>
      <c r="B137" s="95" t="s">
        <v>2089</v>
      </c>
      <c r="C137" s="121" t="s">
        <v>272</v>
      </c>
      <c r="D137" s="121" t="s">
        <v>534</v>
      </c>
      <c r="E137" s="96">
        <v>95.6</v>
      </c>
      <c r="F137" s="109"/>
      <c r="G137" s="121" t="s">
        <v>363</v>
      </c>
      <c r="H137" s="96" t="s">
        <v>363</v>
      </c>
      <c r="I137" s="97">
        <f>222/11849598</f>
        <v>1.8734812775927081E-5</v>
      </c>
      <c r="J137" s="96">
        <v>9.0299999999999994</v>
      </c>
      <c r="K137" s="121" t="s">
        <v>534</v>
      </c>
      <c r="L137" s="98" t="s">
        <v>363</v>
      </c>
      <c r="M137" s="99">
        <v>95.69</v>
      </c>
      <c r="N137" s="121" t="s">
        <v>363</v>
      </c>
      <c r="O137" s="121" t="s">
        <v>370</v>
      </c>
    </row>
    <row r="138" spans="1:15" s="95" customFormat="1" x14ac:dyDescent="0.25">
      <c r="A138" s="94" t="s">
        <v>1789</v>
      </c>
      <c r="B138" s="95" t="s">
        <v>2078</v>
      </c>
      <c r="C138" s="121" t="s">
        <v>233</v>
      </c>
      <c r="D138" s="121" t="s">
        <v>535</v>
      </c>
      <c r="E138" s="96">
        <v>99.7</v>
      </c>
      <c r="F138" s="109"/>
      <c r="G138" s="121" t="s">
        <v>363</v>
      </c>
      <c r="H138" s="96" t="s">
        <v>363</v>
      </c>
      <c r="I138" s="97">
        <f>99071/11849598</f>
        <v>8.3607055699273514E-3</v>
      </c>
      <c r="J138" s="96">
        <v>1718.93</v>
      </c>
      <c r="K138" s="121" t="s">
        <v>535</v>
      </c>
      <c r="L138" s="98" t="s">
        <v>536</v>
      </c>
      <c r="M138" s="99">
        <v>99.71</v>
      </c>
      <c r="N138" s="121" t="s">
        <v>1872</v>
      </c>
      <c r="O138" s="121" t="s">
        <v>365</v>
      </c>
    </row>
    <row r="139" spans="1:15" s="95" customFormat="1" x14ac:dyDescent="0.25">
      <c r="A139" s="94" t="s">
        <v>1789</v>
      </c>
      <c r="B139" s="95" t="s">
        <v>239</v>
      </c>
      <c r="C139" s="121" t="s">
        <v>240</v>
      </c>
      <c r="D139" s="121" t="s">
        <v>363</v>
      </c>
      <c r="E139" s="96" t="s">
        <v>363</v>
      </c>
      <c r="F139" s="109"/>
      <c r="G139" s="121" t="s">
        <v>537</v>
      </c>
      <c r="H139" s="96">
        <v>97.33</v>
      </c>
      <c r="I139" s="97">
        <f>23548/11849598</f>
        <v>1.9872404110249141E-3</v>
      </c>
      <c r="J139" s="96">
        <v>393.7</v>
      </c>
      <c r="K139" s="121" t="s">
        <v>537</v>
      </c>
      <c r="L139" s="98" t="s">
        <v>538</v>
      </c>
      <c r="M139" s="99">
        <v>97.33</v>
      </c>
      <c r="N139" s="121" t="s">
        <v>1873</v>
      </c>
      <c r="O139" s="121" t="s">
        <v>365</v>
      </c>
    </row>
    <row r="140" spans="1:15" s="95" customFormat="1" x14ac:dyDescent="0.25">
      <c r="A140" s="94" t="s">
        <v>1789</v>
      </c>
      <c r="B140" s="95" t="s">
        <v>539</v>
      </c>
      <c r="C140" s="121" t="s">
        <v>328</v>
      </c>
      <c r="D140" s="121" t="s">
        <v>363</v>
      </c>
      <c r="E140" s="96" t="s">
        <v>363</v>
      </c>
      <c r="F140" s="77"/>
      <c r="G140" s="121" t="s">
        <v>540</v>
      </c>
      <c r="H140" s="96">
        <f>AVERAGE(99.58,99.7)</f>
        <v>99.64</v>
      </c>
      <c r="I140" s="97">
        <f>15988/11849598</f>
        <v>1.3492440840609107E-3</v>
      </c>
      <c r="J140" s="96">
        <v>533.67999999999995</v>
      </c>
      <c r="K140" s="121" t="s">
        <v>540</v>
      </c>
      <c r="L140" s="98" t="s">
        <v>541</v>
      </c>
      <c r="M140" s="96">
        <f>AVERAGE(99.58,99.7)</f>
        <v>99.64</v>
      </c>
      <c r="N140" s="121" t="s">
        <v>1876</v>
      </c>
      <c r="O140" s="121" t="s">
        <v>542</v>
      </c>
    </row>
    <row r="141" spans="1:15" s="95" customFormat="1" x14ac:dyDescent="0.25">
      <c r="A141" s="94" t="s">
        <v>1789</v>
      </c>
      <c r="B141" s="100" t="s">
        <v>2111</v>
      </c>
      <c r="C141" s="121" t="s">
        <v>339</v>
      </c>
      <c r="D141" s="121" t="s">
        <v>363</v>
      </c>
      <c r="E141" s="96" t="s">
        <v>363</v>
      </c>
      <c r="F141" s="109"/>
      <c r="G141" s="121" t="s">
        <v>543</v>
      </c>
      <c r="H141" s="96">
        <v>73.900000000000006</v>
      </c>
      <c r="I141" s="97">
        <f>200/11849598</f>
        <v>1.6878209708042415E-5</v>
      </c>
      <c r="J141" s="96">
        <v>51.66</v>
      </c>
      <c r="K141" s="121" t="s">
        <v>543</v>
      </c>
      <c r="L141" s="98" t="s">
        <v>544</v>
      </c>
      <c r="M141" s="96">
        <v>73.900000000000006</v>
      </c>
      <c r="N141" s="121" t="s">
        <v>1875</v>
      </c>
      <c r="O141" s="121" t="s">
        <v>378</v>
      </c>
    </row>
    <row r="142" spans="1:15" s="95" customFormat="1" x14ac:dyDescent="0.25">
      <c r="A142" s="94" t="s">
        <v>1789</v>
      </c>
      <c r="B142" s="100" t="s">
        <v>2112</v>
      </c>
      <c r="C142" s="121" t="s">
        <v>340</v>
      </c>
      <c r="D142" s="121" t="s">
        <v>363</v>
      </c>
      <c r="E142" s="96" t="s">
        <v>363</v>
      </c>
      <c r="F142" s="109"/>
      <c r="G142" s="121" t="s">
        <v>497</v>
      </c>
      <c r="H142" s="96">
        <v>69.72</v>
      </c>
      <c r="I142" s="97">
        <f>1184/11849598</f>
        <v>9.9919001471611099E-5</v>
      </c>
      <c r="J142" s="96">
        <v>20.059999999999999</v>
      </c>
      <c r="K142" s="121" t="s">
        <v>497</v>
      </c>
      <c r="L142" s="98" t="s">
        <v>545</v>
      </c>
      <c r="M142" s="96">
        <v>69.72</v>
      </c>
      <c r="N142" s="121" t="s">
        <v>1874</v>
      </c>
      <c r="O142" s="121" t="s">
        <v>378</v>
      </c>
    </row>
    <row r="143" spans="1:15" s="95" customFormat="1" ht="13.5" x14ac:dyDescent="0.25">
      <c r="A143" s="94" t="s">
        <v>1789</v>
      </c>
      <c r="B143" s="100" t="s">
        <v>2117</v>
      </c>
      <c r="C143" s="121" t="s">
        <v>350</v>
      </c>
      <c r="D143" s="121" t="s">
        <v>363</v>
      </c>
      <c r="E143" s="96" t="s">
        <v>363</v>
      </c>
      <c r="F143" s="111"/>
      <c r="G143" s="130" t="s">
        <v>546</v>
      </c>
      <c r="H143" s="96" t="s">
        <v>363</v>
      </c>
      <c r="I143" s="97">
        <f>16312/11849598</f>
        <v>1.3765867837879395E-3</v>
      </c>
      <c r="J143" s="96">
        <v>459.02</v>
      </c>
      <c r="K143" s="130" t="s">
        <v>546</v>
      </c>
      <c r="L143" s="98" t="s">
        <v>547</v>
      </c>
      <c r="M143" s="99" t="s">
        <v>363</v>
      </c>
      <c r="N143" s="121" t="s">
        <v>1874</v>
      </c>
      <c r="O143" s="121" t="s">
        <v>378</v>
      </c>
    </row>
    <row r="144" spans="1:15" s="80" customFormat="1" x14ac:dyDescent="0.25">
      <c r="A144" s="79" t="s">
        <v>1790</v>
      </c>
      <c r="C144" s="124"/>
      <c r="D144" s="124"/>
      <c r="E144" s="81"/>
      <c r="F144" s="82"/>
      <c r="G144" s="124"/>
      <c r="H144" s="81"/>
      <c r="I144" s="86"/>
      <c r="J144" s="81"/>
      <c r="K144" s="124"/>
      <c r="L144" s="83"/>
      <c r="M144" s="84"/>
      <c r="N144" s="124"/>
      <c r="O144" s="124"/>
    </row>
    <row r="145" spans="1:15" s="95" customFormat="1" x14ac:dyDescent="0.25">
      <c r="A145" s="94" t="s">
        <v>1790</v>
      </c>
      <c r="B145" s="95" t="s">
        <v>114</v>
      </c>
      <c r="C145" s="121" t="s">
        <v>115</v>
      </c>
      <c r="D145" s="121" t="s">
        <v>533</v>
      </c>
      <c r="E145" s="96">
        <v>100</v>
      </c>
      <c r="F145" s="77"/>
      <c r="G145" s="121" t="s">
        <v>363</v>
      </c>
      <c r="H145" s="96" t="s">
        <v>363</v>
      </c>
      <c r="I145" s="97">
        <f>128/6743412</f>
        <v>1.8981488896125583E-5</v>
      </c>
      <c r="J145" s="96">
        <v>5.47</v>
      </c>
      <c r="K145" s="121" t="s">
        <v>533</v>
      </c>
      <c r="L145" s="98" t="s">
        <v>363</v>
      </c>
      <c r="M145" s="99">
        <v>100</v>
      </c>
      <c r="N145" s="121" t="s">
        <v>363</v>
      </c>
      <c r="O145" s="121" t="s">
        <v>370</v>
      </c>
    </row>
    <row r="146" spans="1:15" s="95" customFormat="1" x14ac:dyDescent="0.25">
      <c r="A146" s="94" t="s">
        <v>1790</v>
      </c>
      <c r="B146" s="95" t="s">
        <v>2078</v>
      </c>
      <c r="C146" s="121" t="s">
        <v>233</v>
      </c>
      <c r="D146" s="121" t="s">
        <v>535</v>
      </c>
      <c r="E146" s="96">
        <v>99.68</v>
      </c>
      <c r="F146" s="77"/>
      <c r="G146" s="121" t="s">
        <v>363</v>
      </c>
      <c r="H146" s="96" t="s">
        <v>363</v>
      </c>
      <c r="I146" s="97">
        <f>5222/6743412</f>
        <v>7.7438542980912334E-4</v>
      </c>
      <c r="J146" s="96">
        <v>90.03</v>
      </c>
      <c r="K146" s="121" t="s">
        <v>535</v>
      </c>
      <c r="L146" s="98" t="s">
        <v>548</v>
      </c>
      <c r="M146" s="99">
        <v>99.68</v>
      </c>
      <c r="N146" s="121" t="s">
        <v>1861</v>
      </c>
      <c r="O146" s="121" t="s">
        <v>365</v>
      </c>
    </row>
    <row r="147" spans="1:15" s="95" customFormat="1" x14ac:dyDescent="0.25">
      <c r="A147" s="94" t="s">
        <v>1790</v>
      </c>
      <c r="B147" s="95" t="s">
        <v>539</v>
      </c>
      <c r="C147" s="121" t="s">
        <v>328</v>
      </c>
      <c r="D147" s="121" t="s">
        <v>363</v>
      </c>
      <c r="E147" s="96" t="s">
        <v>363</v>
      </c>
      <c r="F147" s="77"/>
      <c r="G147" s="121" t="s">
        <v>540</v>
      </c>
      <c r="H147" s="96">
        <f>AVERAGE(99.31,99.4)</f>
        <v>99.355000000000004</v>
      </c>
      <c r="I147" s="97">
        <f>4481/6743412</f>
        <v>6.6450040424639628E-4</v>
      </c>
      <c r="J147" s="96">
        <v>148.27000000000001</v>
      </c>
      <c r="K147" s="121" t="s">
        <v>540</v>
      </c>
      <c r="L147" s="98" t="s">
        <v>541</v>
      </c>
      <c r="M147" s="96">
        <f>AVERAGE(99.31,99.4)</f>
        <v>99.355000000000004</v>
      </c>
      <c r="N147" s="121" t="s">
        <v>1862</v>
      </c>
      <c r="O147" s="121" t="s">
        <v>542</v>
      </c>
    </row>
    <row r="148" spans="1:15" s="80" customFormat="1" x14ac:dyDescent="0.25">
      <c r="A148" s="79" t="s">
        <v>1791</v>
      </c>
      <c r="C148" s="124"/>
      <c r="D148" s="124"/>
      <c r="E148" s="81"/>
      <c r="F148" s="82"/>
      <c r="G148" s="124"/>
      <c r="H148" s="81"/>
      <c r="I148" s="86"/>
      <c r="J148" s="81"/>
      <c r="K148" s="124"/>
      <c r="L148" s="83"/>
      <c r="M148" s="84"/>
      <c r="N148" s="124"/>
      <c r="O148" s="124"/>
    </row>
    <row r="149" spans="1:15" s="95" customFormat="1" x14ac:dyDescent="0.25">
      <c r="A149" s="94" t="s">
        <v>1791</v>
      </c>
      <c r="B149" s="95" t="s">
        <v>2075</v>
      </c>
      <c r="C149" s="121" t="s">
        <v>211</v>
      </c>
      <c r="D149" s="121" t="s">
        <v>363</v>
      </c>
      <c r="E149" s="96" t="s">
        <v>363</v>
      </c>
      <c r="F149" s="77"/>
      <c r="G149" s="121" t="s">
        <v>549</v>
      </c>
      <c r="H149" s="96">
        <v>91.73</v>
      </c>
      <c r="I149" s="97">
        <f>655010/8804048</f>
        <v>7.4398731129135143E-2</v>
      </c>
      <c r="J149" s="96">
        <v>10282.14</v>
      </c>
      <c r="K149" s="121" t="s">
        <v>549</v>
      </c>
      <c r="L149" s="98" t="s">
        <v>550</v>
      </c>
      <c r="M149" s="96">
        <v>91.73</v>
      </c>
      <c r="N149" s="121" t="s">
        <v>1863</v>
      </c>
      <c r="O149" s="121" t="s">
        <v>365</v>
      </c>
    </row>
    <row r="150" spans="1:15" s="95" customFormat="1" x14ac:dyDescent="0.25">
      <c r="A150" s="94" t="s">
        <v>1791</v>
      </c>
      <c r="B150" s="95" t="s">
        <v>2085</v>
      </c>
      <c r="C150" s="121" t="s">
        <v>265</v>
      </c>
      <c r="D150" s="121" t="s">
        <v>363</v>
      </c>
      <c r="E150" s="96" t="s">
        <v>363</v>
      </c>
      <c r="F150" s="77"/>
      <c r="G150" s="121" t="s">
        <v>551</v>
      </c>
      <c r="H150" s="96">
        <v>97.99</v>
      </c>
      <c r="I150" s="97">
        <f>27932/8804048</f>
        <v>3.1726314986015524E-3</v>
      </c>
      <c r="J150" s="96">
        <v>748.49</v>
      </c>
      <c r="K150" s="121" t="s">
        <v>551</v>
      </c>
      <c r="L150" s="98" t="s">
        <v>552</v>
      </c>
      <c r="M150" s="96">
        <v>97.99</v>
      </c>
      <c r="N150" s="121" t="s">
        <v>1864</v>
      </c>
      <c r="O150" s="121" t="s">
        <v>365</v>
      </c>
    </row>
    <row r="151" spans="1:15" s="95" customFormat="1" x14ac:dyDescent="0.25">
      <c r="A151" s="94" t="s">
        <v>1791</v>
      </c>
      <c r="B151" s="95" t="s">
        <v>553</v>
      </c>
      <c r="C151" s="121" t="s">
        <v>150</v>
      </c>
      <c r="D151" s="121" t="s">
        <v>554</v>
      </c>
      <c r="E151" s="96">
        <v>98.68</v>
      </c>
      <c r="F151" s="77"/>
      <c r="G151" s="121" t="s">
        <v>363</v>
      </c>
      <c r="H151" s="96" t="s">
        <v>363</v>
      </c>
      <c r="I151" s="97">
        <f>108/8804048</f>
        <v>1.2267084413896881E-5</v>
      </c>
      <c r="J151" s="96">
        <v>4.7300000000000004</v>
      </c>
      <c r="K151" s="121" t="s">
        <v>554</v>
      </c>
      <c r="L151" s="98" t="s">
        <v>363</v>
      </c>
      <c r="M151" s="96">
        <v>98.68</v>
      </c>
      <c r="N151" s="121" t="s">
        <v>363</v>
      </c>
      <c r="O151" s="121" t="s">
        <v>2041</v>
      </c>
    </row>
    <row r="152" spans="1:15" s="95" customFormat="1" x14ac:dyDescent="0.25">
      <c r="A152" s="94" t="s">
        <v>1791</v>
      </c>
      <c r="B152" s="95" t="s">
        <v>555</v>
      </c>
      <c r="C152" s="121" t="s">
        <v>150</v>
      </c>
      <c r="D152" s="121" t="s">
        <v>556</v>
      </c>
      <c r="E152" s="96">
        <v>95.31</v>
      </c>
      <c r="F152" s="77"/>
      <c r="G152" s="121" t="s">
        <v>363</v>
      </c>
      <c r="H152" s="96" t="s">
        <v>363</v>
      </c>
      <c r="I152" s="97">
        <f>58/8804048</f>
        <v>6.5878786667223984E-6</v>
      </c>
      <c r="J152" s="96">
        <v>3.16</v>
      </c>
      <c r="K152" s="121" t="s">
        <v>556</v>
      </c>
      <c r="L152" s="98" t="s">
        <v>363</v>
      </c>
      <c r="M152" s="96">
        <v>95.31</v>
      </c>
      <c r="N152" s="121" t="s">
        <v>363</v>
      </c>
      <c r="O152" s="121" t="s">
        <v>2041</v>
      </c>
    </row>
    <row r="153" spans="1:15" s="95" customFormat="1" x14ac:dyDescent="0.25">
      <c r="A153" s="94" t="s">
        <v>1791</v>
      </c>
      <c r="B153" s="95" t="s">
        <v>557</v>
      </c>
      <c r="C153" s="121" t="s">
        <v>150</v>
      </c>
      <c r="D153" s="121" t="s">
        <v>558</v>
      </c>
      <c r="E153" s="96">
        <v>98.2</v>
      </c>
      <c r="F153" s="77"/>
      <c r="G153" s="121" t="s">
        <v>363</v>
      </c>
      <c r="H153" s="96" t="s">
        <v>363</v>
      </c>
      <c r="I153" s="97">
        <f>139/8804048</f>
        <v>1.5788191977145059E-5</v>
      </c>
      <c r="J153" s="96">
        <v>9.0500000000000007</v>
      </c>
      <c r="K153" s="121" t="s">
        <v>558</v>
      </c>
      <c r="L153" s="98" t="s">
        <v>363</v>
      </c>
      <c r="M153" s="96">
        <v>98.2</v>
      </c>
      <c r="N153" s="121" t="s">
        <v>363</v>
      </c>
      <c r="O153" s="121" t="s">
        <v>2041</v>
      </c>
    </row>
    <row r="154" spans="1:15" s="95" customFormat="1" x14ac:dyDescent="0.25">
      <c r="A154" s="94" t="s">
        <v>1791</v>
      </c>
      <c r="B154" s="100" t="s">
        <v>2088</v>
      </c>
      <c r="C154" s="121" t="s">
        <v>268</v>
      </c>
      <c r="D154" s="121" t="s">
        <v>363</v>
      </c>
      <c r="E154" s="96" t="s">
        <v>363</v>
      </c>
      <c r="F154" s="77"/>
      <c r="G154" s="121" t="s">
        <v>559</v>
      </c>
      <c r="H154" s="96">
        <v>76.13</v>
      </c>
      <c r="I154" s="97">
        <f>135930/8804048</f>
        <v>1.5439488744268546E-2</v>
      </c>
      <c r="J154" s="96">
        <v>3345.45</v>
      </c>
      <c r="K154" s="121" t="s">
        <v>559</v>
      </c>
      <c r="L154" s="98" t="s">
        <v>560</v>
      </c>
      <c r="M154" s="99">
        <v>76.13</v>
      </c>
      <c r="N154" s="121" t="s">
        <v>1865</v>
      </c>
      <c r="O154" s="121" t="s">
        <v>378</v>
      </c>
    </row>
    <row r="155" spans="1:15" s="95" customFormat="1" x14ac:dyDescent="0.25">
      <c r="A155" s="94" t="s">
        <v>1791</v>
      </c>
      <c r="B155" s="100" t="s">
        <v>297</v>
      </c>
      <c r="C155" s="121" t="s">
        <v>298</v>
      </c>
      <c r="D155" s="121" t="s">
        <v>363</v>
      </c>
      <c r="E155" s="96" t="s">
        <v>363</v>
      </c>
      <c r="F155" s="77"/>
      <c r="G155" s="121" t="s">
        <v>561</v>
      </c>
      <c r="H155" s="96">
        <v>67.27</v>
      </c>
      <c r="I155" s="97">
        <f>49767/8804048</f>
        <v>5.6527406483926484E-3</v>
      </c>
      <c r="J155" s="96">
        <v>1262.6099999999999</v>
      </c>
      <c r="K155" s="121" t="s">
        <v>561</v>
      </c>
      <c r="L155" s="98" t="s">
        <v>562</v>
      </c>
      <c r="M155" s="99">
        <v>67.27</v>
      </c>
      <c r="N155" s="121" t="s">
        <v>1871</v>
      </c>
      <c r="O155" s="121" t="s">
        <v>378</v>
      </c>
    </row>
    <row r="156" spans="1:15" s="95" customFormat="1" x14ac:dyDescent="0.25">
      <c r="A156" s="94" t="s">
        <v>1791</v>
      </c>
      <c r="B156" s="100" t="s">
        <v>187</v>
      </c>
      <c r="C156" s="121" t="s">
        <v>188</v>
      </c>
      <c r="D156" s="121" t="s">
        <v>363</v>
      </c>
      <c r="E156" s="96" t="s">
        <v>363</v>
      </c>
      <c r="F156" s="77"/>
      <c r="G156" s="121" t="s">
        <v>563</v>
      </c>
      <c r="H156" s="96">
        <v>67.040000000000006</v>
      </c>
      <c r="I156" s="97">
        <f>2189/8804048</f>
        <v>2.4863562761129879E-4</v>
      </c>
      <c r="J156" s="96">
        <v>25.05</v>
      </c>
      <c r="K156" s="121" t="s">
        <v>563</v>
      </c>
      <c r="L156" s="98" t="s">
        <v>564</v>
      </c>
      <c r="M156" s="99">
        <v>67.040000000000006</v>
      </c>
      <c r="N156" s="121" t="s">
        <v>1866</v>
      </c>
      <c r="O156" s="121" t="s">
        <v>378</v>
      </c>
    </row>
    <row r="157" spans="1:15" s="95" customFormat="1" x14ac:dyDescent="0.25">
      <c r="A157" s="94" t="s">
        <v>1791</v>
      </c>
      <c r="B157" s="100" t="s">
        <v>280</v>
      </c>
      <c r="C157" s="121" t="s">
        <v>281</v>
      </c>
      <c r="D157" s="121" t="s">
        <v>363</v>
      </c>
      <c r="E157" s="96" t="s">
        <v>363</v>
      </c>
      <c r="F157" s="77"/>
      <c r="G157" s="121" t="s">
        <v>565</v>
      </c>
      <c r="H157" s="96">
        <v>77.8</v>
      </c>
      <c r="I157" s="97">
        <f>24802/8804048</f>
        <v>2.8171132188284298E-3</v>
      </c>
      <c r="J157" s="96">
        <v>849.71</v>
      </c>
      <c r="K157" s="121" t="s">
        <v>565</v>
      </c>
      <c r="L157" s="98" t="s">
        <v>566</v>
      </c>
      <c r="M157" s="99">
        <v>77.8</v>
      </c>
      <c r="N157" s="121" t="s">
        <v>1867</v>
      </c>
      <c r="O157" s="121" t="s">
        <v>378</v>
      </c>
    </row>
    <row r="158" spans="1:15" s="95" customFormat="1" x14ac:dyDescent="0.25">
      <c r="A158" s="94" t="s">
        <v>1791</v>
      </c>
      <c r="B158" s="100" t="s">
        <v>282</v>
      </c>
      <c r="C158" s="121" t="s">
        <v>283</v>
      </c>
      <c r="D158" s="121" t="s">
        <v>363</v>
      </c>
      <c r="E158" s="96" t="s">
        <v>363</v>
      </c>
      <c r="F158" s="77"/>
      <c r="G158" s="121" t="s">
        <v>567</v>
      </c>
      <c r="H158" s="96">
        <v>80</v>
      </c>
      <c r="I158" s="97">
        <f>158882/8804048</f>
        <v>1.804647135045152E-2</v>
      </c>
      <c r="J158" s="96">
        <v>5437.68</v>
      </c>
      <c r="K158" s="121" t="s">
        <v>567</v>
      </c>
      <c r="L158" s="98" t="s">
        <v>568</v>
      </c>
      <c r="M158" s="99">
        <v>80</v>
      </c>
      <c r="N158" s="121" t="s">
        <v>1868</v>
      </c>
      <c r="O158" s="121" t="s">
        <v>378</v>
      </c>
    </row>
    <row r="159" spans="1:15" s="95" customFormat="1" x14ac:dyDescent="0.25">
      <c r="A159" s="94" t="s">
        <v>1791</v>
      </c>
      <c r="B159" s="100" t="s">
        <v>2103</v>
      </c>
      <c r="C159" s="121" t="s">
        <v>314</v>
      </c>
      <c r="D159" s="121" t="s">
        <v>363</v>
      </c>
      <c r="E159" s="96" t="s">
        <v>363</v>
      </c>
      <c r="F159" s="77"/>
      <c r="G159" s="121" t="s">
        <v>569</v>
      </c>
      <c r="H159" s="96">
        <v>77.739999999999995</v>
      </c>
      <c r="I159" s="97">
        <f>20792/8804048</f>
        <v>2.3616409179050366E-3</v>
      </c>
      <c r="J159" s="96">
        <v>1049.28</v>
      </c>
      <c r="K159" s="121" t="s">
        <v>569</v>
      </c>
      <c r="L159" s="98" t="s">
        <v>570</v>
      </c>
      <c r="M159" s="99">
        <v>77.739999999999995</v>
      </c>
      <c r="N159" s="121" t="s">
        <v>1869</v>
      </c>
      <c r="O159" s="121" t="s">
        <v>378</v>
      </c>
    </row>
    <row r="160" spans="1:15" s="95" customFormat="1" x14ac:dyDescent="0.25">
      <c r="A160" s="94" t="s">
        <v>1791</v>
      </c>
      <c r="B160" s="100" t="s">
        <v>2104</v>
      </c>
      <c r="C160" s="121" t="s">
        <v>315</v>
      </c>
      <c r="D160" s="121" t="s">
        <v>363</v>
      </c>
      <c r="E160" s="96" t="s">
        <v>363</v>
      </c>
      <c r="F160" s="77"/>
      <c r="G160" s="121" t="s">
        <v>571</v>
      </c>
      <c r="H160" s="96">
        <v>82.05</v>
      </c>
      <c r="I160" s="97">
        <f>427/8804048</f>
        <v>4.8500417080870071E-5</v>
      </c>
      <c r="J160" s="96">
        <v>25.46</v>
      </c>
      <c r="K160" s="121" t="s">
        <v>571</v>
      </c>
      <c r="L160" s="98" t="s">
        <v>572</v>
      </c>
      <c r="M160" s="99">
        <v>82.05</v>
      </c>
      <c r="N160" s="121" t="s">
        <v>1870</v>
      </c>
      <c r="O160" s="121" t="s">
        <v>378</v>
      </c>
    </row>
    <row r="161" spans="1:15" s="80" customFormat="1" x14ac:dyDescent="0.25">
      <c r="A161" s="79" t="s">
        <v>1792</v>
      </c>
      <c r="C161" s="124"/>
      <c r="D161" s="124"/>
      <c r="E161" s="81"/>
      <c r="F161" s="82"/>
      <c r="G161" s="124"/>
      <c r="H161" s="81"/>
      <c r="I161" s="86"/>
      <c r="J161" s="81"/>
      <c r="K161" s="124"/>
      <c r="L161" s="83"/>
      <c r="M161" s="84"/>
      <c r="N161" s="124"/>
      <c r="O161" s="124"/>
    </row>
    <row r="162" spans="1:15" s="95" customFormat="1" x14ac:dyDescent="0.25">
      <c r="A162" s="94" t="s">
        <v>1792</v>
      </c>
      <c r="B162" s="95" t="s">
        <v>114</v>
      </c>
      <c r="C162" s="121" t="s">
        <v>115</v>
      </c>
      <c r="D162" s="121" t="s">
        <v>490</v>
      </c>
      <c r="E162" s="96">
        <v>99.6</v>
      </c>
      <c r="F162" s="77"/>
      <c r="G162" s="121" t="s">
        <v>363</v>
      </c>
      <c r="H162" s="96" t="s">
        <v>363</v>
      </c>
      <c r="I162" s="97">
        <f>1062/5762644</f>
        <v>1.842904055846587E-4</v>
      </c>
      <c r="J162" s="96">
        <v>95.18</v>
      </c>
      <c r="K162" s="121" t="s">
        <v>490</v>
      </c>
      <c r="L162" s="98" t="s">
        <v>573</v>
      </c>
      <c r="M162" s="96">
        <v>99.6</v>
      </c>
      <c r="N162" s="121" t="s">
        <v>1689</v>
      </c>
      <c r="O162" s="121" t="s">
        <v>365</v>
      </c>
    </row>
    <row r="163" spans="1:15" s="95" customFormat="1" x14ac:dyDescent="0.25">
      <c r="A163" s="94" t="s">
        <v>1792</v>
      </c>
      <c r="B163" s="95" t="s">
        <v>2078</v>
      </c>
      <c r="C163" s="121" t="s">
        <v>233</v>
      </c>
      <c r="D163" s="121" t="s">
        <v>458</v>
      </c>
      <c r="E163" s="96">
        <v>99.7</v>
      </c>
      <c r="F163" s="77"/>
      <c r="G163" s="121" t="s">
        <v>363</v>
      </c>
      <c r="H163" s="96" t="s">
        <v>363</v>
      </c>
      <c r="I163" s="97">
        <f>2534/5762644</f>
        <v>4.3972870786395968E-4</v>
      </c>
      <c r="J163" s="96">
        <v>43.74</v>
      </c>
      <c r="K163" s="121" t="s">
        <v>458</v>
      </c>
      <c r="L163" s="98" t="s">
        <v>574</v>
      </c>
      <c r="M163" s="96">
        <v>99.7</v>
      </c>
      <c r="N163" s="121" t="s">
        <v>1877</v>
      </c>
      <c r="O163" s="121" t="s">
        <v>365</v>
      </c>
    </row>
    <row r="164" spans="1:15" s="95" customFormat="1" x14ac:dyDescent="0.25">
      <c r="A164" s="94" t="s">
        <v>1792</v>
      </c>
      <c r="B164" s="95" t="s">
        <v>539</v>
      </c>
      <c r="C164" s="121" t="s">
        <v>328</v>
      </c>
      <c r="D164" s="121" t="s">
        <v>363</v>
      </c>
      <c r="E164" s="96" t="s">
        <v>363</v>
      </c>
      <c r="F164" s="77"/>
      <c r="G164" s="121" t="s">
        <v>540</v>
      </c>
      <c r="H164" s="96">
        <f>AVERAGE(99.27,99.51)</f>
        <v>99.39</v>
      </c>
      <c r="I164" s="97">
        <f>907/5762644</f>
        <v>1.5739303000497689E-4</v>
      </c>
      <c r="J164" s="96">
        <v>29.93</v>
      </c>
      <c r="K164" s="121" t="s">
        <v>540</v>
      </c>
      <c r="L164" s="98" t="s">
        <v>575</v>
      </c>
      <c r="M164" s="96">
        <f>AVERAGE(99.27,99.51)</f>
        <v>99.39</v>
      </c>
      <c r="N164" s="121" t="s">
        <v>1878</v>
      </c>
      <c r="O164" s="121" t="s">
        <v>542</v>
      </c>
    </row>
    <row r="165" spans="1:15" s="80" customFormat="1" x14ac:dyDescent="0.25">
      <c r="A165" s="79" t="s">
        <v>1793</v>
      </c>
      <c r="C165" s="124"/>
      <c r="D165" s="124"/>
      <c r="E165" s="81"/>
      <c r="F165" s="82"/>
      <c r="G165" s="124"/>
      <c r="H165" s="81"/>
      <c r="I165" s="86"/>
      <c r="J165" s="81"/>
      <c r="K165" s="124"/>
      <c r="L165" s="83"/>
      <c r="M165" s="84"/>
      <c r="N165" s="124"/>
      <c r="O165" s="124"/>
    </row>
    <row r="166" spans="1:15" s="95" customFormat="1" x14ac:dyDescent="0.25">
      <c r="A166" s="94" t="s">
        <v>1793</v>
      </c>
      <c r="B166" s="95" t="s">
        <v>114</v>
      </c>
      <c r="C166" s="121" t="s">
        <v>115</v>
      </c>
      <c r="D166" s="121" t="s">
        <v>490</v>
      </c>
      <c r="E166" s="96">
        <v>99.6</v>
      </c>
      <c r="F166" s="77"/>
      <c r="G166" s="121" t="s">
        <v>363</v>
      </c>
      <c r="H166" s="96" t="s">
        <v>363</v>
      </c>
      <c r="I166" s="97">
        <f>2991/15532178</f>
        <v>1.9256797082804484E-4</v>
      </c>
      <c r="J166" s="96">
        <v>129.97</v>
      </c>
      <c r="K166" s="121" t="s">
        <v>490</v>
      </c>
      <c r="L166" s="98" t="s">
        <v>576</v>
      </c>
      <c r="M166" s="96">
        <v>99.6</v>
      </c>
      <c r="N166" s="121" t="s">
        <v>1690</v>
      </c>
      <c r="O166" s="121" t="s">
        <v>365</v>
      </c>
    </row>
    <row r="167" spans="1:15" s="95" customFormat="1" x14ac:dyDescent="0.25">
      <c r="A167" s="94" t="s">
        <v>1793</v>
      </c>
      <c r="B167" s="95" t="s">
        <v>2066</v>
      </c>
      <c r="C167" s="121" t="s">
        <v>171</v>
      </c>
      <c r="D167" s="121" t="s">
        <v>367</v>
      </c>
      <c r="E167" s="96">
        <v>99.37</v>
      </c>
      <c r="F167" s="77"/>
      <c r="G167" s="121" t="s">
        <v>363</v>
      </c>
      <c r="H167" s="96" t="s">
        <v>363</v>
      </c>
      <c r="I167" s="97">
        <f>1497/15532178</f>
        <v>9.6380559120556042E-5</v>
      </c>
      <c r="J167" s="96">
        <v>35.200000000000003</v>
      </c>
      <c r="K167" s="121" t="s">
        <v>367</v>
      </c>
      <c r="L167" s="98" t="s">
        <v>398</v>
      </c>
      <c r="M167" s="96">
        <v>99.37</v>
      </c>
      <c r="N167" s="121" t="s">
        <v>1879</v>
      </c>
      <c r="O167" s="121" t="s">
        <v>365</v>
      </c>
    </row>
    <row r="168" spans="1:15" s="95" customFormat="1" x14ac:dyDescent="0.25">
      <c r="A168" s="94" t="s">
        <v>1793</v>
      </c>
      <c r="B168" s="95" t="s">
        <v>2078</v>
      </c>
      <c r="C168" s="121" t="s">
        <v>233</v>
      </c>
      <c r="D168" s="121" t="s">
        <v>458</v>
      </c>
      <c r="E168" s="96">
        <v>99.73</v>
      </c>
      <c r="F168" s="77"/>
      <c r="G168" s="121" t="s">
        <v>363</v>
      </c>
      <c r="H168" s="96" t="s">
        <v>363</v>
      </c>
      <c r="I168" s="97">
        <f>2991/15532178</f>
        <v>1.9256797082804484E-4</v>
      </c>
      <c r="J168" s="96">
        <v>99.25</v>
      </c>
      <c r="K168" s="121" t="s">
        <v>458</v>
      </c>
      <c r="L168" s="98" t="s">
        <v>577</v>
      </c>
      <c r="M168" s="96">
        <v>99.73</v>
      </c>
      <c r="N168" s="121" t="s">
        <v>1880</v>
      </c>
      <c r="O168" s="121" t="s">
        <v>365</v>
      </c>
    </row>
    <row r="169" spans="1:15" s="95" customFormat="1" x14ac:dyDescent="0.25">
      <c r="A169" s="94" t="s">
        <v>1793</v>
      </c>
      <c r="B169" s="95" t="s">
        <v>2089</v>
      </c>
      <c r="C169" s="121" t="s">
        <v>272</v>
      </c>
      <c r="D169" s="121" t="s">
        <v>407</v>
      </c>
      <c r="E169" s="96">
        <v>100</v>
      </c>
      <c r="F169" s="77"/>
      <c r="G169" s="121" t="s">
        <v>363</v>
      </c>
      <c r="H169" s="96" t="s">
        <v>363</v>
      </c>
      <c r="I169" s="97">
        <f>146/15532178</f>
        <v>9.3998407692726669E-6</v>
      </c>
      <c r="J169" s="96">
        <v>6.54</v>
      </c>
      <c r="K169" s="121" t="s">
        <v>407</v>
      </c>
      <c r="L169" s="98" t="s">
        <v>363</v>
      </c>
      <c r="M169" s="96">
        <v>100</v>
      </c>
      <c r="N169" s="121" t="s">
        <v>363</v>
      </c>
      <c r="O169" s="121" t="s">
        <v>370</v>
      </c>
    </row>
    <row r="170" spans="1:15" s="95" customFormat="1" x14ac:dyDescent="0.25">
      <c r="A170" s="94" t="s">
        <v>1793</v>
      </c>
      <c r="B170" s="95" t="s">
        <v>539</v>
      </c>
      <c r="C170" s="121" t="s">
        <v>328</v>
      </c>
      <c r="D170" s="121" t="s">
        <v>363</v>
      </c>
      <c r="E170" s="96" t="s">
        <v>363</v>
      </c>
      <c r="F170" s="77"/>
      <c r="G170" s="121" t="s">
        <v>540</v>
      </c>
      <c r="H170" s="96">
        <f>AVERAGE(99.35,99.4)</f>
        <v>99.375</v>
      </c>
      <c r="I170" s="97">
        <f>907/15532178</f>
        <v>5.8394901217330889E-5</v>
      </c>
      <c r="J170" s="96">
        <v>29.93</v>
      </c>
      <c r="K170" s="121" t="s">
        <v>540</v>
      </c>
      <c r="L170" s="98" t="s">
        <v>541</v>
      </c>
      <c r="M170" s="99">
        <v>99.38</v>
      </c>
      <c r="N170" s="121" t="s">
        <v>1881</v>
      </c>
      <c r="O170" s="121" t="s">
        <v>542</v>
      </c>
    </row>
    <row r="171" spans="1:15" s="80" customFormat="1" x14ac:dyDescent="0.25">
      <c r="A171" s="79" t="s">
        <v>1794</v>
      </c>
      <c r="C171" s="124"/>
      <c r="D171" s="124"/>
      <c r="E171" s="81"/>
      <c r="F171" s="82"/>
      <c r="G171" s="124"/>
      <c r="H171" s="81"/>
      <c r="I171" s="86"/>
      <c r="J171" s="81"/>
      <c r="K171" s="124"/>
      <c r="L171" s="83"/>
      <c r="M171" s="84"/>
      <c r="N171" s="124"/>
      <c r="O171" s="124"/>
    </row>
    <row r="172" spans="1:15" s="95" customFormat="1" x14ac:dyDescent="0.25">
      <c r="A172" s="94" t="s">
        <v>1794</v>
      </c>
      <c r="B172" s="95" t="s">
        <v>2075</v>
      </c>
      <c r="C172" s="121" t="s">
        <v>211</v>
      </c>
      <c r="D172" s="121" t="s">
        <v>549</v>
      </c>
      <c r="E172" s="96">
        <v>92</v>
      </c>
      <c r="F172" s="77"/>
      <c r="G172" s="121" t="s">
        <v>363</v>
      </c>
      <c r="H172" s="96" t="s">
        <v>363</v>
      </c>
      <c r="I172" s="97">
        <f>109544/8802666</f>
        <v>1.244441172708359E-2</v>
      </c>
      <c r="J172" s="96">
        <v>1303.8399999999999</v>
      </c>
      <c r="K172" s="121" t="s">
        <v>549</v>
      </c>
      <c r="L172" s="98" t="s">
        <v>578</v>
      </c>
      <c r="M172" s="99">
        <v>91</v>
      </c>
      <c r="N172" s="121" t="s">
        <v>1882</v>
      </c>
      <c r="O172" s="121" t="s">
        <v>365</v>
      </c>
    </row>
    <row r="173" spans="1:15" s="95" customFormat="1" x14ac:dyDescent="0.25">
      <c r="A173" s="94" t="s">
        <v>1794</v>
      </c>
      <c r="B173" s="100" t="s">
        <v>337</v>
      </c>
      <c r="C173" s="121" t="s">
        <v>338</v>
      </c>
      <c r="D173" s="121" t="s">
        <v>363</v>
      </c>
      <c r="E173" s="96" t="s">
        <v>363</v>
      </c>
      <c r="F173" s="77"/>
      <c r="G173" s="121" t="s">
        <v>579</v>
      </c>
      <c r="H173" s="96">
        <v>73.59</v>
      </c>
      <c r="I173" s="97">
        <f>336/8802666</f>
        <v>3.8170254329767819E-5</v>
      </c>
      <c r="J173" s="96">
        <v>9.81</v>
      </c>
      <c r="K173" s="121" t="s">
        <v>579</v>
      </c>
      <c r="L173" s="98" t="s">
        <v>580</v>
      </c>
      <c r="M173" s="96">
        <v>73.59</v>
      </c>
      <c r="N173" s="121" t="s">
        <v>1883</v>
      </c>
      <c r="O173" s="121" t="s">
        <v>378</v>
      </c>
    </row>
    <row r="174" spans="1:15" s="95" customFormat="1" x14ac:dyDescent="0.25">
      <c r="A174" s="94" t="s">
        <v>1794</v>
      </c>
      <c r="B174" s="100" t="s">
        <v>140</v>
      </c>
      <c r="C174" s="121" t="s">
        <v>141</v>
      </c>
      <c r="D174" s="121" t="s">
        <v>363</v>
      </c>
      <c r="E174" s="96" t="s">
        <v>363</v>
      </c>
      <c r="F174" s="77"/>
      <c r="G174" s="121" t="s">
        <v>581</v>
      </c>
      <c r="H174" s="96">
        <v>62.51</v>
      </c>
      <c r="I174" s="97">
        <f>486/8802666</f>
        <v>5.5210546441271316E-5</v>
      </c>
      <c r="J174" s="96">
        <v>14.63</v>
      </c>
      <c r="K174" s="121" t="s">
        <v>581</v>
      </c>
      <c r="L174" s="98" t="s">
        <v>582</v>
      </c>
      <c r="M174" s="96">
        <v>62.51</v>
      </c>
      <c r="N174" s="121" t="s">
        <v>1728</v>
      </c>
      <c r="O174" s="121" t="s">
        <v>378</v>
      </c>
    </row>
    <row r="175" spans="1:15" s="95" customFormat="1" x14ac:dyDescent="0.25">
      <c r="A175" s="94" t="s">
        <v>1794</v>
      </c>
      <c r="B175" s="100" t="s">
        <v>2109</v>
      </c>
      <c r="C175" s="121" t="s">
        <v>323</v>
      </c>
      <c r="D175" s="121" t="s">
        <v>363</v>
      </c>
      <c r="E175" s="96" t="s">
        <v>363</v>
      </c>
      <c r="F175" s="77"/>
      <c r="G175" s="121" t="s">
        <v>583</v>
      </c>
      <c r="H175" s="96">
        <v>73.489999999999995</v>
      </c>
      <c r="I175" s="97">
        <f>557/8802666</f>
        <v>6.3276284707382963E-5</v>
      </c>
      <c r="J175" s="96">
        <v>36.22</v>
      </c>
      <c r="K175" s="121" t="s">
        <v>583</v>
      </c>
      <c r="L175" s="98" t="s">
        <v>584</v>
      </c>
      <c r="M175" s="96">
        <v>73.489999999999995</v>
      </c>
      <c r="N175" s="121" t="s">
        <v>1884</v>
      </c>
      <c r="O175" s="121" t="s">
        <v>378</v>
      </c>
    </row>
    <row r="176" spans="1:15" s="80" customFormat="1" x14ac:dyDescent="0.25">
      <c r="A176" s="79" t="s">
        <v>2038</v>
      </c>
      <c r="C176" s="124"/>
      <c r="D176" s="124"/>
      <c r="E176" s="81"/>
      <c r="F176" s="82"/>
      <c r="G176" s="124"/>
      <c r="H176" s="81"/>
      <c r="I176" s="86"/>
      <c r="J176" s="81"/>
      <c r="K176" s="124"/>
      <c r="L176" s="83"/>
      <c r="M176" s="84"/>
      <c r="N176" s="124"/>
      <c r="O176" s="124"/>
    </row>
    <row r="177" spans="1:15" x14ac:dyDescent="0.25">
      <c r="A177" s="94" t="s">
        <v>585</v>
      </c>
      <c r="B177" s="114" t="s">
        <v>586</v>
      </c>
      <c r="C177" s="125" t="s">
        <v>587</v>
      </c>
      <c r="D177" s="121" t="s">
        <v>588</v>
      </c>
      <c r="E177" s="96" t="s">
        <v>363</v>
      </c>
      <c r="F177" s="77"/>
      <c r="G177" s="121" t="s">
        <v>363</v>
      </c>
      <c r="H177" s="96" t="s">
        <v>363</v>
      </c>
      <c r="I177" s="97">
        <f>20178/13173086</f>
        <v>1.5317595284810256E-3</v>
      </c>
      <c r="J177" s="96">
        <v>214.49758385446199</v>
      </c>
      <c r="K177" s="121" t="s">
        <v>589</v>
      </c>
      <c r="L177" s="98" t="s">
        <v>590</v>
      </c>
      <c r="M177" s="96">
        <v>99.68</v>
      </c>
      <c r="N177" s="125" t="s">
        <v>363</v>
      </c>
      <c r="O177" s="121" t="s">
        <v>2042</v>
      </c>
    </row>
    <row r="178" spans="1:15" x14ac:dyDescent="0.25">
      <c r="A178" s="94" t="s">
        <v>585</v>
      </c>
      <c r="B178" s="114" t="s">
        <v>591</v>
      </c>
      <c r="C178" s="125" t="s">
        <v>592</v>
      </c>
      <c r="D178" s="121" t="s">
        <v>593</v>
      </c>
      <c r="E178" s="96" t="s">
        <v>363</v>
      </c>
      <c r="F178" s="77"/>
      <c r="G178" s="121" t="s">
        <v>363</v>
      </c>
      <c r="H178" s="96" t="s">
        <v>363</v>
      </c>
      <c r="I178" s="97">
        <f>68496/13173086</f>
        <v>5.1996927675109685E-3</v>
      </c>
      <c r="J178" s="96">
        <v>685.33306337315196</v>
      </c>
      <c r="K178" s="121" t="s">
        <v>594</v>
      </c>
      <c r="L178" s="98" t="s">
        <v>595</v>
      </c>
      <c r="M178" s="96">
        <v>98.91</v>
      </c>
      <c r="N178" s="125" t="s">
        <v>363</v>
      </c>
      <c r="O178" s="121" t="s">
        <v>2043</v>
      </c>
    </row>
    <row r="179" spans="1:15" x14ac:dyDescent="0.25">
      <c r="A179" s="94" t="s">
        <v>585</v>
      </c>
      <c r="B179" s="114" t="s">
        <v>596</v>
      </c>
      <c r="C179" s="125" t="s">
        <v>597</v>
      </c>
      <c r="D179" s="121" t="s">
        <v>598</v>
      </c>
      <c r="E179" s="96" t="s">
        <v>363</v>
      </c>
      <c r="F179" s="77"/>
      <c r="G179" s="121" t="s">
        <v>363</v>
      </c>
      <c r="H179" s="96" t="s">
        <v>363</v>
      </c>
      <c r="I179" s="97">
        <f>2854/13173086</f>
        <v>2.1665386531295703E-4</v>
      </c>
      <c r="J179" s="96">
        <v>27.580006576783902</v>
      </c>
      <c r="K179" s="121" t="s">
        <v>598</v>
      </c>
      <c r="L179" s="98" t="s">
        <v>599</v>
      </c>
      <c r="M179" s="96">
        <v>88.05</v>
      </c>
      <c r="N179" s="125" t="s">
        <v>363</v>
      </c>
      <c r="O179" s="121" t="s">
        <v>2043</v>
      </c>
    </row>
    <row r="180" spans="1:15" s="80" customFormat="1" x14ac:dyDescent="0.25">
      <c r="A180" s="79" t="s">
        <v>2037</v>
      </c>
      <c r="C180" s="124"/>
      <c r="D180" s="124"/>
      <c r="E180" s="81"/>
      <c r="F180" s="82"/>
      <c r="G180" s="124"/>
      <c r="H180" s="81"/>
      <c r="I180" s="86"/>
      <c r="J180" s="81"/>
      <c r="K180" s="124"/>
      <c r="L180" s="83"/>
      <c r="M180" s="84"/>
      <c r="N180" s="124"/>
      <c r="O180" s="124"/>
    </row>
    <row r="181" spans="1:15" x14ac:dyDescent="0.25">
      <c r="A181" s="94" t="s">
        <v>600</v>
      </c>
      <c r="B181" s="114" t="s">
        <v>586</v>
      </c>
      <c r="C181" s="125" t="s">
        <v>587</v>
      </c>
      <c r="D181" s="121" t="s">
        <v>588</v>
      </c>
      <c r="E181" s="96" t="s">
        <v>363</v>
      </c>
      <c r="F181" s="77"/>
      <c r="G181" s="121" t="s">
        <v>363</v>
      </c>
      <c r="H181" s="96" t="s">
        <v>363</v>
      </c>
      <c r="I181" s="97">
        <f>12939/8937238</f>
        <v>1.4477627204288394E-3</v>
      </c>
      <c r="J181" s="96">
        <v>214.5</v>
      </c>
      <c r="K181" s="121" t="s">
        <v>589</v>
      </c>
      <c r="L181" s="98" t="s">
        <v>601</v>
      </c>
      <c r="M181" s="96">
        <v>99.68</v>
      </c>
      <c r="N181" s="125" t="s">
        <v>363</v>
      </c>
      <c r="O181" s="121" t="s">
        <v>2042</v>
      </c>
    </row>
    <row r="182" spans="1:15" x14ac:dyDescent="0.25">
      <c r="A182" s="94" t="s">
        <v>600</v>
      </c>
      <c r="B182" s="114" t="s">
        <v>591</v>
      </c>
      <c r="C182" s="125" t="s">
        <v>592</v>
      </c>
      <c r="D182" s="121" t="s">
        <v>593</v>
      </c>
      <c r="E182" s="96" t="s">
        <v>363</v>
      </c>
      <c r="F182" s="77"/>
      <c r="G182" s="121" t="s">
        <v>363</v>
      </c>
      <c r="H182" s="96" t="s">
        <v>363</v>
      </c>
      <c r="I182" s="97">
        <f>38792/8937238</f>
        <v>4.3404908764877919E-3</v>
      </c>
      <c r="J182" s="96">
        <v>392.52</v>
      </c>
      <c r="K182" s="121" t="s">
        <v>594</v>
      </c>
      <c r="L182" s="98" t="s">
        <v>602</v>
      </c>
      <c r="M182" s="96">
        <v>99.59</v>
      </c>
      <c r="N182" s="125" t="s">
        <v>363</v>
      </c>
      <c r="O182" s="121" t="s">
        <v>2043</v>
      </c>
    </row>
    <row r="183" spans="1:15" x14ac:dyDescent="0.25">
      <c r="A183" s="94" t="s">
        <v>600</v>
      </c>
      <c r="B183" s="114" t="s">
        <v>596</v>
      </c>
      <c r="C183" s="125" t="s">
        <v>597</v>
      </c>
      <c r="D183" s="121" t="s">
        <v>598</v>
      </c>
      <c r="E183" s="96" t="s">
        <v>363</v>
      </c>
      <c r="F183" s="77"/>
      <c r="G183" s="121" t="s">
        <v>363</v>
      </c>
      <c r="H183" s="96" t="s">
        <v>363</v>
      </c>
      <c r="I183" s="97">
        <f>1657/8937238</f>
        <v>1.8540403645958629E-4</v>
      </c>
      <c r="J183" s="96">
        <v>16.329999999999998</v>
      </c>
      <c r="K183" s="121" t="s">
        <v>598</v>
      </c>
      <c r="L183" s="98" t="s">
        <v>603</v>
      </c>
      <c r="M183" s="96">
        <v>87.83</v>
      </c>
      <c r="N183" s="125" t="s">
        <v>363</v>
      </c>
      <c r="O183" s="121" t="s">
        <v>2043</v>
      </c>
    </row>
    <row r="184" spans="1:15" s="80" customFormat="1" x14ac:dyDescent="0.25">
      <c r="A184" s="79" t="s">
        <v>604</v>
      </c>
      <c r="C184" s="124"/>
      <c r="D184" s="124"/>
      <c r="E184" s="81"/>
      <c r="F184" s="82"/>
      <c r="G184" s="124"/>
      <c r="H184" s="81"/>
      <c r="I184" s="86"/>
      <c r="J184" s="81"/>
      <c r="K184" s="124"/>
      <c r="L184" s="83"/>
      <c r="M184" s="84"/>
      <c r="N184" s="124"/>
      <c r="O184" s="124"/>
    </row>
    <row r="185" spans="1:15" s="95" customFormat="1" x14ac:dyDescent="0.25">
      <c r="A185" s="94" t="s">
        <v>604</v>
      </c>
      <c r="B185" s="95" t="s">
        <v>114</v>
      </c>
      <c r="C185" s="121" t="s">
        <v>115</v>
      </c>
      <c r="D185" s="121" t="s">
        <v>405</v>
      </c>
      <c r="E185" s="96">
        <v>99.7</v>
      </c>
      <c r="F185" s="77"/>
      <c r="G185" s="121" t="s">
        <v>363</v>
      </c>
      <c r="H185" s="96" t="s">
        <v>363</v>
      </c>
      <c r="I185" s="97">
        <f>196/11591060</f>
        <v>1.690958376541921E-5</v>
      </c>
      <c r="J185" s="96">
        <v>8.48</v>
      </c>
      <c r="K185" s="121" t="s">
        <v>405</v>
      </c>
      <c r="L185" s="98" t="s">
        <v>605</v>
      </c>
      <c r="M185" s="99">
        <v>99.7</v>
      </c>
      <c r="N185" s="121" t="s">
        <v>363</v>
      </c>
      <c r="O185" s="121" t="s">
        <v>1885</v>
      </c>
    </row>
    <row r="186" spans="1:15" s="80" customFormat="1" x14ac:dyDescent="0.25">
      <c r="A186" s="79" t="s">
        <v>606</v>
      </c>
      <c r="C186" s="124"/>
      <c r="D186" s="124"/>
      <c r="E186" s="81"/>
      <c r="F186" s="82"/>
      <c r="G186" s="124"/>
      <c r="H186" s="81"/>
      <c r="I186" s="86"/>
      <c r="J186" s="81"/>
      <c r="K186" s="124"/>
      <c r="L186" s="83"/>
      <c r="M186" s="84"/>
      <c r="N186" s="124"/>
      <c r="O186" s="124"/>
    </row>
    <row r="187" spans="1:15" s="95" customFormat="1" x14ac:dyDescent="0.25">
      <c r="A187" s="94" t="s">
        <v>606</v>
      </c>
      <c r="B187" s="95" t="s">
        <v>2074</v>
      </c>
      <c r="C187" s="121" t="s">
        <v>210</v>
      </c>
      <c r="D187" s="121" t="s">
        <v>607</v>
      </c>
      <c r="E187" s="96">
        <v>96.08</v>
      </c>
      <c r="F187" s="77"/>
      <c r="G187" s="121" t="s">
        <v>363</v>
      </c>
      <c r="H187" s="96" t="s">
        <v>363</v>
      </c>
      <c r="I187" s="97">
        <f>596667/10654336</f>
        <v>5.6002269873974317E-2</v>
      </c>
      <c r="J187" s="96">
        <v>9230.31</v>
      </c>
      <c r="K187" s="121" t="s">
        <v>607</v>
      </c>
      <c r="L187" s="98" t="s">
        <v>608</v>
      </c>
      <c r="M187" s="99">
        <v>99.47</v>
      </c>
      <c r="N187" s="121" t="s">
        <v>1888</v>
      </c>
      <c r="O187" s="121" t="s">
        <v>365</v>
      </c>
    </row>
    <row r="188" spans="1:15" s="95" customFormat="1" x14ac:dyDescent="0.25">
      <c r="A188" s="94" t="s">
        <v>606</v>
      </c>
      <c r="B188" s="95" t="s">
        <v>2096</v>
      </c>
      <c r="C188" s="121" t="s">
        <v>302</v>
      </c>
      <c r="D188" s="121" t="s">
        <v>609</v>
      </c>
      <c r="E188" s="96">
        <v>98.74</v>
      </c>
      <c r="F188" s="77"/>
      <c r="G188" s="121" t="s">
        <v>363</v>
      </c>
      <c r="H188" s="96" t="s">
        <v>363</v>
      </c>
      <c r="I188" s="97">
        <f>142252/10654336</f>
        <v>1.3351559402669485E-2</v>
      </c>
      <c r="J188" s="96">
        <v>2515.6</v>
      </c>
      <c r="K188" s="121" t="s">
        <v>609</v>
      </c>
      <c r="L188" s="98" t="s">
        <v>610</v>
      </c>
      <c r="M188" s="99">
        <v>98.74</v>
      </c>
      <c r="N188" s="121" t="s">
        <v>1889</v>
      </c>
      <c r="O188" s="121" t="s">
        <v>365</v>
      </c>
    </row>
    <row r="189" spans="1:15" s="95" customFormat="1" x14ac:dyDescent="0.25">
      <c r="A189" s="94" t="s">
        <v>606</v>
      </c>
      <c r="B189" s="95" t="s">
        <v>2078</v>
      </c>
      <c r="C189" s="121" t="s">
        <v>233</v>
      </c>
      <c r="D189" s="121" t="s">
        <v>535</v>
      </c>
      <c r="E189" s="96" t="s">
        <v>363</v>
      </c>
      <c r="F189" s="77"/>
      <c r="G189" s="121" t="s">
        <v>363</v>
      </c>
      <c r="H189" s="96" t="s">
        <v>363</v>
      </c>
      <c r="I189" s="97">
        <f>165/10654336</f>
        <v>1.548665257037135E-5</v>
      </c>
      <c r="J189" s="96" t="s">
        <v>363</v>
      </c>
      <c r="K189" s="121" t="s">
        <v>363</v>
      </c>
      <c r="L189" s="98" t="s">
        <v>363</v>
      </c>
      <c r="M189" s="99" t="s">
        <v>363</v>
      </c>
      <c r="N189" s="121" t="s">
        <v>363</v>
      </c>
      <c r="O189" s="121" t="s">
        <v>2041</v>
      </c>
    </row>
    <row r="190" spans="1:15" s="95" customFormat="1" x14ac:dyDescent="0.25">
      <c r="A190" s="94" t="s">
        <v>606</v>
      </c>
      <c r="B190" s="100" t="s">
        <v>2070</v>
      </c>
      <c r="C190" s="121" t="s">
        <v>189</v>
      </c>
      <c r="D190" s="121" t="s">
        <v>363</v>
      </c>
      <c r="E190" s="96" t="s">
        <v>363</v>
      </c>
      <c r="F190" s="77"/>
      <c r="G190" s="121" t="s">
        <v>611</v>
      </c>
      <c r="H190" s="96">
        <v>67.02</v>
      </c>
      <c r="I190" s="97">
        <f>686/10654336</f>
        <v>6.4386931292574216E-5</v>
      </c>
      <c r="J190" s="96">
        <v>7.67</v>
      </c>
      <c r="K190" s="121" t="s">
        <v>611</v>
      </c>
      <c r="L190" s="98" t="s">
        <v>612</v>
      </c>
      <c r="M190" s="99">
        <v>67.02</v>
      </c>
      <c r="N190" s="121" t="s">
        <v>1887</v>
      </c>
      <c r="O190" s="121" t="s">
        <v>378</v>
      </c>
    </row>
    <row r="191" spans="1:15" s="80" customFormat="1" x14ac:dyDescent="0.25">
      <c r="A191" s="79" t="s">
        <v>613</v>
      </c>
      <c r="C191" s="124"/>
      <c r="D191" s="124"/>
      <c r="E191" s="81"/>
      <c r="F191" s="82"/>
      <c r="G191" s="124"/>
      <c r="H191" s="81"/>
      <c r="I191" s="86"/>
      <c r="J191" s="81"/>
      <c r="K191" s="124"/>
      <c r="L191" s="83"/>
      <c r="M191" s="84"/>
      <c r="N191" s="124"/>
      <c r="O191" s="124"/>
    </row>
    <row r="192" spans="1:15" s="95" customFormat="1" x14ac:dyDescent="0.25">
      <c r="A192" s="94" t="s">
        <v>613</v>
      </c>
      <c r="B192" s="100" t="s">
        <v>2070</v>
      </c>
      <c r="C192" s="121" t="s">
        <v>189</v>
      </c>
      <c r="D192" s="121" t="s">
        <v>363</v>
      </c>
      <c r="E192" s="96" t="s">
        <v>363</v>
      </c>
      <c r="F192" s="77"/>
      <c r="G192" s="121" t="s">
        <v>614</v>
      </c>
      <c r="H192" s="96">
        <v>67.400000000000006</v>
      </c>
      <c r="I192" s="97">
        <f>26538/10643628</f>
        <v>2.4933227655081517E-3</v>
      </c>
      <c r="J192" s="96">
        <v>295.17</v>
      </c>
      <c r="K192" s="121" t="s">
        <v>614</v>
      </c>
      <c r="L192" s="98" t="s">
        <v>615</v>
      </c>
      <c r="M192" s="99">
        <v>70.05</v>
      </c>
      <c r="N192" s="121" t="s">
        <v>1890</v>
      </c>
      <c r="O192" s="121" t="s">
        <v>378</v>
      </c>
    </row>
    <row r="193" spans="1:16" s="95" customFormat="1" x14ac:dyDescent="0.25">
      <c r="A193" s="94" t="s">
        <v>613</v>
      </c>
      <c r="B193" s="95" t="s">
        <v>114</v>
      </c>
      <c r="C193" s="121" t="s">
        <v>115</v>
      </c>
      <c r="D193" s="121" t="s">
        <v>616</v>
      </c>
      <c r="E193" s="96">
        <v>100</v>
      </c>
      <c r="F193" s="77"/>
      <c r="G193" s="121" t="s">
        <v>363</v>
      </c>
      <c r="H193" s="96" t="s">
        <v>363</v>
      </c>
      <c r="I193" s="97">
        <f>343/10643628</f>
        <v>3.2225853816010858E-5</v>
      </c>
      <c r="J193" s="96">
        <v>14.75</v>
      </c>
      <c r="K193" s="121" t="s">
        <v>616</v>
      </c>
      <c r="L193" s="98" t="s">
        <v>363</v>
      </c>
      <c r="M193" s="99">
        <v>100</v>
      </c>
      <c r="N193" s="121" t="s">
        <v>363</v>
      </c>
      <c r="O193" s="121" t="s">
        <v>370</v>
      </c>
      <c r="P193" s="134"/>
    </row>
    <row r="194" spans="1:16" s="80" customFormat="1" x14ac:dyDescent="0.25">
      <c r="A194" s="79" t="s">
        <v>617</v>
      </c>
      <c r="C194" s="124"/>
      <c r="D194" s="124"/>
      <c r="E194" s="81"/>
      <c r="F194" s="82"/>
      <c r="G194" s="124"/>
      <c r="H194" s="81"/>
      <c r="I194" s="86"/>
      <c r="J194" s="81"/>
      <c r="K194" s="124"/>
      <c r="L194" s="83"/>
      <c r="M194" s="84"/>
      <c r="N194" s="124"/>
      <c r="O194" s="124"/>
    </row>
    <row r="195" spans="1:16" s="95" customFormat="1" x14ac:dyDescent="0.25">
      <c r="A195" s="94" t="s">
        <v>617</v>
      </c>
      <c r="B195" s="95" t="s">
        <v>114</v>
      </c>
      <c r="C195" s="121" t="s">
        <v>115</v>
      </c>
      <c r="D195" s="121" t="s">
        <v>405</v>
      </c>
      <c r="E195" s="96">
        <v>100</v>
      </c>
      <c r="F195" s="77"/>
      <c r="G195" s="121" t="s">
        <v>363</v>
      </c>
      <c r="H195" s="96" t="s">
        <v>363</v>
      </c>
      <c r="I195" s="97">
        <f>465/11057510</f>
        <v>4.2052867236837224E-5</v>
      </c>
      <c r="J195" s="96">
        <v>11.41</v>
      </c>
      <c r="K195" s="121" t="s">
        <v>405</v>
      </c>
      <c r="L195" s="98" t="s">
        <v>363</v>
      </c>
      <c r="M195" s="99">
        <v>100</v>
      </c>
      <c r="N195" s="121" t="s">
        <v>363</v>
      </c>
      <c r="O195" s="121" t="s">
        <v>370</v>
      </c>
    </row>
    <row r="196" spans="1:16" s="95" customFormat="1" x14ac:dyDescent="0.25">
      <c r="A196" s="94" t="s">
        <v>617</v>
      </c>
      <c r="B196" s="100" t="s">
        <v>2154</v>
      </c>
      <c r="C196" s="121" t="s">
        <v>151</v>
      </c>
      <c r="D196" s="121" t="s">
        <v>363</v>
      </c>
      <c r="E196" s="96" t="s">
        <v>363</v>
      </c>
      <c r="F196" s="77"/>
      <c r="G196" s="121" t="s">
        <v>619</v>
      </c>
      <c r="H196" s="96">
        <v>69.569999999999993</v>
      </c>
      <c r="I196" s="97">
        <f>4875/11057510</f>
        <v>4.4087683393458381E-4</v>
      </c>
      <c r="J196" s="96">
        <v>212.82</v>
      </c>
      <c r="K196" s="121" t="s">
        <v>619</v>
      </c>
      <c r="L196" s="98" t="s">
        <v>620</v>
      </c>
      <c r="M196" s="99">
        <v>69.569999999999993</v>
      </c>
      <c r="N196" s="121" t="s">
        <v>1756</v>
      </c>
      <c r="O196" s="121" t="s">
        <v>378</v>
      </c>
    </row>
    <row r="197" spans="1:16" s="95" customFormat="1" x14ac:dyDescent="0.25">
      <c r="A197" s="94" t="s">
        <v>617</v>
      </c>
      <c r="B197" s="100" t="s">
        <v>2155</v>
      </c>
      <c r="C197" s="121" t="s">
        <v>151</v>
      </c>
      <c r="D197" s="121" t="s">
        <v>363</v>
      </c>
      <c r="E197" s="96" t="s">
        <v>363</v>
      </c>
      <c r="F197" s="77"/>
      <c r="G197" s="121" t="s">
        <v>621</v>
      </c>
      <c r="H197" s="96">
        <v>74.03</v>
      </c>
      <c r="I197" s="97">
        <f>9272/11057510</f>
        <v>8.3852512907517157E-4</v>
      </c>
      <c r="J197" s="96">
        <v>481.15</v>
      </c>
      <c r="K197" s="121" t="s">
        <v>621</v>
      </c>
      <c r="L197" s="98" t="s">
        <v>622</v>
      </c>
      <c r="M197" s="99">
        <v>74.03</v>
      </c>
      <c r="N197" s="121" t="s">
        <v>1757</v>
      </c>
      <c r="O197" s="121" t="s">
        <v>378</v>
      </c>
    </row>
    <row r="198" spans="1:16" s="95" customFormat="1" x14ac:dyDescent="0.25">
      <c r="A198" s="94" t="s">
        <v>617</v>
      </c>
      <c r="B198" s="100" t="s">
        <v>2156</v>
      </c>
      <c r="C198" s="121" t="s">
        <v>151</v>
      </c>
      <c r="D198" s="121" t="s">
        <v>363</v>
      </c>
      <c r="E198" s="96" t="s">
        <v>363</v>
      </c>
      <c r="F198" s="77"/>
      <c r="G198" s="121" t="s">
        <v>623</v>
      </c>
      <c r="H198" s="96">
        <v>67.27</v>
      </c>
      <c r="I198" s="97">
        <f>15392/11057510</f>
        <v>1.391995123676126E-3</v>
      </c>
      <c r="J198" s="96">
        <v>1048.57</v>
      </c>
      <c r="K198" s="121" t="s">
        <v>623</v>
      </c>
      <c r="L198" s="98" t="s">
        <v>624</v>
      </c>
      <c r="M198" s="99">
        <v>67.27</v>
      </c>
      <c r="N198" s="121" t="s">
        <v>1758</v>
      </c>
      <c r="O198" s="121" t="s">
        <v>378</v>
      </c>
    </row>
    <row r="199" spans="1:16" s="80" customFormat="1" x14ac:dyDescent="0.25">
      <c r="A199" s="79" t="s">
        <v>625</v>
      </c>
      <c r="C199" s="124"/>
      <c r="D199" s="124"/>
      <c r="E199" s="81"/>
      <c r="F199" s="82"/>
      <c r="G199" s="124"/>
      <c r="H199" s="81"/>
      <c r="I199" s="86"/>
      <c r="J199" s="81"/>
      <c r="K199" s="124"/>
      <c r="L199" s="83"/>
      <c r="M199" s="84"/>
      <c r="N199" s="124"/>
      <c r="O199" s="124"/>
    </row>
    <row r="200" spans="1:16" s="95" customFormat="1" x14ac:dyDescent="0.25">
      <c r="A200" s="94" t="s">
        <v>625</v>
      </c>
      <c r="B200" s="95" t="s">
        <v>114</v>
      </c>
      <c r="C200" s="121" t="s">
        <v>115</v>
      </c>
      <c r="D200" s="121" t="s">
        <v>533</v>
      </c>
      <c r="E200" s="96">
        <v>99.97</v>
      </c>
      <c r="F200" s="77"/>
      <c r="G200" s="121" t="s">
        <v>363</v>
      </c>
      <c r="H200" s="96" t="s">
        <v>363</v>
      </c>
      <c r="I200" s="97">
        <f>951/8683570</f>
        <v>1.0951716862995289E-4</v>
      </c>
      <c r="J200" s="96">
        <v>41.24</v>
      </c>
      <c r="K200" s="121" t="s">
        <v>533</v>
      </c>
      <c r="L200" s="98" t="s">
        <v>626</v>
      </c>
      <c r="M200" s="99">
        <v>99.97</v>
      </c>
      <c r="N200" s="121" t="s">
        <v>1693</v>
      </c>
      <c r="O200" s="121" t="s">
        <v>365</v>
      </c>
    </row>
    <row r="201" spans="1:16" s="95" customFormat="1" x14ac:dyDescent="0.25">
      <c r="A201" s="94" t="s">
        <v>625</v>
      </c>
      <c r="B201" s="95" t="s">
        <v>2089</v>
      </c>
      <c r="C201" s="121" t="s">
        <v>272</v>
      </c>
      <c r="D201" s="121" t="s">
        <v>407</v>
      </c>
      <c r="E201" s="96">
        <v>96.32</v>
      </c>
      <c r="F201" s="77"/>
      <c r="G201" s="121" t="s">
        <v>363</v>
      </c>
      <c r="H201" s="96" t="s">
        <v>363</v>
      </c>
      <c r="I201" s="97">
        <f>234/8683570</f>
        <v>2.6947442123458441E-5</v>
      </c>
      <c r="J201" s="96">
        <v>9.49</v>
      </c>
      <c r="K201" s="121" t="s">
        <v>407</v>
      </c>
      <c r="L201" s="98" t="s">
        <v>363</v>
      </c>
      <c r="M201" s="99">
        <v>96.34</v>
      </c>
      <c r="N201" s="121" t="s">
        <v>363</v>
      </c>
      <c r="O201" s="121" t="s">
        <v>627</v>
      </c>
    </row>
    <row r="202" spans="1:16" s="95" customFormat="1" x14ac:dyDescent="0.25">
      <c r="A202" s="94" t="s">
        <v>625</v>
      </c>
      <c r="B202" s="95" t="s">
        <v>321</v>
      </c>
      <c r="C202" s="121" t="s">
        <v>322</v>
      </c>
      <c r="D202" s="121" t="s">
        <v>628</v>
      </c>
      <c r="E202" s="96">
        <v>96.15</v>
      </c>
      <c r="F202" s="77"/>
      <c r="G202" s="121" t="s">
        <v>363</v>
      </c>
      <c r="H202" s="96" t="s">
        <v>363</v>
      </c>
      <c r="I202" s="97">
        <f>82/8683570</f>
        <v>9.4431207441179147E-6</v>
      </c>
      <c r="J202" s="96">
        <v>4.9000000000000004</v>
      </c>
      <c r="K202" s="121" t="s">
        <v>628</v>
      </c>
      <c r="L202" s="98" t="s">
        <v>629</v>
      </c>
      <c r="M202" s="99">
        <v>93.19</v>
      </c>
      <c r="N202" s="121" t="s">
        <v>1891</v>
      </c>
      <c r="O202" s="121" t="s">
        <v>365</v>
      </c>
    </row>
    <row r="203" spans="1:16" s="80" customFormat="1" x14ac:dyDescent="0.25">
      <c r="A203" s="79" t="s">
        <v>630</v>
      </c>
      <c r="C203" s="124"/>
      <c r="D203" s="124"/>
      <c r="E203" s="81"/>
      <c r="F203" s="82"/>
      <c r="G203" s="124"/>
      <c r="H203" s="81"/>
      <c r="I203" s="86"/>
      <c r="J203" s="81"/>
      <c r="K203" s="124"/>
      <c r="L203" s="83"/>
      <c r="M203" s="84"/>
      <c r="N203" s="124"/>
      <c r="O203" s="124"/>
    </row>
    <row r="204" spans="1:16" s="95" customFormat="1" x14ac:dyDescent="0.25">
      <c r="A204" s="94" t="s">
        <v>630</v>
      </c>
      <c r="B204" s="95" t="s">
        <v>114</v>
      </c>
      <c r="C204" s="121" t="s">
        <v>115</v>
      </c>
      <c r="D204" s="121" t="s">
        <v>405</v>
      </c>
      <c r="E204" s="96">
        <v>100</v>
      </c>
      <c r="F204" s="77"/>
      <c r="G204" s="121" t="s">
        <v>363</v>
      </c>
      <c r="H204" s="96" t="s">
        <v>363</v>
      </c>
      <c r="I204" s="97">
        <f>1450/10809798</f>
        <v>1.3413756667793423E-4</v>
      </c>
      <c r="J204" s="96">
        <v>62.18</v>
      </c>
      <c r="K204" s="121" t="s">
        <v>405</v>
      </c>
      <c r="L204" s="98" t="s">
        <v>363</v>
      </c>
      <c r="M204" s="99">
        <v>100</v>
      </c>
      <c r="N204" s="121" t="s">
        <v>363</v>
      </c>
      <c r="O204" s="121" t="s">
        <v>365</v>
      </c>
    </row>
    <row r="205" spans="1:16" s="95" customFormat="1" x14ac:dyDescent="0.25">
      <c r="A205" s="94" t="s">
        <v>630</v>
      </c>
      <c r="B205" s="95" t="s">
        <v>2074</v>
      </c>
      <c r="C205" s="121" t="s">
        <v>210</v>
      </c>
      <c r="D205" s="121" t="s">
        <v>607</v>
      </c>
      <c r="E205" s="96">
        <v>97.77</v>
      </c>
      <c r="F205" s="77"/>
      <c r="G205" s="121" t="s">
        <v>363</v>
      </c>
      <c r="H205" s="96" t="s">
        <v>363</v>
      </c>
      <c r="I205" s="97">
        <f>1589622/10809798</f>
        <v>0.14705381173635251</v>
      </c>
      <c r="J205" s="96">
        <v>24495.49</v>
      </c>
      <c r="K205" s="121" t="s">
        <v>607</v>
      </c>
      <c r="L205" s="98" t="s">
        <v>631</v>
      </c>
      <c r="M205" s="99">
        <v>99.49</v>
      </c>
      <c r="N205" s="121" t="s">
        <v>1893</v>
      </c>
      <c r="O205" s="121" t="s">
        <v>365</v>
      </c>
    </row>
    <row r="206" spans="1:16" s="95" customFormat="1" x14ac:dyDescent="0.25">
      <c r="A206" s="94" t="s">
        <v>630</v>
      </c>
      <c r="B206" s="95" t="s">
        <v>2120</v>
      </c>
      <c r="C206" s="121" t="s">
        <v>145</v>
      </c>
      <c r="D206" s="121" t="s">
        <v>381</v>
      </c>
      <c r="E206" s="96">
        <v>100</v>
      </c>
      <c r="F206" s="77"/>
      <c r="G206" s="121" t="s">
        <v>363</v>
      </c>
      <c r="H206" s="96" t="s">
        <v>363</v>
      </c>
      <c r="I206" s="97">
        <f>286972/10809798</f>
        <v>2.6547397092896649E-2</v>
      </c>
      <c r="J206" s="96">
        <v>12692.24</v>
      </c>
      <c r="K206" s="121" t="s">
        <v>381</v>
      </c>
      <c r="L206" s="98" t="s">
        <v>632</v>
      </c>
      <c r="M206" s="99">
        <v>98.9</v>
      </c>
      <c r="N206" s="121" t="s">
        <v>1748</v>
      </c>
      <c r="O206" s="121" t="s">
        <v>365</v>
      </c>
    </row>
    <row r="207" spans="1:16" s="95" customFormat="1" x14ac:dyDescent="0.25">
      <c r="A207" s="94" t="s">
        <v>630</v>
      </c>
      <c r="B207" s="95" t="s">
        <v>2121</v>
      </c>
      <c r="C207" s="121" t="s">
        <v>145</v>
      </c>
      <c r="D207" s="121" t="s">
        <v>633</v>
      </c>
      <c r="E207" s="96">
        <v>96.98</v>
      </c>
      <c r="F207" s="77"/>
      <c r="G207" s="121" t="s">
        <v>363</v>
      </c>
      <c r="H207" s="96" t="s">
        <v>363</v>
      </c>
      <c r="I207" s="97">
        <f>542573/10809798</f>
        <v>5.0192704803549523E-2</v>
      </c>
      <c r="J207" s="96">
        <v>12010.42</v>
      </c>
      <c r="K207" s="121" t="s">
        <v>633</v>
      </c>
      <c r="L207" s="98" t="s">
        <v>634</v>
      </c>
      <c r="M207" s="99">
        <v>96.81</v>
      </c>
      <c r="N207" s="121" t="s">
        <v>1750</v>
      </c>
      <c r="O207" s="121" t="s">
        <v>365</v>
      </c>
    </row>
    <row r="208" spans="1:16" s="95" customFormat="1" x14ac:dyDescent="0.25">
      <c r="A208" s="94" t="s">
        <v>630</v>
      </c>
      <c r="B208" s="95" t="s">
        <v>2122</v>
      </c>
      <c r="C208" s="121" t="s">
        <v>145</v>
      </c>
      <c r="D208" s="121" t="s">
        <v>385</v>
      </c>
      <c r="E208" s="96">
        <v>99.14</v>
      </c>
      <c r="F208" s="77"/>
      <c r="G208" s="121" t="s">
        <v>363</v>
      </c>
      <c r="H208" s="96" t="s">
        <v>363</v>
      </c>
      <c r="I208" s="97">
        <f t="shared" ref="I208" si="0">286972/10809798</f>
        <v>2.6547397092896649E-2</v>
      </c>
      <c r="J208" s="96">
        <v>36466.120000000003</v>
      </c>
      <c r="K208" s="121" t="s">
        <v>385</v>
      </c>
      <c r="L208" s="98" t="s">
        <v>635</v>
      </c>
      <c r="M208" s="99">
        <v>99.17</v>
      </c>
      <c r="N208" s="121" t="s">
        <v>1749</v>
      </c>
      <c r="O208" s="121" t="s">
        <v>365</v>
      </c>
    </row>
    <row r="209" spans="1:15" s="95" customFormat="1" x14ac:dyDescent="0.25">
      <c r="A209" s="94" t="s">
        <v>630</v>
      </c>
      <c r="B209" s="100" t="s">
        <v>2070</v>
      </c>
      <c r="C209" s="121" t="s">
        <v>189</v>
      </c>
      <c r="D209" s="121" t="s">
        <v>363</v>
      </c>
      <c r="E209" s="96" t="s">
        <v>363</v>
      </c>
      <c r="F209" s="77"/>
      <c r="G209" s="121" t="s">
        <v>611</v>
      </c>
      <c r="H209" s="96">
        <v>67.819999999999993</v>
      </c>
      <c r="I209" s="97">
        <f>184213/10809798</f>
        <v>1.7041299014098135E-2</v>
      </c>
      <c r="J209" s="96">
        <v>2040.29</v>
      </c>
      <c r="K209" s="121" t="s">
        <v>611</v>
      </c>
      <c r="L209" s="98" t="s">
        <v>636</v>
      </c>
      <c r="M209" s="99">
        <v>67.819999999999993</v>
      </c>
      <c r="N209" s="121" t="s">
        <v>1892</v>
      </c>
      <c r="O209" s="121" t="s">
        <v>378</v>
      </c>
    </row>
    <row r="210" spans="1:15" s="80" customFormat="1" x14ac:dyDescent="0.25">
      <c r="A210" s="79" t="s">
        <v>637</v>
      </c>
      <c r="C210" s="124"/>
      <c r="D210" s="124"/>
      <c r="E210" s="81"/>
      <c r="F210" s="82"/>
      <c r="G210" s="124"/>
      <c r="H210" s="81"/>
      <c r="I210" s="86"/>
      <c r="J210" s="81"/>
      <c r="K210" s="124"/>
      <c r="L210" s="83"/>
      <c r="M210" s="84"/>
      <c r="N210" s="124"/>
      <c r="O210" s="124"/>
    </row>
    <row r="211" spans="1:15" s="95" customFormat="1" x14ac:dyDescent="0.25">
      <c r="A211" s="94" t="s">
        <v>637</v>
      </c>
      <c r="B211" s="95" t="s">
        <v>2074</v>
      </c>
      <c r="C211" s="121" t="s">
        <v>210</v>
      </c>
      <c r="D211" s="121" t="s">
        <v>607</v>
      </c>
      <c r="E211" s="96">
        <v>97.06</v>
      </c>
      <c r="F211" s="77"/>
      <c r="G211" s="121" t="s">
        <v>363</v>
      </c>
      <c r="H211" s="96" t="s">
        <v>363</v>
      </c>
      <c r="I211" s="97">
        <f>656991/11681046</f>
        <v>5.6244192514951143E-2</v>
      </c>
      <c r="J211" s="96">
        <v>10169.76</v>
      </c>
      <c r="K211" s="121" t="s">
        <v>607</v>
      </c>
      <c r="L211" s="98" t="s">
        <v>631</v>
      </c>
      <c r="M211" s="99">
        <v>99.44</v>
      </c>
      <c r="N211" s="121" t="s">
        <v>1894</v>
      </c>
      <c r="O211" s="121" t="s">
        <v>365</v>
      </c>
    </row>
    <row r="212" spans="1:15" s="95" customFormat="1" x14ac:dyDescent="0.25">
      <c r="A212" s="94" t="s">
        <v>637</v>
      </c>
      <c r="B212" s="95" t="s">
        <v>2095</v>
      </c>
      <c r="C212" s="121" t="s">
        <v>301</v>
      </c>
      <c r="D212" s="121" t="s">
        <v>638</v>
      </c>
      <c r="E212" s="96">
        <v>97.02</v>
      </c>
      <c r="F212" s="77"/>
      <c r="G212" s="121" t="s">
        <v>363</v>
      </c>
      <c r="H212" s="96" t="s">
        <v>363</v>
      </c>
      <c r="I212" s="97">
        <f>218149/11681046</f>
        <v>1.8675467933265567E-2</v>
      </c>
      <c r="J212" s="96">
        <v>3843.19</v>
      </c>
      <c r="K212" s="121" t="s">
        <v>638</v>
      </c>
      <c r="L212" s="98" t="s">
        <v>639</v>
      </c>
      <c r="M212" s="99">
        <v>97.02</v>
      </c>
      <c r="N212" s="121" t="s">
        <v>1895</v>
      </c>
      <c r="O212" s="121" t="s">
        <v>365</v>
      </c>
    </row>
    <row r="213" spans="1:15" s="95" customFormat="1" x14ac:dyDescent="0.25">
      <c r="A213" s="94" t="s">
        <v>637</v>
      </c>
      <c r="B213" s="95" t="s">
        <v>2120</v>
      </c>
      <c r="C213" s="121" t="s">
        <v>145</v>
      </c>
      <c r="D213" s="121" t="s">
        <v>640</v>
      </c>
      <c r="E213" s="96">
        <v>94.62</v>
      </c>
      <c r="F213" s="77"/>
      <c r="G213" s="121" t="s">
        <v>363</v>
      </c>
      <c r="H213" s="96" t="s">
        <v>363</v>
      </c>
      <c r="I213" s="97">
        <f>230190/11681046</f>
        <v>1.9706283153066943E-2</v>
      </c>
      <c r="J213" s="96">
        <v>10237.36</v>
      </c>
      <c r="K213" s="121" t="s">
        <v>640</v>
      </c>
      <c r="L213" s="98" t="s">
        <v>641</v>
      </c>
      <c r="M213" s="99">
        <v>94.02</v>
      </c>
      <c r="N213" s="121" t="s">
        <v>1737</v>
      </c>
      <c r="O213" s="121" t="s">
        <v>365</v>
      </c>
    </row>
    <row r="214" spans="1:15" s="95" customFormat="1" x14ac:dyDescent="0.25">
      <c r="A214" s="94" t="s">
        <v>637</v>
      </c>
      <c r="B214" s="95" t="s">
        <v>2121</v>
      </c>
      <c r="C214" s="121" t="s">
        <v>145</v>
      </c>
      <c r="D214" s="121" t="s">
        <v>642</v>
      </c>
      <c r="E214" s="96">
        <v>96.28</v>
      </c>
      <c r="F214" s="77"/>
      <c r="G214" s="121" t="s">
        <v>363</v>
      </c>
      <c r="H214" s="96" t="s">
        <v>363</v>
      </c>
      <c r="I214" s="97">
        <f>206152/11681046</f>
        <v>1.7648419499418116E-2</v>
      </c>
      <c r="J214" s="96">
        <v>10088.19</v>
      </c>
      <c r="K214" s="121" t="s">
        <v>642</v>
      </c>
      <c r="L214" s="98" t="s">
        <v>643</v>
      </c>
      <c r="M214" s="99">
        <v>96.58</v>
      </c>
      <c r="N214" s="121" t="s">
        <v>1735</v>
      </c>
      <c r="O214" s="121" t="s">
        <v>365</v>
      </c>
    </row>
    <row r="215" spans="1:15" s="95" customFormat="1" x14ac:dyDescent="0.25">
      <c r="A215" s="94" t="s">
        <v>637</v>
      </c>
      <c r="B215" s="95" t="s">
        <v>2122</v>
      </c>
      <c r="C215" s="121" t="s">
        <v>145</v>
      </c>
      <c r="D215" s="121" t="s">
        <v>385</v>
      </c>
      <c r="E215" s="96">
        <v>98.87</v>
      </c>
      <c r="F215" s="77"/>
      <c r="G215" s="121" t="s">
        <v>363</v>
      </c>
      <c r="H215" s="96" t="s">
        <v>363</v>
      </c>
      <c r="I215" s="97">
        <f>452586/11681046</f>
        <v>3.8745331539658347E-2</v>
      </c>
      <c r="J215" s="96">
        <v>30600.28</v>
      </c>
      <c r="K215" s="121" t="s">
        <v>385</v>
      </c>
      <c r="L215" s="98" t="s">
        <v>644</v>
      </c>
      <c r="M215" s="99">
        <v>99.07</v>
      </c>
      <c r="N215" s="121" t="s">
        <v>1736</v>
      </c>
      <c r="O215" s="121" t="s">
        <v>365</v>
      </c>
    </row>
    <row r="216" spans="1:15" s="95" customFormat="1" x14ac:dyDescent="0.25">
      <c r="A216" s="94" t="s">
        <v>637</v>
      </c>
      <c r="B216" s="100" t="s">
        <v>2067</v>
      </c>
      <c r="C216" s="121" t="s">
        <v>468</v>
      </c>
      <c r="D216" s="121" t="s">
        <v>363</v>
      </c>
      <c r="E216" s="96" t="s">
        <v>363</v>
      </c>
      <c r="F216" s="77"/>
      <c r="G216" s="121" t="s">
        <v>469</v>
      </c>
      <c r="H216" s="96">
        <v>35.06</v>
      </c>
      <c r="I216" s="97">
        <f>523/11681046</f>
        <v>4.4773387588748477E-5</v>
      </c>
      <c r="J216" s="96">
        <v>11.98</v>
      </c>
      <c r="K216" s="121" t="s">
        <v>469</v>
      </c>
      <c r="L216" s="98" t="s">
        <v>645</v>
      </c>
      <c r="M216" s="96">
        <v>35.06</v>
      </c>
      <c r="N216" s="121" t="s">
        <v>1896</v>
      </c>
      <c r="O216" s="121" t="s">
        <v>646</v>
      </c>
    </row>
    <row r="217" spans="1:15" s="95" customFormat="1" x14ac:dyDescent="0.25">
      <c r="A217" s="94" t="s">
        <v>637</v>
      </c>
      <c r="B217" s="100" t="s">
        <v>2111</v>
      </c>
      <c r="C217" s="121" t="s">
        <v>339</v>
      </c>
      <c r="D217" s="121" t="s">
        <v>363</v>
      </c>
      <c r="E217" s="96" t="s">
        <v>363</v>
      </c>
      <c r="F217" s="77"/>
      <c r="G217" s="121" t="s">
        <v>543</v>
      </c>
      <c r="H217" s="96">
        <v>71.17</v>
      </c>
      <c r="I217" s="97">
        <f>83/11681046</f>
        <v>7.1055280494572144E-6</v>
      </c>
      <c r="J217" s="96">
        <v>8.32</v>
      </c>
      <c r="K217" s="121" t="s">
        <v>543</v>
      </c>
      <c r="L217" s="98" t="s">
        <v>647</v>
      </c>
      <c r="M217" s="99">
        <v>71.17</v>
      </c>
      <c r="N217" s="121" t="s">
        <v>1897</v>
      </c>
      <c r="O217" s="121" t="s">
        <v>648</v>
      </c>
    </row>
    <row r="218" spans="1:15" s="80" customFormat="1" x14ac:dyDescent="0.25">
      <c r="A218" s="79" t="s">
        <v>649</v>
      </c>
      <c r="C218" s="124"/>
      <c r="D218" s="124"/>
      <c r="E218" s="81"/>
      <c r="F218" s="82"/>
      <c r="G218" s="124"/>
      <c r="H218" s="81"/>
      <c r="I218" s="86"/>
      <c r="J218" s="81"/>
      <c r="K218" s="124"/>
      <c r="L218" s="83"/>
      <c r="M218" s="84"/>
      <c r="N218" s="124"/>
      <c r="O218" s="124"/>
    </row>
    <row r="219" spans="1:15" s="95" customFormat="1" x14ac:dyDescent="0.25">
      <c r="A219" s="94" t="s">
        <v>649</v>
      </c>
      <c r="B219" s="95" t="s">
        <v>2074</v>
      </c>
      <c r="C219" s="121" t="s">
        <v>210</v>
      </c>
      <c r="D219" s="121" t="s">
        <v>650</v>
      </c>
      <c r="E219" s="96">
        <v>98.18</v>
      </c>
      <c r="F219" s="77"/>
      <c r="G219" s="121" t="s">
        <v>363</v>
      </c>
      <c r="H219" s="96" t="s">
        <v>363</v>
      </c>
      <c r="I219" s="97">
        <f>5436670/13060682</f>
        <v>0.41626233607096474</v>
      </c>
      <c r="J219" s="96">
        <v>85069.36</v>
      </c>
      <c r="K219" s="121" t="s">
        <v>650</v>
      </c>
      <c r="L219" s="98" t="s">
        <v>651</v>
      </c>
      <c r="M219" s="99">
        <v>99.85</v>
      </c>
      <c r="N219" s="121" t="s">
        <v>1898</v>
      </c>
      <c r="O219" s="121" t="s">
        <v>365</v>
      </c>
    </row>
    <row r="220" spans="1:15" s="95" customFormat="1" x14ac:dyDescent="0.25">
      <c r="A220" s="94" t="s">
        <v>649</v>
      </c>
      <c r="B220" s="95" t="s">
        <v>114</v>
      </c>
      <c r="C220" s="121" t="s">
        <v>115</v>
      </c>
      <c r="D220" s="121" t="s">
        <v>616</v>
      </c>
      <c r="E220" s="96">
        <v>99.82</v>
      </c>
      <c r="F220" s="77"/>
      <c r="G220" s="121" t="s">
        <v>363</v>
      </c>
      <c r="H220" s="96" t="s">
        <v>363</v>
      </c>
      <c r="I220" s="97">
        <f>2737/13060682</f>
        <v>2.0956026645469202E-4</v>
      </c>
      <c r="J220" s="96">
        <v>119.29</v>
      </c>
      <c r="K220" s="121" t="s">
        <v>616</v>
      </c>
      <c r="L220" s="98" t="s">
        <v>652</v>
      </c>
      <c r="M220" s="99">
        <v>99.82</v>
      </c>
      <c r="N220" s="121" t="s">
        <v>1705</v>
      </c>
      <c r="O220" s="121" t="s">
        <v>365</v>
      </c>
    </row>
    <row r="221" spans="1:15" s="95" customFormat="1" x14ac:dyDescent="0.25">
      <c r="A221" s="94" t="s">
        <v>649</v>
      </c>
      <c r="B221" s="100" t="s">
        <v>2112</v>
      </c>
      <c r="C221" s="121" t="s">
        <v>340</v>
      </c>
      <c r="D221" s="121" t="s">
        <v>363</v>
      </c>
      <c r="E221" s="96" t="s">
        <v>363</v>
      </c>
      <c r="F221" s="77"/>
      <c r="G221" s="121" t="s">
        <v>497</v>
      </c>
      <c r="H221" s="99">
        <v>70</v>
      </c>
      <c r="I221" s="97">
        <f>387/13060682</f>
        <v>2.9630918201668181E-5</v>
      </c>
      <c r="J221" s="96">
        <v>16.98</v>
      </c>
      <c r="K221" s="121" t="s">
        <v>497</v>
      </c>
      <c r="L221" s="98" t="s">
        <v>498</v>
      </c>
      <c r="M221" s="99">
        <v>70</v>
      </c>
      <c r="N221" s="121" t="s">
        <v>1899</v>
      </c>
      <c r="O221" s="121" t="s">
        <v>378</v>
      </c>
    </row>
    <row r="222" spans="1:15" s="95" customFormat="1" x14ac:dyDescent="0.25">
      <c r="A222" s="94" t="s">
        <v>649</v>
      </c>
      <c r="B222" s="95" t="s">
        <v>2120</v>
      </c>
      <c r="C222" s="121" t="s">
        <v>145</v>
      </c>
      <c r="D222" s="121" t="s">
        <v>640</v>
      </c>
      <c r="E222" s="96" t="s">
        <v>363</v>
      </c>
      <c r="F222" s="77"/>
      <c r="G222" s="121" t="s">
        <v>363</v>
      </c>
      <c r="H222" s="96" t="s">
        <v>363</v>
      </c>
      <c r="I222" s="97">
        <f>65/13060682</f>
        <v>4.9767692069985322E-6</v>
      </c>
      <c r="J222" s="96" t="s">
        <v>363</v>
      </c>
      <c r="K222" s="121" t="s">
        <v>640</v>
      </c>
      <c r="L222" s="98" t="s">
        <v>363</v>
      </c>
      <c r="M222" s="99" t="s">
        <v>363</v>
      </c>
      <c r="N222" s="121" t="s">
        <v>363</v>
      </c>
      <c r="O222" s="121" t="s">
        <v>2171</v>
      </c>
    </row>
    <row r="223" spans="1:15" s="95" customFormat="1" x14ac:dyDescent="0.25">
      <c r="A223" s="94" t="s">
        <v>649</v>
      </c>
      <c r="B223" s="95" t="s">
        <v>2121</v>
      </c>
      <c r="C223" s="121" t="s">
        <v>145</v>
      </c>
      <c r="D223" s="121" t="s">
        <v>642</v>
      </c>
      <c r="E223" s="96" t="s">
        <v>363</v>
      </c>
      <c r="F223" s="77"/>
      <c r="G223" s="121" t="s">
        <v>363</v>
      </c>
      <c r="H223" s="96" t="s">
        <v>363</v>
      </c>
      <c r="I223" s="97">
        <f>56/13060682</f>
        <v>4.2876780860295047E-6</v>
      </c>
      <c r="J223" s="96" t="s">
        <v>363</v>
      </c>
      <c r="K223" s="121" t="s">
        <v>642</v>
      </c>
      <c r="L223" s="98" t="s">
        <v>363</v>
      </c>
      <c r="M223" s="99" t="s">
        <v>363</v>
      </c>
      <c r="N223" s="121" t="s">
        <v>363</v>
      </c>
      <c r="O223" s="121" t="s">
        <v>2171</v>
      </c>
    </row>
    <row r="224" spans="1:15" s="95" customFormat="1" x14ac:dyDescent="0.25">
      <c r="A224" s="94" t="s">
        <v>649</v>
      </c>
      <c r="B224" s="95" t="s">
        <v>2122</v>
      </c>
      <c r="C224" s="121" t="s">
        <v>145</v>
      </c>
      <c r="D224" s="121" t="s">
        <v>385</v>
      </c>
      <c r="E224" s="96" t="s">
        <v>363</v>
      </c>
      <c r="F224" s="77"/>
      <c r="G224" s="121" t="s">
        <v>363</v>
      </c>
      <c r="H224" s="96" t="s">
        <v>363</v>
      </c>
      <c r="I224" s="97">
        <f>89/13060682</f>
        <v>6.8143455295826049E-6</v>
      </c>
      <c r="J224" s="96" t="s">
        <v>363</v>
      </c>
      <c r="K224" s="121" t="s">
        <v>385</v>
      </c>
      <c r="L224" s="98" t="s">
        <v>363</v>
      </c>
      <c r="M224" s="99" t="s">
        <v>363</v>
      </c>
      <c r="N224" s="121" t="s">
        <v>363</v>
      </c>
      <c r="O224" s="121" t="s">
        <v>2171</v>
      </c>
    </row>
    <row r="225" spans="1:15" s="95" customFormat="1" x14ac:dyDescent="0.25">
      <c r="A225" s="94" t="s">
        <v>649</v>
      </c>
      <c r="B225" s="95" t="s">
        <v>341</v>
      </c>
      <c r="C225" s="121" t="s">
        <v>342</v>
      </c>
      <c r="D225" s="121" t="s">
        <v>363</v>
      </c>
      <c r="E225" s="96" t="s">
        <v>363</v>
      </c>
      <c r="F225" s="77"/>
      <c r="G225" s="121" t="s">
        <v>428</v>
      </c>
      <c r="H225" s="99">
        <v>95.89</v>
      </c>
      <c r="I225" s="97">
        <f>106/13060682</f>
        <v>8.1159620914129909E-6</v>
      </c>
      <c r="J225" s="96">
        <v>4.99</v>
      </c>
      <c r="K225" s="121" t="s">
        <v>428</v>
      </c>
      <c r="L225" s="98" t="s">
        <v>363</v>
      </c>
      <c r="M225" s="99">
        <v>95.89</v>
      </c>
      <c r="N225" s="121" t="s">
        <v>363</v>
      </c>
      <c r="O225" s="121" t="s">
        <v>2041</v>
      </c>
    </row>
    <row r="226" spans="1:15" s="80" customFormat="1" x14ac:dyDescent="0.25">
      <c r="A226" s="79" t="s">
        <v>653</v>
      </c>
      <c r="C226" s="124"/>
      <c r="D226" s="124"/>
      <c r="E226" s="81"/>
      <c r="F226" s="82"/>
      <c r="G226" s="124"/>
      <c r="H226" s="81"/>
      <c r="I226" s="86"/>
      <c r="J226" s="81"/>
      <c r="K226" s="124"/>
      <c r="L226" s="83"/>
      <c r="M226" s="84"/>
      <c r="N226" s="124"/>
      <c r="O226" s="124"/>
    </row>
    <row r="227" spans="1:15" s="95" customFormat="1" x14ac:dyDescent="0.25">
      <c r="A227" s="94" t="s">
        <v>653</v>
      </c>
      <c r="B227" s="95" t="s">
        <v>2066</v>
      </c>
      <c r="C227" s="121" t="s">
        <v>171</v>
      </c>
      <c r="D227" s="121" t="s">
        <v>367</v>
      </c>
      <c r="E227" s="96">
        <v>99.5</v>
      </c>
      <c r="F227" s="77"/>
      <c r="G227" s="121" t="s">
        <v>363</v>
      </c>
      <c r="H227" s="96" t="s">
        <v>363</v>
      </c>
      <c r="I227" s="97">
        <f>8566/10613368</f>
        <v>8.0709535370864362E-4</v>
      </c>
      <c r="J227" s="96">
        <v>201.46</v>
      </c>
      <c r="K227" s="121" t="s">
        <v>367</v>
      </c>
      <c r="L227" s="98" t="s">
        <v>654</v>
      </c>
      <c r="M227" s="99">
        <v>99.5</v>
      </c>
      <c r="N227" s="121" t="s">
        <v>1900</v>
      </c>
      <c r="O227" s="121" t="s">
        <v>365</v>
      </c>
    </row>
    <row r="228" spans="1:15" s="95" customFormat="1" x14ac:dyDescent="0.25">
      <c r="A228" s="94" t="s">
        <v>653</v>
      </c>
      <c r="B228" s="95" t="s">
        <v>2074</v>
      </c>
      <c r="C228" s="121" t="s">
        <v>210</v>
      </c>
      <c r="D228" s="121" t="s">
        <v>363</v>
      </c>
      <c r="E228" s="96" t="s">
        <v>363</v>
      </c>
      <c r="F228" s="77"/>
      <c r="G228" s="121" t="s">
        <v>655</v>
      </c>
      <c r="H228" s="96">
        <v>99.79</v>
      </c>
      <c r="I228" s="97">
        <f>4714/10613368</f>
        <v>4.4415684069373644E-4</v>
      </c>
      <c r="J228" s="96">
        <v>72.91</v>
      </c>
      <c r="K228" s="121" t="s">
        <v>655</v>
      </c>
      <c r="L228" s="98" t="s">
        <v>656</v>
      </c>
      <c r="M228" s="99">
        <v>99.79</v>
      </c>
      <c r="N228" s="121" t="s">
        <v>1901</v>
      </c>
      <c r="O228" s="121" t="s">
        <v>365</v>
      </c>
    </row>
    <row r="229" spans="1:15" s="95" customFormat="1" x14ac:dyDescent="0.25">
      <c r="A229" s="94" t="s">
        <v>653</v>
      </c>
      <c r="B229" s="95" t="s">
        <v>241</v>
      </c>
      <c r="C229" s="121" t="s">
        <v>242</v>
      </c>
      <c r="D229" s="121" t="s">
        <v>657</v>
      </c>
      <c r="E229" s="96">
        <v>99.06</v>
      </c>
      <c r="F229" s="77"/>
      <c r="G229" s="121" t="s">
        <v>363</v>
      </c>
      <c r="H229" s="96" t="s">
        <v>363</v>
      </c>
      <c r="I229" s="97">
        <f>1816/10613368</f>
        <v>1.7110496875261463E-4</v>
      </c>
      <c r="J229" s="96">
        <v>27.34</v>
      </c>
      <c r="K229" s="121" t="s">
        <v>657</v>
      </c>
      <c r="L229" s="98" t="s">
        <v>658</v>
      </c>
      <c r="M229" s="99">
        <v>99.06</v>
      </c>
      <c r="N229" s="121" t="s">
        <v>1902</v>
      </c>
      <c r="O229" s="121" t="s">
        <v>365</v>
      </c>
    </row>
    <row r="230" spans="1:15" s="80" customFormat="1" x14ac:dyDescent="0.25">
      <c r="A230" s="79" t="s">
        <v>659</v>
      </c>
      <c r="C230" s="124"/>
      <c r="D230" s="124"/>
      <c r="E230" s="81"/>
      <c r="F230" s="82"/>
      <c r="G230" s="124"/>
      <c r="H230" s="81"/>
      <c r="I230" s="86"/>
      <c r="J230" s="81"/>
      <c r="K230" s="124"/>
      <c r="L230" s="83"/>
      <c r="M230" s="84"/>
      <c r="N230" s="124"/>
      <c r="O230" s="124"/>
    </row>
    <row r="231" spans="1:15" s="95" customFormat="1" x14ac:dyDescent="0.25">
      <c r="A231" s="94" t="s">
        <v>659</v>
      </c>
      <c r="B231" s="95" t="s">
        <v>2066</v>
      </c>
      <c r="C231" s="121" t="s">
        <v>171</v>
      </c>
      <c r="D231" s="121" t="s">
        <v>367</v>
      </c>
      <c r="E231" s="96">
        <v>97.75</v>
      </c>
      <c r="F231" s="115"/>
      <c r="G231" s="121" t="s">
        <v>363</v>
      </c>
      <c r="H231" s="96" t="s">
        <v>363</v>
      </c>
      <c r="I231" s="97">
        <f>243/9177962</f>
        <v>2.6476466126139987E-5</v>
      </c>
      <c r="J231" s="96">
        <v>5.7</v>
      </c>
      <c r="K231" s="121" t="s">
        <v>367</v>
      </c>
      <c r="L231" s="98" t="s">
        <v>363</v>
      </c>
      <c r="M231" s="96">
        <v>97.75</v>
      </c>
      <c r="N231" s="121" t="s">
        <v>363</v>
      </c>
      <c r="O231" s="121" t="s">
        <v>2041</v>
      </c>
    </row>
    <row r="232" spans="1:15" s="95" customFormat="1" x14ac:dyDescent="0.25">
      <c r="A232" s="94" t="s">
        <v>659</v>
      </c>
      <c r="B232" s="95" t="s">
        <v>2089</v>
      </c>
      <c r="C232" s="121" t="s">
        <v>272</v>
      </c>
      <c r="D232" s="121" t="s">
        <v>407</v>
      </c>
      <c r="E232" s="96">
        <v>96.91</v>
      </c>
      <c r="F232" s="115"/>
      <c r="G232" s="121" t="s">
        <v>363</v>
      </c>
      <c r="H232" s="96" t="s">
        <v>363</v>
      </c>
      <c r="I232" s="97">
        <f>54/9177962</f>
        <v>5.8836591391422187E-6</v>
      </c>
      <c r="J232" s="96">
        <v>1.65</v>
      </c>
      <c r="K232" s="121" t="s">
        <v>407</v>
      </c>
      <c r="L232" s="98" t="s">
        <v>363</v>
      </c>
      <c r="M232" s="96">
        <v>96.91</v>
      </c>
      <c r="N232" s="121" t="s">
        <v>363</v>
      </c>
      <c r="O232" s="121" t="s">
        <v>2041</v>
      </c>
    </row>
    <row r="233" spans="1:15" s="95" customFormat="1" x14ac:dyDescent="0.25">
      <c r="A233" s="94" t="s">
        <v>659</v>
      </c>
      <c r="B233" s="95" t="s">
        <v>114</v>
      </c>
      <c r="C233" s="121" t="s">
        <v>115</v>
      </c>
      <c r="D233" s="121" t="s">
        <v>533</v>
      </c>
      <c r="E233" s="96">
        <v>100</v>
      </c>
      <c r="F233" s="115"/>
      <c r="G233" s="121" t="s">
        <v>363</v>
      </c>
      <c r="H233" s="96" t="s">
        <v>363</v>
      </c>
      <c r="I233" s="97">
        <f>72/9177962</f>
        <v>7.8448788521896261E-6</v>
      </c>
      <c r="J233" s="96">
        <v>3.12</v>
      </c>
      <c r="K233" s="121" t="s">
        <v>533</v>
      </c>
      <c r="L233" s="98" t="s">
        <v>363</v>
      </c>
      <c r="M233" s="96">
        <v>100</v>
      </c>
      <c r="N233" s="121" t="s">
        <v>363</v>
      </c>
      <c r="O233" s="121" t="s">
        <v>2041</v>
      </c>
    </row>
    <row r="234" spans="1:15" s="80" customFormat="1" x14ac:dyDescent="0.25">
      <c r="A234" s="79" t="s">
        <v>660</v>
      </c>
      <c r="C234" s="124"/>
      <c r="D234" s="124"/>
      <c r="E234" s="81"/>
      <c r="F234" s="82"/>
      <c r="G234" s="124"/>
      <c r="H234" s="81"/>
      <c r="I234" s="86"/>
      <c r="J234" s="81"/>
      <c r="K234" s="124"/>
      <c r="L234" s="83"/>
      <c r="M234" s="84"/>
      <c r="N234" s="124"/>
      <c r="O234" s="124"/>
    </row>
    <row r="235" spans="1:15" s="95" customFormat="1" x14ac:dyDescent="0.25">
      <c r="A235" s="94" t="s">
        <v>660</v>
      </c>
      <c r="B235" s="95" t="s">
        <v>2074</v>
      </c>
      <c r="C235" s="121" t="s">
        <v>210</v>
      </c>
      <c r="D235" s="121" t="s">
        <v>661</v>
      </c>
      <c r="E235" s="96">
        <v>97.68</v>
      </c>
      <c r="F235" s="77"/>
      <c r="G235" s="121" t="s">
        <v>363</v>
      </c>
      <c r="H235" s="96" t="s">
        <v>363</v>
      </c>
      <c r="I235" s="97">
        <f>569579/13482850</f>
        <v>4.2244703456613401E-2</v>
      </c>
      <c r="J235" s="96">
        <v>8824.2000000000007</v>
      </c>
      <c r="K235" s="121" t="s">
        <v>661</v>
      </c>
      <c r="L235" s="98" t="s">
        <v>662</v>
      </c>
      <c r="M235" s="99">
        <v>99.3</v>
      </c>
      <c r="N235" s="121" t="s">
        <v>1903</v>
      </c>
      <c r="O235" s="121" t="s">
        <v>365</v>
      </c>
    </row>
    <row r="236" spans="1:15" s="95" customFormat="1" x14ac:dyDescent="0.25">
      <c r="A236" s="94" t="s">
        <v>660</v>
      </c>
      <c r="B236" s="95" t="s">
        <v>2066</v>
      </c>
      <c r="C236" s="121" t="s">
        <v>171</v>
      </c>
      <c r="D236" s="121" t="s">
        <v>367</v>
      </c>
      <c r="E236" s="96">
        <v>99.5</v>
      </c>
      <c r="F236" s="77"/>
      <c r="G236" s="121" t="s">
        <v>363</v>
      </c>
      <c r="H236" s="96" t="s">
        <v>363</v>
      </c>
      <c r="I236" s="97">
        <f>469/13482850</f>
        <v>3.4784930485765252E-5</v>
      </c>
      <c r="J236" s="96">
        <v>10.98</v>
      </c>
      <c r="K236" s="121" t="s">
        <v>367</v>
      </c>
      <c r="L236" s="98" t="s">
        <v>663</v>
      </c>
      <c r="M236" s="99">
        <v>99.4</v>
      </c>
      <c r="N236" s="121" t="s">
        <v>1904</v>
      </c>
      <c r="O236" s="121" t="s">
        <v>365</v>
      </c>
    </row>
    <row r="237" spans="1:15" s="95" customFormat="1" x14ac:dyDescent="0.25">
      <c r="A237" s="94" t="s">
        <v>660</v>
      </c>
      <c r="B237" s="95" t="s">
        <v>114</v>
      </c>
      <c r="C237" s="121" t="s">
        <v>115</v>
      </c>
      <c r="D237" s="121" t="s">
        <v>664</v>
      </c>
      <c r="E237" s="96">
        <v>99.5</v>
      </c>
      <c r="F237" s="77"/>
      <c r="G237" s="121" t="s">
        <v>363</v>
      </c>
      <c r="H237" s="96" t="s">
        <v>363</v>
      </c>
      <c r="I237" s="97">
        <f>1241/13482850</f>
        <v>9.2042854441012095E-5</v>
      </c>
      <c r="J237" s="96">
        <v>53.7</v>
      </c>
      <c r="K237" s="121" t="s">
        <v>664</v>
      </c>
      <c r="L237" s="98" t="s">
        <v>665</v>
      </c>
      <c r="M237" s="99">
        <v>99.36</v>
      </c>
      <c r="N237" s="121" t="s">
        <v>1691</v>
      </c>
      <c r="O237" s="121" t="s">
        <v>365</v>
      </c>
    </row>
    <row r="238" spans="1:15" s="95" customFormat="1" x14ac:dyDescent="0.25">
      <c r="A238" s="94" t="s">
        <v>660</v>
      </c>
      <c r="B238" s="95" t="s">
        <v>2120</v>
      </c>
      <c r="C238" s="121" t="s">
        <v>145</v>
      </c>
      <c r="D238" s="121" t="s">
        <v>381</v>
      </c>
      <c r="E238" s="96">
        <v>99.11</v>
      </c>
      <c r="F238" s="77"/>
      <c r="G238" s="121" t="s">
        <v>363</v>
      </c>
      <c r="H238" s="96" t="s">
        <v>363</v>
      </c>
      <c r="I238" s="97">
        <f>3962543/13482850</f>
        <v>0.29389505927901</v>
      </c>
      <c r="J238" s="96">
        <v>177136.45</v>
      </c>
      <c r="K238" s="121" t="s">
        <v>381</v>
      </c>
      <c r="L238" s="98" t="s">
        <v>666</v>
      </c>
      <c r="M238" s="99">
        <v>99.11</v>
      </c>
      <c r="N238" s="121" t="s">
        <v>1732</v>
      </c>
      <c r="O238" s="121" t="s">
        <v>365</v>
      </c>
    </row>
    <row r="239" spans="1:15" s="95" customFormat="1" x14ac:dyDescent="0.25">
      <c r="A239" s="94" t="s">
        <v>660</v>
      </c>
      <c r="B239" s="95" t="s">
        <v>2121</v>
      </c>
      <c r="C239" s="121" t="s">
        <v>145</v>
      </c>
      <c r="D239" s="121" t="s">
        <v>667</v>
      </c>
      <c r="E239" s="96">
        <v>99.08</v>
      </c>
      <c r="F239" s="77"/>
      <c r="G239" s="121" t="s">
        <v>363</v>
      </c>
      <c r="H239" s="96" t="s">
        <v>363</v>
      </c>
      <c r="I239" s="97">
        <f>2831123/13482850</f>
        <v>0.2099795666346507</v>
      </c>
      <c r="J239" s="96">
        <v>139195.19</v>
      </c>
      <c r="K239" s="121" t="s">
        <v>667</v>
      </c>
      <c r="L239" s="98" t="s">
        <v>668</v>
      </c>
      <c r="M239" s="99">
        <v>99.08</v>
      </c>
      <c r="N239" s="121" t="s">
        <v>1734</v>
      </c>
      <c r="O239" s="121" t="s">
        <v>365</v>
      </c>
    </row>
    <row r="240" spans="1:15" s="95" customFormat="1" x14ac:dyDescent="0.25">
      <c r="A240" s="94" t="s">
        <v>660</v>
      </c>
      <c r="B240" s="95" t="s">
        <v>2122</v>
      </c>
      <c r="C240" s="121" t="s">
        <v>145</v>
      </c>
      <c r="D240" s="121" t="s">
        <v>385</v>
      </c>
      <c r="E240" s="96">
        <v>99.64</v>
      </c>
      <c r="F240" s="77"/>
      <c r="G240" s="121" t="s">
        <v>363</v>
      </c>
      <c r="H240" s="96" t="s">
        <v>363</v>
      </c>
      <c r="I240" s="97">
        <f>3260592/13482850</f>
        <v>0.24183255023974901</v>
      </c>
      <c r="J240" s="96">
        <v>220717.27</v>
      </c>
      <c r="K240" s="121" t="s">
        <v>385</v>
      </c>
      <c r="L240" s="98" t="s">
        <v>635</v>
      </c>
      <c r="M240" s="99">
        <v>99.64</v>
      </c>
      <c r="N240" s="121" t="s">
        <v>1733</v>
      </c>
      <c r="O240" s="121" t="s">
        <v>365</v>
      </c>
    </row>
    <row r="241" spans="1:15" s="80" customFormat="1" x14ac:dyDescent="0.25">
      <c r="A241" s="79" t="s">
        <v>669</v>
      </c>
      <c r="C241" s="124"/>
      <c r="D241" s="124"/>
      <c r="E241" s="81"/>
      <c r="F241" s="82"/>
      <c r="G241" s="124"/>
      <c r="H241" s="81"/>
      <c r="I241" s="86"/>
      <c r="J241" s="81"/>
      <c r="K241" s="124"/>
      <c r="L241" s="83"/>
      <c r="M241" s="84"/>
      <c r="N241" s="124"/>
      <c r="O241" s="124"/>
    </row>
    <row r="242" spans="1:15" s="95" customFormat="1" x14ac:dyDescent="0.25">
      <c r="A242" s="94" t="s">
        <v>669</v>
      </c>
      <c r="B242" s="95" t="s">
        <v>2074</v>
      </c>
      <c r="C242" s="121" t="s">
        <v>210</v>
      </c>
      <c r="D242" s="121" t="s">
        <v>607</v>
      </c>
      <c r="E242" s="96">
        <v>96.16</v>
      </c>
      <c r="F242" s="77"/>
      <c r="G242" s="121" t="s">
        <v>363</v>
      </c>
      <c r="H242" s="96" t="s">
        <v>363</v>
      </c>
      <c r="I242" s="97">
        <f>65439/12605232</f>
        <v>5.1914157549817408E-3</v>
      </c>
      <c r="J242" s="96">
        <v>1012.95</v>
      </c>
      <c r="K242" s="121" t="s">
        <v>607</v>
      </c>
      <c r="L242" s="98" t="s">
        <v>670</v>
      </c>
      <c r="M242" s="99">
        <v>99.01</v>
      </c>
      <c r="N242" s="121" t="s">
        <v>1905</v>
      </c>
      <c r="O242" s="121" t="s">
        <v>365</v>
      </c>
    </row>
    <row r="243" spans="1:15" s="95" customFormat="1" x14ac:dyDescent="0.25">
      <c r="A243" s="94" t="s">
        <v>669</v>
      </c>
      <c r="B243" s="95" t="s">
        <v>2095</v>
      </c>
      <c r="C243" s="121" t="s">
        <v>301</v>
      </c>
      <c r="D243" s="121" t="s">
        <v>638</v>
      </c>
      <c r="E243" s="96">
        <v>96.83</v>
      </c>
      <c r="F243" s="77"/>
      <c r="G243" s="121" t="s">
        <v>363</v>
      </c>
      <c r="H243" s="96" t="s">
        <v>363</v>
      </c>
      <c r="I243" s="97">
        <f>62374/12605232</f>
        <v>4.9482627531171183E-3</v>
      </c>
      <c r="J243" s="96">
        <v>1098.02</v>
      </c>
      <c r="K243" s="121" t="s">
        <v>638</v>
      </c>
      <c r="L243" s="98" t="s">
        <v>671</v>
      </c>
      <c r="M243" s="99">
        <v>96.83</v>
      </c>
      <c r="N243" s="121" t="s">
        <v>1906</v>
      </c>
      <c r="O243" s="121" t="s">
        <v>365</v>
      </c>
    </row>
    <row r="244" spans="1:15" s="95" customFormat="1" x14ac:dyDescent="0.25">
      <c r="A244" s="94" t="s">
        <v>669</v>
      </c>
      <c r="B244" s="95" t="s">
        <v>2066</v>
      </c>
      <c r="C244" s="121" t="s">
        <v>171</v>
      </c>
      <c r="D244" s="121" t="s">
        <v>367</v>
      </c>
      <c r="E244" s="96">
        <v>99.44</v>
      </c>
      <c r="F244" s="77"/>
      <c r="G244" s="121" t="s">
        <v>363</v>
      </c>
      <c r="H244" s="96" t="s">
        <v>363</v>
      </c>
      <c r="I244" s="97">
        <f>3962543/12605232</f>
        <v>0.31435700667786204</v>
      </c>
      <c r="J244" s="96">
        <v>177136.45</v>
      </c>
      <c r="K244" s="121" t="s">
        <v>367</v>
      </c>
      <c r="L244" s="98" t="s">
        <v>663</v>
      </c>
      <c r="M244" s="99">
        <v>99.4</v>
      </c>
      <c r="N244" s="121" t="s">
        <v>1907</v>
      </c>
      <c r="O244" s="121" t="s">
        <v>365</v>
      </c>
    </row>
    <row r="245" spans="1:15" s="80" customFormat="1" x14ac:dyDescent="0.25">
      <c r="A245" s="79" t="s">
        <v>672</v>
      </c>
      <c r="C245" s="124"/>
      <c r="D245" s="124"/>
      <c r="E245" s="81"/>
      <c r="F245" s="82"/>
      <c r="G245" s="124"/>
      <c r="H245" s="81"/>
      <c r="I245" s="86"/>
      <c r="J245" s="81"/>
      <c r="K245" s="124"/>
      <c r="L245" s="83"/>
      <c r="M245" s="84"/>
      <c r="N245" s="124"/>
      <c r="O245" s="124"/>
    </row>
    <row r="246" spans="1:15" s="95" customFormat="1" x14ac:dyDescent="0.25">
      <c r="A246" s="94" t="s">
        <v>672</v>
      </c>
      <c r="B246" s="95" t="s">
        <v>2066</v>
      </c>
      <c r="C246" s="121" t="s">
        <v>171</v>
      </c>
      <c r="D246" s="121" t="s">
        <v>367</v>
      </c>
      <c r="E246" s="96">
        <v>99.44</v>
      </c>
      <c r="F246" s="77"/>
      <c r="G246" s="121" t="s">
        <v>363</v>
      </c>
      <c r="H246" s="96" t="s">
        <v>363</v>
      </c>
      <c r="I246" s="97">
        <f>1796518/9330024</f>
        <v>0.19255234498860882</v>
      </c>
      <c r="J246" s="96">
        <v>21122.12</v>
      </c>
      <c r="K246" s="121" t="s">
        <v>367</v>
      </c>
      <c r="L246" s="98" t="s">
        <v>673</v>
      </c>
      <c r="M246" s="99">
        <v>99.44</v>
      </c>
      <c r="N246" s="121" t="s">
        <v>1908</v>
      </c>
      <c r="O246" s="121" t="s">
        <v>365</v>
      </c>
    </row>
    <row r="247" spans="1:15" s="95" customFormat="1" x14ac:dyDescent="0.25">
      <c r="A247" s="94" t="s">
        <v>672</v>
      </c>
      <c r="B247" s="100" t="s">
        <v>2114</v>
      </c>
      <c r="C247" s="121" t="s">
        <v>343</v>
      </c>
      <c r="D247" s="121" t="s">
        <v>363</v>
      </c>
      <c r="E247" s="96" t="s">
        <v>363</v>
      </c>
      <c r="F247" s="77"/>
      <c r="G247" s="121" t="s">
        <v>674</v>
      </c>
      <c r="H247" s="96">
        <v>76.36</v>
      </c>
      <c r="I247" s="97">
        <f>925/9330024</f>
        <v>9.9142295882625808E-5</v>
      </c>
      <c r="J247" s="96">
        <v>41.43</v>
      </c>
      <c r="K247" s="121" t="s">
        <v>674</v>
      </c>
      <c r="L247" s="98" t="s">
        <v>675</v>
      </c>
      <c r="M247" s="99">
        <v>76.36</v>
      </c>
      <c r="N247" s="121" t="s">
        <v>1909</v>
      </c>
      <c r="O247" s="121" t="s">
        <v>378</v>
      </c>
    </row>
    <row r="248" spans="1:15" s="80" customFormat="1" x14ac:dyDescent="0.25">
      <c r="A248" s="79" t="s">
        <v>676</v>
      </c>
      <c r="C248" s="124"/>
      <c r="D248" s="124"/>
      <c r="E248" s="81"/>
      <c r="F248" s="82"/>
      <c r="G248" s="124"/>
      <c r="H248" s="81"/>
      <c r="I248" s="86"/>
      <c r="J248" s="81"/>
      <c r="K248" s="124"/>
      <c r="L248" s="83"/>
      <c r="M248" s="84"/>
      <c r="N248" s="124"/>
      <c r="O248" s="124"/>
    </row>
    <row r="249" spans="1:15" s="95" customFormat="1" x14ac:dyDescent="0.25">
      <c r="A249" s="94" t="s">
        <v>676</v>
      </c>
      <c r="B249" s="95" t="s">
        <v>114</v>
      </c>
      <c r="C249" s="121" t="s">
        <v>115</v>
      </c>
      <c r="D249" s="121" t="s">
        <v>533</v>
      </c>
      <c r="E249" s="96">
        <v>100</v>
      </c>
      <c r="F249" s="77"/>
      <c r="G249" s="121" t="s">
        <v>363</v>
      </c>
      <c r="H249" s="96" t="s">
        <v>363</v>
      </c>
      <c r="I249" s="97">
        <f>1210/12247590</f>
        <v>9.8794946597657168E-5</v>
      </c>
      <c r="J249" s="96">
        <v>52.82</v>
      </c>
      <c r="K249" s="121" t="s">
        <v>533</v>
      </c>
      <c r="L249" s="98" t="s">
        <v>677</v>
      </c>
      <c r="M249" s="99">
        <v>100</v>
      </c>
      <c r="N249" s="121" t="s">
        <v>1697</v>
      </c>
      <c r="O249" s="121" t="s">
        <v>365</v>
      </c>
    </row>
    <row r="250" spans="1:15" s="95" customFormat="1" x14ac:dyDescent="0.25">
      <c r="A250" s="94" t="s">
        <v>676</v>
      </c>
      <c r="B250" s="95" t="s">
        <v>2074</v>
      </c>
      <c r="C250" s="121" t="s">
        <v>210</v>
      </c>
      <c r="D250" s="121" t="s">
        <v>678</v>
      </c>
      <c r="E250" s="96">
        <v>99.68</v>
      </c>
      <c r="F250" s="77"/>
      <c r="G250" s="121" t="s">
        <v>363</v>
      </c>
      <c r="H250" s="96" t="s">
        <v>363</v>
      </c>
      <c r="I250" s="97">
        <f>1546912/12247590</f>
        <v>0.12630337886882237</v>
      </c>
      <c r="J250" s="96">
        <v>24095.87</v>
      </c>
      <c r="K250" s="121" t="s">
        <v>678</v>
      </c>
      <c r="L250" s="98" t="s">
        <v>679</v>
      </c>
      <c r="M250" s="99">
        <v>99.68</v>
      </c>
      <c r="N250" s="121" t="s">
        <v>1910</v>
      </c>
      <c r="O250" s="121" t="s">
        <v>365</v>
      </c>
    </row>
    <row r="251" spans="1:15" s="95" customFormat="1" x14ac:dyDescent="0.25">
      <c r="A251" s="94" t="s">
        <v>676</v>
      </c>
      <c r="B251" s="95" t="s">
        <v>2092</v>
      </c>
      <c r="C251" s="121" t="s">
        <v>275</v>
      </c>
      <c r="D251" s="121" t="s">
        <v>436</v>
      </c>
      <c r="E251" s="96">
        <v>94.97</v>
      </c>
      <c r="F251" s="77"/>
      <c r="G251" s="121" t="s">
        <v>363</v>
      </c>
      <c r="H251" s="96" t="s">
        <v>363</v>
      </c>
      <c r="I251" s="97">
        <f>1148/12247590</f>
        <v>9.3732726193479702E-5</v>
      </c>
      <c r="J251" s="96">
        <v>36.06</v>
      </c>
      <c r="K251" s="121" t="s">
        <v>436</v>
      </c>
      <c r="L251" s="98" t="s">
        <v>680</v>
      </c>
      <c r="M251" s="99">
        <v>95.61</v>
      </c>
      <c r="N251" s="121" t="s">
        <v>1910</v>
      </c>
      <c r="O251" s="121" t="s">
        <v>365</v>
      </c>
    </row>
    <row r="252" spans="1:15" s="95" customFormat="1" x14ac:dyDescent="0.25">
      <c r="A252" s="94" t="s">
        <v>676</v>
      </c>
      <c r="B252" s="100" t="s">
        <v>2071</v>
      </c>
      <c r="C252" s="121" t="s">
        <v>199</v>
      </c>
      <c r="D252" s="121" t="s">
        <v>363</v>
      </c>
      <c r="E252" s="96" t="s">
        <v>363</v>
      </c>
      <c r="F252" s="77"/>
      <c r="G252" s="121" t="s">
        <v>681</v>
      </c>
      <c r="H252" s="96">
        <v>75.2</v>
      </c>
      <c r="I252" s="97">
        <f>860406/12247590</f>
        <v>7.0251045307689108E-2</v>
      </c>
      <c r="J252" s="96">
        <v>9626.99</v>
      </c>
      <c r="K252" s="121" t="s">
        <v>681</v>
      </c>
      <c r="L252" s="98" t="s">
        <v>682</v>
      </c>
      <c r="M252" s="99">
        <v>75.2</v>
      </c>
      <c r="N252" s="121" t="s">
        <v>1911</v>
      </c>
      <c r="O252" s="121" t="s">
        <v>378</v>
      </c>
    </row>
    <row r="253" spans="1:15" s="95" customFormat="1" x14ac:dyDescent="0.25">
      <c r="A253" s="94" t="s">
        <v>676</v>
      </c>
      <c r="B253" s="95" t="s">
        <v>2078</v>
      </c>
      <c r="C253" s="121" t="s">
        <v>233</v>
      </c>
      <c r="D253" s="121" t="s">
        <v>535</v>
      </c>
      <c r="E253" s="96">
        <v>99.75</v>
      </c>
      <c r="F253" s="77"/>
      <c r="G253" s="121" t="s">
        <v>363</v>
      </c>
      <c r="H253" s="96" t="s">
        <v>363</v>
      </c>
      <c r="I253" s="97">
        <f>666/12247590</f>
        <v>5.4378044986809647E-5</v>
      </c>
      <c r="J253" s="96">
        <v>11.54</v>
      </c>
      <c r="K253" s="121" t="s">
        <v>535</v>
      </c>
      <c r="L253" s="98" t="s">
        <v>536</v>
      </c>
      <c r="M253" s="99">
        <v>99.79</v>
      </c>
      <c r="N253" s="121" t="s">
        <v>1912</v>
      </c>
      <c r="O253" s="121" t="s">
        <v>365</v>
      </c>
    </row>
    <row r="254" spans="1:15" s="80" customFormat="1" x14ac:dyDescent="0.25">
      <c r="A254" s="79" t="s">
        <v>683</v>
      </c>
      <c r="C254" s="124"/>
      <c r="D254" s="124"/>
      <c r="E254" s="81"/>
      <c r="F254" s="82"/>
      <c r="G254" s="124"/>
      <c r="H254" s="81"/>
      <c r="I254" s="86"/>
      <c r="J254" s="81"/>
      <c r="K254" s="124"/>
      <c r="L254" s="83"/>
      <c r="M254" s="84"/>
      <c r="N254" s="124"/>
      <c r="O254" s="124"/>
    </row>
    <row r="255" spans="1:15" s="95" customFormat="1" x14ac:dyDescent="0.25">
      <c r="A255" s="94" t="s">
        <v>683</v>
      </c>
      <c r="B255" s="95" t="s">
        <v>114</v>
      </c>
      <c r="C255" s="121" t="s">
        <v>115</v>
      </c>
      <c r="D255" s="121" t="s">
        <v>684</v>
      </c>
      <c r="E255" s="96">
        <v>99.82</v>
      </c>
      <c r="F255" s="77"/>
      <c r="G255" s="121" t="s">
        <v>363</v>
      </c>
      <c r="H255" s="96" t="s">
        <v>363</v>
      </c>
      <c r="I255" s="97">
        <f>1630/10199050</f>
        <v>1.5981880665356086E-4</v>
      </c>
      <c r="J255" s="96">
        <v>70.06</v>
      </c>
      <c r="K255" s="121" t="s">
        <v>684</v>
      </c>
      <c r="L255" s="98" t="s">
        <v>605</v>
      </c>
      <c r="M255" s="99">
        <v>99.82</v>
      </c>
      <c r="N255" s="121" t="s">
        <v>1703</v>
      </c>
      <c r="O255" s="121" t="s">
        <v>365</v>
      </c>
    </row>
    <row r="256" spans="1:15" s="95" customFormat="1" x14ac:dyDescent="0.25">
      <c r="A256" s="94" t="s">
        <v>683</v>
      </c>
      <c r="B256" s="95" t="s">
        <v>2128</v>
      </c>
      <c r="C256" s="121" t="s">
        <v>178</v>
      </c>
      <c r="D256" s="121" t="s">
        <v>685</v>
      </c>
      <c r="E256" s="96">
        <v>94.63</v>
      </c>
      <c r="F256" s="77"/>
      <c r="G256" s="121" t="s">
        <v>363</v>
      </c>
      <c r="H256" s="96" t="s">
        <v>363</v>
      </c>
      <c r="I256" s="97">
        <f>1522029/10199050</f>
        <v>0.14923242851049853</v>
      </c>
      <c r="J256" s="96">
        <v>17362.84</v>
      </c>
      <c r="K256" s="121" t="s">
        <v>685</v>
      </c>
      <c r="L256" s="98" t="s">
        <v>686</v>
      </c>
      <c r="M256" s="99">
        <v>94.63</v>
      </c>
      <c r="N256" s="121" t="s">
        <v>1913</v>
      </c>
      <c r="O256" s="121" t="s">
        <v>365</v>
      </c>
    </row>
    <row r="257" spans="1:15" s="95" customFormat="1" x14ac:dyDescent="0.25">
      <c r="A257" s="94" t="s">
        <v>683</v>
      </c>
      <c r="B257" s="95" t="s">
        <v>2074</v>
      </c>
      <c r="C257" s="121" t="s">
        <v>210</v>
      </c>
      <c r="D257" s="121" t="s">
        <v>687</v>
      </c>
      <c r="E257" s="96">
        <v>99.27</v>
      </c>
      <c r="F257" s="77"/>
      <c r="G257" s="121" t="s">
        <v>363</v>
      </c>
      <c r="H257" s="96" t="s">
        <v>363</v>
      </c>
      <c r="I257" s="97">
        <f>639606/10199050</f>
        <v>6.271231144077144E-2</v>
      </c>
      <c r="J257" s="96">
        <v>9857.2000000000007</v>
      </c>
      <c r="K257" s="121" t="s">
        <v>687</v>
      </c>
      <c r="L257" s="98" t="s">
        <v>688</v>
      </c>
      <c r="M257" s="99">
        <v>99.45</v>
      </c>
      <c r="N257" s="121" t="s">
        <v>1914</v>
      </c>
      <c r="O257" s="121" t="s">
        <v>365</v>
      </c>
    </row>
    <row r="258" spans="1:15" s="95" customFormat="1" x14ac:dyDescent="0.25">
      <c r="A258" s="94" t="s">
        <v>683</v>
      </c>
      <c r="B258" s="95" t="s">
        <v>2096</v>
      </c>
      <c r="C258" s="121" t="s">
        <v>302</v>
      </c>
      <c r="D258" s="121" t="s">
        <v>609</v>
      </c>
      <c r="E258" s="96">
        <v>98.62</v>
      </c>
      <c r="F258" s="77"/>
      <c r="G258" s="121" t="s">
        <v>363</v>
      </c>
      <c r="H258" s="96" t="s">
        <v>363</v>
      </c>
      <c r="I258" s="97">
        <f>35976/10199050</f>
        <v>3.527387354704605E-3</v>
      </c>
      <c r="J258" s="96">
        <v>633.5</v>
      </c>
      <c r="K258" s="121" t="s">
        <v>609</v>
      </c>
      <c r="L258" s="98" t="s">
        <v>689</v>
      </c>
      <c r="M258" s="99">
        <v>98.62</v>
      </c>
      <c r="N258" s="121" t="s">
        <v>1915</v>
      </c>
      <c r="O258" s="121" t="s">
        <v>365</v>
      </c>
    </row>
    <row r="259" spans="1:15" s="95" customFormat="1" x14ac:dyDescent="0.25">
      <c r="A259" s="94" t="s">
        <v>683</v>
      </c>
      <c r="B259" s="95" t="s">
        <v>2078</v>
      </c>
      <c r="C259" s="121" t="s">
        <v>233</v>
      </c>
      <c r="D259" s="121" t="s">
        <v>535</v>
      </c>
      <c r="E259" s="99">
        <v>99.78</v>
      </c>
      <c r="F259" s="77"/>
      <c r="G259" s="121" t="s">
        <v>363</v>
      </c>
      <c r="H259" s="96" t="s">
        <v>363</v>
      </c>
      <c r="I259" s="97">
        <f>1614/10199050</f>
        <v>1.5825003309131734E-4</v>
      </c>
      <c r="J259" s="96">
        <v>27.81</v>
      </c>
      <c r="K259" s="121" t="s">
        <v>535</v>
      </c>
      <c r="L259" s="98" t="s">
        <v>536</v>
      </c>
      <c r="M259" s="99">
        <v>99.78</v>
      </c>
      <c r="N259" s="121" t="s">
        <v>1916</v>
      </c>
      <c r="O259" s="121" t="s">
        <v>365</v>
      </c>
    </row>
    <row r="260" spans="1:15" s="95" customFormat="1" x14ac:dyDescent="0.25">
      <c r="A260" s="94" t="s">
        <v>683</v>
      </c>
      <c r="B260" s="95" t="s">
        <v>539</v>
      </c>
      <c r="C260" s="121" t="s">
        <v>328</v>
      </c>
      <c r="D260" s="121" t="s">
        <v>363</v>
      </c>
      <c r="E260" s="96" t="s">
        <v>363</v>
      </c>
      <c r="F260" s="77"/>
      <c r="G260" s="121" t="s">
        <v>540</v>
      </c>
      <c r="H260" s="96">
        <f>AVERAGE(99.35,99.4)</f>
        <v>99.375</v>
      </c>
      <c r="I260" s="97">
        <f>585/10199050</f>
        <v>5.7358283369529517E-5</v>
      </c>
      <c r="J260" s="96">
        <v>19.47</v>
      </c>
      <c r="K260" s="121" t="s">
        <v>540</v>
      </c>
      <c r="L260" s="98" t="s">
        <v>541</v>
      </c>
      <c r="M260" s="99">
        <v>99.38</v>
      </c>
      <c r="N260" s="121" t="s">
        <v>1917</v>
      </c>
      <c r="O260" s="121" t="s">
        <v>542</v>
      </c>
    </row>
    <row r="261" spans="1:15" s="80" customFormat="1" x14ac:dyDescent="0.25">
      <c r="A261" s="79" t="s">
        <v>690</v>
      </c>
      <c r="C261" s="124"/>
      <c r="D261" s="124"/>
      <c r="E261" s="81"/>
      <c r="F261" s="82"/>
      <c r="G261" s="124"/>
      <c r="H261" s="81"/>
      <c r="I261" s="86"/>
      <c r="J261" s="81"/>
      <c r="K261" s="124"/>
      <c r="L261" s="83"/>
      <c r="M261" s="84"/>
      <c r="N261" s="124"/>
      <c r="O261" s="124"/>
    </row>
    <row r="262" spans="1:15" s="95" customFormat="1" x14ac:dyDescent="0.25">
      <c r="A262" s="94" t="s">
        <v>690</v>
      </c>
      <c r="B262" s="95" t="s">
        <v>2077</v>
      </c>
      <c r="C262" s="121" t="s">
        <v>215</v>
      </c>
      <c r="D262" s="121" t="s">
        <v>691</v>
      </c>
      <c r="E262" s="96">
        <v>99.49</v>
      </c>
      <c r="F262" s="77"/>
      <c r="G262" s="121" t="s">
        <v>363</v>
      </c>
      <c r="H262" s="96" t="s">
        <v>363</v>
      </c>
      <c r="I262" s="97">
        <f>1335605/9208088</f>
        <v>0.14504694134113402</v>
      </c>
      <c r="J262" s="96">
        <v>119818.52</v>
      </c>
      <c r="K262" s="121" t="s">
        <v>691</v>
      </c>
      <c r="L262" s="98" t="s">
        <v>692</v>
      </c>
      <c r="M262" s="99">
        <v>99.47</v>
      </c>
      <c r="N262" s="121" t="s">
        <v>1918</v>
      </c>
      <c r="O262" s="121" t="s">
        <v>365</v>
      </c>
    </row>
    <row r="263" spans="1:15" s="95" customFormat="1" x14ac:dyDescent="0.25">
      <c r="A263" s="94" t="s">
        <v>690</v>
      </c>
      <c r="B263" s="95" t="s">
        <v>2129</v>
      </c>
      <c r="C263" s="121" t="s">
        <v>146</v>
      </c>
      <c r="D263" s="121" t="s">
        <v>693</v>
      </c>
      <c r="E263" s="96">
        <v>97.52</v>
      </c>
      <c r="F263" s="77"/>
      <c r="G263" s="121" t="s">
        <v>363</v>
      </c>
      <c r="H263" s="96" t="s">
        <v>363</v>
      </c>
      <c r="I263" s="97">
        <f>1300980/9208088</f>
        <v>0.14128666016223998</v>
      </c>
      <c r="J263" s="96">
        <v>57575.88</v>
      </c>
      <c r="K263" s="121" t="s">
        <v>693</v>
      </c>
      <c r="L263" s="98" t="s">
        <v>694</v>
      </c>
      <c r="M263" s="99">
        <v>97.1</v>
      </c>
      <c r="N263" s="121" t="s">
        <v>1765</v>
      </c>
      <c r="O263" s="121" t="s">
        <v>365</v>
      </c>
    </row>
    <row r="264" spans="1:15" s="95" customFormat="1" x14ac:dyDescent="0.25">
      <c r="A264" s="94" t="s">
        <v>690</v>
      </c>
      <c r="B264" s="95" t="s">
        <v>2130</v>
      </c>
      <c r="C264" s="121" t="s">
        <v>146</v>
      </c>
      <c r="D264" s="121" t="s">
        <v>695</v>
      </c>
      <c r="E264" s="96">
        <v>97.35</v>
      </c>
      <c r="F264" s="77"/>
      <c r="G264" s="121" t="s">
        <v>363</v>
      </c>
      <c r="H264" s="96" t="s">
        <v>363</v>
      </c>
      <c r="I264" s="97">
        <f>961546/9208088</f>
        <v>0.10442406718962721</v>
      </c>
      <c r="J264" s="96">
        <v>48511.8</v>
      </c>
      <c r="K264" s="121" t="s">
        <v>695</v>
      </c>
      <c r="L264" s="98" t="s">
        <v>696</v>
      </c>
      <c r="M264" s="99">
        <v>97.15</v>
      </c>
      <c r="N264" s="121" t="s">
        <v>1766</v>
      </c>
      <c r="O264" s="121" t="s">
        <v>365</v>
      </c>
    </row>
    <row r="265" spans="1:15" s="95" customFormat="1" x14ac:dyDescent="0.25">
      <c r="A265" s="94" t="s">
        <v>690</v>
      </c>
      <c r="B265" s="95" t="s">
        <v>2131</v>
      </c>
      <c r="C265" s="121" t="s">
        <v>146</v>
      </c>
      <c r="D265" s="121" t="s">
        <v>697</v>
      </c>
      <c r="E265" s="96">
        <v>97.35</v>
      </c>
      <c r="F265" s="77"/>
      <c r="G265" s="121" t="s">
        <v>363</v>
      </c>
      <c r="H265" s="96" t="s">
        <v>363</v>
      </c>
      <c r="I265" s="97">
        <f>2053262/9208088</f>
        <v>0.22298461960832694</v>
      </c>
      <c r="J265" s="96">
        <v>139685.41</v>
      </c>
      <c r="K265" s="121" t="s">
        <v>697</v>
      </c>
      <c r="L265" s="98" t="s">
        <v>698</v>
      </c>
      <c r="M265" s="99">
        <v>98.81</v>
      </c>
      <c r="N265" s="121" t="s">
        <v>1767</v>
      </c>
      <c r="O265" s="121" t="s">
        <v>365</v>
      </c>
    </row>
    <row r="266" spans="1:15" s="95" customFormat="1" x14ac:dyDescent="0.25">
      <c r="A266" s="94" t="s">
        <v>649</v>
      </c>
      <c r="B266" s="95" t="s">
        <v>2120</v>
      </c>
      <c r="C266" s="121" t="s">
        <v>145</v>
      </c>
      <c r="D266" s="121" t="s">
        <v>640</v>
      </c>
      <c r="E266" s="96" t="s">
        <v>363</v>
      </c>
      <c r="F266" s="77"/>
      <c r="G266" s="121" t="s">
        <v>363</v>
      </c>
      <c r="H266" s="96" t="s">
        <v>363</v>
      </c>
      <c r="I266" s="97">
        <f>44/9208088</f>
        <v>4.7784078518797823E-6</v>
      </c>
      <c r="J266" s="96" t="s">
        <v>363</v>
      </c>
      <c r="K266" s="121" t="s">
        <v>640</v>
      </c>
      <c r="L266" s="98" t="s">
        <v>363</v>
      </c>
      <c r="M266" s="99" t="s">
        <v>363</v>
      </c>
      <c r="N266" s="121" t="s">
        <v>363</v>
      </c>
      <c r="O266" s="121" t="s">
        <v>2171</v>
      </c>
    </row>
    <row r="267" spans="1:15" s="95" customFormat="1" x14ac:dyDescent="0.25">
      <c r="A267" s="94" t="s">
        <v>649</v>
      </c>
      <c r="B267" s="95" t="s">
        <v>2121</v>
      </c>
      <c r="C267" s="121" t="s">
        <v>145</v>
      </c>
      <c r="D267" s="121" t="s">
        <v>642</v>
      </c>
      <c r="E267" s="96" t="s">
        <v>363</v>
      </c>
      <c r="F267" s="77"/>
      <c r="G267" s="121" t="s">
        <v>363</v>
      </c>
      <c r="H267" s="96" t="s">
        <v>363</v>
      </c>
      <c r="I267" s="97">
        <f>42/9208088</f>
        <v>4.5612074949761554E-6</v>
      </c>
      <c r="J267" s="96" t="s">
        <v>363</v>
      </c>
      <c r="K267" s="121" t="s">
        <v>642</v>
      </c>
      <c r="L267" s="98" t="s">
        <v>363</v>
      </c>
      <c r="M267" s="99" t="s">
        <v>363</v>
      </c>
      <c r="N267" s="121" t="s">
        <v>363</v>
      </c>
      <c r="O267" s="121" t="s">
        <v>2171</v>
      </c>
    </row>
    <row r="268" spans="1:15" s="95" customFormat="1" x14ac:dyDescent="0.25">
      <c r="A268" s="94" t="s">
        <v>649</v>
      </c>
      <c r="B268" s="95" t="s">
        <v>2122</v>
      </c>
      <c r="C268" s="121" t="s">
        <v>145</v>
      </c>
      <c r="D268" s="121" t="s">
        <v>385</v>
      </c>
      <c r="E268" s="96" t="s">
        <v>363</v>
      </c>
      <c r="F268" s="77"/>
      <c r="G268" s="121" t="s">
        <v>363</v>
      </c>
      <c r="H268" s="96" t="s">
        <v>363</v>
      </c>
      <c r="I268" s="97">
        <f>72/9208088</f>
        <v>7.8192128485305531E-6</v>
      </c>
      <c r="J268" s="96" t="s">
        <v>363</v>
      </c>
      <c r="K268" s="121" t="s">
        <v>385</v>
      </c>
      <c r="L268" s="98" t="s">
        <v>363</v>
      </c>
      <c r="M268" s="99" t="s">
        <v>363</v>
      </c>
      <c r="N268" s="121" t="s">
        <v>363</v>
      </c>
      <c r="O268" s="121" t="s">
        <v>2171</v>
      </c>
    </row>
    <row r="269" spans="1:15" s="95" customFormat="1" x14ac:dyDescent="0.25">
      <c r="A269" s="94" t="s">
        <v>690</v>
      </c>
      <c r="B269" s="95" t="s">
        <v>2118</v>
      </c>
      <c r="C269" s="121" t="s">
        <v>247</v>
      </c>
      <c r="D269" s="121" t="s">
        <v>422</v>
      </c>
      <c r="E269" s="96">
        <v>90.78</v>
      </c>
      <c r="F269" s="77"/>
      <c r="G269" s="121" t="s">
        <v>363</v>
      </c>
      <c r="H269" s="96" t="s">
        <v>363</v>
      </c>
      <c r="I269" s="97">
        <f>2533/9208088</f>
        <v>2.7508425201844294E-4</v>
      </c>
      <c r="J269" s="96">
        <v>65.290000000000006</v>
      </c>
      <c r="K269" s="121" t="s">
        <v>422</v>
      </c>
      <c r="L269" s="98" t="s">
        <v>699</v>
      </c>
      <c r="M269" s="99">
        <v>91.68</v>
      </c>
      <c r="N269" s="121" t="s">
        <v>1919</v>
      </c>
      <c r="O269" s="121" t="s">
        <v>365</v>
      </c>
    </row>
    <row r="270" spans="1:15" s="95" customFormat="1" x14ac:dyDescent="0.25">
      <c r="A270" s="94" t="s">
        <v>690</v>
      </c>
      <c r="B270" s="95" t="s">
        <v>2119</v>
      </c>
      <c r="C270" s="121" t="s">
        <v>247</v>
      </c>
      <c r="D270" s="121" t="s">
        <v>425</v>
      </c>
      <c r="E270" s="96">
        <v>88.91</v>
      </c>
      <c r="F270" s="77"/>
      <c r="G270" s="121" t="s">
        <v>363</v>
      </c>
      <c r="H270" s="96" t="s">
        <v>363</v>
      </c>
      <c r="I270" s="97">
        <f>2092/9208088</f>
        <v>2.2719157332119327E-4</v>
      </c>
      <c r="J270" s="96">
        <v>92.84</v>
      </c>
      <c r="K270" s="121" t="s">
        <v>425</v>
      </c>
      <c r="L270" s="98" t="s">
        <v>700</v>
      </c>
      <c r="M270" s="99">
        <v>88.67</v>
      </c>
      <c r="N270" s="121" t="s">
        <v>1920</v>
      </c>
      <c r="O270" s="121" t="s">
        <v>365</v>
      </c>
    </row>
    <row r="271" spans="1:15" s="80" customFormat="1" x14ac:dyDescent="0.25">
      <c r="A271" s="79" t="s">
        <v>701</v>
      </c>
      <c r="C271" s="124"/>
      <c r="D271" s="124"/>
      <c r="E271" s="81"/>
      <c r="F271" s="82"/>
      <c r="G271" s="124"/>
      <c r="H271" s="81"/>
      <c r="I271" s="86"/>
      <c r="J271" s="81"/>
      <c r="K271" s="124"/>
      <c r="L271" s="83"/>
      <c r="M271" s="84"/>
      <c r="N271" s="124"/>
      <c r="O271" s="124"/>
    </row>
    <row r="272" spans="1:15" s="95" customFormat="1" x14ac:dyDescent="0.25">
      <c r="A272" s="94" t="s">
        <v>701</v>
      </c>
      <c r="B272" s="95" t="s">
        <v>114</v>
      </c>
      <c r="C272" s="121" t="s">
        <v>115</v>
      </c>
      <c r="D272" s="121" t="s">
        <v>405</v>
      </c>
      <c r="E272" s="96">
        <v>100</v>
      </c>
      <c r="F272" s="77"/>
      <c r="G272" s="121" t="s">
        <v>363</v>
      </c>
      <c r="H272" s="96" t="s">
        <v>363</v>
      </c>
      <c r="I272" s="97">
        <f>3117/11343340</f>
        <v>2.7478679119201225E-4</v>
      </c>
      <c r="J272" s="96">
        <v>134.33000000000001</v>
      </c>
      <c r="K272" s="121" t="s">
        <v>405</v>
      </c>
      <c r="L272" s="98" t="s">
        <v>618</v>
      </c>
      <c r="M272" s="99">
        <v>100</v>
      </c>
      <c r="N272" s="121" t="s">
        <v>1706</v>
      </c>
      <c r="O272" s="121" t="s">
        <v>365</v>
      </c>
    </row>
    <row r="273" spans="1:15" s="95" customFormat="1" x14ac:dyDescent="0.25">
      <c r="A273" s="94" t="s">
        <v>701</v>
      </c>
      <c r="B273" s="100" t="s">
        <v>2063</v>
      </c>
      <c r="C273" s="121" t="s">
        <v>163</v>
      </c>
      <c r="D273" s="121" t="s">
        <v>363</v>
      </c>
      <c r="E273" s="96" t="s">
        <v>363</v>
      </c>
      <c r="F273" s="77"/>
      <c r="G273" s="121" t="s">
        <v>702</v>
      </c>
      <c r="H273" s="96">
        <v>75.83</v>
      </c>
      <c r="I273" s="97">
        <f>1226/11343340</f>
        <v>1.0808104138639942E-4</v>
      </c>
      <c r="J273" s="96">
        <v>15.64</v>
      </c>
      <c r="K273" s="121" t="s">
        <v>702</v>
      </c>
      <c r="L273" s="98" t="s">
        <v>703</v>
      </c>
      <c r="M273" s="99">
        <v>75.83</v>
      </c>
      <c r="N273" s="121" t="s">
        <v>1921</v>
      </c>
      <c r="O273" s="121" t="s">
        <v>378</v>
      </c>
    </row>
    <row r="274" spans="1:15" s="95" customFormat="1" x14ac:dyDescent="0.25">
      <c r="A274" s="94" t="s">
        <v>701</v>
      </c>
      <c r="B274" s="95" t="s">
        <v>134</v>
      </c>
      <c r="C274" s="121" t="s">
        <v>135</v>
      </c>
      <c r="D274" s="121" t="s">
        <v>704</v>
      </c>
      <c r="E274" s="96">
        <v>99.74</v>
      </c>
      <c r="F274" s="77"/>
      <c r="G274" s="121" t="s">
        <v>363</v>
      </c>
      <c r="H274" s="96" t="s">
        <v>363</v>
      </c>
      <c r="I274" s="97">
        <f>536/11343340</f>
        <v>4.7252396560448685E-5</v>
      </c>
      <c r="J274" s="96">
        <v>14.76</v>
      </c>
      <c r="K274" s="121" t="s">
        <v>704</v>
      </c>
      <c r="L274" s="98" t="s">
        <v>705</v>
      </c>
      <c r="M274" s="99">
        <v>99.76</v>
      </c>
      <c r="N274" s="121" t="s">
        <v>1727</v>
      </c>
      <c r="O274" s="121" t="s">
        <v>365</v>
      </c>
    </row>
    <row r="275" spans="1:15" s="80" customFormat="1" x14ac:dyDescent="0.25">
      <c r="A275" s="79" t="s">
        <v>706</v>
      </c>
      <c r="C275" s="124"/>
      <c r="D275" s="124"/>
      <c r="E275" s="81"/>
      <c r="F275" s="82"/>
      <c r="G275" s="124"/>
      <c r="H275" s="81"/>
      <c r="I275" s="86"/>
      <c r="J275" s="81"/>
      <c r="K275" s="124"/>
      <c r="L275" s="83"/>
      <c r="M275" s="84"/>
      <c r="N275" s="124"/>
      <c r="O275" s="124"/>
    </row>
    <row r="276" spans="1:15" s="95" customFormat="1" x14ac:dyDescent="0.25">
      <c r="A276" s="94" t="s">
        <v>706</v>
      </c>
      <c r="B276" s="100" t="s">
        <v>2086</v>
      </c>
      <c r="C276" s="121" t="s">
        <v>266</v>
      </c>
      <c r="D276" s="121" t="s">
        <v>363</v>
      </c>
      <c r="E276" s="96" t="s">
        <v>363</v>
      </c>
      <c r="F276" s="77"/>
      <c r="G276" s="121" t="s">
        <v>519</v>
      </c>
      <c r="H276" s="96">
        <v>74.87</v>
      </c>
      <c r="I276" s="97">
        <f>465/11057510</f>
        <v>4.2052867236837224E-5</v>
      </c>
      <c r="J276" s="96">
        <v>11.41</v>
      </c>
      <c r="K276" s="121" t="s">
        <v>519</v>
      </c>
      <c r="L276" s="98" t="s">
        <v>520</v>
      </c>
      <c r="M276" s="99">
        <v>74.349999999999994</v>
      </c>
      <c r="N276" s="121" t="s">
        <v>1927</v>
      </c>
      <c r="O276" s="121" t="s">
        <v>378</v>
      </c>
    </row>
    <row r="277" spans="1:15" s="95" customFormat="1" x14ac:dyDescent="0.25">
      <c r="A277" s="94" t="s">
        <v>706</v>
      </c>
      <c r="B277" s="100" t="s">
        <v>282</v>
      </c>
      <c r="C277" s="121" t="s">
        <v>283</v>
      </c>
      <c r="D277" s="121" t="s">
        <v>363</v>
      </c>
      <c r="E277" s="96" t="s">
        <v>363</v>
      </c>
      <c r="F277" s="77"/>
      <c r="G277" s="121" t="s">
        <v>567</v>
      </c>
      <c r="H277" s="96">
        <v>79.97</v>
      </c>
      <c r="I277" s="97">
        <f>10000/11057510</f>
        <v>9.0436273627606944E-4</v>
      </c>
      <c r="J277" s="96">
        <v>337.69</v>
      </c>
      <c r="K277" s="121" t="s">
        <v>567</v>
      </c>
      <c r="L277" s="98" t="s">
        <v>707</v>
      </c>
      <c r="M277" s="99">
        <v>79.97</v>
      </c>
      <c r="N277" s="121" t="s">
        <v>1929</v>
      </c>
      <c r="O277" s="121" t="s">
        <v>378</v>
      </c>
    </row>
    <row r="278" spans="1:15" s="95" customFormat="1" x14ac:dyDescent="0.25">
      <c r="A278" s="94" t="s">
        <v>706</v>
      </c>
      <c r="B278" s="100" t="s">
        <v>285</v>
      </c>
      <c r="C278" s="121" t="s">
        <v>286</v>
      </c>
      <c r="D278" s="121" t="s">
        <v>363</v>
      </c>
      <c r="E278" s="96" t="s">
        <v>363</v>
      </c>
      <c r="F278" s="77"/>
      <c r="G278" s="121" t="s">
        <v>708</v>
      </c>
      <c r="H278" s="96">
        <v>76.28</v>
      </c>
      <c r="I278" s="97">
        <f>3304/11057510</f>
        <v>2.9880144806561333E-4</v>
      </c>
      <c r="J278" s="96">
        <v>73.22</v>
      </c>
      <c r="K278" s="121" t="s">
        <v>708</v>
      </c>
      <c r="L278" s="98" t="s">
        <v>709</v>
      </c>
      <c r="M278" s="99">
        <v>76.28</v>
      </c>
      <c r="N278" s="121" t="s">
        <v>1928</v>
      </c>
      <c r="O278" s="121" t="s">
        <v>378</v>
      </c>
    </row>
    <row r="279" spans="1:15" s="95" customFormat="1" x14ac:dyDescent="0.25">
      <c r="A279" s="94" t="s">
        <v>706</v>
      </c>
      <c r="B279" s="100" t="s">
        <v>291</v>
      </c>
      <c r="C279" s="121" t="s">
        <v>292</v>
      </c>
      <c r="D279" s="121" t="s">
        <v>363</v>
      </c>
      <c r="E279" s="96" t="s">
        <v>363</v>
      </c>
      <c r="F279" s="77"/>
      <c r="G279" s="121" t="s">
        <v>527</v>
      </c>
      <c r="H279" s="96">
        <v>71.27</v>
      </c>
      <c r="I279" s="97">
        <f>3782448/11057510</f>
        <v>0.34207050231019459</v>
      </c>
      <c r="J279" s="96">
        <v>143655.85999999999</v>
      </c>
      <c r="K279" s="121" t="s">
        <v>527</v>
      </c>
      <c r="L279" s="98" t="s">
        <v>710</v>
      </c>
      <c r="M279" s="96">
        <v>71.27</v>
      </c>
      <c r="N279" s="121" t="s">
        <v>1930</v>
      </c>
      <c r="O279" s="121" t="s">
        <v>378</v>
      </c>
    </row>
    <row r="280" spans="1:15" s="95" customFormat="1" x14ac:dyDescent="0.25">
      <c r="A280" s="94" t="s">
        <v>706</v>
      </c>
      <c r="B280" s="95" t="s">
        <v>711</v>
      </c>
      <c r="C280" s="121" t="s">
        <v>153</v>
      </c>
      <c r="D280" s="121" t="s">
        <v>363</v>
      </c>
      <c r="E280" s="96" t="s">
        <v>363</v>
      </c>
      <c r="F280" s="77"/>
      <c r="G280" s="121" t="s">
        <v>712</v>
      </c>
      <c r="H280" s="96">
        <v>97.49</v>
      </c>
      <c r="I280" s="97">
        <f>2858/11057510</f>
        <v>2.5846687002770066E-4</v>
      </c>
      <c r="J280" s="96">
        <v>1213.06</v>
      </c>
      <c r="K280" s="121" t="s">
        <v>712</v>
      </c>
      <c r="L280" s="98" t="s">
        <v>713</v>
      </c>
      <c r="M280" s="96">
        <v>97.49</v>
      </c>
      <c r="N280" s="121" t="s">
        <v>1762</v>
      </c>
      <c r="O280" s="121" t="s">
        <v>365</v>
      </c>
    </row>
    <row r="281" spans="1:15" s="95" customFormat="1" x14ac:dyDescent="0.25">
      <c r="A281" s="94" t="s">
        <v>706</v>
      </c>
      <c r="B281" s="95" t="s">
        <v>714</v>
      </c>
      <c r="C281" s="121" t="s">
        <v>153</v>
      </c>
      <c r="D281" s="121" t="s">
        <v>363</v>
      </c>
      <c r="E281" s="96" t="s">
        <v>363</v>
      </c>
      <c r="F281" s="77"/>
      <c r="G281" s="121" t="s">
        <v>715</v>
      </c>
      <c r="H281" s="96">
        <v>97.95</v>
      </c>
      <c r="I281" s="97">
        <f>4605/11057510</f>
        <v>4.1645904005512994E-4</v>
      </c>
      <c r="J281" s="96">
        <v>156.76</v>
      </c>
      <c r="K281" s="121" t="s">
        <v>715</v>
      </c>
      <c r="L281" s="98" t="s">
        <v>716</v>
      </c>
      <c r="M281" s="96">
        <v>97.95</v>
      </c>
      <c r="N281" s="121" t="s">
        <v>1763</v>
      </c>
      <c r="O281" s="121" t="s">
        <v>365</v>
      </c>
    </row>
    <row r="282" spans="1:15" s="95" customFormat="1" x14ac:dyDescent="0.25">
      <c r="A282" s="94" t="s">
        <v>706</v>
      </c>
      <c r="B282" s="95" t="s">
        <v>717</v>
      </c>
      <c r="C282" s="121" t="s">
        <v>153</v>
      </c>
      <c r="D282" s="121" t="s">
        <v>363</v>
      </c>
      <c r="E282" s="96" t="s">
        <v>363</v>
      </c>
      <c r="F282" s="77"/>
      <c r="G282" s="121" t="s">
        <v>718</v>
      </c>
      <c r="H282" s="96">
        <v>95.11</v>
      </c>
      <c r="I282" s="97">
        <f t="shared" ref="I282" si="1">3304/11057510</f>
        <v>2.9880144806561333E-4</v>
      </c>
      <c r="J282" s="96">
        <v>436.64</v>
      </c>
      <c r="K282" s="121" t="s">
        <v>718</v>
      </c>
      <c r="L282" s="98" t="s">
        <v>719</v>
      </c>
      <c r="M282" s="96">
        <v>95.11</v>
      </c>
      <c r="N282" s="121" t="s">
        <v>1764</v>
      </c>
      <c r="O282" s="121" t="s">
        <v>365</v>
      </c>
    </row>
    <row r="283" spans="1:15" s="95" customFormat="1" x14ac:dyDescent="0.25">
      <c r="A283" s="94" t="s">
        <v>706</v>
      </c>
      <c r="B283" s="100" t="s">
        <v>190</v>
      </c>
      <c r="C283" s="121" t="s">
        <v>191</v>
      </c>
      <c r="D283" s="121" t="s">
        <v>363</v>
      </c>
      <c r="E283" s="96" t="s">
        <v>363</v>
      </c>
      <c r="F283" s="77"/>
      <c r="G283" s="121" t="s">
        <v>720</v>
      </c>
      <c r="H283" s="96">
        <v>67.930000000000007</v>
      </c>
      <c r="I283" s="97">
        <f>1234/11057510</f>
        <v>1.1159836165646697E-4</v>
      </c>
      <c r="J283" s="96">
        <v>12.02</v>
      </c>
      <c r="K283" s="121" t="s">
        <v>720</v>
      </c>
      <c r="L283" s="98" t="s">
        <v>721</v>
      </c>
      <c r="M283" s="96">
        <v>67.930000000000007</v>
      </c>
      <c r="N283" s="121" t="s">
        <v>1926</v>
      </c>
      <c r="O283" s="121" t="s">
        <v>378</v>
      </c>
    </row>
    <row r="284" spans="1:15" s="95" customFormat="1" ht="13.5" x14ac:dyDescent="0.25">
      <c r="A284" s="94" t="s">
        <v>706</v>
      </c>
      <c r="B284" s="100" t="s">
        <v>2161</v>
      </c>
      <c r="C284" s="121" t="s">
        <v>196</v>
      </c>
      <c r="D284" s="121" t="s">
        <v>363</v>
      </c>
      <c r="E284" s="96" t="s">
        <v>363</v>
      </c>
      <c r="F284" s="77"/>
      <c r="G284" s="121" t="s">
        <v>722</v>
      </c>
      <c r="H284" s="96">
        <v>72.33</v>
      </c>
      <c r="I284" s="97">
        <f>4797/11057510</f>
        <v>4.3382280459163046E-4</v>
      </c>
      <c r="J284" s="96">
        <v>110</v>
      </c>
      <c r="K284" s="121" t="s">
        <v>722</v>
      </c>
      <c r="L284" s="98" t="s">
        <v>723</v>
      </c>
      <c r="M284" s="99">
        <v>72.33</v>
      </c>
      <c r="N284" s="121" t="s">
        <v>1924</v>
      </c>
      <c r="O284" s="130" t="s">
        <v>724</v>
      </c>
    </row>
    <row r="285" spans="1:15" s="95" customFormat="1" ht="13.5" x14ac:dyDescent="0.25">
      <c r="A285" s="94" t="s">
        <v>706</v>
      </c>
      <c r="B285" s="100" t="s">
        <v>2162</v>
      </c>
      <c r="C285" s="121" t="s">
        <v>196</v>
      </c>
      <c r="D285" s="121" t="s">
        <v>363</v>
      </c>
      <c r="E285" s="96" t="s">
        <v>363</v>
      </c>
      <c r="F285" s="77"/>
      <c r="G285" s="121" t="s">
        <v>725</v>
      </c>
      <c r="H285" s="96">
        <v>80</v>
      </c>
      <c r="I285" s="97">
        <f>3820/11057510</f>
        <v>3.4546656525745852E-4</v>
      </c>
      <c r="J285" s="96">
        <v>156.94999999999999</v>
      </c>
      <c r="K285" s="121" t="s">
        <v>725</v>
      </c>
      <c r="L285" s="98" t="s">
        <v>726</v>
      </c>
      <c r="M285" s="99">
        <v>80</v>
      </c>
      <c r="N285" s="121" t="s">
        <v>1925</v>
      </c>
      <c r="O285" s="130" t="s">
        <v>727</v>
      </c>
    </row>
    <row r="286" spans="1:15" s="95" customFormat="1" x14ac:dyDescent="0.25">
      <c r="A286" s="94" t="s">
        <v>706</v>
      </c>
      <c r="B286" s="100" t="s">
        <v>2134</v>
      </c>
      <c r="C286" s="121" t="s">
        <v>160</v>
      </c>
      <c r="D286" s="121" t="s">
        <v>363</v>
      </c>
      <c r="E286" s="96" t="s">
        <v>363</v>
      </c>
      <c r="F286" s="77"/>
      <c r="G286" s="121" t="s">
        <v>728</v>
      </c>
      <c r="H286" s="96">
        <v>70.88</v>
      </c>
      <c r="I286" s="97">
        <f>2520/11057510</f>
        <v>2.2789940954156949E-4</v>
      </c>
      <c r="J286" s="96">
        <v>58.11</v>
      </c>
      <c r="K286" s="121" t="s">
        <v>728</v>
      </c>
      <c r="L286" s="98" t="s">
        <v>729</v>
      </c>
      <c r="M286" s="99">
        <v>70.88</v>
      </c>
      <c r="N286" s="121" t="s">
        <v>1922</v>
      </c>
      <c r="O286" s="121" t="s">
        <v>378</v>
      </c>
    </row>
    <row r="287" spans="1:15" s="95" customFormat="1" x14ac:dyDescent="0.25">
      <c r="A287" s="94" t="s">
        <v>706</v>
      </c>
      <c r="B287" s="100" t="s">
        <v>2135</v>
      </c>
      <c r="C287" s="121" t="s">
        <v>160</v>
      </c>
      <c r="D287" s="121" t="s">
        <v>363</v>
      </c>
      <c r="E287" s="96" t="s">
        <v>363</v>
      </c>
      <c r="F287" s="77"/>
      <c r="G287" s="121" t="s">
        <v>730</v>
      </c>
      <c r="H287" s="96">
        <v>73.989999999999995</v>
      </c>
      <c r="I287" s="97">
        <f>5707/11057510</f>
        <v>5.1611981359275284E-4</v>
      </c>
      <c r="J287" s="96">
        <v>120.07</v>
      </c>
      <c r="K287" s="121" t="s">
        <v>730</v>
      </c>
      <c r="L287" s="98" t="s">
        <v>731</v>
      </c>
      <c r="M287" s="99">
        <v>73.989999999999995</v>
      </c>
      <c r="N287" s="121" t="s">
        <v>1923</v>
      </c>
      <c r="O287" s="121" t="s">
        <v>378</v>
      </c>
    </row>
    <row r="288" spans="1:15" s="95" customFormat="1" x14ac:dyDescent="0.25">
      <c r="A288" s="94" t="s">
        <v>706</v>
      </c>
      <c r="B288" s="100" t="s">
        <v>2132</v>
      </c>
      <c r="C288" s="121" t="s">
        <v>123</v>
      </c>
      <c r="D288" s="121" t="s">
        <v>363</v>
      </c>
      <c r="E288" s="96" t="s">
        <v>363</v>
      </c>
      <c r="F288" s="77"/>
      <c r="G288" s="121" t="s">
        <v>529</v>
      </c>
      <c r="H288" s="96">
        <v>76.03</v>
      </c>
      <c r="I288" s="137">
        <f>1107/11057510</f>
        <v>1.0011295490576087E-4</v>
      </c>
      <c r="J288" s="139">
        <v>52.35</v>
      </c>
      <c r="K288" s="121" t="s">
        <v>529</v>
      </c>
      <c r="L288" s="98" t="s">
        <v>732</v>
      </c>
      <c r="M288" s="99">
        <v>76.03</v>
      </c>
      <c r="N288" s="121" t="s">
        <v>1720</v>
      </c>
      <c r="O288" s="121" t="s">
        <v>378</v>
      </c>
    </row>
    <row r="289" spans="1:15" s="95" customFormat="1" x14ac:dyDescent="0.25">
      <c r="A289" s="94" t="s">
        <v>706</v>
      </c>
      <c r="B289" s="100" t="s">
        <v>2133</v>
      </c>
      <c r="C289" s="121" t="s">
        <v>123</v>
      </c>
      <c r="D289" s="121" t="s">
        <v>363</v>
      </c>
      <c r="E289" s="96" t="s">
        <v>363</v>
      </c>
      <c r="F289" s="77"/>
      <c r="G289" s="121" t="s">
        <v>531</v>
      </c>
      <c r="H289" s="96">
        <v>66.34</v>
      </c>
      <c r="I289" s="138"/>
      <c r="J289" s="140"/>
      <c r="K289" s="121" t="s">
        <v>531</v>
      </c>
      <c r="L289" s="98" t="s">
        <v>733</v>
      </c>
      <c r="M289" s="99">
        <v>66.34</v>
      </c>
      <c r="N289" s="121" t="s">
        <v>1721</v>
      </c>
      <c r="O289" s="121" t="s">
        <v>378</v>
      </c>
    </row>
    <row r="290" spans="1:15" s="80" customFormat="1" x14ac:dyDescent="0.25">
      <c r="A290" s="79" t="s">
        <v>734</v>
      </c>
      <c r="C290" s="124"/>
      <c r="D290" s="124"/>
      <c r="E290" s="81"/>
      <c r="F290" s="82"/>
      <c r="G290" s="124"/>
      <c r="H290" s="81"/>
      <c r="I290" s="86"/>
      <c r="J290" s="81"/>
      <c r="K290" s="124"/>
      <c r="L290" s="83"/>
      <c r="M290" s="84"/>
      <c r="N290" s="124"/>
      <c r="O290" s="124"/>
    </row>
    <row r="291" spans="1:15" s="95" customFormat="1" x14ac:dyDescent="0.25">
      <c r="A291" s="94" t="s">
        <v>734</v>
      </c>
      <c r="B291" s="95" t="s">
        <v>114</v>
      </c>
      <c r="C291" s="121" t="s">
        <v>115</v>
      </c>
      <c r="D291" s="121" t="s">
        <v>405</v>
      </c>
      <c r="E291" s="96">
        <v>100</v>
      </c>
      <c r="F291" s="77"/>
      <c r="G291" s="121" t="s">
        <v>363</v>
      </c>
      <c r="H291" s="96" t="s">
        <v>363</v>
      </c>
      <c r="I291" s="97">
        <f>1504/11166850</f>
        <v>1.3468435592848475E-4</v>
      </c>
      <c r="J291" s="96">
        <v>64.14</v>
      </c>
      <c r="K291" s="121" t="s">
        <v>405</v>
      </c>
      <c r="L291" s="98" t="s">
        <v>605</v>
      </c>
      <c r="M291" s="99">
        <v>100</v>
      </c>
      <c r="N291" s="121" t="s">
        <v>1692</v>
      </c>
      <c r="O291" s="121" t="s">
        <v>365</v>
      </c>
    </row>
    <row r="292" spans="1:15" s="95" customFormat="1" ht="25.5" x14ac:dyDescent="0.25">
      <c r="A292" s="94" t="s">
        <v>734</v>
      </c>
      <c r="B292" s="95" t="s">
        <v>2074</v>
      </c>
      <c r="C292" s="121" t="s">
        <v>210</v>
      </c>
      <c r="D292" s="121" t="s">
        <v>362</v>
      </c>
      <c r="E292" s="96">
        <v>99.55</v>
      </c>
      <c r="F292" s="77"/>
      <c r="G292" s="121" t="s">
        <v>363</v>
      </c>
      <c r="H292" s="96" t="s">
        <v>363</v>
      </c>
      <c r="I292" s="97">
        <f>644194/11166850</f>
        <v>5.7688067807841963E-2</v>
      </c>
      <c r="J292" s="96">
        <v>9848.8874240395508</v>
      </c>
      <c r="K292" s="121" t="s">
        <v>362</v>
      </c>
      <c r="L292" s="98" t="s">
        <v>363</v>
      </c>
      <c r="M292" s="99">
        <v>99.55</v>
      </c>
      <c r="N292" s="121" t="s">
        <v>363</v>
      </c>
      <c r="O292" s="121" t="s">
        <v>2040</v>
      </c>
    </row>
    <row r="293" spans="1:15" s="95" customFormat="1" x14ac:dyDescent="0.25">
      <c r="A293" s="94" t="s">
        <v>734</v>
      </c>
      <c r="B293" s="100" t="s">
        <v>2152</v>
      </c>
      <c r="C293" s="121" t="s">
        <v>106</v>
      </c>
      <c r="D293" s="121" t="s">
        <v>363</v>
      </c>
      <c r="E293" s="96" t="s">
        <v>363</v>
      </c>
      <c r="F293" s="77"/>
      <c r="G293" s="121" t="s">
        <v>735</v>
      </c>
      <c r="H293" s="96">
        <v>30.13</v>
      </c>
      <c r="I293" s="137">
        <f>1610/11166850</f>
        <v>1.441767373968487E-4</v>
      </c>
      <c r="J293" s="139">
        <v>18.79</v>
      </c>
      <c r="K293" s="121" t="s">
        <v>735</v>
      </c>
      <c r="L293" s="98" t="s">
        <v>736</v>
      </c>
      <c r="M293" s="96">
        <v>30.13</v>
      </c>
      <c r="N293" s="121" t="s">
        <v>1678</v>
      </c>
      <c r="O293" s="121" t="s">
        <v>737</v>
      </c>
    </row>
    <row r="294" spans="1:15" s="95" customFormat="1" x14ac:dyDescent="0.25">
      <c r="A294" s="94" t="s">
        <v>734</v>
      </c>
      <c r="B294" s="100" t="s">
        <v>2153</v>
      </c>
      <c r="C294" s="121" t="s">
        <v>106</v>
      </c>
      <c r="D294" s="121" t="s">
        <v>363</v>
      </c>
      <c r="E294" s="96" t="s">
        <v>363</v>
      </c>
      <c r="F294" s="77"/>
      <c r="G294" s="121" t="s">
        <v>738</v>
      </c>
      <c r="H294" s="96">
        <v>23.86</v>
      </c>
      <c r="I294" s="138"/>
      <c r="J294" s="140"/>
      <c r="K294" s="121" t="s">
        <v>738</v>
      </c>
      <c r="L294" s="98" t="s">
        <v>739</v>
      </c>
      <c r="M294" s="96">
        <v>23.86</v>
      </c>
      <c r="N294" s="121" t="s">
        <v>1679</v>
      </c>
      <c r="O294" s="121" t="s">
        <v>737</v>
      </c>
    </row>
    <row r="295" spans="1:15" s="80" customFormat="1" x14ac:dyDescent="0.25">
      <c r="A295" s="79" t="s">
        <v>740</v>
      </c>
      <c r="C295" s="124"/>
      <c r="D295" s="124"/>
      <c r="E295" s="81"/>
      <c r="F295" s="82"/>
      <c r="G295" s="124"/>
      <c r="H295" s="81"/>
      <c r="I295" s="86"/>
      <c r="J295" s="81"/>
      <c r="K295" s="124"/>
      <c r="L295" s="83"/>
      <c r="M295" s="84"/>
      <c r="N295" s="124"/>
      <c r="O295" s="124"/>
    </row>
    <row r="296" spans="1:15" s="95" customFormat="1" x14ac:dyDescent="0.25">
      <c r="A296" s="94" t="s">
        <v>740</v>
      </c>
      <c r="B296" s="95" t="s">
        <v>277</v>
      </c>
      <c r="C296" s="121" t="s">
        <v>278</v>
      </c>
      <c r="D296" s="121" t="s">
        <v>741</v>
      </c>
      <c r="E296" s="96">
        <v>94.55</v>
      </c>
      <c r="F296" s="77"/>
      <c r="G296" s="121" t="s">
        <v>363</v>
      </c>
      <c r="H296" s="96" t="s">
        <v>363</v>
      </c>
      <c r="I296" s="97">
        <f>6631/10032414</f>
        <v>6.6095757212571171E-4</v>
      </c>
      <c r="J296" s="96">
        <v>168.46</v>
      </c>
      <c r="K296" s="121" t="s">
        <v>741</v>
      </c>
      <c r="L296" s="98" t="s">
        <v>742</v>
      </c>
      <c r="M296" s="99">
        <v>94.57</v>
      </c>
      <c r="N296" s="121" t="s">
        <v>1933</v>
      </c>
      <c r="O296" s="121" t="s">
        <v>365</v>
      </c>
    </row>
    <row r="297" spans="1:15" s="95" customFormat="1" ht="13.5" x14ac:dyDescent="0.25">
      <c r="A297" s="94" t="s">
        <v>740</v>
      </c>
      <c r="B297" s="100" t="s">
        <v>743</v>
      </c>
      <c r="C297" s="121" t="s">
        <v>110</v>
      </c>
      <c r="D297" s="121" t="s">
        <v>363</v>
      </c>
      <c r="E297" s="95" t="s">
        <v>363</v>
      </c>
      <c r="F297" s="77"/>
      <c r="G297" s="121" t="s">
        <v>744</v>
      </c>
      <c r="H297" s="96">
        <v>45.01</v>
      </c>
      <c r="I297" s="157">
        <f>3623/10032414</f>
        <v>3.6112943504923141E-4</v>
      </c>
      <c r="J297" s="108">
        <v>42.98</v>
      </c>
      <c r="K297" s="121" t="s">
        <v>744</v>
      </c>
      <c r="L297" s="98" t="s">
        <v>745</v>
      </c>
      <c r="M297" s="99">
        <v>45.01</v>
      </c>
      <c r="N297" s="121" t="s">
        <v>1680</v>
      </c>
      <c r="O297" s="130" t="s">
        <v>746</v>
      </c>
    </row>
    <row r="298" spans="1:15" s="95" customFormat="1" ht="13.5" x14ac:dyDescent="0.25">
      <c r="A298" s="94" t="s">
        <v>740</v>
      </c>
      <c r="B298" s="100" t="s">
        <v>747</v>
      </c>
      <c r="C298" s="121" t="s">
        <v>110</v>
      </c>
      <c r="D298" s="121" t="s">
        <v>363</v>
      </c>
      <c r="E298" s="95" t="s">
        <v>363</v>
      </c>
      <c r="F298" s="77"/>
      <c r="G298" s="121" t="s">
        <v>748</v>
      </c>
      <c r="H298" s="96">
        <v>32.520000000000003</v>
      </c>
      <c r="I298" s="103"/>
      <c r="J298" s="110"/>
      <c r="K298" s="121" t="s">
        <v>748</v>
      </c>
      <c r="L298" s="98" t="s">
        <v>749</v>
      </c>
      <c r="M298" s="96">
        <v>32.520000000000003</v>
      </c>
      <c r="N298" s="121" t="s">
        <v>1681</v>
      </c>
      <c r="O298" s="130" t="s">
        <v>750</v>
      </c>
    </row>
    <row r="299" spans="1:15" s="95" customFormat="1" ht="13.5" x14ac:dyDescent="0.25">
      <c r="A299" s="94" t="s">
        <v>740</v>
      </c>
      <c r="B299" s="100" t="s">
        <v>751</v>
      </c>
      <c r="C299" s="121" t="s">
        <v>110</v>
      </c>
      <c r="D299" s="121" t="s">
        <v>363</v>
      </c>
      <c r="E299" s="95" t="s">
        <v>363</v>
      </c>
      <c r="F299" s="77"/>
      <c r="G299" s="121" t="s">
        <v>752</v>
      </c>
      <c r="H299" s="96">
        <v>39.56</v>
      </c>
      <c r="I299" s="103"/>
      <c r="J299" s="110"/>
      <c r="K299" s="121" t="s">
        <v>752</v>
      </c>
      <c r="L299" s="98" t="s">
        <v>753</v>
      </c>
      <c r="M299" s="99">
        <v>39.56</v>
      </c>
      <c r="N299" s="121" t="s">
        <v>1682</v>
      </c>
      <c r="O299" s="130" t="s">
        <v>754</v>
      </c>
    </row>
    <row r="300" spans="1:15" s="95" customFormat="1" ht="13.5" x14ac:dyDescent="0.25">
      <c r="A300" s="94" t="s">
        <v>740</v>
      </c>
      <c r="B300" s="100" t="s">
        <v>755</v>
      </c>
      <c r="C300" s="121" t="s">
        <v>110</v>
      </c>
      <c r="D300" s="121" t="s">
        <v>363</v>
      </c>
      <c r="E300" s="95" t="s">
        <v>363</v>
      </c>
      <c r="F300" s="77"/>
      <c r="G300" s="121" t="s">
        <v>756</v>
      </c>
      <c r="H300" s="96">
        <v>45.38</v>
      </c>
      <c r="I300" s="103"/>
      <c r="J300" s="110"/>
      <c r="K300" s="121" t="s">
        <v>756</v>
      </c>
      <c r="L300" s="98" t="s">
        <v>757</v>
      </c>
      <c r="M300" s="99">
        <v>45.38</v>
      </c>
      <c r="N300" s="121" t="s">
        <v>1683</v>
      </c>
      <c r="O300" s="130" t="s">
        <v>758</v>
      </c>
    </row>
    <row r="301" spans="1:15" s="95" customFormat="1" ht="13.5" x14ac:dyDescent="0.25">
      <c r="A301" s="94" t="s">
        <v>740</v>
      </c>
      <c r="B301" s="100" t="s">
        <v>759</v>
      </c>
      <c r="C301" s="121" t="s">
        <v>110</v>
      </c>
      <c r="D301" s="121" t="s">
        <v>363</v>
      </c>
      <c r="E301" s="95" t="s">
        <v>363</v>
      </c>
      <c r="F301" s="77"/>
      <c r="G301" s="121" t="s">
        <v>760</v>
      </c>
      <c r="H301" s="96">
        <v>36.31</v>
      </c>
      <c r="I301" s="105"/>
      <c r="J301" s="112"/>
      <c r="K301" s="121" t="s">
        <v>760</v>
      </c>
      <c r="L301" s="98" t="s">
        <v>761</v>
      </c>
      <c r="M301" s="99">
        <v>36.31</v>
      </c>
      <c r="N301" s="121" t="s">
        <v>1684</v>
      </c>
      <c r="O301" s="130" t="s">
        <v>762</v>
      </c>
    </row>
    <row r="302" spans="1:15" s="95" customFormat="1" x14ac:dyDescent="0.25">
      <c r="A302" s="94" t="s">
        <v>740</v>
      </c>
      <c r="B302" s="100" t="s">
        <v>2061</v>
      </c>
      <c r="C302" s="121" t="s">
        <v>158</v>
      </c>
      <c r="D302" s="121" t="s">
        <v>363</v>
      </c>
      <c r="E302" s="95" t="s">
        <v>363</v>
      </c>
      <c r="F302" s="77"/>
      <c r="G302" s="121" t="s">
        <v>763</v>
      </c>
      <c r="H302" s="96">
        <v>67.040000000000006</v>
      </c>
      <c r="I302" s="97">
        <f>73413/10032414</f>
        <v>7.3175807936155749E-3</v>
      </c>
      <c r="J302" s="96">
        <v>663.59</v>
      </c>
      <c r="K302" s="121" t="s">
        <v>763</v>
      </c>
      <c r="L302" s="98" t="s">
        <v>764</v>
      </c>
      <c r="M302" s="99">
        <v>67.430000000000007</v>
      </c>
      <c r="N302" s="121" t="s">
        <v>1931</v>
      </c>
      <c r="O302" s="121" t="s">
        <v>378</v>
      </c>
    </row>
    <row r="303" spans="1:15" s="95" customFormat="1" x14ac:dyDescent="0.25">
      <c r="A303" s="94" t="s">
        <v>740</v>
      </c>
      <c r="B303" s="95" t="s">
        <v>344</v>
      </c>
      <c r="C303" s="121" t="s">
        <v>345</v>
      </c>
      <c r="D303" s="121" t="s">
        <v>765</v>
      </c>
      <c r="E303" s="96">
        <v>90.4</v>
      </c>
      <c r="F303" s="77"/>
      <c r="G303" s="121" t="s">
        <v>363</v>
      </c>
      <c r="H303" s="96" t="s">
        <v>363</v>
      </c>
      <c r="I303" s="97">
        <f>290/10032414</f>
        <v>2.8906303109102156E-5</v>
      </c>
      <c r="J303" s="96">
        <v>9.43</v>
      </c>
      <c r="K303" s="121" t="s">
        <v>765</v>
      </c>
      <c r="L303" s="98" t="s">
        <v>766</v>
      </c>
      <c r="M303" s="99">
        <v>90.57</v>
      </c>
      <c r="N303" s="121" t="s">
        <v>1932</v>
      </c>
      <c r="O303" s="121" t="s">
        <v>365</v>
      </c>
    </row>
    <row r="304" spans="1:15" s="95" customFormat="1" x14ac:dyDescent="0.25">
      <c r="A304" s="94" t="s">
        <v>740</v>
      </c>
      <c r="B304" s="95" t="s">
        <v>321</v>
      </c>
      <c r="C304" s="121" t="s">
        <v>322</v>
      </c>
      <c r="D304" s="121" t="s">
        <v>767</v>
      </c>
      <c r="E304" s="96">
        <v>93.19</v>
      </c>
      <c r="F304" s="77"/>
      <c r="G304" s="121" t="s">
        <v>363</v>
      </c>
      <c r="H304" s="96" t="s">
        <v>363</v>
      </c>
      <c r="I304" s="97">
        <f>45/10032414</f>
        <v>4.4854608272744725E-6</v>
      </c>
      <c r="J304" s="96">
        <v>3.37</v>
      </c>
      <c r="K304" s="121" t="s">
        <v>767</v>
      </c>
      <c r="L304" s="98" t="s">
        <v>363</v>
      </c>
      <c r="M304" s="99">
        <v>93.19</v>
      </c>
      <c r="N304" s="121" t="s">
        <v>363</v>
      </c>
      <c r="O304" s="121" t="s">
        <v>370</v>
      </c>
    </row>
    <row r="305" spans="1:16" s="80" customFormat="1" x14ac:dyDescent="0.25">
      <c r="A305" s="79" t="s">
        <v>768</v>
      </c>
      <c r="C305" s="124"/>
      <c r="D305" s="124"/>
      <c r="E305" s="81"/>
      <c r="F305" s="82"/>
      <c r="G305" s="124"/>
      <c r="H305" s="81"/>
      <c r="I305" s="86"/>
      <c r="J305" s="81"/>
      <c r="K305" s="124"/>
      <c r="L305" s="83"/>
      <c r="M305" s="84"/>
      <c r="N305" s="124"/>
      <c r="O305" s="124"/>
    </row>
    <row r="306" spans="1:16" s="95" customFormat="1" x14ac:dyDescent="0.25">
      <c r="A306" s="94" t="s">
        <v>768</v>
      </c>
      <c r="B306" s="95" t="s">
        <v>2089</v>
      </c>
      <c r="C306" s="121" t="s">
        <v>272</v>
      </c>
      <c r="D306" s="121" t="s">
        <v>407</v>
      </c>
      <c r="E306" s="96">
        <v>96.95</v>
      </c>
      <c r="F306" s="77"/>
      <c r="G306" s="121" t="s">
        <v>363</v>
      </c>
      <c r="H306" s="96" t="s">
        <v>363</v>
      </c>
      <c r="I306" s="97">
        <f>2088/12472146</f>
        <v>1.674130498472356E-4</v>
      </c>
      <c r="J306" s="96">
        <v>85.19</v>
      </c>
      <c r="K306" s="121" t="s">
        <v>407</v>
      </c>
      <c r="L306" s="98" t="s">
        <v>769</v>
      </c>
      <c r="M306" s="99">
        <v>96.95</v>
      </c>
      <c r="N306" s="121" t="s">
        <v>1934</v>
      </c>
      <c r="O306" s="121" t="s">
        <v>365</v>
      </c>
    </row>
    <row r="307" spans="1:16" s="95" customFormat="1" x14ac:dyDescent="0.25">
      <c r="A307" s="94" t="s">
        <v>768</v>
      </c>
      <c r="B307" s="95" t="s">
        <v>2091</v>
      </c>
      <c r="C307" s="121" t="s">
        <v>274</v>
      </c>
      <c r="D307" s="121" t="s">
        <v>456</v>
      </c>
      <c r="E307" s="96">
        <v>96.68</v>
      </c>
      <c r="F307" s="77"/>
      <c r="G307" s="121" t="s">
        <v>363</v>
      </c>
      <c r="H307" s="96" t="s">
        <v>363</v>
      </c>
      <c r="I307" s="97">
        <f>1213/12472146</f>
        <v>9.7256719092287728E-5</v>
      </c>
      <c r="J307" s="96">
        <v>49.67</v>
      </c>
      <c r="K307" s="121" t="s">
        <v>456</v>
      </c>
      <c r="L307" s="98" t="s">
        <v>770</v>
      </c>
      <c r="M307" s="99">
        <v>90.43</v>
      </c>
      <c r="N307" s="121" t="s">
        <v>363</v>
      </c>
      <c r="O307" s="121" t="s">
        <v>771</v>
      </c>
    </row>
    <row r="308" spans="1:16" s="80" customFormat="1" x14ac:dyDescent="0.25">
      <c r="A308" s="79" t="s">
        <v>772</v>
      </c>
      <c r="C308" s="124"/>
      <c r="D308" s="124"/>
      <c r="E308" s="81"/>
      <c r="F308" s="82"/>
      <c r="G308" s="124"/>
      <c r="H308" s="81"/>
      <c r="I308" s="86"/>
      <c r="J308" s="81"/>
      <c r="K308" s="124"/>
      <c r="L308" s="83"/>
      <c r="M308" s="84"/>
      <c r="N308" s="124"/>
      <c r="O308" s="124"/>
    </row>
    <row r="309" spans="1:16" s="95" customFormat="1" x14ac:dyDescent="0.25">
      <c r="A309" s="94" t="s">
        <v>772</v>
      </c>
      <c r="B309" s="95" t="s">
        <v>409</v>
      </c>
      <c r="C309" s="121" t="s">
        <v>259</v>
      </c>
      <c r="D309" s="121" t="s">
        <v>363</v>
      </c>
      <c r="E309" s="96" t="s">
        <v>363</v>
      </c>
      <c r="F309" s="107"/>
      <c r="G309" s="121" t="s">
        <v>773</v>
      </c>
      <c r="H309" s="96">
        <v>90.9</v>
      </c>
      <c r="I309" s="101">
        <f>774/11986114</f>
        <v>6.4574723717795445E-5</v>
      </c>
      <c r="J309" s="108">
        <v>9.58</v>
      </c>
      <c r="K309" s="121" t="s">
        <v>773</v>
      </c>
      <c r="L309" s="98" t="s">
        <v>774</v>
      </c>
      <c r="M309" s="99">
        <v>90.9</v>
      </c>
      <c r="N309" s="121" t="s">
        <v>1936</v>
      </c>
      <c r="O309" s="121" t="s">
        <v>412</v>
      </c>
    </row>
    <row r="310" spans="1:16" s="95" customFormat="1" x14ac:dyDescent="0.25">
      <c r="A310" s="94" t="s">
        <v>772</v>
      </c>
      <c r="B310" s="95" t="s">
        <v>413</v>
      </c>
      <c r="C310" s="121" t="s">
        <v>259</v>
      </c>
      <c r="D310" s="121" t="s">
        <v>363</v>
      </c>
      <c r="E310" s="96" t="s">
        <v>363</v>
      </c>
      <c r="F310" s="109"/>
      <c r="G310" s="121" t="s">
        <v>775</v>
      </c>
      <c r="H310" s="96">
        <v>88.21</v>
      </c>
      <c r="I310" s="103"/>
      <c r="J310" s="110"/>
      <c r="K310" s="121" t="s">
        <v>775</v>
      </c>
      <c r="L310" s="98" t="s">
        <v>776</v>
      </c>
      <c r="M310" s="99">
        <v>88.97</v>
      </c>
      <c r="N310" s="121" t="s">
        <v>1937</v>
      </c>
      <c r="O310" s="121" t="s">
        <v>412</v>
      </c>
    </row>
    <row r="311" spans="1:16" s="95" customFormat="1" x14ac:dyDescent="0.25">
      <c r="A311" s="94" t="s">
        <v>772</v>
      </c>
      <c r="B311" s="95" t="s">
        <v>416</v>
      </c>
      <c r="C311" s="121" t="s">
        <v>259</v>
      </c>
      <c r="D311" s="121" t="s">
        <v>363</v>
      </c>
      <c r="E311" s="96" t="s">
        <v>363</v>
      </c>
      <c r="F311" s="111"/>
      <c r="G311" s="121" t="s">
        <v>417</v>
      </c>
      <c r="H311" s="96">
        <v>92.63</v>
      </c>
      <c r="I311" s="103"/>
      <c r="J311" s="110"/>
      <c r="K311" s="121" t="s">
        <v>417</v>
      </c>
      <c r="L311" s="98" t="s">
        <v>777</v>
      </c>
      <c r="M311" s="99">
        <v>91.88</v>
      </c>
      <c r="N311" s="121" t="s">
        <v>1938</v>
      </c>
      <c r="O311" s="121" t="s">
        <v>412</v>
      </c>
    </row>
    <row r="312" spans="1:16" s="95" customFormat="1" x14ac:dyDescent="0.25">
      <c r="A312" s="94" t="s">
        <v>772</v>
      </c>
      <c r="B312" s="95" t="s">
        <v>419</v>
      </c>
      <c r="C312" s="121" t="s">
        <v>259</v>
      </c>
      <c r="D312" s="121" t="s">
        <v>363</v>
      </c>
      <c r="E312" s="96" t="s">
        <v>363</v>
      </c>
      <c r="F312" s="77"/>
      <c r="G312" s="121" t="s">
        <v>420</v>
      </c>
      <c r="H312" s="96">
        <v>71.099999999999994</v>
      </c>
      <c r="I312" s="105"/>
      <c r="J312" s="112"/>
      <c r="K312" s="121" t="s">
        <v>420</v>
      </c>
      <c r="L312" s="98" t="s">
        <v>778</v>
      </c>
      <c r="M312" s="99">
        <v>71.099999999999994</v>
      </c>
      <c r="N312" s="121" t="s">
        <v>1939</v>
      </c>
      <c r="O312" s="121" t="s">
        <v>412</v>
      </c>
    </row>
    <row r="313" spans="1:16" s="95" customFormat="1" x14ac:dyDescent="0.25">
      <c r="A313" s="94" t="s">
        <v>772</v>
      </c>
      <c r="B313" s="100" t="s">
        <v>459</v>
      </c>
      <c r="C313" s="121" t="s">
        <v>104</v>
      </c>
      <c r="D313" s="121" t="s">
        <v>363</v>
      </c>
      <c r="E313" s="96" t="s">
        <v>363</v>
      </c>
      <c r="F313" s="77"/>
      <c r="G313" s="121" t="s">
        <v>460</v>
      </c>
      <c r="H313" s="96">
        <v>72.47</v>
      </c>
      <c r="I313" s="160">
        <f>1194111/11986114</f>
        <v>9.9624532187830017E-2</v>
      </c>
      <c r="J313" s="108">
        <v>10050.06</v>
      </c>
      <c r="K313" s="121" t="s">
        <v>460</v>
      </c>
      <c r="L313" s="98" t="s">
        <v>502</v>
      </c>
      <c r="M313" s="99">
        <v>72.47</v>
      </c>
      <c r="N313" s="121" t="s">
        <v>1669</v>
      </c>
      <c r="O313" s="121" t="s">
        <v>378</v>
      </c>
    </row>
    <row r="314" spans="1:16" s="95" customFormat="1" x14ac:dyDescent="0.25">
      <c r="A314" s="94" t="s">
        <v>772</v>
      </c>
      <c r="B314" s="100" t="s">
        <v>462</v>
      </c>
      <c r="C314" s="121" t="s">
        <v>104</v>
      </c>
      <c r="D314" s="121" t="s">
        <v>363</v>
      </c>
      <c r="E314" s="96" t="s">
        <v>363</v>
      </c>
      <c r="F314" s="77"/>
      <c r="G314" s="121" t="s">
        <v>463</v>
      </c>
      <c r="H314" s="96">
        <v>70.61</v>
      </c>
      <c r="I314" s="110"/>
      <c r="J314" s="110"/>
      <c r="K314" s="121" t="s">
        <v>463</v>
      </c>
      <c r="L314" s="98" t="s">
        <v>503</v>
      </c>
      <c r="M314" s="99">
        <v>70.61</v>
      </c>
      <c r="N314" s="121" t="s">
        <v>1670</v>
      </c>
      <c r="O314" s="121" t="s">
        <v>378</v>
      </c>
      <c r="P314" s="159"/>
    </row>
    <row r="315" spans="1:16" s="95" customFormat="1" x14ac:dyDescent="0.25">
      <c r="A315" s="94" t="s">
        <v>772</v>
      </c>
      <c r="B315" s="100" t="s">
        <v>465</v>
      </c>
      <c r="C315" s="121" t="s">
        <v>104</v>
      </c>
      <c r="D315" s="121" t="s">
        <v>363</v>
      </c>
      <c r="E315" s="96" t="s">
        <v>363</v>
      </c>
      <c r="F315" s="77"/>
      <c r="G315" s="121" t="s">
        <v>466</v>
      </c>
      <c r="H315" s="96">
        <v>65.930000000000007</v>
      </c>
      <c r="I315" s="112"/>
      <c r="J315" s="112"/>
      <c r="K315" s="121" t="s">
        <v>466</v>
      </c>
      <c r="L315" s="98" t="s">
        <v>504</v>
      </c>
      <c r="M315" s="99">
        <v>65.930000000000007</v>
      </c>
      <c r="N315" s="121" t="s">
        <v>1671</v>
      </c>
      <c r="O315" s="121" t="s">
        <v>378</v>
      </c>
    </row>
    <row r="316" spans="1:16" s="95" customFormat="1" x14ac:dyDescent="0.25">
      <c r="A316" s="94" t="s">
        <v>772</v>
      </c>
      <c r="B316" s="95" t="s">
        <v>234</v>
      </c>
      <c r="C316" s="121" t="s">
        <v>235</v>
      </c>
      <c r="D316" s="121" t="s">
        <v>363</v>
      </c>
      <c r="E316" s="96" t="s">
        <v>363</v>
      </c>
      <c r="F316" s="77"/>
      <c r="G316" s="121" t="s">
        <v>779</v>
      </c>
      <c r="H316" s="96">
        <v>98.69</v>
      </c>
      <c r="I316" s="97">
        <f>1832/11986114</f>
        <v>1.5284353210723674E-4</v>
      </c>
      <c r="J316" s="96">
        <v>26.75</v>
      </c>
      <c r="K316" s="121" t="s">
        <v>779</v>
      </c>
      <c r="L316" s="98" t="s">
        <v>780</v>
      </c>
      <c r="M316" s="99">
        <v>98.69</v>
      </c>
      <c r="N316" s="121" t="s">
        <v>1935</v>
      </c>
      <c r="O316" s="121" t="s">
        <v>365</v>
      </c>
    </row>
    <row r="317" spans="1:16" s="95" customFormat="1" x14ac:dyDescent="0.25">
      <c r="A317" s="94" t="s">
        <v>772</v>
      </c>
      <c r="B317" s="95" t="s">
        <v>346</v>
      </c>
      <c r="C317" s="121" t="s">
        <v>347</v>
      </c>
      <c r="D317" s="121" t="s">
        <v>363</v>
      </c>
      <c r="E317" s="96" t="s">
        <v>363</v>
      </c>
      <c r="F317" s="77"/>
      <c r="G317" s="121" t="s">
        <v>472</v>
      </c>
      <c r="H317" s="96">
        <v>89.93</v>
      </c>
      <c r="I317" s="97">
        <f>146/11986114</f>
        <v>1.2180761838240485E-5</v>
      </c>
      <c r="J317" s="96">
        <v>6.24</v>
      </c>
      <c r="K317" s="121" t="s">
        <v>472</v>
      </c>
      <c r="L317" s="98" t="s">
        <v>781</v>
      </c>
      <c r="M317" s="96">
        <v>89.93</v>
      </c>
      <c r="N317" s="121" t="s">
        <v>1941</v>
      </c>
      <c r="O317" s="121" t="s">
        <v>474</v>
      </c>
    </row>
    <row r="318" spans="1:16" s="95" customFormat="1" x14ac:dyDescent="0.25">
      <c r="A318" s="94" t="s">
        <v>772</v>
      </c>
      <c r="B318" s="100" t="s">
        <v>329</v>
      </c>
      <c r="C318" s="121" t="s">
        <v>330</v>
      </c>
      <c r="D318" s="121" t="s">
        <v>363</v>
      </c>
      <c r="E318" s="96" t="s">
        <v>363</v>
      </c>
      <c r="F318" s="77"/>
      <c r="G318" s="121" t="s">
        <v>487</v>
      </c>
      <c r="H318" s="96">
        <v>67.239999999999995</v>
      </c>
      <c r="I318" s="97">
        <f>1089/11986114</f>
        <v>9.0855134533177306E-5</v>
      </c>
      <c r="J318" s="96">
        <v>51.98</v>
      </c>
      <c r="K318" s="121" t="s">
        <v>487</v>
      </c>
      <c r="L318" s="98" t="s">
        <v>782</v>
      </c>
      <c r="M318" s="99">
        <v>67.239999999999995</v>
      </c>
      <c r="N318" s="121" t="s">
        <v>1943</v>
      </c>
      <c r="O318" s="121" t="s">
        <v>783</v>
      </c>
    </row>
    <row r="319" spans="1:16" s="95" customFormat="1" x14ac:dyDescent="0.25">
      <c r="A319" s="94" t="s">
        <v>772</v>
      </c>
      <c r="B319" s="100" t="s">
        <v>331</v>
      </c>
      <c r="C319" s="121" t="s">
        <v>332</v>
      </c>
      <c r="D319" s="121" t="s">
        <v>363</v>
      </c>
      <c r="E319" s="96" t="s">
        <v>363</v>
      </c>
      <c r="F319" s="77"/>
      <c r="G319" s="121" t="s">
        <v>784</v>
      </c>
      <c r="H319" s="96">
        <v>69.61</v>
      </c>
      <c r="I319" s="97">
        <f>225/11986114</f>
        <v>1.8771722010987046E-5</v>
      </c>
      <c r="J319" s="96">
        <v>10.31</v>
      </c>
      <c r="K319" s="121" t="s">
        <v>784</v>
      </c>
      <c r="L319" s="98" t="s">
        <v>785</v>
      </c>
      <c r="M319" s="99">
        <v>69.61</v>
      </c>
      <c r="N319" s="121" t="s">
        <v>1944</v>
      </c>
      <c r="O319" s="121" t="s">
        <v>786</v>
      </c>
    </row>
    <row r="320" spans="1:16" s="95" customFormat="1" x14ac:dyDescent="0.25">
      <c r="A320" s="94" t="s">
        <v>772</v>
      </c>
      <c r="B320" s="100" t="s">
        <v>333</v>
      </c>
      <c r="C320" s="121" t="s">
        <v>334</v>
      </c>
      <c r="D320" s="121" t="s">
        <v>363</v>
      </c>
      <c r="E320" s="96" t="s">
        <v>363</v>
      </c>
      <c r="F320" s="77"/>
      <c r="G320" s="121" t="s">
        <v>787</v>
      </c>
      <c r="H320" s="96">
        <v>64.75</v>
      </c>
      <c r="I320" s="97">
        <f>469/11986114</f>
        <v>3.9128611658457447E-5</v>
      </c>
      <c r="J320" s="96">
        <v>20.170000000000002</v>
      </c>
      <c r="K320" s="121" t="s">
        <v>787</v>
      </c>
      <c r="L320" s="98" t="s">
        <v>788</v>
      </c>
      <c r="M320" s="99">
        <v>64.75</v>
      </c>
      <c r="N320" s="121" t="s">
        <v>1945</v>
      </c>
      <c r="O320" s="121" t="s">
        <v>789</v>
      </c>
    </row>
    <row r="321" spans="1:15" s="95" customFormat="1" x14ac:dyDescent="0.25">
      <c r="A321" s="94" t="s">
        <v>772</v>
      </c>
      <c r="B321" s="100" t="s">
        <v>335</v>
      </c>
      <c r="C321" s="121" t="s">
        <v>336</v>
      </c>
      <c r="D321" s="121" t="s">
        <v>363</v>
      </c>
      <c r="E321" s="96" t="s">
        <v>363</v>
      </c>
      <c r="F321" s="77"/>
      <c r="G321" s="121" t="s">
        <v>790</v>
      </c>
      <c r="H321" s="96">
        <v>68.239999999999995</v>
      </c>
      <c r="I321" s="97">
        <f>439/11986114</f>
        <v>3.6625715390325838E-5</v>
      </c>
      <c r="J321" s="96">
        <v>19.02</v>
      </c>
      <c r="K321" s="121" t="s">
        <v>790</v>
      </c>
      <c r="L321" s="98" t="s">
        <v>791</v>
      </c>
      <c r="M321" s="96">
        <v>68.239999999999995</v>
      </c>
      <c r="N321" s="121" t="s">
        <v>1946</v>
      </c>
      <c r="O321" s="121" t="s">
        <v>792</v>
      </c>
    </row>
    <row r="322" spans="1:15" s="95" customFormat="1" x14ac:dyDescent="0.25">
      <c r="A322" s="94" t="s">
        <v>772</v>
      </c>
      <c r="B322" s="100" t="s">
        <v>2113</v>
      </c>
      <c r="C322" s="121" t="s">
        <v>172</v>
      </c>
      <c r="D322" s="121" t="s">
        <v>363</v>
      </c>
      <c r="E322" s="96" t="s">
        <v>363</v>
      </c>
      <c r="F322" s="77"/>
      <c r="G322" s="121" t="s">
        <v>674</v>
      </c>
      <c r="H322" s="96">
        <v>76.36</v>
      </c>
      <c r="I322" s="97">
        <f>198/11986114</f>
        <v>1.65191153696686E-5</v>
      </c>
      <c r="J322" s="96">
        <v>8.9700000000000006</v>
      </c>
      <c r="K322" s="121" t="s">
        <v>674</v>
      </c>
      <c r="L322" s="98" t="s">
        <v>675</v>
      </c>
      <c r="M322" s="96">
        <v>76.36</v>
      </c>
      <c r="N322" s="121" t="s">
        <v>1940</v>
      </c>
      <c r="O322" s="121" t="s">
        <v>378</v>
      </c>
    </row>
    <row r="323" spans="1:15" s="95" customFormat="1" x14ac:dyDescent="0.25">
      <c r="A323" s="94" t="s">
        <v>772</v>
      </c>
      <c r="B323" s="100" t="s">
        <v>2116</v>
      </c>
      <c r="C323" s="121" t="s">
        <v>349</v>
      </c>
      <c r="D323" s="121" t="s">
        <v>363</v>
      </c>
      <c r="E323" s="96" t="s">
        <v>363</v>
      </c>
      <c r="F323" s="109"/>
      <c r="G323" s="121" t="s">
        <v>477</v>
      </c>
      <c r="H323" s="96">
        <v>31.15</v>
      </c>
      <c r="I323" s="97">
        <f>146/11986114</f>
        <v>1.2180761838240485E-5</v>
      </c>
      <c r="J323" s="96">
        <v>6.09</v>
      </c>
      <c r="K323" s="121" t="s">
        <v>477</v>
      </c>
      <c r="L323" s="98" t="s">
        <v>793</v>
      </c>
      <c r="M323" s="96">
        <v>31.15</v>
      </c>
      <c r="N323" s="121" t="s">
        <v>1942</v>
      </c>
      <c r="O323" s="121" t="s">
        <v>471</v>
      </c>
    </row>
    <row r="324" spans="1:15" s="95" customFormat="1" x14ac:dyDescent="0.25">
      <c r="A324" s="94" t="s">
        <v>772</v>
      </c>
      <c r="B324" s="100" t="s">
        <v>2136</v>
      </c>
      <c r="C324" s="121" t="s">
        <v>120</v>
      </c>
      <c r="D324" s="121" t="s">
        <v>363</v>
      </c>
      <c r="E324" s="96" t="s">
        <v>363</v>
      </c>
      <c r="F324" s="77"/>
      <c r="G324" s="121" t="s">
        <v>794</v>
      </c>
      <c r="H324" s="96">
        <v>66.77</v>
      </c>
      <c r="I324" s="137">
        <f>3450/11986114</f>
        <v>2.8783307083513472E-4</v>
      </c>
      <c r="J324" s="139">
        <v>171.96</v>
      </c>
      <c r="K324" s="121" t="s">
        <v>794</v>
      </c>
      <c r="L324" s="98" t="s">
        <v>795</v>
      </c>
      <c r="M324" s="96">
        <v>66.77</v>
      </c>
      <c r="N324" s="121" t="s">
        <v>1712</v>
      </c>
      <c r="O324" s="121" t="s">
        <v>378</v>
      </c>
    </row>
    <row r="325" spans="1:15" s="95" customFormat="1" x14ac:dyDescent="0.25">
      <c r="A325" s="94" t="s">
        <v>772</v>
      </c>
      <c r="B325" s="100" t="s">
        <v>2137</v>
      </c>
      <c r="C325" s="121" t="s">
        <v>120</v>
      </c>
      <c r="D325" s="121" t="s">
        <v>363</v>
      </c>
      <c r="E325" s="96" t="s">
        <v>363</v>
      </c>
      <c r="F325" s="77"/>
      <c r="G325" s="121" t="s">
        <v>796</v>
      </c>
      <c r="H325" s="96">
        <v>64.099999999999994</v>
      </c>
      <c r="I325" s="138"/>
      <c r="J325" s="140"/>
      <c r="K325" s="121" t="s">
        <v>796</v>
      </c>
      <c r="L325" s="98" t="s">
        <v>797</v>
      </c>
      <c r="M325" s="96">
        <v>64.099999999999994</v>
      </c>
      <c r="N325" s="121" t="s">
        <v>1713</v>
      </c>
      <c r="O325" s="121" t="s">
        <v>378</v>
      </c>
    </row>
    <row r="326" spans="1:15" s="80" customFormat="1" x14ac:dyDescent="0.25">
      <c r="A326" s="79" t="s">
        <v>798</v>
      </c>
      <c r="C326" s="124"/>
      <c r="D326" s="124"/>
      <c r="E326" s="81"/>
      <c r="F326" s="82"/>
      <c r="G326" s="124"/>
      <c r="H326" s="81"/>
      <c r="I326" s="86"/>
      <c r="J326" s="81"/>
      <c r="K326" s="124"/>
      <c r="L326" s="83"/>
      <c r="M326" s="84"/>
      <c r="N326" s="124"/>
      <c r="O326" s="124"/>
    </row>
    <row r="327" spans="1:15" s="95" customFormat="1" x14ac:dyDescent="0.25">
      <c r="A327" s="94" t="s">
        <v>798</v>
      </c>
      <c r="B327" s="95" t="s">
        <v>2076</v>
      </c>
      <c r="C327" s="121" t="s">
        <v>212</v>
      </c>
      <c r="D327" s="121" t="s">
        <v>363</v>
      </c>
      <c r="E327" s="96" t="s">
        <v>363</v>
      </c>
      <c r="F327" s="77"/>
      <c r="G327" s="121" t="s">
        <v>799</v>
      </c>
      <c r="H327" s="96">
        <v>92.65</v>
      </c>
      <c r="I327" s="97">
        <f>261215/11228498</f>
        <v>2.3263574522612018E-2</v>
      </c>
      <c r="J327" s="96">
        <v>3899.38</v>
      </c>
      <c r="K327" s="121" t="s">
        <v>799</v>
      </c>
      <c r="L327" s="98" t="s">
        <v>800</v>
      </c>
      <c r="M327" s="96">
        <v>92.65</v>
      </c>
      <c r="N327" s="121" t="s">
        <v>1949</v>
      </c>
      <c r="O327" s="121" t="s">
        <v>365</v>
      </c>
    </row>
    <row r="328" spans="1:15" s="95" customFormat="1" x14ac:dyDescent="0.25">
      <c r="A328" s="94" t="s">
        <v>798</v>
      </c>
      <c r="B328" s="100" t="s">
        <v>136</v>
      </c>
      <c r="C328" s="121" t="s">
        <v>137</v>
      </c>
      <c r="D328" s="121" t="s">
        <v>363</v>
      </c>
      <c r="E328" s="96" t="s">
        <v>363</v>
      </c>
      <c r="F328" s="77"/>
      <c r="G328" s="121" t="s">
        <v>801</v>
      </c>
      <c r="H328" s="96">
        <v>69</v>
      </c>
      <c r="I328" s="97">
        <f>1923/11228498</f>
        <v>1.7126066193359077E-4</v>
      </c>
      <c r="J328" s="96">
        <v>48.51</v>
      </c>
      <c r="K328" s="121" t="s">
        <v>801</v>
      </c>
      <c r="L328" s="98" t="s">
        <v>802</v>
      </c>
      <c r="M328" s="99">
        <v>69</v>
      </c>
      <c r="N328" s="121" t="s">
        <v>1725</v>
      </c>
      <c r="O328" s="121" t="s">
        <v>378</v>
      </c>
    </row>
    <row r="329" spans="1:15" s="95" customFormat="1" x14ac:dyDescent="0.25">
      <c r="A329" s="94" t="s">
        <v>798</v>
      </c>
      <c r="B329" s="100" t="s">
        <v>138</v>
      </c>
      <c r="C329" s="121" t="s">
        <v>139</v>
      </c>
      <c r="D329" s="121" t="s">
        <v>363</v>
      </c>
      <c r="E329" s="96" t="s">
        <v>363</v>
      </c>
      <c r="F329" s="77"/>
      <c r="G329" s="121" t="s">
        <v>803</v>
      </c>
      <c r="H329" s="96">
        <v>70.489999999999995</v>
      </c>
      <c r="I329" s="97">
        <f>1627/11228498</f>
        <v>1.448991663889507E-4</v>
      </c>
      <c r="J329" s="96">
        <v>51.05</v>
      </c>
      <c r="K329" s="121" t="s">
        <v>803</v>
      </c>
      <c r="L329" s="98" t="s">
        <v>804</v>
      </c>
      <c r="M329" s="99">
        <v>70.489999999999995</v>
      </c>
      <c r="N329" s="121" t="s">
        <v>1726</v>
      </c>
      <c r="O329" s="121" t="s">
        <v>378</v>
      </c>
    </row>
    <row r="330" spans="1:15" s="95" customFormat="1" x14ac:dyDescent="0.25">
      <c r="A330" s="94" t="s">
        <v>798</v>
      </c>
      <c r="B330" s="100" t="s">
        <v>2072</v>
      </c>
      <c r="C330" s="121" t="s">
        <v>203</v>
      </c>
      <c r="D330" s="121" t="s">
        <v>363</v>
      </c>
      <c r="E330" s="96" t="s">
        <v>363</v>
      </c>
      <c r="F330" s="77"/>
      <c r="G330" s="121" t="s">
        <v>805</v>
      </c>
      <c r="H330" s="96">
        <v>68.12</v>
      </c>
      <c r="I330" s="97">
        <f>249593/11228498</f>
        <v>2.2228529586058615E-2</v>
      </c>
      <c r="J330" s="96">
        <v>3882.7</v>
      </c>
      <c r="K330" s="121" t="s">
        <v>805</v>
      </c>
      <c r="L330" s="98" t="s">
        <v>806</v>
      </c>
      <c r="M330" s="96">
        <v>68.12</v>
      </c>
      <c r="N330" s="121" t="s">
        <v>1947</v>
      </c>
      <c r="O330" s="121" t="s">
        <v>378</v>
      </c>
    </row>
    <row r="331" spans="1:15" s="95" customFormat="1" x14ac:dyDescent="0.25">
      <c r="A331" s="94" t="s">
        <v>798</v>
      </c>
      <c r="B331" s="100" t="s">
        <v>2073</v>
      </c>
      <c r="C331" s="121" t="s">
        <v>206</v>
      </c>
      <c r="D331" s="121" t="s">
        <v>363</v>
      </c>
      <c r="E331" s="96" t="s">
        <v>363</v>
      </c>
      <c r="F331" s="77"/>
      <c r="G331" s="121" t="s">
        <v>807</v>
      </c>
      <c r="H331" s="96">
        <v>68.91</v>
      </c>
      <c r="I331" s="97">
        <f>49630/11228498</f>
        <v>4.4200034590556993E-3</v>
      </c>
      <c r="J331" s="96">
        <v>779.22</v>
      </c>
      <c r="K331" s="121" t="s">
        <v>807</v>
      </c>
      <c r="L331" s="98" t="s">
        <v>808</v>
      </c>
      <c r="M331" s="96">
        <v>68.91</v>
      </c>
      <c r="N331" s="121" t="s">
        <v>1948</v>
      </c>
      <c r="O331" s="121" t="s">
        <v>378</v>
      </c>
    </row>
    <row r="332" spans="1:15" s="95" customFormat="1" x14ac:dyDescent="0.25">
      <c r="A332" s="94" t="s">
        <v>798</v>
      </c>
      <c r="B332" s="100" t="s">
        <v>288</v>
      </c>
      <c r="C332" s="121" t="s">
        <v>289</v>
      </c>
      <c r="D332" s="121" t="s">
        <v>363</v>
      </c>
      <c r="E332" s="96" t="s">
        <v>363</v>
      </c>
      <c r="F332" s="77"/>
      <c r="G332" s="121" t="s">
        <v>809</v>
      </c>
      <c r="H332" s="96">
        <v>68.89</v>
      </c>
      <c r="I332" s="97">
        <f>8323/11228498</f>
        <v>7.4123894397986267E-4</v>
      </c>
      <c r="J332" s="96">
        <v>305.57</v>
      </c>
      <c r="K332" s="121" t="s">
        <v>809</v>
      </c>
      <c r="L332" s="98" t="s">
        <v>810</v>
      </c>
      <c r="M332" s="99">
        <v>68.89</v>
      </c>
      <c r="N332" s="121" t="s">
        <v>1950</v>
      </c>
      <c r="O332" s="121" t="s">
        <v>378</v>
      </c>
    </row>
    <row r="333" spans="1:15" s="95" customFormat="1" x14ac:dyDescent="0.25">
      <c r="A333" s="94" t="s">
        <v>798</v>
      </c>
      <c r="B333" s="100" t="s">
        <v>2110</v>
      </c>
      <c r="C333" s="121" t="s">
        <v>324</v>
      </c>
      <c r="D333" s="121" t="s">
        <v>363</v>
      </c>
      <c r="E333" s="96" t="s">
        <v>363</v>
      </c>
      <c r="F333" s="77"/>
      <c r="G333" s="121" t="s">
        <v>811</v>
      </c>
      <c r="H333" s="96">
        <v>70.17</v>
      </c>
      <c r="I333" s="97">
        <f>290/11228498</f>
        <v>2.5827140905221697E-5</v>
      </c>
      <c r="J333" s="96">
        <v>17.47</v>
      </c>
      <c r="K333" s="121" t="s">
        <v>811</v>
      </c>
      <c r="L333" s="98" t="s">
        <v>812</v>
      </c>
      <c r="M333" s="99">
        <v>70.17</v>
      </c>
      <c r="N333" s="121" t="s">
        <v>1951</v>
      </c>
      <c r="O333" s="121" t="s">
        <v>378</v>
      </c>
    </row>
    <row r="334" spans="1:15" s="95" customFormat="1" x14ac:dyDescent="0.25">
      <c r="A334" s="94" t="s">
        <v>798</v>
      </c>
      <c r="B334" s="100" t="s">
        <v>813</v>
      </c>
      <c r="C334" s="121" t="s">
        <v>131</v>
      </c>
      <c r="D334" s="121" t="s">
        <v>363</v>
      </c>
      <c r="E334" s="96" t="s">
        <v>363</v>
      </c>
      <c r="F334" s="77"/>
      <c r="G334" s="121" t="s">
        <v>814</v>
      </c>
      <c r="H334" s="96">
        <v>73.849999999999994</v>
      </c>
      <c r="I334" s="97">
        <f>36/11228498</f>
        <v>3.2061278365102796E-6</v>
      </c>
      <c r="J334" s="96">
        <v>4.47</v>
      </c>
      <c r="K334" s="121" t="s">
        <v>814</v>
      </c>
      <c r="L334" s="98" t="s">
        <v>815</v>
      </c>
      <c r="M334" s="99">
        <v>73.849999999999994</v>
      </c>
      <c r="N334" s="121" t="s">
        <v>1724</v>
      </c>
      <c r="O334" s="121" t="s">
        <v>816</v>
      </c>
    </row>
    <row r="335" spans="1:15" s="95" customFormat="1" ht="13.5" x14ac:dyDescent="0.25">
      <c r="A335" s="94" t="s">
        <v>798</v>
      </c>
      <c r="B335" s="100" t="s">
        <v>2101</v>
      </c>
      <c r="C335" s="121" t="s">
        <v>311</v>
      </c>
      <c r="D335" s="130" t="s">
        <v>430</v>
      </c>
      <c r="E335" s="96" t="s">
        <v>363</v>
      </c>
      <c r="F335" s="109"/>
      <c r="G335" s="130" t="s">
        <v>430</v>
      </c>
      <c r="H335" s="96" t="s">
        <v>363</v>
      </c>
      <c r="I335" s="97">
        <f>282/11228498</f>
        <v>2.5114668052663854E-5</v>
      </c>
      <c r="J335" s="96">
        <v>73.290000000000006</v>
      </c>
      <c r="K335" s="130" t="s">
        <v>430</v>
      </c>
      <c r="L335" s="96" t="s">
        <v>817</v>
      </c>
      <c r="M335" s="96" t="s">
        <v>363</v>
      </c>
      <c r="N335" s="121" t="s">
        <v>1952</v>
      </c>
      <c r="O335" s="121" t="s">
        <v>432</v>
      </c>
    </row>
    <row r="336" spans="1:15" s="80" customFormat="1" x14ac:dyDescent="0.25">
      <c r="A336" s="79" t="s">
        <v>818</v>
      </c>
      <c r="C336" s="124"/>
      <c r="D336" s="124"/>
      <c r="E336" s="81"/>
      <c r="F336" s="82"/>
      <c r="G336" s="124"/>
      <c r="H336" s="81"/>
      <c r="I336" s="86"/>
      <c r="J336" s="81"/>
      <c r="K336" s="124"/>
      <c r="L336" s="83"/>
      <c r="M336" s="84"/>
      <c r="N336" s="124"/>
      <c r="O336" s="124"/>
    </row>
    <row r="337" spans="1:15" s="95" customFormat="1" x14ac:dyDescent="0.25">
      <c r="A337" s="94" t="s">
        <v>818</v>
      </c>
      <c r="B337" s="95" t="s">
        <v>114</v>
      </c>
      <c r="C337" s="121" t="s">
        <v>115</v>
      </c>
      <c r="D337" s="121" t="s">
        <v>405</v>
      </c>
      <c r="E337" s="96">
        <v>100</v>
      </c>
      <c r="F337" s="77"/>
      <c r="G337" s="121" t="s">
        <v>363</v>
      </c>
      <c r="H337" s="96" t="s">
        <v>363</v>
      </c>
      <c r="I337" s="97">
        <f>1454/13648750</f>
        <v>1.0652990200567818E-4</v>
      </c>
      <c r="J337" s="96">
        <v>63.04</v>
      </c>
      <c r="K337" s="121" t="s">
        <v>405</v>
      </c>
      <c r="L337" s="98" t="s">
        <v>605</v>
      </c>
      <c r="M337" s="99">
        <v>100</v>
      </c>
      <c r="N337" s="121" t="s">
        <v>1700</v>
      </c>
      <c r="O337" s="121" t="s">
        <v>365</v>
      </c>
    </row>
    <row r="338" spans="1:15" s="95" customFormat="1" x14ac:dyDescent="0.25">
      <c r="A338" s="94" t="s">
        <v>818</v>
      </c>
      <c r="B338" s="95" t="s">
        <v>2074</v>
      </c>
      <c r="C338" s="121" t="s">
        <v>210</v>
      </c>
      <c r="D338" s="121" t="s">
        <v>819</v>
      </c>
      <c r="E338" s="96">
        <v>99.05</v>
      </c>
      <c r="F338" s="77"/>
      <c r="G338" s="121" t="s">
        <v>363</v>
      </c>
      <c r="H338" s="96" t="s">
        <v>363</v>
      </c>
      <c r="I338" s="97">
        <f>324307/13648750</f>
        <v>2.3760930488139941E-2</v>
      </c>
      <c r="J338" s="96">
        <v>5040</v>
      </c>
      <c r="K338" s="121" t="s">
        <v>819</v>
      </c>
      <c r="L338" s="98" t="s">
        <v>820</v>
      </c>
      <c r="M338" s="99">
        <v>99.8</v>
      </c>
      <c r="N338" s="121" t="s">
        <v>1953</v>
      </c>
      <c r="O338" s="121" t="s">
        <v>365</v>
      </c>
    </row>
    <row r="339" spans="1:15" s="95" customFormat="1" x14ac:dyDescent="0.25">
      <c r="A339" s="94" t="s">
        <v>818</v>
      </c>
      <c r="B339" s="95" t="s">
        <v>2096</v>
      </c>
      <c r="C339" s="121" t="s">
        <v>302</v>
      </c>
      <c r="D339" s="121" t="s">
        <v>609</v>
      </c>
      <c r="E339" s="96">
        <v>98.62</v>
      </c>
      <c r="F339" s="77"/>
      <c r="G339" s="121" t="s">
        <v>363</v>
      </c>
      <c r="H339" s="96" t="s">
        <v>363</v>
      </c>
      <c r="I339" s="97">
        <f>243734/13648750</f>
        <v>1.785760600787618E-2</v>
      </c>
      <c r="J339" s="96">
        <v>4306.63</v>
      </c>
      <c r="K339" s="121" t="s">
        <v>609</v>
      </c>
      <c r="L339" s="98" t="s">
        <v>689</v>
      </c>
      <c r="M339" s="99">
        <v>98.62</v>
      </c>
      <c r="N339" s="121" t="s">
        <v>1954</v>
      </c>
      <c r="O339" s="121" t="s">
        <v>365</v>
      </c>
    </row>
    <row r="340" spans="1:15" s="95" customFormat="1" x14ac:dyDescent="0.25">
      <c r="A340" s="94" t="s">
        <v>818</v>
      </c>
      <c r="B340" s="95" t="s">
        <v>2120</v>
      </c>
      <c r="C340" s="121" t="s">
        <v>145</v>
      </c>
      <c r="D340" s="121" t="s">
        <v>381</v>
      </c>
      <c r="E340" s="96">
        <v>99.4</v>
      </c>
      <c r="F340" s="77"/>
      <c r="G340" s="121" t="s">
        <v>363</v>
      </c>
      <c r="H340" s="96" t="s">
        <v>363</v>
      </c>
      <c r="I340" s="97">
        <f>1170802/13648750</f>
        <v>8.5780895686418168E-2</v>
      </c>
      <c r="J340" s="96">
        <v>52083.05</v>
      </c>
      <c r="K340" s="121" t="s">
        <v>381</v>
      </c>
      <c r="L340" s="98" t="s">
        <v>632</v>
      </c>
      <c r="M340" s="99">
        <v>98.89</v>
      </c>
      <c r="N340" s="121" t="s">
        <v>1751</v>
      </c>
      <c r="O340" s="121" t="s">
        <v>365</v>
      </c>
    </row>
    <row r="341" spans="1:15" s="95" customFormat="1" x14ac:dyDescent="0.25">
      <c r="A341" s="94" t="s">
        <v>818</v>
      </c>
      <c r="B341" s="95" t="s">
        <v>2121</v>
      </c>
      <c r="C341" s="121" t="s">
        <v>145</v>
      </c>
      <c r="D341" s="121" t="s">
        <v>821</v>
      </c>
      <c r="E341" s="96">
        <v>99.14</v>
      </c>
      <c r="F341" s="77"/>
      <c r="G341" s="121" t="s">
        <v>363</v>
      </c>
      <c r="H341" s="96" t="s">
        <v>363</v>
      </c>
      <c r="I341" s="97">
        <f>576761/13648750</f>
        <v>4.2257422840919497E-2</v>
      </c>
      <c r="J341" s="96">
        <v>28138.61</v>
      </c>
      <c r="K341" s="121" t="s">
        <v>821</v>
      </c>
      <c r="L341" s="98" t="s">
        <v>822</v>
      </c>
      <c r="M341" s="99">
        <v>98.85</v>
      </c>
      <c r="N341" s="121" t="s">
        <v>1753</v>
      </c>
      <c r="O341" s="121" t="s">
        <v>365</v>
      </c>
    </row>
    <row r="342" spans="1:15" s="95" customFormat="1" x14ac:dyDescent="0.25">
      <c r="A342" s="94" t="s">
        <v>818</v>
      </c>
      <c r="B342" s="95" t="s">
        <v>2122</v>
      </c>
      <c r="C342" s="121" t="s">
        <v>145</v>
      </c>
      <c r="D342" s="121" t="s">
        <v>385</v>
      </c>
      <c r="E342" s="96">
        <v>98.6</v>
      </c>
      <c r="F342" s="77"/>
      <c r="G342" s="121" t="s">
        <v>363</v>
      </c>
      <c r="H342" s="96" t="s">
        <v>363</v>
      </c>
      <c r="I342" s="97">
        <f>3012390/13648750</f>
        <v>0.22070812345452881</v>
      </c>
      <c r="J342" s="96">
        <v>204713.16</v>
      </c>
      <c r="K342" s="121" t="s">
        <v>385</v>
      </c>
      <c r="L342" s="98" t="s">
        <v>823</v>
      </c>
      <c r="M342" s="99">
        <v>98.46</v>
      </c>
      <c r="N342" s="121" t="s">
        <v>1752</v>
      </c>
      <c r="O342" s="121" t="s">
        <v>365</v>
      </c>
    </row>
    <row r="343" spans="1:15" s="95" customFormat="1" x14ac:dyDescent="0.25">
      <c r="A343" s="94" t="s">
        <v>818</v>
      </c>
      <c r="B343" s="100" t="s">
        <v>2097</v>
      </c>
      <c r="C343" s="121" t="s">
        <v>304</v>
      </c>
      <c r="D343" s="121" t="s">
        <v>363</v>
      </c>
      <c r="E343" s="96" t="s">
        <v>363</v>
      </c>
      <c r="F343" s="77"/>
      <c r="G343" s="121" t="s">
        <v>824</v>
      </c>
      <c r="H343" s="96">
        <v>70.28</v>
      </c>
      <c r="I343" s="97">
        <f>373034/13648750</f>
        <v>2.7331001007418261E-2</v>
      </c>
      <c r="J343" s="96">
        <v>7418.5</v>
      </c>
      <c r="K343" s="121" t="s">
        <v>825</v>
      </c>
      <c r="L343" s="98" t="s">
        <v>826</v>
      </c>
      <c r="M343" s="96">
        <v>70.28</v>
      </c>
      <c r="N343" s="121" t="s">
        <v>1955</v>
      </c>
      <c r="O343" s="121" t="s">
        <v>378</v>
      </c>
    </row>
    <row r="344" spans="1:15" s="95" customFormat="1" x14ac:dyDescent="0.25">
      <c r="A344" s="94" t="s">
        <v>818</v>
      </c>
      <c r="B344" s="100" t="s">
        <v>2070</v>
      </c>
      <c r="C344" s="121" t="s">
        <v>189</v>
      </c>
      <c r="D344" s="121" t="s">
        <v>363</v>
      </c>
      <c r="E344" s="96" t="s">
        <v>363</v>
      </c>
      <c r="F344" s="77"/>
      <c r="G344" s="121" t="s">
        <v>611</v>
      </c>
      <c r="H344" s="96">
        <v>67.14</v>
      </c>
      <c r="I344" s="97">
        <f>1464/13648750</f>
        <v>1.0726256983240223E-4</v>
      </c>
      <c r="J344" s="96">
        <v>523.78</v>
      </c>
      <c r="K344" s="121" t="s">
        <v>611</v>
      </c>
      <c r="L344" s="98" t="s">
        <v>827</v>
      </c>
      <c r="M344" s="96">
        <v>67.14</v>
      </c>
      <c r="N344" s="121" t="s">
        <v>1956</v>
      </c>
      <c r="O344" s="121" t="s">
        <v>378</v>
      </c>
    </row>
    <row r="345" spans="1:15" s="80" customFormat="1" x14ac:dyDescent="0.25">
      <c r="A345" s="79" t="s">
        <v>828</v>
      </c>
      <c r="C345" s="124"/>
      <c r="D345" s="124"/>
      <c r="E345" s="81"/>
      <c r="F345" s="82"/>
      <c r="G345" s="124"/>
      <c r="H345" s="81"/>
      <c r="I345" s="86"/>
      <c r="J345" s="81"/>
      <c r="K345" s="124"/>
      <c r="L345" s="83"/>
      <c r="M345" s="84"/>
      <c r="N345" s="124"/>
      <c r="O345" s="124"/>
    </row>
    <row r="346" spans="1:15" s="95" customFormat="1" x14ac:dyDescent="0.25">
      <c r="A346" s="94" t="s">
        <v>828</v>
      </c>
      <c r="B346" s="95" t="s">
        <v>114</v>
      </c>
      <c r="C346" s="121" t="s">
        <v>115</v>
      </c>
      <c r="D346" s="121" t="s">
        <v>405</v>
      </c>
      <c r="E346" s="96">
        <v>99.97</v>
      </c>
      <c r="F346" s="77"/>
      <c r="G346" s="121" t="s">
        <v>363</v>
      </c>
      <c r="H346" s="96" t="s">
        <v>363</v>
      </c>
      <c r="I346" s="97">
        <f>2718/13009292</f>
        <v>2.0892758806551501E-4</v>
      </c>
      <c r="J346" s="96">
        <v>118.46</v>
      </c>
      <c r="K346" s="121" t="s">
        <v>405</v>
      </c>
      <c r="L346" s="98" t="s">
        <v>605</v>
      </c>
      <c r="M346" s="99">
        <v>100</v>
      </c>
      <c r="N346" s="121" t="s">
        <v>1694</v>
      </c>
      <c r="O346" s="121" t="s">
        <v>365</v>
      </c>
    </row>
    <row r="347" spans="1:15" s="95" customFormat="1" x14ac:dyDescent="0.25">
      <c r="A347" s="94" t="s">
        <v>828</v>
      </c>
      <c r="B347" s="95" t="s">
        <v>2074</v>
      </c>
      <c r="C347" s="121" t="s">
        <v>210</v>
      </c>
      <c r="D347" s="121" t="s">
        <v>607</v>
      </c>
      <c r="E347" s="96">
        <v>96.78</v>
      </c>
      <c r="F347" s="77"/>
      <c r="G347" s="121" t="s">
        <v>363</v>
      </c>
      <c r="H347" s="96" t="s">
        <v>363</v>
      </c>
      <c r="I347" s="97">
        <f>907479/13009292</f>
        <v>6.9756217325277967E-2</v>
      </c>
      <c r="J347" s="96">
        <v>14070.72</v>
      </c>
      <c r="K347" s="121" t="s">
        <v>607</v>
      </c>
      <c r="L347" s="98" t="s">
        <v>829</v>
      </c>
      <c r="M347" s="99">
        <v>96.78</v>
      </c>
      <c r="N347" s="121" t="s">
        <v>1957</v>
      </c>
      <c r="O347" s="121" t="s">
        <v>365</v>
      </c>
    </row>
    <row r="348" spans="1:15" s="95" customFormat="1" x14ac:dyDescent="0.25">
      <c r="A348" s="94" t="s">
        <v>828</v>
      </c>
      <c r="B348" s="95" t="s">
        <v>2144</v>
      </c>
      <c r="C348" s="121" t="s">
        <v>147</v>
      </c>
      <c r="D348" s="121" t="s">
        <v>830</v>
      </c>
      <c r="E348" s="96">
        <v>99.59</v>
      </c>
      <c r="F348" s="77"/>
      <c r="G348" s="121" t="s">
        <v>363</v>
      </c>
      <c r="H348" s="96" t="s">
        <v>363</v>
      </c>
      <c r="I348" s="97">
        <f>1596113/13009292</f>
        <v>0.12269022787712044</v>
      </c>
      <c r="J348" s="96">
        <v>70227.259999999995</v>
      </c>
      <c r="K348" s="121" t="s">
        <v>830</v>
      </c>
      <c r="L348" s="98" t="s">
        <v>831</v>
      </c>
      <c r="M348" s="99">
        <v>99.41</v>
      </c>
      <c r="N348" s="121" t="s">
        <v>1768</v>
      </c>
      <c r="O348" s="121" t="s">
        <v>365</v>
      </c>
    </row>
    <row r="349" spans="1:15" s="95" customFormat="1" x14ac:dyDescent="0.25">
      <c r="A349" s="94" t="s">
        <v>828</v>
      </c>
      <c r="B349" s="95" t="s">
        <v>2145</v>
      </c>
      <c r="C349" s="121" t="s">
        <v>147</v>
      </c>
      <c r="D349" s="121" t="s">
        <v>832</v>
      </c>
      <c r="E349" s="96">
        <v>98.39</v>
      </c>
      <c r="F349" s="77"/>
      <c r="G349" s="121" t="s">
        <v>363</v>
      </c>
      <c r="H349" s="96" t="s">
        <v>363</v>
      </c>
      <c r="I349" s="97">
        <f>1106178/13009292</f>
        <v>8.5029838672235195E-2</v>
      </c>
      <c r="J349" s="96">
        <v>53640.1</v>
      </c>
      <c r="K349" s="121" t="s">
        <v>832</v>
      </c>
      <c r="L349" s="98" t="s">
        <v>833</v>
      </c>
      <c r="M349" s="99">
        <v>99.29</v>
      </c>
      <c r="N349" s="121" t="s">
        <v>1769</v>
      </c>
      <c r="O349" s="121" t="s">
        <v>365</v>
      </c>
    </row>
    <row r="350" spans="1:15" s="95" customFormat="1" x14ac:dyDescent="0.25">
      <c r="A350" s="94" t="s">
        <v>828</v>
      </c>
      <c r="B350" s="95" t="s">
        <v>2146</v>
      </c>
      <c r="C350" s="121" t="s">
        <v>147</v>
      </c>
      <c r="D350" s="121" t="s">
        <v>834</v>
      </c>
      <c r="E350" s="96">
        <v>98.91</v>
      </c>
      <c r="F350" s="77"/>
      <c r="G350" s="121" t="s">
        <v>363</v>
      </c>
      <c r="H350" s="96" t="s">
        <v>363</v>
      </c>
      <c r="I350" s="97">
        <f>1516887/13009292</f>
        <v>0.11660027309710629</v>
      </c>
      <c r="J350" s="96">
        <v>95556.45</v>
      </c>
      <c r="K350" s="121" t="s">
        <v>834</v>
      </c>
      <c r="L350" s="98" t="s">
        <v>835</v>
      </c>
      <c r="M350" s="99">
        <v>99.03</v>
      </c>
      <c r="N350" s="121" t="s">
        <v>1770</v>
      </c>
      <c r="O350" s="121" t="s">
        <v>365</v>
      </c>
    </row>
    <row r="351" spans="1:15" s="95" customFormat="1" x14ac:dyDescent="0.25">
      <c r="A351" s="94" t="s">
        <v>828</v>
      </c>
      <c r="B351" s="95" t="s">
        <v>2120</v>
      </c>
      <c r="C351" s="121" t="s">
        <v>145</v>
      </c>
      <c r="D351" s="121" t="s">
        <v>381</v>
      </c>
      <c r="E351" s="96">
        <v>98.33</v>
      </c>
      <c r="F351" s="77"/>
      <c r="G351" s="121" t="s">
        <v>363</v>
      </c>
      <c r="H351" s="96" t="s">
        <v>363</v>
      </c>
      <c r="I351" s="97">
        <f>329933/13009292</f>
        <v>2.536133403724046E-2</v>
      </c>
      <c r="J351" s="96">
        <v>14681.51</v>
      </c>
      <c r="K351" s="121" t="s">
        <v>381</v>
      </c>
      <c r="L351" s="98" t="s">
        <v>632</v>
      </c>
      <c r="M351" s="99">
        <v>96.65</v>
      </c>
      <c r="N351" s="121" t="s">
        <v>1741</v>
      </c>
      <c r="O351" s="121" t="s">
        <v>365</v>
      </c>
    </row>
    <row r="352" spans="1:15" s="95" customFormat="1" x14ac:dyDescent="0.25">
      <c r="A352" s="94" t="s">
        <v>828</v>
      </c>
      <c r="B352" s="95" t="s">
        <v>2121</v>
      </c>
      <c r="C352" s="121" t="s">
        <v>145</v>
      </c>
      <c r="D352" s="121" t="s">
        <v>633</v>
      </c>
      <c r="E352" s="96">
        <v>95.22</v>
      </c>
      <c r="F352" s="77"/>
      <c r="G352" s="121" t="s">
        <v>363</v>
      </c>
      <c r="H352" s="96" t="s">
        <v>363</v>
      </c>
      <c r="I352" s="97">
        <f>236838/13009292</f>
        <v>1.8205295107527757E-2</v>
      </c>
      <c r="J352" s="96">
        <v>11652</v>
      </c>
      <c r="K352" s="121" t="s">
        <v>633</v>
      </c>
      <c r="L352" s="98" t="s">
        <v>836</v>
      </c>
      <c r="M352" s="99">
        <v>96.85</v>
      </c>
      <c r="N352" s="121" t="s">
        <v>1755</v>
      </c>
      <c r="O352" s="121" t="s">
        <v>365</v>
      </c>
    </row>
    <row r="353" spans="1:15" s="95" customFormat="1" x14ac:dyDescent="0.25">
      <c r="A353" s="94" t="s">
        <v>828</v>
      </c>
      <c r="B353" s="95" t="s">
        <v>2122</v>
      </c>
      <c r="C353" s="121" t="s">
        <v>145</v>
      </c>
      <c r="D353" s="121" t="s">
        <v>385</v>
      </c>
      <c r="E353" s="96">
        <v>96.91</v>
      </c>
      <c r="F353" s="77"/>
      <c r="G353" s="121" t="s">
        <v>363</v>
      </c>
      <c r="H353" s="96" t="s">
        <v>363</v>
      </c>
      <c r="I353" s="97">
        <f>495868/13009292</f>
        <v>3.8116447843587489E-2</v>
      </c>
      <c r="J353" s="96">
        <v>33588.51</v>
      </c>
      <c r="K353" s="121" t="s">
        <v>385</v>
      </c>
      <c r="L353" s="98" t="s">
        <v>837</v>
      </c>
      <c r="M353" s="99">
        <v>99.18</v>
      </c>
      <c r="N353" s="121" t="s">
        <v>1754</v>
      </c>
      <c r="O353" s="121" t="s">
        <v>365</v>
      </c>
    </row>
    <row r="354" spans="1:15" s="95" customFormat="1" x14ac:dyDescent="0.25">
      <c r="A354" s="94" t="s">
        <v>828</v>
      </c>
      <c r="B354" s="95" t="s">
        <v>213</v>
      </c>
      <c r="C354" s="121" t="s">
        <v>214</v>
      </c>
      <c r="D354" s="121" t="s">
        <v>838</v>
      </c>
      <c r="E354" s="96">
        <v>99.06</v>
      </c>
      <c r="F354" s="77"/>
      <c r="G354" s="121" t="s">
        <v>363</v>
      </c>
      <c r="H354" s="96" t="s">
        <v>363</v>
      </c>
      <c r="I354" s="97">
        <f>98061/13009292</f>
        <v>7.5377660828890615E-3</v>
      </c>
      <c r="J354" s="96">
        <v>1456.09</v>
      </c>
      <c r="K354" s="121" t="s">
        <v>838</v>
      </c>
      <c r="L354" s="98" t="s">
        <v>839</v>
      </c>
      <c r="M354" s="99">
        <v>99.06</v>
      </c>
      <c r="N354" s="121" t="s">
        <v>1958</v>
      </c>
      <c r="O354" s="121" t="s">
        <v>365</v>
      </c>
    </row>
    <row r="355" spans="1:15" s="95" customFormat="1" x14ac:dyDescent="0.25">
      <c r="A355" s="94" t="s">
        <v>828</v>
      </c>
      <c r="B355" s="100" t="s">
        <v>2097</v>
      </c>
      <c r="C355" s="121" t="s">
        <v>304</v>
      </c>
      <c r="D355" s="121" t="s">
        <v>363</v>
      </c>
      <c r="E355" s="96" t="s">
        <v>363</v>
      </c>
      <c r="F355" s="77"/>
      <c r="G355" s="121" t="s">
        <v>824</v>
      </c>
      <c r="H355" s="96">
        <v>72.790000000000006</v>
      </c>
      <c r="I355" s="97">
        <f>103171/13009292</f>
        <v>7.9305622473536605E-3</v>
      </c>
      <c r="J355" s="96">
        <v>2027.14</v>
      </c>
      <c r="K355" s="121" t="s">
        <v>824</v>
      </c>
      <c r="L355" s="98" t="s">
        <v>826</v>
      </c>
      <c r="M355" s="96">
        <v>72.790000000000006</v>
      </c>
      <c r="N355" s="121" t="s">
        <v>1959</v>
      </c>
      <c r="O355" s="121" t="s">
        <v>378</v>
      </c>
    </row>
    <row r="356" spans="1:15" s="95" customFormat="1" x14ac:dyDescent="0.25">
      <c r="A356" s="94" t="s">
        <v>828</v>
      </c>
      <c r="B356" s="100" t="s">
        <v>2070</v>
      </c>
      <c r="C356" s="121" t="s">
        <v>189</v>
      </c>
      <c r="D356" s="121" t="s">
        <v>363</v>
      </c>
      <c r="E356" s="96" t="s">
        <v>363</v>
      </c>
      <c r="F356" s="77"/>
      <c r="G356" s="121" t="s">
        <v>611</v>
      </c>
      <c r="H356" s="96">
        <v>67.02</v>
      </c>
      <c r="I356" s="97">
        <f>139228/13009292</f>
        <v>1.0702196553048391E-2</v>
      </c>
      <c r="J356" s="96">
        <v>1555.31</v>
      </c>
      <c r="K356" s="121" t="s">
        <v>611</v>
      </c>
      <c r="L356" s="98" t="s">
        <v>636</v>
      </c>
      <c r="M356" s="96">
        <v>67.02</v>
      </c>
      <c r="N356" s="121" t="s">
        <v>1960</v>
      </c>
      <c r="O356" s="121" t="s">
        <v>378</v>
      </c>
    </row>
    <row r="357" spans="1:15" s="80" customFormat="1" x14ac:dyDescent="0.25">
      <c r="A357" s="79" t="s">
        <v>840</v>
      </c>
      <c r="C357" s="124"/>
      <c r="D357" s="124"/>
      <c r="E357" s="81"/>
      <c r="F357" s="82"/>
      <c r="G357" s="124"/>
      <c r="H357" s="81"/>
      <c r="I357" s="86"/>
      <c r="J357" s="81"/>
      <c r="K357" s="124"/>
      <c r="L357" s="83"/>
      <c r="M357" s="84"/>
      <c r="N357" s="124"/>
      <c r="O357" s="124"/>
    </row>
    <row r="358" spans="1:15" s="95" customFormat="1" x14ac:dyDescent="0.25">
      <c r="A358" s="94" t="s">
        <v>840</v>
      </c>
      <c r="B358" s="95" t="s">
        <v>2074</v>
      </c>
      <c r="C358" s="121" t="s">
        <v>210</v>
      </c>
      <c r="D358" s="121" t="s">
        <v>841</v>
      </c>
      <c r="E358" s="96">
        <v>97.97</v>
      </c>
      <c r="F358" s="77"/>
      <c r="G358" s="121" t="s">
        <v>363</v>
      </c>
      <c r="H358" s="96" t="s">
        <v>363</v>
      </c>
      <c r="I358" s="97">
        <f>254934/10782856</f>
        <v>2.3642530327772159E-2</v>
      </c>
      <c r="J358" s="96">
        <v>3946.54</v>
      </c>
      <c r="K358" s="121" t="s">
        <v>841</v>
      </c>
      <c r="L358" s="98" t="s">
        <v>842</v>
      </c>
      <c r="M358" s="99">
        <v>99.18</v>
      </c>
      <c r="N358" s="121" t="s">
        <v>1962</v>
      </c>
      <c r="O358" s="121" t="s">
        <v>365</v>
      </c>
    </row>
    <row r="359" spans="1:15" s="95" customFormat="1" x14ac:dyDescent="0.25">
      <c r="A359" s="94" t="s">
        <v>840</v>
      </c>
      <c r="B359" s="95" t="s">
        <v>2076</v>
      </c>
      <c r="C359" s="121" t="s">
        <v>212</v>
      </c>
      <c r="D359" s="121" t="s">
        <v>363</v>
      </c>
      <c r="E359" s="96" t="s">
        <v>363</v>
      </c>
      <c r="F359" s="77"/>
      <c r="G359" s="121" t="s">
        <v>799</v>
      </c>
      <c r="H359" s="96">
        <v>85.25</v>
      </c>
      <c r="I359" s="97">
        <f>129338/10782856</f>
        <v>1.1994781345498818E-2</v>
      </c>
      <c r="J359" s="96">
        <v>1924.08</v>
      </c>
      <c r="K359" s="121" t="s">
        <v>799</v>
      </c>
      <c r="L359" s="98" t="s">
        <v>843</v>
      </c>
      <c r="M359" s="96">
        <v>85.25</v>
      </c>
      <c r="N359" s="121" t="s">
        <v>1963</v>
      </c>
      <c r="O359" s="121" t="s">
        <v>844</v>
      </c>
    </row>
    <row r="360" spans="1:15" s="95" customFormat="1" x14ac:dyDescent="0.25">
      <c r="A360" s="94" t="s">
        <v>840</v>
      </c>
      <c r="B360" s="100" t="s">
        <v>190</v>
      </c>
      <c r="C360" s="121" t="s">
        <v>191</v>
      </c>
      <c r="D360" s="121" t="s">
        <v>363</v>
      </c>
      <c r="E360" s="96" t="s">
        <v>363</v>
      </c>
      <c r="F360" s="77"/>
      <c r="G360" s="121" t="s">
        <v>845</v>
      </c>
      <c r="H360" s="96">
        <v>67.040000000000006</v>
      </c>
      <c r="I360" s="97">
        <f>6183/10782856</f>
        <v>5.7341023565556288E-4</v>
      </c>
      <c r="J360" s="96">
        <v>61.09</v>
      </c>
      <c r="K360" s="121" t="s">
        <v>845</v>
      </c>
      <c r="L360" s="98" t="s">
        <v>721</v>
      </c>
      <c r="M360" s="99">
        <v>67.040000000000006</v>
      </c>
      <c r="N360" s="121" t="s">
        <v>1961</v>
      </c>
      <c r="O360" s="121" t="s">
        <v>378</v>
      </c>
    </row>
    <row r="361" spans="1:15" s="95" customFormat="1" x14ac:dyDescent="0.25">
      <c r="A361" s="94" t="s">
        <v>840</v>
      </c>
      <c r="B361" s="100" t="s">
        <v>2138</v>
      </c>
      <c r="C361" s="121" t="s">
        <v>121</v>
      </c>
      <c r="D361" s="121" t="s">
        <v>363</v>
      </c>
      <c r="E361" s="96" t="s">
        <v>363</v>
      </c>
      <c r="F361" s="77"/>
      <c r="G361" s="121" t="s">
        <v>846</v>
      </c>
      <c r="H361" s="96">
        <v>68.349999999999994</v>
      </c>
      <c r="I361" s="137">
        <f>651/10782856</f>
        <v>6.037361530192001E-5</v>
      </c>
      <c r="J361" s="139">
        <v>30.08</v>
      </c>
      <c r="K361" s="121" t="s">
        <v>846</v>
      </c>
      <c r="L361" s="98" t="s">
        <v>847</v>
      </c>
      <c r="M361" s="99">
        <v>68.349999999999994</v>
      </c>
      <c r="N361" s="121" t="s">
        <v>1714</v>
      </c>
      <c r="O361" s="121" t="s">
        <v>378</v>
      </c>
    </row>
    <row r="362" spans="1:15" s="95" customFormat="1" x14ac:dyDescent="0.25">
      <c r="A362" s="94" t="s">
        <v>840</v>
      </c>
      <c r="B362" s="100" t="s">
        <v>2139</v>
      </c>
      <c r="C362" s="121" t="s">
        <v>121</v>
      </c>
      <c r="D362" s="121" t="s">
        <v>363</v>
      </c>
      <c r="E362" s="96" t="s">
        <v>363</v>
      </c>
      <c r="F362" s="77"/>
      <c r="G362" s="121" t="s">
        <v>848</v>
      </c>
      <c r="H362" s="96">
        <v>73.2</v>
      </c>
      <c r="I362" s="138"/>
      <c r="J362" s="140"/>
      <c r="K362" s="121" t="s">
        <v>848</v>
      </c>
      <c r="L362" s="98" t="s">
        <v>849</v>
      </c>
      <c r="M362" s="96">
        <v>73.2</v>
      </c>
      <c r="N362" s="121" t="s">
        <v>1715</v>
      </c>
      <c r="O362" s="121" t="s">
        <v>378</v>
      </c>
    </row>
    <row r="363" spans="1:15" s="95" customFormat="1" x14ac:dyDescent="0.25">
      <c r="A363" s="94" t="s">
        <v>840</v>
      </c>
      <c r="B363" s="100" t="s">
        <v>2140</v>
      </c>
      <c r="C363" s="121" t="s">
        <v>122</v>
      </c>
      <c r="D363" s="121" t="s">
        <v>363</v>
      </c>
      <c r="E363" s="96" t="s">
        <v>363</v>
      </c>
      <c r="F363" s="77"/>
      <c r="G363" s="121" t="s">
        <v>529</v>
      </c>
      <c r="H363" s="96">
        <v>75.790000000000006</v>
      </c>
      <c r="I363" s="137">
        <f>152/10782856</f>
        <v>1.4096450884626485E-5</v>
      </c>
      <c r="J363" s="139">
        <v>7.59</v>
      </c>
      <c r="K363" s="121" t="s">
        <v>529</v>
      </c>
      <c r="L363" s="98" t="s">
        <v>732</v>
      </c>
      <c r="M363" s="96">
        <v>75.790000000000006</v>
      </c>
      <c r="N363" s="121" t="s">
        <v>1716</v>
      </c>
      <c r="O363" s="121" t="s">
        <v>378</v>
      </c>
    </row>
    <row r="364" spans="1:15" s="95" customFormat="1" x14ac:dyDescent="0.25">
      <c r="A364" s="94" t="s">
        <v>840</v>
      </c>
      <c r="B364" s="100" t="s">
        <v>2143</v>
      </c>
      <c r="C364" s="121" t="s">
        <v>122</v>
      </c>
      <c r="D364" s="121" t="s">
        <v>363</v>
      </c>
      <c r="E364" s="96" t="s">
        <v>363</v>
      </c>
      <c r="F364" s="77"/>
      <c r="G364" s="121" t="s">
        <v>531</v>
      </c>
      <c r="H364" s="96">
        <v>67.489999999999995</v>
      </c>
      <c r="I364" s="138"/>
      <c r="J364" s="140"/>
      <c r="K364" s="121" t="s">
        <v>531</v>
      </c>
      <c r="L364" s="98" t="s">
        <v>850</v>
      </c>
      <c r="M364" s="96">
        <v>67.489999999999995</v>
      </c>
      <c r="N364" s="121" t="s">
        <v>1717</v>
      </c>
      <c r="O364" s="121" t="s">
        <v>378</v>
      </c>
    </row>
    <row r="365" spans="1:15" s="80" customFormat="1" x14ac:dyDescent="0.25">
      <c r="A365" s="79" t="s">
        <v>851</v>
      </c>
      <c r="C365" s="124"/>
      <c r="D365" s="124"/>
      <c r="E365" s="81"/>
      <c r="F365" s="82"/>
      <c r="G365" s="124"/>
      <c r="H365" s="81"/>
      <c r="I365" s="86"/>
      <c r="J365" s="81"/>
      <c r="K365" s="124"/>
      <c r="L365" s="83"/>
      <c r="M365" s="84"/>
      <c r="N365" s="124"/>
      <c r="O365" s="124"/>
    </row>
    <row r="366" spans="1:15" s="95" customFormat="1" x14ac:dyDescent="0.25">
      <c r="A366" s="94" t="s">
        <v>851</v>
      </c>
      <c r="B366" s="95" t="s">
        <v>2074</v>
      </c>
      <c r="C366" s="121" t="s">
        <v>210</v>
      </c>
      <c r="D366" s="121" t="s">
        <v>607</v>
      </c>
      <c r="E366" s="96">
        <v>97.59</v>
      </c>
      <c r="F366" s="77"/>
      <c r="G366" s="121" t="s">
        <v>363</v>
      </c>
      <c r="H366" s="96" t="s">
        <v>363</v>
      </c>
      <c r="I366" s="97">
        <f>558889/12026412</f>
        <v>4.6471798903945746E-2</v>
      </c>
      <c r="J366" s="96">
        <v>8651.5400000000009</v>
      </c>
      <c r="K366" s="121" t="s">
        <v>607</v>
      </c>
      <c r="L366" s="98" t="s">
        <v>631</v>
      </c>
      <c r="M366" s="99">
        <v>99.38</v>
      </c>
      <c r="N366" s="121" t="s">
        <v>1964</v>
      </c>
      <c r="O366" s="121" t="s">
        <v>365</v>
      </c>
    </row>
    <row r="367" spans="1:15" s="95" customFormat="1" x14ac:dyDescent="0.25">
      <c r="A367" s="94" t="s">
        <v>851</v>
      </c>
      <c r="B367" s="95" t="s">
        <v>2095</v>
      </c>
      <c r="C367" s="121" t="s">
        <v>301</v>
      </c>
      <c r="D367" s="121" t="s">
        <v>638</v>
      </c>
      <c r="E367" s="96">
        <v>97.19</v>
      </c>
      <c r="F367" s="77"/>
      <c r="G367" s="121" t="s">
        <v>363</v>
      </c>
      <c r="H367" s="96" t="s">
        <v>363</v>
      </c>
      <c r="I367" s="97">
        <f>991/12026412</f>
        <v>8.2401966604836089E-5</v>
      </c>
      <c r="J367" s="96">
        <v>17.46</v>
      </c>
      <c r="K367" s="121" t="s">
        <v>638</v>
      </c>
      <c r="L367" s="98" t="s">
        <v>639</v>
      </c>
      <c r="M367" s="99">
        <v>97.19</v>
      </c>
      <c r="N367" s="121" t="s">
        <v>1965</v>
      </c>
      <c r="O367" s="121" t="s">
        <v>365</v>
      </c>
    </row>
    <row r="368" spans="1:15" s="95" customFormat="1" x14ac:dyDescent="0.25">
      <c r="A368" s="94" t="s">
        <v>851</v>
      </c>
      <c r="B368" s="95" t="s">
        <v>2066</v>
      </c>
      <c r="C368" s="121" t="s">
        <v>171</v>
      </c>
      <c r="D368" s="121" t="s">
        <v>367</v>
      </c>
      <c r="E368" s="96">
        <v>99.42</v>
      </c>
      <c r="F368" s="77"/>
      <c r="G368" s="121" t="s">
        <v>363</v>
      </c>
      <c r="H368" s="96" t="s">
        <v>363</v>
      </c>
      <c r="I368" s="97">
        <f>2917/12026412</f>
        <v>2.4254948192361944E-4</v>
      </c>
      <c r="J368" s="96">
        <v>68.069999999999993</v>
      </c>
      <c r="K368" s="121" t="s">
        <v>367</v>
      </c>
      <c r="L368" s="98" t="s">
        <v>398</v>
      </c>
      <c r="M368" s="99">
        <v>99.42</v>
      </c>
      <c r="N368" s="121" t="s">
        <v>1966</v>
      </c>
      <c r="O368" s="121" t="s">
        <v>365</v>
      </c>
    </row>
    <row r="369" spans="1:15" s="95" customFormat="1" x14ac:dyDescent="0.25">
      <c r="A369" s="94" t="s">
        <v>851</v>
      </c>
      <c r="B369" s="95" t="s">
        <v>2120</v>
      </c>
      <c r="C369" s="121" t="s">
        <v>145</v>
      </c>
      <c r="D369" s="121" t="s">
        <v>821</v>
      </c>
      <c r="E369" s="96">
        <v>99.08</v>
      </c>
      <c r="F369" s="77"/>
      <c r="G369" s="121" t="s">
        <v>363</v>
      </c>
      <c r="H369" s="96" t="s">
        <v>363</v>
      </c>
      <c r="I369" s="97">
        <f>885679/12026412</f>
        <v>7.3644491806866427E-2</v>
      </c>
      <c r="J369" s="96">
        <v>39461.919999999998</v>
      </c>
      <c r="K369" s="121" t="s">
        <v>821</v>
      </c>
      <c r="L369" s="98" t="s">
        <v>852</v>
      </c>
      <c r="M369" s="99">
        <v>98.54</v>
      </c>
      <c r="N369" s="121" t="s">
        <v>1738</v>
      </c>
      <c r="O369" s="121" t="s">
        <v>365</v>
      </c>
    </row>
    <row r="370" spans="1:15" s="95" customFormat="1" x14ac:dyDescent="0.25">
      <c r="A370" s="94" t="s">
        <v>851</v>
      </c>
      <c r="B370" s="95" t="s">
        <v>2121</v>
      </c>
      <c r="C370" s="121" t="s">
        <v>145</v>
      </c>
      <c r="D370" s="121" t="s">
        <v>853</v>
      </c>
      <c r="E370" s="96">
        <v>98.49</v>
      </c>
      <c r="F370" s="77"/>
      <c r="G370" s="121" t="s">
        <v>363</v>
      </c>
      <c r="H370" s="96" t="s">
        <v>363</v>
      </c>
      <c r="I370" s="97">
        <f>706946/12026412</f>
        <v>5.8782785755219426E-2</v>
      </c>
      <c r="J370" s="96">
        <v>34691.120000000003</v>
      </c>
      <c r="K370" s="121" t="s">
        <v>853</v>
      </c>
      <c r="L370" s="98" t="s">
        <v>854</v>
      </c>
      <c r="M370" s="99">
        <v>97.93</v>
      </c>
      <c r="N370" s="121" t="s">
        <v>1740</v>
      </c>
      <c r="O370" s="121" t="s">
        <v>365</v>
      </c>
    </row>
    <row r="371" spans="1:15" s="95" customFormat="1" x14ac:dyDescent="0.25">
      <c r="A371" s="94" t="s">
        <v>851</v>
      </c>
      <c r="B371" s="95" t="s">
        <v>2122</v>
      </c>
      <c r="C371" s="121" t="s">
        <v>145</v>
      </c>
      <c r="D371" s="121" t="s">
        <v>385</v>
      </c>
      <c r="E371" s="96">
        <v>98.51</v>
      </c>
      <c r="F371" s="77"/>
      <c r="G371" s="121" t="s">
        <v>363</v>
      </c>
      <c r="H371" s="96" t="s">
        <v>363</v>
      </c>
      <c r="I371" s="97">
        <f>1901006/12026412</f>
        <v>0.1580692562336963</v>
      </c>
      <c r="J371" s="96">
        <v>129494.19</v>
      </c>
      <c r="K371" s="121" t="s">
        <v>385</v>
      </c>
      <c r="L371" s="98" t="s">
        <v>837</v>
      </c>
      <c r="M371" s="99">
        <v>98.51</v>
      </c>
      <c r="N371" s="121" t="s">
        <v>1739</v>
      </c>
      <c r="O371" s="121" t="s">
        <v>365</v>
      </c>
    </row>
    <row r="372" spans="1:15" s="95" customFormat="1" x14ac:dyDescent="0.25">
      <c r="A372" s="94" t="s">
        <v>851</v>
      </c>
      <c r="B372" s="100" t="s">
        <v>2067</v>
      </c>
      <c r="C372" s="121" t="s">
        <v>468</v>
      </c>
      <c r="D372" s="121" t="s">
        <v>363</v>
      </c>
      <c r="E372" s="96" t="s">
        <v>363</v>
      </c>
      <c r="F372" s="77"/>
      <c r="G372" s="121" t="s">
        <v>469</v>
      </c>
      <c r="H372" s="96">
        <v>35.06</v>
      </c>
      <c r="I372" s="97">
        <f>598/12026412</f>
        <v>4.9723891049134188E-5</v>
      </c>
      <c r="J372" s="96">
        <v>13.68</v>
      </c>
      <c r="K372" s="121" t="s">
        <v>469</v>
      </c>
      <c r="L372" s="98" t="s">
        <v>645</v>
      </c>
      <c r="M372" s="96">
        <v>35.06</v>
      </c>
      <c r="N372" s="121" t="s">
        <v>1967</v>
      </c>
      <c r="O372" s="121" t="s">
        <v>855</v>
      </c>
    </row>
    <row r="373" spans="1:15" s="80" customFormat="1" x14ac:dyDescent="0.25">
      <c r="A373" s="79" t="s">
        <v>856</v>
      </c>
      <c r="C373" s="124"/>
      <c r="D373" s="124"/>
      <c r="E373" s="81"/>
      <c r="F373" s="82"/>
      <c r="G373" s="124"/>
      <c r="H373" s="81"/>
      <c r="I373" s="86"/>
      <c r="J373" s="81"/>
      <c r="K373" s="124"/>
      <c r="L373" s="83"/>
      <c r="M373" s="84"/>
      <c r="N373" s="124"/>
      <c r="O373" s="124"/>
    </row>
    <row r="374" spans="1:15" s="95" customFormat="1" x14ac:dyDescent="0.25">
      <c r="A374" s="94" t="s">
        <v>856</v>
      </c>
      <c r="B374" s="95" t="s">
        <v>2074</v>
      </c>
      <c r="C374" s="121" t="s">
        <v>210</v>
      </c>
      <c r="D374" s="121" t="s">
        <v>607</v>
      </c>
      <c r="E374" s="96">
        <v>96.11</v>
      </c>
      <c r="F374" s="77"/>
      <c r="G374" s="121" t="s">
        <v>363</v>
      </c>
      <c r="H374" s="96" t="s">
        <v>363</v>
      </c>
      <c r="I374" s="97">
        <f>393331/10184462</f>
        <v>3.8620694937052148E-2</v>
      </c>
      <c r="J374" s="96">
        <v>6080.61</v>
      </c>
      <c r="K374" s="121" t="s">
        <v>607</v>
      </c>
      <c r="L374" s="98" t="s">
        <v>631</v>
      </c>
      <c r="M374" s="99">
        <v>99.46</v>
      </c>
      <c r="N374" s="121" t="s">
        <v>1970</v>
      </c>
      <c r="O374" s="121" t="s">
        <v>365</v>
      </c>
    </row>
    <row r="375" spans="1:15" s="95" customFormat="1" x14ac:dyDescent="0.25">
      <c r="A375" s="94" t="s">
        <v>856</v>
      </c>
      <c r="B375" s="95" t="s">
        <v>2095</v>
      </c>
      <c r="C375" s="121" t="s">
        <v>301</v>
      </c>
      <c r="D375" s="121" t="s">
        <v>638</v>
      </c>
      <c r="E375" s="96">
        <v>97.19</v>
      </c>
      <c r="F375" s="77"/>
      <c r="G375" s="121" t="s">
        <v>363</v>
      </c>
      <c r="H375" s="96" t="s">
        <v>363</v>
      </c>
      <c r="I375" s="97">
        <f>526791/10184462</f>
        <v>5.1724970842838829E-2</v>
      </c>
      <c r="J375" s="96">
        <v>9268.5499999999993</v>
      </c>
      <c r="K375" s="121" t="s">
        <v>638</v>
      </c>
      <c r="L375" s="98" t="s">
        <v>639</v>
      </c>
      <c r="M375" s="99">
        <v>97.19</v>
      </c>
      <c r="N375" s="121" t="s">
        <v>1971</v>
      </c>
      <c r="O375" s="121" t="s">
        <v>365</v>
      </c>
    </row>
    <row r="376" spans="1:15" s="95" customFormat="1" x14ac:dyDescent="0.25">
      <c r="A376" s="94" t="s">
        <v>856</v>
      </c>
      <c r="B376" s="95" t="s">
        <v>2120</v>
      </c>
      <c r="C376" s="121" t="s">
        <v>145</v>
      </c>
      <c r="D376" s="121" t="s">
        <v>381</v>
      </c>
      <c r="E376" s="96">
        <v>91.35</v>
      </c>
      <c r="F376" s="77"/>
      <c r="G376" s="121" t="s">
        <v>363</v>
      </c>
      <c r="H376" s="96" t="s">
        <v>363</v>
      </c>
      <c r="I376" s="97">
        <f>413707/10184462</f>
        <v>4.0621389720929782E-2</v>
      </c>
      <c r="J376" s="96">
        <v>18381.11</v>
      </c>
      <c r="K376" s="121" t="s">
        <v>381</v>
      </c>
      <c r="L376" s="98" t="s">
        <v>857</v>
      </c>
      <c r="M376" s="99">
        <v>92.1</v>
      </c>
      <c r="N376" s="121" t="s">
        <v>1742</v>
      </c>
      <c r="O376" s="121" t="s">
        <v>365</v>
      </c>
    </row>
    <row r="377" spans="1:15" s="95" customFormat="1" x14ac:dyDescent="0.25">
      <c r="A377" s="94" t="s">
        <v>856</v>
      </c>
      <c r="B377" s="95" t="s">
        <v>2121</v>
      </c>
      <c r="C377" s="121" t="s">
        <v>145</v>
      </c>
      <c r="D377" s="121" t="s">
        <v>667</v>
      </c>
      <c r="E377" s="96">
        <v>91.53</v>
      </c>
      <c r="F377" s="77"/>
      <c r="G377" s="121" t="s">
        <v>363</v>
      </c>
      <c r="H377" s="96" t="s">
        <v>363</v>
      </c>
      <c r="I377" s="97">
        <f>173625/10184462</f>
        <v>1.7048028653845436E-2</v>
      </c>
      <c r="J377" s="96">
        <v>8470.4500000000007</v>
      </c>
      <c r="K377" s="121" t="s">
        <v>667</v>
      </c>
      <c r="L377" s="98" t="s">
        <v>822</v>
      </c>
      <c r="M377" s="99">
        <v>94.71</v>
      </c>
      <c r="N377" s="121" t="s">
        <v>1744</v>
      </c>
      <c r="O377" s="121" t="s">
        <v>365</v>
      </c>
    </row>
    <row r="378" spans="1:15" s="95" customFormat="1" x14ac:dyDescent="0.25">
      <c r="A378" s="94" t="s">
        <v>856</v>
      </c>
      <c r="B378" s="95" t="s">
        <v>2122</v>
      </c>
      <c r="C378" s="121" t="s">
        <v>145</v>
      </c>
      <c r="D378" s="121" t="s">
        <v>385</v>
      </c>
      <c r="E378" s="96">
        <v>89.03</v>
      </c>
      <c r="F378" s="77"/>
      <c r="G378" s="121" t="s">
        <v>363</v>
      </c>
      <c r="H378" s="96" t="s">
        <v>363</v>
      </c>
      <c r="I378" s="97">
        <f>346536/10184462</f>
        <v>3.40259505116716E-2</v>
      </c>
      <c r="J378" s="96">
        <v>23276.95</v>
      </c>
      <c r="K378" s="121" t="s">
        <v>385</v>
      </c>
      <c r="L378" s="98" t="s">
        <v>858</v>
      </c>
      <c r="M378" s="99">
        <v>91.7</v>
      </c>
      <c r="N378" s="121" t="s">
        <v>1743</v>
      </c>
      <c r="O378" s="121" t="s">
        <v>365</v>
      </c>
    </row>
    <row r="379" spans="1:15" s="95" customFormat="1" x14ac:dyDescent="0.25">
      <c r="A379" s="94" t="s">
        <v>856</v>
      </c>
      <c r="B379" s="100" t="s">
        <v>2111</v>
      </c>
      <c r="C379" s="121" t="s">
        <v>339</v>
      </c>
      <c r="D379" s="121" t="s">
        <v>363</v>
      </c>
      <c r="E379" s="96" t="s">
        <v>363</v>
      </c>
      <c r="F379" s="77"/>
      <c r="G379" s="121" t="s">
        <v>543</v>
      </c>
      <c r="H379" s="96">
        <v>71.17</v>
      </c>
      <c r="I379" s="97">
        <f>74/10184462</f>
        <v>7.2659704557786169E-6</v>
      </c>
      <c r="J379" s="96">
        <v>7.38</v>
      </c>
      <c r="K379" s="121" t="s">
        <v>543</v>
      </c>
      <c r="L379" s="98" t="s">
        <v>859</v>
      </c>
      <c r="M379" s="99">
        <v>71.17</v>
      </c>
      <c r="N379" s="121" t="s">
        <v>1969</v>
      </c>
      <c r="O379" s="121" t="s">
        <v>648</v>
      </c>
    </row>
    <row r="380" spans="1:15" s="95" customFormat="1" x14ac:dyDescent="0.25">
      <c r="A380" s="94" t="s">
        <v>856</v>
      </c>
      <c r="B380" s="100" t="s">
        <v>2067</v>
      </c>
      <c r="C380" s="121" t="s">
        <v>468</v>
      </c>
      <c r="D380" s="121" t="s">
        <v>363</v>
      </c>
      <c r="E380" s="96" t="s">
        <v>363</v>
      </c>
      <c r="F380" s="77"/>
      <c r="G380" s="121" t="s">
        <v>469</v>
      </c>
      <c r="H380" s="96">
        <v>35.06</v>
      </c>
      <c r="I380" s="97">
        <f>683/10184462</f>
        <v>6.7062943531037768E-5</v>
      </c>
      <c r="J380" s="96">
        <v>15.56</v>
      </c>
      <c r="K380" s="121" t="s">
        <v>469</v>
      </c>
      <c r="L380" s="98" t="s">
        <v>645</v>
      </c>
      <c r="M380" s="96">
        <v>35.06</v>
      </c>
      <c r="N380" s="121" t="s">
        <v>1968</v>
      </c>
      <c r="O380" s="121" t="s">
        <v>855</v>
      </c>
    </row>
    <row r="381" spans="1:15" s="80" customFormat="1" x14ac:dyDescent="0.25">
      <c r="A381" s="79" t="s">
        <v>860</v>
      </c>
      <c r="C381" s="124"/>
      <c r="D381" s="124"/>
      <c r="E381" s="81"/>
      <c r="F381" s="82"/>
      <c r="G381" s="124"/>
      <c r="H381" s="81"/>
      <c r="I381" s="86"/>
      <c r="J381" s="81"/>
      <c r="K381" s="124"/>
      <c r="L381" s="83"/>
      <c r="M381" s="84"/>
      <c r="N381" s="124"/>
      <c r="O381" s="124"/>
    </row>
    <row r="382" spans="1:15" s="95" customFormat="1" x14ac:dyDescent="0.25">
      <c r="A382" s="94" t="s">
        <v>860</v>
      </c>
      <c r="B382" s="95" t="s">
        <v>2059</v>
      </c>
      <c r="C382" s="121" t="s">
        <v>156</v>
      </c>
      <c r="D382" s="121" t="s">
        <v>861</v>
      </c>
      <c r="E382" s="96">
        <v>97.72</v>
      </c>
      <c r="F382" s="77"/>
      <c r="G382" s="121" t="s">
        <v>363</v>
      </c>
      <c r="H382" s="96" t="s">
        <v>363</v>
      </c>
      <c r="I382" s="158">
        <f>351373/11300292</f>
        <v>3.1094152257304501E-2</v>
      </c>
      <c r="J382" s="96">
        <v>3407.77</v>
      </c>
      <c r="K382" s="121" t="s">
        <v>861</v>
      </c>
      <c r="L382" s="98" t="s">
        <v>862</v>
      </c>
      <c r="M382" s="99">
        <v>97.72</v>
      </c>
      <c r="N382" s="121" t="s">
        <v>1972</v>
      </c>
      <c r="O382" s="121" t="s">
        <v>365</v>
      </c>
    </row>
    <row r="383" spans="1:15" s="95" customFormat="1" x14ac:dyDescent="0.25">
      <c r="A383" s="94" t="s">
        <v>860</v>
      </c>
      <c r="B383" s="95" t="s">
        <v>2075</v>
      </c>
      <c r="C383" s="121" t="s">
        <v>211</v>
      </c>
      <c r="D383" s="121" t="s">
        <v>549</v>
      </c>
      <c r="E383" s="96">
        <v>91.46</v>
      </c>
      <c r="F383" s="77"/>
      <c r="G383" s="121" t="s">
        <v>363</v>
      </c>
      <c r="H383" s="96" t="s">
        <v>363</v>
      </c>
      <c r="I383" s="158">
        <f>44982/11300292</f>
        <v>3.9806051029477822E-3</v>
      </c>
      <c r="J383" s="96">
        <v>710.56</v>
      </c>
      <c r="K383" s="121" t="s">
        <v>549</v>
      </c>
      <c r="L383" s="98" t="s">
        <v>863</v>
      </c>
      <c r="M383" s="99">
        <v>91.46</v>
      </c>
      <c r="N383" s="121" t="s">
        <v>1973</v>
      </c>
      <c r="O383" s="121" t="s">
        <v>365</v>
      </c>
    </row>
    <row r="384" spans="1:15" s="95" customFormat="1" x14ac:dyDescent="0.25">
      <c r="A384" s="94" t="s">
        <v>860</v>
      </c>
      <c r="B384" s="100" t="s">
        <v>280</v>
      </c>
      <c r="C384" s="121" t="s">
        <v>281</v>
      </c>
      <c r="D384" s="121" t="s">
        <v>363</v>
      </c>
      <c r="E384" s="96" t="s">
        <v>363</v>
      </c>
      <c r="F384" s="77"/>
      <c r="G384" s="121" t="s">
        <v>565</v>
      </c>
      <c r="H384" s="99">
        <v>78.33</v>
      </c>
      <c r="I384" s="158">
        <f>1656/11300292</f>
        <v>1.4654488574277551E-4</v>
      </c>
      <c r="J384" s="96">
        <v>57.04</v>
      </c>
      <c r="K384" s="121" t="s">
        <v>565</v>
      </c>
      <c r="L384" s="98" t="s">
        <v>864</v>
      </c>
      <c r="M384" s="99">
        <v>78.33</v>
      </c>
      <c r="N384" s="121" t="s">
        <v>1974</v>
      </c>
      <c r="O384" s="121" t="s">
        <v>378</v>
      </c>
    </row>
    <row r="385" spans="1:15" s="95" customFormat="1" x14ac:dyDescent="0.25">
      <c r="A385" s="94" t="s">
        <v>860</v>
      </c>
      <c r="B385" s="100" t="s">
        <v>288</v>
      </c>
      <c r="C385" s="121" t="s">
        <v>289</v>
      </c>
      <c r="D385" s="121" t="s">
        <v>363</v>
      </c>
      <c r="E385" s="96" t="s">
        <v>363</v>
      </c>
      <c r="F385" s="77"/>
      <c r="G385" s="121" t="s">
        <v>809</v>
      </c>
      <c r="H385" s="99">
        <v>69.489999999999995</v>
      </c>
      <c r="I385" s="158">
        <f>65466/11300292</f>
        <v>5.793301624418201E-3</v>
      </c>
      <c r="J385" s="96">
        <v>2452.04</v>
      </c>
      <c r="K385" s="121" t="s">
        <v>809</v>
      </c>
      <c r="L385" s="98" t="s">
        <v>865</v>
      </c>
      <c r="M385" s="99">
        <v>69.489999999999995</v>
      </c>
      <c r="N385" s="121" t="s">
        <v>1975</v>
      </c>
      <c r="O385" s="121" t="s">
        <v>378</v>
      </c>
    </row>
    <row r="386" spans="1:15" s="95" customFormat="1" x14ac:dyDescent="0.25">
      <c r="A386" s="94" t="s">
        <v>860</v>
      </c>
      <c r="B386" s="100" t="s">
        <v>2081</v>
      </c>
      <c r="C386" s="121" t="s">
        <v>250</v>
      </c>
      <c r="D386" s="121" t="s">
        <v>363</v>
      </c>
      <c r="E386" s="96" t="s">
        <v>363</v>
      </c>
      <c r="F386" s="77"/>
      <c r="G386" s="121" t="s">
        <v>866</v>
      </c>
      <c r="H386" s="99">
        <v>69</v>
      </c>
      <c r="I386" s="158">
        <f>16473/11300292</f>
        <v>1.4577499413289496E-3</v>
      </c>
      <c r="J386" s="96">
        <v>213.32</v>
      </c>
      <c r="K386" s="121" t="s">
        <v>866</v>
      </c>
      <c r="L386" s="98" t="s">
        <v>867</v>
      </c>
      <c r="M386" s="99">
        <v>69</v>
      </c>
      <c r="N386" s="121" t="s">
        <v>1976</v>
      </c>
      <c r="O386" s="121" t="s">
        <v>378</v>
      </c>
    </row>
    <row r="387" spans="1:15" s="95" customFormat="1" x14ac:dyDescent="0.25">
      <c r="A387" s="94" t="s">
        <v>860</v>
      </c>
      <c r="B387" s="100" t="s">
        <v>2082</v>
      </c>
      <c r="C387" s="121" t="s">
        <v>252</v>
      </c>
      <c r="D387" s="121" t="s">
        <v>363</v>
      </c>
      <c r="E387" s="96" t="s">
        <v>363</v>
      </c>
      <c r="F387" s="77"/>
      <c r="G387" s="121" t="s">
        <v>868</v>
      </c>
      <c r="H387" s="99">
        <v>68.27</v>
      </c>
      <c r="I387" s="158">
        <f>(7811+5487)/11300292</f>
        <v>1.1767837503668048E-3</v>
      </c>
      <c r="J387" s="96">
        <v>100.09</v>
      </c>
      <c r="K387" s="121" t="s">
        <v>868</v>
      </c>
      <c r="L387" s="98" t="s">
        <v>869</v>
      </c>
      <c r="M387" s="99">
        <v>68.27</v>
      </c>
      <c r="N387" s="121" t="s">
        <v>1977</v>
      </c>
      <c r="O387" s="121" t="s">
        <v>378</v>
      </c>
    </row>
    <row r="388" spans="1:15" s="95" customFormat="1" x14ac:dyDescent="0.25">
      <c r="A388" s="94" t="s">
        <v>860</v>
      </c>
      <c r="B388" s="100" t="s">
        <v>221</v>
      </c>
      <c r="C388" s="121" t="s">
        <v>222</v>
      </c>
      <c r="D388" s="121" t="s">
        <v>363</v>
      </c>
      <c r="E388" s="96" t="s">
        <v>363</v>
      </c>
      <c r="F388" s="77"/>
      <c r="G388" s="121" t="s">
        <v>870</v>
      </c>
      <c r="H388" s="99">
        <v>67.44</v>
      </c>
      <c r="I388" s="158">
        <f>340870/11300292</f>
        <v>3.0164707248272877E-2</v>
      </c>
      <c r="J388" s="96">
        <v>6199.99</v>
      </c>
      <c r="K388" s="121" t="s">
        <v>870</v>
      </c>
      <c r="L388" s="98" t="s">
        <v>871</v>
      </c>
      <c r="M388" s="99">
        <v>67.44</v>
      </c>
      <c r="N388" s="121" t="s">
        <v>1978</v>
      </c>
      <c r="O388" s="121" t="s">
        <v>378</v>
      </c>
    </row>
    <row r="389" spans="1:15" s="95" customFormat="1" x14ac:dyDescent="0.25">
      <c r="A389" s="94" t="s">
        <v>860</v>
      </c>
      <c r="B389" s="100" t="s">
        <v>192</v>
      </c>
      <c r="C389" s="121" t="s">
        <v>193</v>
      </c>
      <c r="D389" s="121" t="s">
        <v>363</v>
      </c>
      <c r="E389" s="96" t="s">
        <v>363</v>
      </c>
      <c r="F389" s="77"/>
      <c r="G389" s="121" t="s">
        <v>872</v>
      </c>
      <c r="H389" s="99">
        <v>69.040000000000006</v>
      </c>
      <c r="I389" s="158">
        <f>1575/11349408</f>
        <v>1.3877375806738113E-4</v>
      </c>
      <c r="J389" s="96">
        <v>22.26</v>
      </c>
      <c r="K389" s="121" t="s">
        <v>872</v>
      </c>
      <c r="L389" s="98" t="s">
        <v>873</v>
      </c>
      <c r="M389" s="99">
        <v>69.040000000000006</v>
      </c>
      <c r="N389" s="121" t="s">
        <v>1979</v>
      </c>
      <c r="O389" s="121" t="s">
        <v>378</v>
      </c>
    </row>
    <row r="390" spans="1:15" s="95" customFormat="1" ht="13.5" x14ac:dyDescent="0.25">
      <c r="A390" s="94" t="s">
        <v>860</v>
      </c>
      <c r="B390" s="100" t="s">
        <v>2102</v>
      </c>
      <c r="C390" s="121" t="s">
        <v>312</v>
      </c>
      <c r="D390" s="130" t="s">
        <v>430</v>
      </c>
      <c r="E390" s="96" t="s">
        <v>363</v>
      </c>
      <c r="F390" s="109"/>
      <c r="G390" s="130" t="s">
        <v>430</v>
      </c>
      <c r="H390" s="96" t="s">
        <v>363</v>
      </c>
      <c r="I390" s="158">
        <f>1989/11349408</f>
        <v>1.7525143161652133E-4</v>
      </c>
      <c r="J390" s="96">
        <v>1081.5</v>
      </c>
      <c r="K390" s="130" t="s">
        <v>430</v>
      </c>
      <c r="L390" s="96" t="s">
        <v>874</v>
      </c>
      <c r="M390" s="96" t="s">
        <v>363</v>
      </c>
      <c r="N390" s="121" t="s">
        <v>1980</v>
      </c>
      <c r="O390" s="121" t="s">
        <v>432</v>
      </c>
    </row>
    <row r="391" spans="1:15" s="95" customFormat="1" x14ac:dyDescent="0.25">
      <c r="A391" s="94" t="s">
        <v>860</v>
      </c>
      <c r="B391" s="100" t="s">
        <v>2103</v>
      </c>
      <c r="C391" s="121" t="s">
        <v>314</v>
      </c>
      <c r="D391" s="121" t="s">
        <v>363</v>
      </c>
      <c r="E391" s="96" t="s">
        <v>363</v>
      </c>
      <c r="F391" s="77"/>
      <c r="G391" s="121" t="s">
        <v>569</v>
      </c>
      <c r="H391" s="99">
        <v>77.44</v>
      </c>
      <c r="I391" s="158">
        <f>2036/11300292</f>
        <v>1.8017233536974088E-4</v>
      </c>
      <c r="J391" s="96">
        <v>103.15</v>
      </c>
      <c r="K391" s="121" t="s">
        <v>569</v>
      </c>
      <c r="L391" s="98" t="s">
        <v>875</v>
      </c>
      <c r="M391" s="99">
        <v>77.44</v>
      </c>
      <c r="N391" s="121" t="s">
        <v>1981</v>
      </c>
      <c r="O391" s="121" t="s">
        <v>378</v>
      </c>
    </row>
    <row r="392" spans="1:15" s="95" customFormat="1" x14ac:dyDescent="0.25">
      <c r="A392" s="94" t="s">
        <v>860</v>
      </c>
      <c r="B392" s="100" t="s">
        <v>2104</v>
      </c>
      <c r="C392" s="121" t="s">
        <v>315</v>
      </c>
      <c r="D392" s="121" t="s">
        <v>363</v>
      </c>
      <c r="E392" s="96" t="s">
        <v>363</v>
      </c>
      <c r="F392" s="77"/>
      <c r="G392" s="121" t="s">
        <v>571</v>
      </c>
      <c r="H392" s="99">
        <v>79.069999999999993</v>
      </c>
      <c r="I392" s="158">
        <f>345/11300292</f>
        <v>3.0530184529744892E-5</v>
      </c>
      <c r="J392" s="96">
        <v>20.58</v>
      </c>
      <c r="K392" s="121" t="s">
        <v>571</v>
      </c>
      <c r="L392" s="98" t="s">
        <v>876</v>
      </c>
      <c r="M392" s="99">
        <v>79.069999999999993</v>
      </c>
      <c r="N392" s="121" t="s">
        <v>1982</v>
      </c>
      <c r="O392" s="121" t="s">
        <v>877</v>
      </c>
    </row>
    <row r="393" spans="1:15" s="95" customFormat="1" x14ac:dyDescent="0.25">
      <c r="A393" s="94" t="s">
        <v>860</v>
      </c>
      <c r="B393" s="100" t="s">
        <v>2105</v>
      </c>
      <c r="C393" s="121" t="s">
        <v>316</v>
      </c>
      <c r="D393" s="121" t="s">
        <v>363</v>
      </c>
      <c r="E393" s="96" t="s">
        <v>363</v>
      </c>
      <c r="F393" s="77"/>
      <c r="G393" s="121" t="s">
        <v>569</v>
      </c>
      <c r="H393" s="99">
        <v>72.040000000000006</v>
      </c>
      <c r="I393" s="158">
        <f>1960/11300292</f>
        <v>1.7344684544434781E-4</v>
      </c>
      <c r="J393" s="96">
        <v>116.79</v>
      </c>
      <c r="K393" s="121" t="s">
        <v>569</v>
      </c>
      <c r="L393" s="98" t="s">
        <v>878</v>
      </c>
      <c r="M393" s="99">
        <v>72.040000000000006</v>
      </c>
      <c r="N393" s="121" t="s">
        <v>1983</v>
      </c>
      <c r="O393" s="121" t="s">
        <v>378</v>
      </c>
    </row>
    <row r="394" spans="1:15" s="80" customFormat="1" x14ac:dyDescent="0.25">
      <c r="A394" s="79" t="s">
        <v>879</v>
      </c>
      <c r="C394" s="124"/>
      <c r="D394" s="124"/>
      <c r="E394" s="81"/>
      <c r="F394" s="82"/>
      <c r="G394" s="124"/>
      <c r="H394" s="81"/>
      <c r="I394" s="86"/>
      <c r="J394" s="81"/>
      <c r="K394" s="124"/>
      <c r="L394" s="83"/>
      <c r="M394" s="84"/>
      <c r="N394" s="124"/>
      <c r="O394" s="124"/>
    </row>
    <row r="395" spans="1:15" s="95" customFormat="1" x14ac:dyDescent="0.25">
      <c r="A395" s="94" t="s">
        <v>879</v>
      </c>
      <c r="B395" s="95" t="s">
        <v>2074</v>
      </c>
      <c r="C395" s="121" t="s">
        <v>210</v>
      </c>
      <c r="D395" s="121" t="s">
        <v>650</v>
      </c>
      <c r="E395" s="96">
        <v>98.98</v>
      </c>
      <c r="F395" s="77"/>
      <c r="G395" s="121" t="s">
        <v>363</v>
      </c>
      <c r="H395" s="96" t="s">
        <v>363</v>
      </c>
      <c r="I395" s="158">
        <f>129248/13648750</f>
        <v>9.4695851268431167E-3</v>
      </c>
      <c r="J395" s="96">
        <v>2012.44</v>
      </c>
      <c r="K395" s="121" t="s">
        <v>650</v>
      </c>
      <c r="L395" s="98" t="s">
        <v>651</v>
      </c>
      <c r="M395" s="99">
        <v>99.82</v>
      </c>
      <c r="N395" s="121" t="s">
        <v>1984</v>
      </c>
      <c r="O395" s="121" t="s">
        <v>365</v>
      </c>
    </row>
    <row r="396" spans="1:15" s="95" customFormat="1" x14ac:dyDescent="0.25">
      <c r="A396" s="94" t="s">
        <v>879</v>
      </c>
      <c r="B396" s="95" t="s">
        <v>114</v>
      </c>
      <c r="C396" s="121" t="s">
        <v>115</v>
      </c>
      <c r="D396" s="121" t="s">
        <v>616</v>
      </c>
      <c r="E396" s="96">
        <v>99.82</v>
      </c>
      <c r="F396" s="77"/>
      <c r="G396" s="121" t="s">
        <v>363</v>
      </c>
      <c r="H396" s="96" t="s">
        <v>363</v>
      </c>
      <c r="I396" s="158">
        <f>331/13648750</f>
        <v>2.4251305064566353E-5</v>
      </c>
      <c r="J396" s="96">
        <v>14.32</v>
      </c>
      <c r="K396" s="121" t="s">
        <v>616</v>
      </c>
      <c r="L396" s="98" t="s">
        <v>652</v>
      </c>
      <c r="M396" s="99">
        <v>99.82</v>
      </c>
      <c r="N396" s="121" t="s">
        <v>1698</v>
      </c>
      <c r="O396" s="121" t="s">
        <v>365</v>
      </c>
    </row>
    <row r="397" spans="1:15" s="95" customFormat="1" x14ac:dyDescent="0.25">
      <c r="A397" s="94" t="s">
        <v>879</v>
      </c>
      <c r="B397" s="95" t="s">
        <v>2120</v>
      </c>
      <c r="C397" s="121" t="s">
        <v>145</v>
      </c>
      <c r="D397" s="121" t="s">
        <v>381</v>
      </c>
      <c r="E397" s="96">
        <v>99.37</v>
      </c>
      <c r="F397" s="77"/>
      <c r="G397" s="121" t="s">
        <v>363</v>
      </c>
      <c r="H397" s="96" t="s">
        <v>363</v>
      </c>
      <c r="I397" s="158">
        <f>1313832/13648750</f>
        <v>9.626024361205239E-2</v>
      </c>
      <c r="J397" s="96">
        <v>58233.96</v>
      </c>
      <c r="K397" s="121" t="s">
        <v>381</v>
      </c>
      <c r="L397" s="98" t="s">
        <v>880</v>
      </c>
      <c r="M397" s="99">
        <v>98.63</v>
      </c>
      <c r="N397" s="121" t="s">
        <v>1746</v>
      </c>
      <c r="O397" s="121" t="s">
        <v>365</v>
      </c>
    </row>
    <row r="398" spans="1:15" s="95" customFormat="1" x14ac:dyDescent="0.25">
      <c r="A398" s="94" t="s">
        <v>879</v>
      </c>
      <c r="B398" s="95" t="s">
        <v>2121</v>
      </c>
      <c r="C398" s="121" t="s">
        <v>145</v>
      </c>
      <c r="D398" s="121" t="s">
        <v>383</v>
      </c>
      <c r="E398" s="96">
        <v>99.15</v>
      </c>
      <c r="F398" s="77"/>
      <c r="G398" s="121" t="s">
        <v>363</v>
      </c>
      <c r="H398" s="96" t="s">
        <v>363</v>
      </c>
      <c r="I398" s="158">
        <f>1046897/13648750</f>
        <v>7.670277497939372E-2</v>
      </c>
      <c r="J398" s="96">
        <v>51002.239999999998</v>
      </c>
      <c r="K398" s="121" t="s">
        <v>383</v>
      </c>
      <c r="L398" s="98" t="s">
        <v>881</v>
      </c>
      <c r="M398" s="99">
        <v>98.95</v>
      </c>
      <c r="N398" s="121" t="s">
        <v>1747</v>
      </c>
      <c r="O398" s="121" t="s">
        <v>365</v>
      </c>
    </row>
    <row r="399" spans="1:15" s="95" customFormat="1" x14ac:dyDescent="0.25">
      <c r="A399" s="94" t="s">
        <v>879</v>
      </c>
      <c r="B399" s="95" t="s">
        <v>2122</v>
      </c>
      <c r="C399" s="121" t="s">
        <v>145</v>
      </c>
      <c r="D399" s="121" t="s">
        <v>385</v>
      </c>
      <c r="E399" s="96">
        <v>99.19</v>
      </c>
      <c r="F399" s="77"/>
      <c r="G399" s="121" t="s">
        <v>363</v>
      </c>
      <c r="H399" s="96" t="s">
        <v>363</v>
      </c>
      <c r="I399" s="158">
        <f>2558439/13648750</f>
        <v>0.18744859419360746</v>
      </c>
      <c r="J399" s="96">
        <v>172075.53</v>
      </c>
      <c r="K399" s="121" t="s">
        <v>385</v>
      </c>
      <c r="L399" s="98" t="s">
        <v>882</v>
      </c>
      <c r="M399" s="99">
        <v>99.19</v>
      </c>
      <c r="N399" s="121" t="s">
        <v>1745</v>
      </c>
      <c r="O399" s="121" t="s">
        <v>365</v>
      </c>
    </row>
    <row r="400" spans="1:15" s="80" customFormat="1" x14ac:dyDescent="0.25">
      <c r="A400" s="79" t="s">
        <v>883</v>
      </c>
      <c r="C400" s="124"/>
      <c r="D400" s="124"/>
      <c r="E400" s="81"/>
      <c r="F400" s="82"/>
      <c r="G400" s="124"/>
      <c r="H400" s="81"/>
      <c r="I400" s="86"/>
      <c r="J400" s="81"/>
      <c r="K400" s="124"/>
      <c r="L400" s="83"/>
      <c r="M400" s="84"/>
      <c r="N400" s="124"/>
      <c r="O400" s="124"/>
    </row>
    <row r="401" spans="1:15" s="95" customFormat="1" x14ac:dyDescent="0.25">
      <c r="A401" s="94" t="s">
        <v>883</v>
      </c>
      <c r="B401" s="95" t="s">
        <v>114</v>
      </c>
      <c r="C401" s="121" t="s">
        <v>115</v>
      </c>
      <c r="D401" s="121" t="s">
        <v>684</v>
      </c>
      <c r="E401" s="96">
        <v>99.97</v>
      </c>
      <c r="F401" s="77"/>
      <c r="G401" s="121" t="s">
        <v>363</v>
      </c>
      <c r="H401" s="96" t="s">
        <v>363</v>
      </c>
      <c r="I401" s="97">
        <f>4983/11308760</f>
        <v>4.4063186414779339E-4</v>
      </c>
      <c r="J401" s="96">
        <v>215.41</v>
      </c>
      <c r="K401" s="121" t="s">
        <v>684</v>
      </c>
      <c r="L401" s="98" t="s">
        <v>605</v>
      </c>
      <c r="M401" s="99">
        <v>99.97</v>
      </c>
      <c r="N401" s="121" t="s">
        <v>1704</v>
      </c>
      <c r="O401" s="121" t="s">
        <v>365</v>
      </c>
    </row>
    <row r="402" spans="1:15" s="95" customFormat="1" x14ac:dyDescent="0.25">
      <c r="A402" s="94" t="s">
        <v>883</v>
      </c>
      <c r="B402" s="95" t="s">
        <v>2074</v>
      </c>
      <c r="C402" s="121" t="s">
        <v>210</v>
      </c>
      <c r="D402" s="121" t="s">
        <v>884</v>
      </c>
      <c r="E402" s="96">
        <v>99.62</v>
      </c>
      <c r="F402" s="77"/>
      <c r="G402" s="121" t="s">
        <v>363</v>
      </c>
      <c r="H402" s="96" t="s">
        <v>363</v>
      </c>
      <c r="I402" s="97">
        <f>614421/11308760</f>
        <v>5.4331420951545528E-2</v>
      </c>
      <c r="J402" s="96">
        <v>9517.27</v>
      </c>
      <c r="K402" s="121" t="s">
        <v>884</v>
      </c>
      <c r="L402" s="98" t="s">
        <v>885</v>
      </c>
      <c r="M402" s="99">
        <v>99.63</v>
      </c>
      <c r="N402" s="121" t="s">
        <v>1986</v>
      </c>
      <c r="O402" s="121" t="s">
        <v>365</v>
      </c>
    </row>
    <row r="403" spans="1:15" s="95" customFormat="1" x14ac:dyDescent="0.25">
      <c r="A403" s="94" t="s">
        <v>883</v>
      </c>
      <c r="B403" s="95" t="s">
        <v>2157</v>
      </c>
      <c r="C403" s="121" t="s">
        <v>101</v>
      </c>
      <c r="D403" s="121" t="s">
        <v>886</v>
      </c>
      <c r="E403" s="96">
        <v>97.98</v>
      </c>
      <c r="F403" s="77"/>
      <c r="G403" s="121" t="s">
        <v>363</v>
      </c>
      <c r="H403" s="96" t="s">
        <v>363</v>
      </c>
      <c r="I403" s="97">
        <f>63849/11308760</f>
        <v>5.64597710093768E-3</v>
      </c>
      <c r="J403" s="96">
        <v>1074.24</v>
      </c>
      <c r="K403" s="121" t="s">
        <v>886</v>
      </c>
      <c r="L403" s="98" t="s">
        <v>887</v>
      </c>
      <c r="M403" s="99">
        <v>97.98</v>
      </c>
      <c r="N403" s="121" t="s">
        <v>1651</v>
      </c>
      <c r="O403" s="121" t="s">
        <v>365</v>
      </c>
    </row>
    <row r="404" spans="1:15" s="95" customFormat="1" x14ac:dyDescent="0.25">
      <c r="A404" s="94" t="s">
        <v>883</v>
      </c>
      <c r="B404" s="95" t="s">
        <v>2158</v>
      </c>
      <c r="C404" s="121" t="s">
        <v>101</v>
      </c>
      <c r="D404" s="121" t="s">
        <v>888</v>
      </c>
      <c r="E404" s="96">
        <v>96.47</v>
      </c>
      <c r="F404" s="77"/>
      <c r="G404" s="121" t="s">
        <v>363</v>
      </c>
      <c r="H404" s="96" t="s">
        <v>363</v>
      </c>
      <c r="I404" s="97">
        <f>57479/11308760</f>
        <v>5.0826969535121445E-3</v>
      </c>
      <c r="J404" s="96">
        <v>1805.31</v>
      </c>
      <c r="K404" s="121" t="s">
        <v>888</v>
      </c>
      <c r="L404" s="98" t="s">
        <v>889</v>
      </c>
      <c r="M404" s="99">
        <v>98.38</v>
      </c>
      <c r="N404" s="121" t="s">
        <v>1652</v>
      </c>
      <c r="O404" s="121" t="s">
        <v>365</v>
      </c>
    </row>
    <row r="405" spans="1:15" s="95" customFormat="1" x14ac:dyDescent="0.25">
      <c r="A405" s="94" t="s">
        <v>883</v>
      </c>
      <c r="B405" s="95" t="s">
        <v>2159</v>
      </c>
      <c r="C405" s="121" t="s">
        <v>101</v>
      </c>
      <c r="D405" s="121" t="s">
        <v>890</v>
      </c>
      <c r="E405" s="96">
        <v>99.01</v>
      </c>
      <c r="F405" s="77"/>
      <c r="G405" s="121" t="s">
        <v>363</v>
      </c>
      <c r="H405" s="96" t="s">
        <v>363</v>
      </c>
      <c r="I405" s="97">
        <f>56086/11308760</f>
        <v>4.9595181080861212E-3</v>
      </c>
      <c r="J405" s="96">
        <v>2864.77</v>
      </c>
      <c r="K405" s="121" t="s">
        <v>890</v>
      </c>
      <c r="L405" s="98" t="s">
        <v>891</v>
      </c>
      <c r="M405" s="99">
        <v>99.62</v>
      </c>
      <c r="N405" s="121" t="s">
        <v>1653</v>
      </c>
      <c r="O405" s="121" t="s">
        <v>365</v>
      </c>
    </row>
    <row r="406" spans="1:15" s="95" customFormat="1" x14ac:dyDescent="0.25">
      <c r="A406" s="94" t="s">
        <v>883</v>
      </c>
      <c r="B406" s="95" t="s">
        <v>373</v>
      </c>
      <c r="C406" s="121" t="s">
        <v>180</v>
      </c>
      <c r="D406" s="121" t="s">
        <v>363</v>
      </c>
      <c r="E406" s="96" t="s">
        <v>363</v>
      </c>
      <c r="F406" s="77"/>
      <c r="G406" s="121" t="s">
        <v>892</v>
      </c>
      <c r="H406" s="96">
        <v>99</v>
      </c>
      <c r="I406" s="97">
        <f>2618313/11308760</f>
        <v>0.23152962835890054</v>
      </c>
      <c r="J406" s="96">
        <v>29434.37</v>
      </c>
      <c r="K406" s="121" t="s">
        <v>892</v>
      </c>
      <c r="L406" s="98" t="s">
        <v>893</v>
      </c>
      <c r="M406" s="99">
        <v>96.35</v>
      </c>
      <c r="N406" s="121" t="s">
        <v>1985</v>
      </c>
      <c r="O406" s="121" t="s">
        <v>365</v>
      </c>
    </row>
    <row r="407" spans="1:15" s="95" customFormat="1" x14ac:dyDescent="0.25">
      <c r="A407" s="94" t="s">
        <v>883</v>
      </c>
      <c r="B407" s="95" t="s">
        <v>409</v>
      </c>
      <c r="C407" s="121" t="s">
        <v>259</v>
      </c>
      <c r="D407" s="121" t="s">
        <v>363</v>
      </c>
      <c r="E407" s="96" t="s">
        <v>363</v>
      </c>
      <c r="F407" s="107"/>
      <c r="G407" s="121" t="s">
        <v>410</v>
      </c>
      <c r="H407" s="96">
        <v>91.24</v>
      </c>
      <c r="I407" s="101">
        <f>349339/11308760</f>
        <v>3.0891008386419023E-2</v>
      </c>
      <c r="J407" s="108">
        <v>4266.95</v>
      </c>
      <c r="K407" s="121" t="s">
        <v>410</v>
      </c>
      <c r="L407" s="98" t="s">
        <v>411</v>
      </c>
      <c r="M407" s="99">
        <v>91.24</v>
      </c>
      <c r="N407" s="121" t="s">
        <v>1987</v>
      </c>
      <c r="O407" s="121" t="s">
        <v>412</v>
      </c>
    </row>
    <row r="408" spans="1:15" s="95" customFormat="1" x14ac:dyDescent="0.25">
      <c r="A408" s="94" t="s">
        <v>883</v>
      </c>
      <c r="B408" s="95" t="s">
        <v>413</v>
      </c>
      <c r="C408" s="121" t="s">
        <v>259</v>
      </c>
      <c r="D408" s="121" t="s">
        <v>363</v>
      </c>
      <c r="E408" s="96" t="s">
        <v>363</v>
      </c>
      <c r="F408" s="109"/>
      <c r="G408" s="121" t="s">
        <v>414</v>
      </c>
      <c r="H408" s="96">
        <v>88</v>
      </c>
      <c r="I408" s="103"/>
      <c r="J408" s="110"/>
      <c r="K408" s="121" t="s">
        <v>414</v>
      </c>
      <c r="L408" s="98" t="s">
        <v>415</v>
      </c>
      <c r="M408" s="99">
        <v>88.17</v>
      </c>
      <c r="N408" s="121" t="s">
        <v>1988</v>
      </c>
      <c r="O408" s="121" t="s">
        <v>412</v>
      </c>
    </row>
    <row r="409" spans="1:15" s="95" customFormat="1" x14ac:dyDescent="0.25">
      <c r="A409" s="94" t="s">
        <v>883</v>
      </c>
      <c r="B409" s="95" t="s">
        <v>416</v>
      </c>
      <c r="C409" s="121" t="s">
        <v>259</v>
      </c>
      <c r="D409" s="121" t="s">
        <v>363</v>
      </c>
      <c r="E409" s="96" t="s">
        <v>363</v>
      </c>
      <c r="F409" s="109"/>
      <c r="G409" s="121" t="s">
        <v>417</v>
      </c>
      <c r="H409" s="96">
        <v>92.33</v>
      </c>
      <c r="I409" s="103"/>
      <c r="J409" s="110"/>
      <c r="K409" s="121" t="s">
        <v>417</v>
      </c>
      <c r="L409" s="98" t="s">
        <v>418</v>
      </c>
      <c r="M409" s="99">
        <v>92.33</v>
      </c>
      <c r="N409" s="121" t="s">
        <v>1989</v>
      </c>
      <c r="O409" s="121" t="s">
        <v>412</v>
      </c>
    </row>
    <row r="410" spans="1:15" s="95" customFormat="1" x14ac:dyDescent="0.25">
      <c r="A410" s="94" t="s">
        <v>883</v>
      </c>
      <c r="B410" s="95" t="s">
        <v>419</v>
      </c>
      <c r="C410" s="121" t="s">
        <v>259</v>
      </c>
      <c r="D410" s="121" t="s">
        <v>363</v>
      </c>
      <c r="E410" s="96" t="s">
        <v>363</v>
      </c>
      <c r="F410" s="111"/>
      <c r="G410" s="121" t="s">
        <v>420</v>
      </c>
      <c r="H410" s="96">
        <v>70.849999999999994</v>
      </c>
      <c r="I410" s="105"/>
      <c r="J410" s="112"/>
      <c r="K410" s="121" t="s">
        <v>420</v>
      </c>
      <c r="L410" s="98" t="s">
        <v>421</v>
      </c>
      <c r="M410" s="99">
        <v>71.849999999999994</v>
      </c>
      <c r="N410" s="121" t="s">
        <v>1990</v>
      </c>
      <c r="O410" s="121" t="s">
        <v>412</v>
      </c>
    </row>
    <row r="411" spans="1:15" s="80" customFormat="1" x14ac:dyDescent="0.25">
      <c r="A411" s="79" t="s">
        <v>894</v>
      </c>
      <c r="C411" s="124"/>
      <c r="D411" s="124"/>
      <c r="E411" s="81"/>
      <c r="F411" s="82"/>
      <c r="G411" s="124"/>
      <c r="H411" s="81"/>
      <c r="I411" s="86"/>
      <c r="J411" s="81"/>
      <c r="K411" s="124"/>
      <c r="L411" s="83"/>
      <c r="M411" s="84"/>
      <c r="N411" s="124"/>
      <c r="O411" s="124"/>
    </row>
    <row r="412" spans="1:15" s="95" customFormat="1" x14ac:dyDescent="0.25">
      <c r="A412" s="94" t="s">
        <v>894</v>
      </c>
      <c r="B412" s="95" t="s">
        <v>114</v>
      </c>
      <c r="C412" s="121" t="s">
        <v>115</v>
      </c>
      <c r="D412" s="121" t="s">
        <v>684</v>
      </c>
      <c r="E412" s="96">
        <v>99.97</v>
      </c>
      <c r="F412" s="77"/>
      <c r="G412" s="121" t="s">
        <v>363</v>
      </c>
      <c r="H412" s="96" t="s">
        <v>363</v>
      </c>
      <c r="I412" s="97">
        <f>10052/10696138</f>
        <v>9.3977845087638175E-4</v>
      </c>
      <c r="J412" s="96">
        <v>434.68</v>
      </c>
      <c r="K412" s="121" t="s">
        <v>684</v>
      </c>
      <c r="L412" s="98" t="s">
        <v>895</v>
      </c>
      <c r="M412" s="99">
        <v>99.97</v>
      </c>
      <c r="N412" s="121" t="s">
        <v>1695</v>
      </c>
      <c r="O412" s="121" t="s">
        <v>365</v>
      </c>
    </row>
    <row r="413" spans="1:15" s="95" customFormat="1" x14ac:dyDescent="0.25">
      <c r="A413" s="94" t="s">
        <v>894</v>
      </c>
      <c r="B413" s="95" t="s">
        <v>2074</v>
      </c>
      <c r="C413" s="121" t="s">
        <v>210</v>
      </c>
      <c r="D413" s="121" t="s">
        <v>650</v>
      </c>
      <c r="E413" s="96">
        <v>98.05</v>
      </c>
      <c r="F413" s="77"/>
      <c r="G413" s="121" t="s">
        <v>363</v>
      </c>
      <c r="H413" s="96" t="s">
        <v>363</v>
      </c>
      <c r="I413" s="97">
        <f>1834323/10696138</f>
        <v>0.17149395417299215</v>
      </c>
      <c r="J413" s="96">
        <v>28313.32</v>
      </c>
      <c r="K413" s="121" t="s">
        <v>650</v>
      </c>
      <c r="L413" s="98" t="s">
        <v>885</v>
      </c>
      <c r="M413" s="99">
        <v>98.93</v>
      </c>
      <c r="N413" s="121" t="s">
        <v>1991</v>
      </c>
      <c r="O413" s="121" t="s">
        <v>365</v>
      </c>
    </row>
    <row r="414" spans="1:15" s="95" customFormat="1" x14ac:dyDescent="0.25">
      <c r="A414" s="94" t="s">
        <v>894</v>
      </c>
      <c r="B414" s="95" t="s">
        <v>2095</v>
      </c>
      <c r="C414" s="121" t="s">
        <v>301</v>
      </c>
      <c r="D414" s="121" t="s">
        <v>896</v>
      </c>
      <c r="E414" s="96">
        <v>93.55</v>
      </c>
      <c r="F414" s="77"/>
      <c r="G414" s="121" t="s">
        <v>363</v>
      </c>
      <c r="H414" s="96" t="s">
        <v>363</v>
      </c>
      <c r="I414" s="97">
        <f>287994/10696138</f>
        <v>2.6925045282699234E-2</v>
      </c>
      <c r="J414" s="96">
        <v>5039.6899999999996</v>
      </c>
      <c r="K414" s="121" t="s">
        <v>896</v>
      </c>
      <c r="L414" s="98" t="s">
        <v>639</v>
      </c>
      <c r="M414" s="99">
        <v>93.55</v>
      </c>
      <c r="N414" s="121" t="s">
        <v>1992</v>
      </c>
      <c r="O414" s="121" t="s">
        <v>365</v>
      </c>
    </row>
    <row r="415" spans="1:15" s="95" customFormat="1" x14ac:dyDescent="0.25">
      <c r="A415" s="94" t="s">
        <v>894</v>
      </c>
      <c r="B415" s="95" t="s">
        <v>2157</v>
      </c>
      <c r="C415" s="121" t="s">
        <v>101</v>
      </c>
      <c r="D415" s="121" t="s">
        <v>886</v>
      </c>
      <c r="E415" s="96">
        <v>97.98</v>
      </c>
      <c r="F415" s="77"/>
      <c r="G415" s="121" t="s">
        <v>363</v>
      </c>
      <c r="H415" s="96" t="s">
        <v>363</v>
      </c>
      <c r="I415" s="97">
        <f>684687/10696138</f>
        <v>6.4012543592836965E-2</v>
      </c>
      <c r="J415" s="96">
        <v>11486.88</v>
      </c>
      <c r="K415" s="121" t="s">
        <v>886</v>
      </c>
      <c r="L415" s="98" t="s">
        <v>887</v>
      </c>
      <c r="M415" s="99">
        <v>97.98</v>
      </c>
      <c r="N415" s="121" t="s">
        <v>1654</v>
      </c>
      <c r="O415" s="121" t="s">
        <v>365</v>
      </c>
    </row>
    <row r="416" spans="1:15" s="95" customFormat="1" x14ac:dyDescent="0.25">
      <c r="A416" s="94" t="s">
        <v>894</v>
      </c>
      <c r="B416" s="95" t="s">
        <v>2158</v>
      </c>
      <c r="C416" s="121" t="s">
        <v>101</v>
      </c>
      <c r="D416" s="121" t="s">
        <v>888</v>
      </c>
      <c r="E416" s="96">
        <v>96.39</v>
      </c>
      <c r="F416" s="77"/>
      <c r="G416" s="121" t="s">
        <v>363</v>
      </c>
      <c r="H416" s="96" t="s">
        <v>363</v>
      </c>
      <c r="I416" s="97">
        <f>444726/10696138</f>
        <v>4.1578184574656757E-2</v>
      </c>
      <c r="J416" s="96">
        <v>13938.59</v>
      </c>
      <c r="K416" s="121" t="s">
        <v>888</v>
      </c>
      <c r="L416" s="98" t="s">
        <v>889</v>
      </c>
      <c r="M416" s="99">
        <v>96.39</v>
      </c>
      <c r="N416" s="121" t="s">
        <v>1655</v>
      </c>
      <c r="O416" s="121" t="s">
        <v>365</v>
      </c>
    </row>
    <row r="417" spans="1:15" s="95" customFormat="1" x14ac:dyDescent="0.25">
      <c r="A417" s="94" t="s">
        <v>894</v>
      </c>
      <c r="B417" s="95" t="s">
        <v>2159</v>
      </c>
      <c r="C417" s="121" t="s">
        <v>101</v>
      </c>
      <c r="D417" s="121" t="s">
        <v>890</v>
      </c>
      <c r="E417" s="96">
        <v>99.04</v>
      </c>
      <c r="F417" s="77"/>
      <c r="G417" s="121" t="s">
        <v>363</v>
      </c>
      <c r="H417" s="96" t="s">
        <v>363</v>
      </c>
      <c r="I417" s="97">
        <f>441960/10696138</f>
        <v>4.1319586564795632E-2</v>
      </c>
      <c r="J417" s="96">
        <v>22488.38</v>
      </c>
      <c r="K417" s="121" t="s">
        <v>890</v>
      </c>
      <c r="L417" s="98" t="s">
        <v>897</v>
      </c>
      <c r="M417" s="99">
        <v>99.62</v>
      </c>
      <c r="N417" s="121" t="s">
        <v>1656</v>
      </c>
      <c r="O417" s="121" t="s">
        <v>365</v>
      </c>
    </row>
    <row r="418" spans="1:15" s="80" customFormat="1" x14ac:dyDescent="0.25">
      <c r="A418" s="79" t="s">
        <v>898</v>
      </c>
      <c r="C418" s="124"/>
      <c r="D418" s="124"/>
      <c r="E418" s="81"/>
      <c r="F418" s="82"/>
      <c r="G418" s="124"/>
      <c r="H418" s="81"/>
      <c r="I418" s="86"/>
      <c r="J418" s="81"/>
      <c r="K418" s="124"/>
      <c r="L418" s="83"/>
      <c r="M418" s="84"/>
      <c r="N418" s="124"/>
      <c r="O418" s="124"/>
    </row>
    <row r="419" spans="1:15" s="95" customFormat="1" x14ac:dyDescent="0.25">
      <c r="A419" s="94" t="s">
        <v>898</v>
      </c>
      <c r="B419" s="95" t="s">
        <v>239</v>
      </c>
      <c r="C419" s="121" t="s">
        <v>240</v>
      </c>
      <c r="D419" s="121" t="s">
        <v>363</v>
      </c>
      <c r="E419" s="96" t="s">
        <v>363</v>
      </c>
      <c r="F419" s="77"/>
      <c r="G419" s="121" t="s">
        <v>537</v>
      </c>
      <c r="H419" s="96">
        <v>97.3</v>
      </c>
      <c r="I419" s="97">
        <f>680/8915664</f>
        <v>7.6270258726663547E-5</v>
      </c>
      <c r="J419" s="96">
        <v>11.31</v>
      </c>
      <c r="K419" s="121" t="s">
        <v>537</v>
      </c>
      <c r="L419" s="98" t="s">
        <v>899</v>
      </c>
      <c r="M419" s="99">
        <v>98.97</v>
      </c>
      <c r="N419" s="121" t="s">
        <v>1993</v>
      </c>
      <c r="O419" s="121" t="s">
        <v>365</v>
      </c>
    </row>
    <row r="420" spans="1:15" s="95" customFormat="1" x14ac:dyDescent="0.25">
      <c r="A420" s="94" t="s">
        <v>898</v>
      </c>
      <c r="B420" s="100" t="s">
        <v>219</v>
      </c>
      <c r="C420" s="121" t="s">
        <v>220</v>
      </c>
      <c r="D420" s="121" t="s">
        <v>363</v>
      </c>
      <c r="E420" s="96" t="s">
        <v>363</v>
      </c>
      <c r="F420" s="77"/>
      <c r="G420" s="121" t="s">
        <v>900</v>
      </c>
      <c r="H420" s="99">
        <v>71.150000000000006</v>
      </c>
      <c r="I420" s="97">
        <f>353980/8915664</f>
        <v>3.9703156153035823E-2</v>
      </c>
      <c r="J420" s="96">
        <v>5105.66</v>
      </c>
      <c r="K420" s="121" t="s">
        <v>900</v>
      </c>
      <c r="L420" s="98" t="s">
        <v>901</v>
      </c>
      <c r="M420" s="99">
        <v>71.150000000000006</v>
      </c>
      <c r="N420" s="121" t="s">
        <v>1994</v>
      </c>
      <c r="O420" s="121" t="s">
        <v>378</v>
      </c>
    </row>
    <row r="421" spans="1:15" s="95" customFormat="1" x14ac:dyDescent="0.25">
      <c r="A421" s="94" t="s">
        <v>898</v>
      </c>
      <c r="B421" s="100" t="s">
        <v>194</v>
      </c>
      <c r="C421" s="121" t="s">
        <v>182</v>
      </c>
      <c r="D421" s="121" t="s">
        <v>363</v>
      </c>
      <c r="E421" s="96" t="s">
        <v>363</v>
      </c>
      <c r="F421" s="77"/>
      <c r="G421" s="121" t="s">
        <v>845</v>
      </c>
      <c r="H421" s="99">
        <v>66.38</v>
      </c>
      <c r="I421" s="97">
        <f>4963/8915664</f>
        <v>5.5666072655945762E-4</v>
      </c>
      <c r="J421" s="96">
        <v>53.93</v>
      </c>
      <c r="K421" s="121" t="s">
        <v>845</v>
      </c>
      <c r="L421" s="98" t="s">
        <v>902</v>
      </c>
      <c r="M421" s="99">
        <v>66.38</v>
      </c>
      <c r="N421" s="121" t="s">
        <v>1995</v>
      </c>
      <c r="O421" s="121" t="s">
        <v>378</v>
      </c>
    </row>
    <row r="422" spans="1:15" s="95" customFormat="1" x14ac:dyDescent="0.25">
      <c r="A422" s="94" t="s">
        <v>898</v>
      </c>
      <c r="B422" s="100" t="s">
        <v>197</v>
      </c>
      <c r="C422" s="121" t="s">
        <v>198</v>
      </c>
      <c r="D422" s="121" t="s">
        <v>363</v>
      </c>
      <c r="E422" s="96" t="s">
        <v>363</v>
      </c>
      <c r="F422" s="77"/>
      <c r="G422" s="121" t="s">
        <v>903</v>
      </c>
      <c r="H422" s="99">
        <v>65.25</v>
      </c>
      <c r="I422" s="97">
        <f>1113/8915664</f>
        <v>1.2483646759231843E-4</v>
      </c>
      <c r="J422" s="96">
        <v>12.09</v>
      </c>
      <c r="K422" s="121" t="s">
        <v>903</v>
      </c>
      <c r="L422" s="98" t="s">
        <v>904</v>
      </c>
      <c r="M422" s="99">
        <v>65.25</v>
      </c>
      <c r="N422" s="121" t="s">
        <v>1996</v>
      </c>
      <c r="O422" s="121" t="s">
        <v>378</v>
      </c>
    </row>
    <row r="423" spans="1:15" s="95" customFormat="1" x14ac:dyDescent="0.25">
      <c r="A423" s="94" t="s">
        <v>898</v>
      </c>
      <c r="B423" s="100" t="s">
        <v>2083</v>
      </c>
      <c r="C423" s="121" t="s">
        <v>253</v>
      </c>
      <c r="D423" s="121" t="s">
        <v>363</v>
      </c>
      <c r="E423" s="96" t="s">
        <v>363</v>
      </c>
      <c r="F423" s="77"/>
      <c r="G423" s="121" t="s">
        <v>905</v>
      </c>
      <c r="H423" s="99">
        <v>76.28</v>
      </c>
      <c r="I423" s="97">
        <f>40916/8915664</f>
        <v>4.5892263324414199E-3</v>
      </c>
      <c r="J423" s="96">
        <v>614.66999999999996</v>
      </c>
      <c r="K423" s="121" t="s">
        <v>905</v>
      </c>
      <c r="L423" s="98" t="s">
        <v>906</v>
      </c>
      <c r="M423" s="99">
        <v>76.28</v>
      </c>
      <c r="N423" s="121" t="s">
        <v>1997</v>
      </c>
      <c r="O423" s="121" t="s">
        <v>378</v>
      </c>
    </row>
    <row r="424" spans="1:15" s="95" customFormat="1" x14ac:dyDescent="0.25">
      <c r="A424" s="94" t="s">
        <v>898</v>
      </c>
      <c r="B424" s="100" t="s">
        <v>2084</v>
      </c>
      <c r="C424" s="121" t="s">
        <v>254</v>
      </c>
      <c r="D424" s="121" t="s">
        <v>363</v>
      </c>
      <c r="E424" s="96" t="s">
        <v>363</v>
      </c>
      <c r="F424" s="77"/>
      <c r="G424" s="121" t="s">
        <v>907</v>
      </c>
      <c r="H424" s="96">
        <v>75.59</v>
      </c>
      <c r="I424" s="97">
        <f>35771/8915664</f>
        <v>4.0121520954580613E-3</v>
      </c>
      <c r="J424" s="96">
        <v>523.38</v>
      </c>
      <c r="K424" s="121" t="s">
        <v>907</v>
      </c>
      <c r="L424" s="98" t="s">
        <v>908</v>
      </c>
      <c r="M424" s="99">
        <v>75.59</v>
      </c>
      <c r="N424" s="121" t="s">
        <v>1998</v>
      </c>
      <c r="O424" s="121" t="s">
        <v>378</v>
      </c>
    </row>
    <row r="425" spans="1:15" s="80" customFormat="1" x14ac:dyDescent="0.25">
      <c r="A425" s="79" t="s">
        <v>909</v>
      </c>
      <c r="C425" s="124"/>
      <c r="D425" s="124"/>
      <c r="E425" s="81"/>
      <c r="F425" s="82"/>
      <c r="G425" s="124"/>
      <c r="H425" s="81"/>
      <c r="I425" s="86"/>
      <c r="J425" s="81"/>
      <c r="K425" s="124"/>
      <c r="L425" s="83"/>
      <c r="M425" s="84"/>
      <c r="N425" s="124"/>
      <c r="O425" s="124"/>
    </row>
    <row r="426" spans="1:15" s="95" customFormat="1" x14ac:dyDescent="0.25">
      <c r="A426" s="94" t="s">
        <v>909</v>
      </c>
      <c r="B426" s="95" t="s">
        <v>2074</v>
      </c>
      <c r="C426" s="121" t="s">
        <v>210</v>
      </c>
      <c r="D426" s="121" t="s">
        <v>650</v>
      </c>
      <c r="E426" s="96">
        <v>98.26</v>
      </c>
      <c r="F426" s="77"/>
      <c r="G426" s="121" t="s">
        <v>363</v>
      </c>
      <c r="H426" s="96" t="s">
        <v>363</v>
      </c>
      <c r="I426" s="97">
        <f>25891/10291950</f>
        <v>2.5156554394453919E-3</v>
      </c>
      <c r="J426" s="96">
        <v>402.5</v>
      </c>
      <c r="K426" s="121" t="s">
        <v>650</v>
      </c>
      <c r="L426" s="98" t="s">
        <v>651</v>
      </c>
      <c r="M426" s="99">
        <v>99.63</v>
      </c>
      <c r="N426" s="121" t="s">
        <v>2000</v>
      </c>
      <c r="O426" s="121" t="s">
        <v>365</v>
      </c>
    </row>
    <row r="427" spans="1:15" s="95" customFormat="1" x14ac:dyDescent="0.25">
      <c r="A427" s="94" t="s">
        <v>909</v>
      </c>
      <c r="B427" s="95" t="s">
        <v>2066</v>
      </c>
      <c r="C427" s="121" t="s">
        <v>171</v>
      </c>
      <c r="D427" s="121" t="s">
        <v>367</v>
      </c>
      <c r="E427" s="96">
        <v>99.5</v>
      </c>
      <c r="F427" s="77"/>
      <c r="G427" s="121" t="s">
        <v>363</v>
      </c>
      <c r="H427" s="96" t="s">
        <v>363</v>
      </c>
      <c r="I427" s="97">
        <f>8847546/10291950</f>
        <v>0.85965691632780961</v>
      </c>
      <c r="J427" s="96">
        <v>206944.04</v>
      </c>
      <c r="K427" s="121" t="s">
        <v>367</v>
      </c>
      <c r="L427" s="98" t="s">
        <v>654</v>
      </c>
      <c r="M427" s="99">
        <v>99.5</v>
      </c>
      <c r="N427" s="121" t="s">
        <v>1999</v>
      </c>
      <c r="O427" s="121" t="s">
        <v>365</v>
      </c>
    </row>
    <row r="428" spans="1:15" s="80" customFormat="1" x14ac:dyDescent="0.25">
      <c r="A428" s="79" t="s">
        <v>910</v>
      </c>
      <c r="C428" s="124"/>
      <c r="D428" s="124"/>
      <c r="E428" s="81"/>
      <c r="F428" s="82"/>
      <c r="G428" s="124"/>
      <c r="H428" s="81"/>
      <c r="I428" s="86"/>
      <c r="J428" s="81"/>
      <c r="K428" s="124"/>
      <c r="L428" s="83"/>
      <c r="M428" s="84"/>
      <c r="N428" s="124"/>
      <c r="O428" s="124"/>
    </row>
    <row r="429" spans="1:15" s="95" customFormat="1" x14ac:dyDescent="0.25">
      <c r="A429" s="94" t="s">
        <v>910</v>
      </c>
      <c r="B429" s="95" t="s">
        <v>114</v>
      </c>
      <c r="C429" s="121" t="s">
        <v>115</v>
      </c>
      <c r="D429" s="121" t="s">
        <v>911</v>
      </c>
      <c r="E429" s="96">
        <v>99.88</v>
      </c>
      <c r="F429" s="77"/>
      <c r="G429" s="121" t="s">
        <v>363</v>
      </c>
      <c r="H429" s="96" t="s">
        <v>363</v>
      </c>
      <c r="I429" s="97">
        <f>2865/13544006</f>
        <v>2.1153268833460352E-4</v>
      </c>
      <c r="J429" s="96">
        <v>124.39</v>
      </c>
      <c r="K429" s="121" t="s">
        <v>911</v>
      </c>
      <c r="L429" s="98" t="s">
        <v>605</v>
      </c>
      <c r="M429" s="99">
        <v>99.88</v>
      </c>
      <c r="N429" s="121" t="s">
        <v>1696</v>
      </c>
      <c r="O429" s="121" t="s">
        <v>365</v>
      </c>
    </row>
    <row r="430" spans="1:15" s="95" customFormat="1" x14ac:dyDescent="0.25">
      <c r="A430" s="94" t="s">
        <v>910</v>
      </c>
      <c r="B430" s="95" t="s">
        <v>2074</v>
      </c>
      <c r="C430" s="121" t="s">
        <v>210</v>
      </c>
      <c r="D430" s="121" t="s">
        <v>912</v>
      </c>
      <c r="E430" s="96">
        <v>99.5</v>
      </c>
      <c r="F430" s="77"/>
      <c r="G430" s="121" t="s">
        <v>363</v>
      </c>
      <c r="H430" s="96" t="s">
        <v>363</v>
      </c>
      <c r="I430" s="97">
        <f>82107/13544006</f>
        <v>6.0622388974133651E-3</v>
      </c>
      <c r="J430" s="96">
        <v>1270.24</v>
      </c>
      <c r="K430" s="121" t="s">
        <v>912</v>
      </c>
      <c r="L430" s="98" t="s">
        <v>913</v>
      </c>
      <c r="M430" s="99">
        <v>99.45</v>
      </c>
      <c r="N430" s="121" t="s">
        <v>2001</v>
      </c>
      <c r="O430" s="121" t="s">
        <v>365</v>
      </c>
    </row>
    <row r="431" spans="1:15" s="95" customFormat="1" x14ac:dyDescent="0.25">
      <c r="A431" s="94" t="s">
        <v>910</v>
      </c>
      <c r="B431" s="95" t="s">
        <v>2066</v>
      </c>
      <c r="C431" s="121" t="s">
        <v>171</v>
      </c>
      <c r="D431" s="121" t="s">
        <v>367</v>
      </c>
      <c r="E431" s="96">
        <v>99.5</v>
      </c>
      <c r="F431" s="77"/>
      <c r="G431" s="121" t="s">
        <v>363</v>
      </c>
      <c r="H431" s="96" t="s">
        <v>363</v>
      </c>
      <c r="I431" s="97">
        <f>12319526/13544006</f>
        <v>0.90959247950717093</v>
      </c>
      <c r="J431" s="96">
        <v>289236.2</v>
      </c>
      <c r="K431" s="121" t="s">
        <v>367</v>
      </c>
      <c r="L431" s="98" t="s">
        <v>914</v>
      </c>
      <c r="M431" s="99">
        <v>99.5</v>
      </c>
      <c r="N431" s="121" t="s">
        <v>2002</v>
      </c>
      <c r="O431" s="121" t="s">
        <v>365</v>
      </c>
    </row>
    <row r="432" spans="1:15" s="80" customFormat="1" x14ac:dyDescent="0.25">
      <c r="A432" s="79" t="s">
        <v>915</v>
      </c>
      <c r="C432" s="124"/>
      <c r="D432" s="124"/>
      <c r="E432" s="81"/>
      <c r="F432" s="82"/>
      <c r="G432" s="124"/>
      <c r="H432" s="81"/>
      <c r="I432" s="86"/>
      <c r="J432" s="81"/>
      <c r="K432" s="124"/>
      <c r="L432" s="83"/>
      <c r="M432" s="84"/>
      <c r="N432" s="124"/>
      <c r="O432" s="124"/>
    </row>
    <row r="433" spans="1:15" s="95" customFormat="1" x14ac:dyDescent="0.25">
      <c r="A433" s="94" t="s">
        <v>915</v>
      </c>
      <c r="B433" s="95" t="s">
        <v>2066</v>
      </c>
      <c r="C433" s="121" t="s">
        <v>171</v>
      </c>
      <c r="D433" s="121" t="s">
        <v>367</v>
      </c>
      <c r="E433" s="96">
        <v>99.5</v>
      </c>
      <c r="F433" s="77"/>
      <c r="G433" s="121" t="s">
        <v>363</v>
      </c>
      <c r="H433" s="96" t="s">
        <v>363</v>
      </c>
      <c r="I433" s="97">
        <f>140010/8550548</f>
        <v>1.6374389103482021E-2</v>
      </c>
      <c r="J433" s="96">
        <v>3263.75</v>
      </c>
      <c r="K433" s="121" t="s">
        <v>367</v>
      </c>
      <c r="L433" s="98" t="s">
        <v>916</v>
      </c>
      <c r="M433" s="99">
        <v>99.5</v>
      </c>
      <c r="N433" s="121" t="s">
        <v>2003</v>
      </c>
      <c r="O433" s="121" t="s">
        <v>365</v>
      </c>
    </row>
    <row r="434" spans="1:15" s="95" customFormat="1" x14ac:dyDescent="0.25">
      <c r="A434" s="94" t="s">
        <v>915</v>
      </c>
      <c r="B434" s="95" t="s">
        <v>553</v>
      </c>
      <c r="C434" s="121" t="s">
        <v>150</v>
      </c>
      <c r="D434" s="121" t="s">
        <v>554</v>
      </c>
      <c r="E434" s="96">
        <v>96.6</v>
      </c>
      <c r="F434" s="77"/>
      <c r="G434" s="121" t="s">
        <v>363</v>
      </c>
      <c r="H434" s="96" t="s">
        <v>363</v>
      </c>
      <c r="I434" s="97">
        <f>488375/8550548</f>
        <v>5.7116222258503199E-2</v>
      </c>
      <c r="J434" s="96">
        <v>20573.990000000002</v>
      </c>
      <c r="K434" s="121" t="s">
        <v>554</v>
      </c>
      <c r="L434" s="98" t="s">
        <v>917</v>
      </c>
      <c r="M434" s="99">
        <v>96.6</v>
      </c>
      <c r="N434" s="121" t="s">
        <v>1759</v>
      </c>
      <c r="O434" s="121" t="s">
        <v>365</v>
      </c>
    </row>
    <row r="435" spans="1:15" s="95" customFormat="1" x14ac:dyDescent="0.25">
      <c r="A435" s="94" t="s">
        <v>915</v>
      </c>
      <c r="B435" s="95" t="s">
        <v>555</v>
      </c>
      <c r="C435" s="121" t="s">
        <v>150</v>
      </c>
      <c r="D435" s="121" t="s">
        <v>556</v>
      </c>
      <c r="E435" s="96">
        <v>96.73</v>
      </c>
      <c r="F435" s="77"/>
      <c r="G435" s="121" t="s">
        <v>363</v>
      </c>
      <c r="H435" s="96" t="s">
        <v>363</v>
      </c>
      <c r="I435" s="97">
        <f>144700/8550548</f>
        <v>1.6922891959673229E-2</v>
      </c>
      <c r="J435" s="96">
        <v>7551.14</v>
      </c>
      <c r="K435" s="121" t="s">
        <v>556</v>
      </c>
      <c r="L435" s="98" t="s">
        <v>918</v>
      </c>
      <c r="M435" s="99">
        <v>96.73</v>
      </c>
      <c r="N435" s="121" t="s">
        <v>1760</v>
      </c>
      <c r="O435" s="121" t="s">
        <v>365</v>
      </c>
    </row>
    <row r="436" spans="1:15" s="95" customFormat="1" x14ac:dyDescent="0.25">
      <c r="A436" s="94" t="s">
        <v>915</v>
      </c>
      <c r="B436" s="95" t="s">
        <v>557</v>
      </c>
      <c r="C436" s="121" t="s">
        <v>150</v>
      </c>
      <c r="D436" s="121" t="s">
        <v>558</v>
      </c>
      <c r="E436" s="96">
        <v>98.02</v>
      </c>
      <c r="F436" s="77"/>
      <c r="G436" s="121" t="s">
        <v>363</v>
      </c>
      <c r="H436" s="96" t="s">
        <v>363</v>
      </c>
      <c r="I436" s="97">
        <f>763472/8550548</f>
        <v>8.9289247893819201E-2</v>
      </c>
      <c r="J436" s="96">
        <v>49833.09</v>
      </c>
      <c r="K436" s="121" t="s">
        <v>558</v>
      </c>
      <c r="L436" s="98" t="s">
        <v>919</v>
      </c>
      <c r="M436" s="99">
        <v>98.02</v>
      </c>
      <c r="N436" s="121" t="s">
        <v>1761</v>
      </c>
      <c r="O436" s="121" t="s">
        <v>365</v>
      </c>
    </row>
    <row r="437" spans="1:15" s="95" customFormat="1" x14ac:dyDescent="0.25">
      <c r="A437" s="94" t="s">
        <v>915</v>
      </c>
      <c r="B437" s="100" t="s">
        <v>2142</v>
      </c>
      <c r="C437" s="121" t="s">
        <v>124</v>
      </c>
      <c r="D437" s="121" t="s">
        <v>363</v>
      </c>
      <c r="E437" s="96" t="s">
        <v>363</v>
      </c>
      <c r="F437" s="77"/>
      <c r="G437" s="121" t="s">
        <v>920</v>
      </c>
      <c r="H437" s="96">
        <v>83.9</v>
      </c>
      <c r="I437" s="101">
        <f>14806/8550548</f>
        <v>1.731584922978036E-3</v>
      </c>
      <c r="J437" s="102">
        <v>707.56</v>
      </c>
      <c r="K437" s="121" t="s">
        <v>920</v>
      </c>
      <c r="L437" s="98" t="s">
        <v>921</v>
      </c>
      <c r="M437" s="99">
        <v>83.9</v>
      </c>
      <c r="N437" s="121" t="s">
        <v>1722</v>
      </c>
      <c r="O437" s="121" t="s">
        <v>378</v>
      </c>
    </row>
    <row r="438" spans="1:15" s="95" customFormat="1" x14ac:dyDescent="0.25">
      <c r="A438" s="94" t="s">
        <v>915</v>
      </c>
      <c r="B438" s="100" t="s">
        <v>2141</v>
      </c>
      <c r="C438" s="121" t="s">
        <v>124</v>
      </c>
      <c r="D438" s="121" t="s">
        <v>363</v>
      </c>
      <c r="E438" s="96" t="s">
        <v>363</v>
      </c>
      <c r="F438" s="77"/>
      <c r="G438" s="121" t="s">
        <v>922</v>
      </c>
      <c r="H438" s="96">
        <v>72.36</v>
      </c>
      <c r="I438" s="105"/>
      <c r="J438" s="106"/>
      <c r="K438" s="121" t="s">
        <v>922</v>
      </c>
      <c r="L438" s="98" t="s">
        <v>923</v>
      </c>
      <c r="M438" s="99">
        <v>72.36</v>
      </c>
      <c r="N438" s="121" t="s">
        <v>1723</v>
      </c>
      <c r="O438" s="121" t="s">
        <v>378</v>
      </c>
    </row>
    <row r="439" spans="1:15" s="95" customFormat="1" x14ac:dyDescent="0.25">
      <c r="A439" s="94" t="s">
        <v>915</v>
      </c>
      <c r="B439" s="100" t="s">
        <v>225</v>
      </c>
      <c r="C439" s="121" t="s">
        <v>226</v>
      </c>
      <c r="D439" s="121" t="s">
        <v>363</v>
      </c>
      <c r="E439" s="96" t="s">
        <v>363</v>
      </c>
      <c r="F439" s="77"/>
      <c r="G439" s="121" t="s">
        <v>924</v>
      </c>
      <c r="H439" s="96">
        <v>67.63</v>
      </c>
      <c r="I439" s="97">
        <f>5001/8550548</f>
        <v>5.8487479398981214E-4</v>
      </c>
      <c r="J439" s="96">
        <v>74.11</v>
      </c>
      <c r="K439" s="121" t="s">
        <v>924</v>
      </c>
      <c r="L439" s="98" t="s">
        <v>925</v>
      </c>
      <c r="M439" s="99">
        <v>67.63</v>
      </c>
      <c r="N439" s="121" t="s">
        <v>2004</v>
      </c>
      <c r="O439" s="121" t="s">
        <v>378</v>
      </c>
    </row>
    <row r="440" spans="1:15" s="95" customFormat="1" ht="13.5" x14ac:dyDescent="0.25">
      <c r="A440" s="94" t="s">
        <v>915</v>
      </c>
      <c r="B440" s="100" t="s">
        <v>2101</v>
      </c>
      <c r="C440" s="121" t="s">
        <v>311</v>
      </c>
      <c r="D440" s="130" t="s">
        <v>430</v>
      </c>
      <c r="E440" s="96" t="s">
        <v>363</v>
      </c>
      <c r="F440" s="109"/>
      <c r="G440" s="130" t="s">
        <v>430</v>
      </c>
      <c r="H440" s="96" t="s">
        <v>363</v>
      </c>
      <c r="I440" s="97">
        <f>1152/8550548</f>
        <v>1.3472820689387394E-4</v>
      </c>
      <c r="J440" s="96">
        <v>352</v>
      </c>
      <c r="K440" s="130" t="s">
        <v>430</v>
      </c>
      <c r="L440" s="96" t="s">
        <v>817</v>
      </c>
      <c r="M440" s="96" t="s">
        <v>363</v>
      </c>
      <c r="N440" s="121" t="s">
        <v>2005</v>
      </c>
      <c r="O440" s="121" t="s">
        <v>432</v>
      </c>
    </row>
    <row r="441" spans="1:15" s="80" customFormat="1" x14ac:dyDescent="0.25">
      <c r="A441" s="79" t="s">
        <v>926</v>
      </c>
      <c r="C441" s="124"/>
      <c r="D441" s="124"/>
      <c r="E441" s="81"/>
      <c r="F441" s="82"/>
      <c r="G441" s="124"/>
      <c r="H441" s="81"/>
      <c r="I441" s="86"/>
      <c r="J441" s="81"/>
      <c r="K441" s="124"/>
      <c r="L441" s="83"/>
      <c r="M441" s="84"/>
      <c r="N441" s="124"/>
      <c r="O441" s="124"/>
    </row>
    <row r="442" spans="1:15" s="95" customFormat="1" x14ac:dyDescent="0.25">
      <c r="A442" s="94" t="s">
        <v>926</v>
      </c>
      <c r="B442" s="95" t="s">
        <v>2066</v>
      </c>
      <c r="C442" s="121" t="s">
        <v>171</v>
      </c>
      <c r="D442" s="121" t="s">
        <v>367</v>
      </c>
      <c r="E442" s="96">
        <v>99.01</v>
      </c>
      <c r="F442" s="113"/>
      <c r="G442" s="128" t="s">
        <v>363</v>
      </c>
      <c r="H442" s="96" t="s">
        <v>363</v>
      </c>
      <c r="I442" s="97">
        <f>397/8875980</f>
        <v>4.472745544717316E-5</v>
      </c>
      <c r="J442" s="96">
        <v>9.2799999999999994</v>
      </c>
      <c r="K442" s="121" t="s">
        <v>367</v>
      </c>
      <c r="L442" s="98" t="s">
        <v>927</v>
      </c>
      <c r="M442" s="99">
        <v>99.01</v>
      </c>
      <c r="N442" s="121" t="s">
        <v>2007</v>
      </c>
      <c r="O442" s="121" t="s">
        <v>365</v>
      </c>
    </row>
    <row r="443" spans="1:15" s="95" customFormat="1" x14ac:dyDescent="0.25">
      <c r="A443" s="94" t="s">
        <v>926</v>
      </c>
      <c r="B443" s="100" t="s">
        <v>164</v>
      </c>
      <c r="C443" s="121" t="s">
        <v>165</v>
      </c>
      <c r="D443" s="121" t="s">
        <v>363</v>
      </c>
      <c r="E443" s="96" t="s">
        <v>363</v>
      </c>
      <c r="F443" s="77"/>
      <c r="G443" s="121" t="s">
        <v>928</v>
      </c>
      <c r="H443" s="99">
        <v>65.45</v>
      </c>
      <c r="I443" s="97">
        <f>8723/8875980</f>
        <v>9.8276472006471392E-4</v>
      </c>
      <c r="J443" s="96">
        <v>77.77</v>
      </c>
      <c r="K443" s="121" t="s">
        <v>928</v>
      </c>
      <c r="L443" s="98" t="s">
        <v>929</v>
      </c>
      <c r="M443" s="99">
        <v>65.45</v>
      </c>
      <c r="N443" s="121" t="s">
        <v>2006</v>
      </c>
      <c r="O443" s="121" t="s">
        <v>378</v>
      </c>
    </row>
    <row r="444" spans="1:15" s="95" customFormat="1" x14ac:dyDescent="0.25">
      <c r="A444" s="94" t="s">
        <v>926</v>
      </c>
      <c r="B444" s="100" t="s">
        <v>291</v>
      </c>
      <c r="C444" s="121" t="s">
        <v>292</v>
      </c>
      <c r="D444" s="121" t="s">
        <v>363</v>
      </c>
      <c r="E444" s="96" t="s">
        <v>363</v>
      </c>
      <c r="F444" s="77"/>
      <c r="G444" s="121" t="s">
        <v>527</v>
      </c>
      <c r="H444" s="99">
        <v>71.22</v>
      </c>
      <c r="I444" s="97">
        <f>340/8875980</f>
        <v>3.8305629350223865E-5</v>
      </c>
      <c r="J444" s="96">
        <v>13</v>
      </c>
      <c r="K444" s="121" t="s">
        <v>527</v>
      </c>
      <c r="L444" s="98" t="s">
        <v>930</v>
      </c>
      <c r="M444" s="99">
        <v>71.22</v>
      </c>
      <c r="N444" s="121" t="s">
        <v>2009</v>
      </c>
      <c r="O444" s="121" t="s">
        <v>378</v>
      </c>
    </row>
    <row r="445" spans="1:15" s="95" customFormat="1" x14ac:dyDescent="0.25">
      <c r="A445" s="94" t="s">
        <v>926</v>
      </c>
      <c r="B445" s="100" t="s">
        <v>227</v>
      </c>
      <c r="C445" s="121" t="s">
        <v>228</v>
      </c>
      <c r="D445" s="121" t="s">
        <v>363</v>
      </c>
      <c r="E445" s="96" t="s">
        <v>363</v>
      </c>
      <c r="F445" s="77"/>
      <c r="G445" s="121" t="s">
        <v>931</v>
      </c>
      <c r="H445" s="96">
        <v>80.819999999999993</v>
      </c>
      <c r="I445" s="97">
        <f>3742/8875980</f>
        <v>4.2158725008393437E-4</v>
      </c>
      <c r="J445" s="96">
        <v>43.76</v>
      </c>
      <c r="K445" s="121" t="s">
        <v>931</v>
      </c>
      <c r="L445" s="98" t="s">
        <v>932</v>
      </c>
      <c r="M445" s="99">
        <v>80.819999999999993</v>
      </c>
      <c r="N445" s="121" t="s">
        <v>2008</v>
      </c>
      <c r="O445" s="121" t="s">
        <v>933</v>
      </c>
    </row>
    <row r="446" spans="1:15" s="95" customFormat="1" ht="13.5" x14ac:dyDescent="0.25">
      <c r="A446" s="94" t="s">
        <v>926</v>
      </c>
      <c r="B446" s="100" t="s">
        <v>2101</v>
      </c>
      <c r="C446" s="121" t="s">
        <v>311</v>
      </c>
      <c r="D446" s="130" t="s">
        <v>430</v>
      </c>
      <c r="E446" s="96" t="s">
        <v>363</v>
      </c>
      <c r="F446" s="109"/>
      <c r="G446" s="130" t="s">
        <v>430</v>
      </c>
      <c r="H446" s="96" t="s">
        <v>363</v>
      </c>
      <c r="I446" s="97">
        <f>143/8875980</f>
        <v>1.6110897050241214E-5</v>
      </c>
      <c r="J446" s="96">
        <v>43.45</v>
      </c>
      <c r="K446" s="130" t="s">
        <v>430</v>
      </c>
      <c r="L446" s="96" t="s">
        <v>817</v>
      </c>
      <c r="M446" s="96" t="s">
        <v>363</v>
      </c>
      <c r="N446" s="121" t="s">
        <v>2010</v>
      </c>
      <c r="O446" s="121" t="s">
        <v>432</v>
      </c>
    </row>
    <row r="447" spans="1:15" s="80" customFormat="1" x14ac:dyDescent="0.25">
      <c r="A447" s="79" t="s">
        <v>934</v>
      </c>
      <c r="C447" s="124"/>
      <c r="D447" s="124"/>
      <c r="E447" s="81"/>
      <c r="F447" s="82"/>
      <c r="G447" s="124"/>
      <c r="H447" s="81"/>
      <c r="I447" s="86"/>
      <c r="J447" s="81"/>
      <c r="K447" s="124"/>
      <c r="L447" s="83"/>
      <c r="M447" s="84"/>
      <c r="N447" s="124"/>
      <c r="O447" s="124"/>
    </row>
    <row r="448" spans="1:15" s="95" customFormat="1" x14ac:dyDescent="0.25">
      <c r="A448" s="94" t="s">
        <v>934</v>
      </c>
      <c r="B448" s="95" t="s">
        <v>114</v>
      </c>
      <c r="C448" s="121" t="s">
        <v>115</v>
      </c>
      <c r="D448" s="121" t="s">
        <v>405</v>
      </c>
      <c r="E448" s="96">
        <v>100</v>
      </c>
      <c r="F448" s="77"/>
      <c r="G448" s="121" t="s">
        <v>363</v>
      </c>
      <c r="H448" s="96" t="s">
        <v>363</v>
      </c>
      <c r="I448" s="158">
        <f>18972/10895156</f>
        <v>1.7413243096289764E-3</v>
      </c>
      <c r="J448" s="96">
        <v>824.26</v>
      </c>
      <c r="K448" s="121" t="s">
        <v>405</v>
      </c>
      <c r="L448" s="98" t="s">
        <v>605</v>
      </c>
      <c r="M448" s="99">
        <v>100</v>
      </c>
      <c r="N448" s="121" t="s">
        <v>1702</v>
      </c>
      <c r="O448" s="121" t="s">
        <v>365</v>
      </c>
    </row>
    <row r="449" spans="1:15" s="95" customFormat="1" x14ac:dyDescent="0.25">
      <c r="A449" s="94" t="s">
        <v>934</v>
      </c>
      <c r="B449" s="95" t="s">
        <v>2066</v>
      </c>
      <c r="C449" s="121" t="s">
        <v>171</v>
      </c>
      <c r="D449" s="121" t="s">
        <v>367</v>
      </c>
      <c r="E449" s="96">
        <v>99.48</v>
      </c>
      <c r="F449" s="77"/>
      <c r="G449" s="121" t="s">
        <v>363</v>
      </c>
      <c r="H449" s="96" t="s">
        <v>363</v>
      </c>
      <c r="I449" s="158">
        <f>1302/10895156</f>
        <v>1.195026487000278E-4</v>
      </c>
      <c r="J449" s="96">
        <v>30.62</v>
      </c>
      <c r="K449" s="121" t="s">
        <v>367</v>
      </c>
      <c r="L449" s="98" t="s">
        <v>927</v>
      </c>
      <c r="M449" s="99">
        <v>99.01</v>
      </c>
      <c r="N449" s="121" t="s">
        <v>2011</v>
      </c>
      <c r="O449" s="121" t="s">
        <v>365</v>
      </c>
    </row>
    <row r="450" spans="1:15" s="95" customFormat="1" x14ac:dyDescent="0.25">
      <c r="A450" s="94" t="s">
        <v>934</v>
      </c>
      <c r="B450" s="95" t="s">
        <v>2157</v>
      </c>
      <c r="C450" s="121" t="s">
        <v>101</v>
      </c>
      <c r="D450" s="121" t="s">
        <v>886</v>
      </c>
      <c r="E450" s="96">
        <v>97.99</v>
      </c>
      <c r="F450" s="77"/>
      <c r="G450" s="121" t="s">
        <v>363</v>
      </c>
      <c r="H450" s="96" t="s">
        <v>363</v>
      </c>
      <c r="I450" s="158">
        <f>1022521/10895156</f>
        <v>9.3850973772197477E-2</v>
      </c>
      <c r="J450" s="96">
        <v>17240.41</v>
      </c>
      <c r="K450" s="121" t="s">
        <v>886</v>
      </c>
      <c r="L450" s="98" t="s">
        <v>887</v>
      </c>
      <c r="M450" s="99">
        <v>97.99</v>
      </c>
      <c r="N450" s="121" t="s">
        <v>1657</v>
      </c>
      <c r="O450" s="121" t="s">
        <v>365</v>
      </c>
    </row>
    <row r="451" spans="1:15" s="95" customFormat="1" x14ac:dyDescent="0.25">
      <c r="A451" s="94" t="s">
        <v>934</v>
      </c>
      <c r="B451" s="95" t="s">
        <v>2158</v>
      </c>
      <c r="C451" s="121" t="s">
        <v>101</v>
      </c>
      <c r="D451" s="121" t="s">
        <v>888</v>
      </c>
      <c r="E451" s="96">
        <v>96.07</v>
      </c>
      <c r="F451" s="77"/>
      <c r="G451" s="121" t="s">
        <v>363</v>
      </c>
      <c r="H451" s="96" t="s">
        <v>363</v>
      </c>
      <c r="I451" s="158">
        <f>846906/10895156</f>
        <v>7.7732342703491344E-2</v>
      </c>
      <c r="J451" s="96">
        <v>26697.4</v>
      </c>
      <c r="K451" s="121" t="s">
        <v>888</v>
      </c>
      <c r="L451" s="98" t="s">
        <v>889</v>
      </c>
      <c r="M451" s="99">
        <v>98.32</v>
      </c>
      <c r="N451" s="121" t="s">
        <v>1658</v>
      </c>
      <c r="O451" s="121" t="s">
        <v>365</v>
      </c>
    </row>
    <row r="452" spans="1:15" s="95" customFormat="1" x14ac:dyDescent="0.25">
      <c r="A452" s="94" t="s">
        <v>934</v>
      </c>
      <c r="B452" s="95" t="s">
        <v>2159</v>
      </c>
      <c r="C452" s="121" t="s">
        <v>101</v>
      </c>
      <c r="D452" s="121" t="s">
        <v>890</v>
      </c>
      <c r="E452" s="96">
        <v>98.94</v>
      </c>
      <c r="F452" s="77"/>
      <c r="G452" s="121" t="s">
        <v>363</v>
      </c>
      <c r="H452" s="96" t="s">
        <v>363</v>
      </c>
      <c r="I452" s="158">
        <f>674912/10895156</f>
        <v>6.1946061166999355E-2</v>
      </c>
      <c r="J452" s="96">
        <v>34624.29</v>
      </c>
      <c r="K452" s="121" t="s">
        <v>890</v>
      </c>
      <c r="L452" s="98" t="s">
        <v>935</v>
      </c>
      <c r="M452" s="99">
        <v>99.56</v>
      </c>
      <c r="N452" s="121" t="s">
        <v>1659</v>
      </c>
      <c r="O452" s="121" t="s">
        <v>365</v>
      </c>
    </row>
    <row r="453" spans="1:15" s="95" customFormat="1" x14ac:dyDescent="0.25">
      <c r="A453" s="94" t="s">
        <v>934</v>
      </c>
      <c r="B453" s="95" t="s">
        <v>241</v>
      </c>
      <c r="C453" s="121" t="s">
        <v>242</v>
      </c>
      <c r="D453" s="121" t="s">
        <v>363</v>
      </c>
      <c r="E453" s="96" t="s">
        <v>363</v>
      </c>
      <c r="F453" s="77"/>
      <c r="G453" s="121" t="s">
        <v>657</v>
      </c>
      <c r="H453" s="96">
        <v>99.22</v>
      </c>
      <c r="I453" s="158">
        <f>14216/10895156</f>
        <v>1.3048000414128994E-3</v>
      </c>
      <c r="J453" s="96">
        <v>214.72</v>
      </c>
      <c r="K453" s="121" t="s">
        <v>657</v>
      </c>
      <c r="L453" s="98" t="s">
        <v>936</v>
      </c>
      <c r="M453" s="99">
        <v>99.22</v>
      </c>
      <c r="N453" s="121" t="s">
        <v>2012</v>
      </c>
      <c r="O453" s="121" t="s">
        <v>365</v>
      </c>
    </row>
    <row r="454" spans="1:15" s="95" customFormat="1" x14ac:dyDescent="0.25">
      <c r="A454" s="94" t="s">
        <v>934</v>
      </c>
      <c r="B454" s="100" t="s">
        <v>243</v>
      </c>
      <c r="C454" s="121" t="s">
        <v>244</v>
      </c>
      <c r="D454" s="121" t="s">
        <v>363</v>
      </c>
      <c r="E454" s="96" t="s">
        <v>363</v>
      </c>
      <c r="F454" s="77"/>
      <c r="G454" s="121" t="s">
        <v>937</v>
      </c>
      <c r="H454" s="99">
        <v>71.28</v>
      </c>
      <c r="I454" s="158">
        <f>2284/10895156</f>
        <v>2.096344467210933E-4</v>
      </c>
      <c r="J454" s="96">
        <v>33.590000000000003</v>
      </c>
      <c r="K454" s="121" t="s">
        <v>937</v>
      </c>
      <c r="L454" s="98" t="s">
        <v>938</v>
      </c>
      <c r="M454" s="99">
        <v>71.28</v>
      </c>
      <c r="N454" s="121" t="s">
        <v>2013</v>
      </c>
      <c r="O454" s="121" t="s">
        <v>939</v>
      </c>
    </row>
    <row r="455" spans="1:15" s="80" customFormat="1" x14ac:dyDescent="0.25">
      <c r="A455" s="79" t="s">
        <v>940</v>
      </c>
      <c r="C455" s="124"/>
      <c r="D455" s="124"/>
      <c r="E455" s="81"/>
      <c r="F455" s="82"/>
      <c r="G455" s="124"/>
      <c r="H455" s="81"/>
      <c r="I455" s="86"/>
      <c r="J455" s="81"/>
      <c r="K455" s="124"/>
      <c r="L455" s="83"/>
      <c r="M455" s="84"/>
      <c r="N455" s="124"/>
      <c r="O455" s="124"/>
    </row>
    <row r="456" spans="1:15" s="95" customFormat="1" x14ac:dyDescent="0.25">
      <c r="A456" s="94" t="s">
        <v>940</v>
      </c>
      <c r="B456" s="95" t="s">
        <v>114</v>
      </c>
      <c r="C456" s="121" t="s">
        <v>115</v>
      </c>
      <c r="D456" s="121" t="s">
        <v>405</v>
      </c>
      <c r="E456" s="96">
        <v>100</v>
      </c>
      <c r="F456" s="77"/>
      <c r="G456" s="121" t="s">
        <v>363</v>
      </c>
      <c r="H456" s="96" t="s">
        <v>363</v>
      </c>
      <c r="I456" s="158">
        <f>18972/11528892</f>
        <v>1.6456047987959293E-3</v>
      </c>
      <c r="J456" s="96">
        <v>824.26</v>
      </c>
      <c r="K456" s="121" t="s">
        <v>405</v>
      </c>
      <c r="L456" s="98" t="s">
        <v>605</v>
      </c>
      <c r="M456" s="99">
        <v>100</v>
      </c>
      <c r="N456" s="121" t="s">
        <v>1699</v>
      </c>
      <c r="O456" s="121" t="s">
        <v>365</v>
      </c>
    </row>
    <row r="457" spans="1:15" s="95" customFormat="1" x14ac:dyDescent="0.25">
      <c r="A457" s="94" t="s">
        <v>940</v>
      </c>
      <c r="B457" s="95" t="s">
        <v>2066</v>
      </c>
      <c r="C457" s="121" t="s">
        <v>171</v>
      </c>
      <c r="D457" s="121" t="s">
        <v>367</v>
      </c>
      <c r="E457" s="96">
        <v>99.43</v>
      </c>
      <c r="F457" s="77"/>
      <c r="G457" s="121" t="s">
        <v>363</v>
      </c>
      <c r="H457" s="96" t="s">
        <v>363</v>
      </c>
      <c r="I457" s="158">
        <f>769/11528892</f>
        <v>6.6701986626295051E-5</v>
      </c>
      <c r="J457" s="96">
        <v>18.05</v>
      </c>
      <c r="K457" s="121" t="s">
        <v>367</v>
      </c>
      <c r="L457" s="98" t="s">
        <v>398</v>
      </c>
      <c r="M457" s="99">
        <v>99.43</v>
      </c>
      <c r="N457" s="121" t="s">
        <v>2015</v>
      </c>
      <c r="O457" s="121" t="s">
        <v>365</v>
      </c>
    </row>
    <row r="458" spans="1:15" s="95" customFormat="1" x14ac:dyDescent="0.25">
      <c r="A458" s="94" t="s">
        <v>940</v>
      </c>
      <c r="B458" s="95" t="s">
        <v>373</v>
      </c>
      <c r="C458" s="121" t="s">
        <v>180</v>
      </c>
      <c r="D458" s="121" t="s">
        <v>363</v>
      </c>
      <c r="E458" s="96" t="s">
        <v>363</v>
      </c>
      <c r="F458" s="77"/>
      <c r="G458" s="121" t="s">
        <v>941</v>
      </c>
      <c r="H458" s="96">
        <v>96.42</v>
      </c>
      <c r="I458" s="158">
        <f>4835038/11528892</f>
        <v>0.41938444735192248</v>
      </c>
      <c r="J458" s="96">
        <v>54539.21</v>
      </c>
      <c r="K458" s="121" t="s">
        <v>941</v>
      </c>
      <c r="L458" s="98" t="s">
        <v>942</v>
      </c>
      <c r="M458" s="99">
        <v>96.49</v>
      </c>
      <c r="N458" s="121" t="s">
        <v>2014</v>
      </c>
      <c r="O458" s="121" t="s">
        <v>365</v>
      </c>
    </row>
    <row r="459" spans="1:15" s="95" customFormat="1" x14ac:dyDescent="0.25">
      <c r="A459" s="94" t="s">
        <v>940</v>
      </c>
      <c r="B459" s="95" t="s">
        <v>2157</v>
      </c>
      <c r="C459" s="121" t="s">
        <v>101</v>
      </c>
      <c r="D459" s="121" t="s">
        <v>943</v>
      </c>
      <c r="E459" s="96">
        <v>100</v>
      </c>
      <c r="F459" s="77"/>
      <c r="G459" s="121" t="s">
        <v>363</v>
      </c>
      <c r="H459" s="96" t="s">
        <v>363</v>
      </c>
      <c r="I459" s="158">
        <f>317671/11528892</f>
        <v>2.7554339133370319E-2</v>
      </c>
      <c r="J459" s="96">
        <v>5355.46</v>
      </c>
      <c r="K459" s="121" t="s">
        <v>943</v>
      </c>
      <c r="L459" s="98" t="s">
        <v>944</v>
      </c>
      <c r="M459" s="99">
        <v>97.99</v>
      </c>
      <c r="N459" s="121" t="s">
        <v>1660</v>
      </c>
      <c r="O459" s="121" t="s">
        <v>365</v>
      </c>
    </row>
    <row r="460" spans="1:15" s="95" customFormat="1" x14ac:dyDescent="0.25">
      <c r="A460" s="94" t="s">
        <v>940</v>
      </c>
      <c r="B460" s="95" t="s">
        <v>2158</v>
      </c>
      <c r="C460" s="121" t="s">
        <v>101</v>
      </c>
      <c r="D460" s="121" t="s">
        <v>888</v>
      </c>
      <c r="E460" s="96">
        <v>96.27</v>
      </c>
      <c r="F460" s="77"/>
      <c r="G460" s="121" t="s">
        <v>363</v>
      </c>
      <c r="H460" s="96" t="s">
        <v>363</v>
      </c>
      <c r="I460" s="158">
        <f>349961/11528892</f>
        <v>3.0355128662841149E-2</v>
      </c>
      <c r="J460" s="96">
        <v>11030.08</v>
      </c>
      <c r="K460" s="121" t="s">
        <v>888</v>
      </c>
      <c r="L460" s="98" t="s">
        <v>889</v>
      </c>
      <c r="M460" s="99">
        <v>98.41</v>
      </c>
      <c r="N460" s="121" t="s">
        <v>1661</v>
      </c>
      <c r="O460" s="121" t="s">
        <v>365</v>
      </c>
    </row>
    <row r="461" spans="1:15" s="95" customFormat="1" x14ac:dyDescent="0.25">
      <c r="A461" s="94" t="s">
        <v>940</v>
      </c>
      <c r="B461" s="95" t="s">
        <v>2159</v>
      </c>
      <c r="C461" s="121" t="s">
        <v>101</v>
      </c>
      <c r="D461" s="121" t="s">
        <v>890</v>
      </c>
      <c r="E461" s="96">
        <v>98.91</v>
      </c>
      <c r="F461" s="77"/>
      <c r="G461" s="121" t="s">
        <v>363</v>
      </c>
      <c r="H461" s="96" t="s">
        <v>363</v>
      </c>
      <c r="I461" s="158">
        <f>260687/11528892</f>
        <v>2.2611626511897239E-2</v>
      </c>
      <c r="J461" s="96">
        <v>13373.55</v>
      </c>
      <c r="K461" s="121" t="s">
        <v>890</v>
      </c>
      <c r="L461" s="98" t="s">
        <v>945</v>
      </c>
      <c r="M461" s="99">
        <v>99.52</v>
      </c>
      <c r="N461" s="121" t="s">
        <v>1662</v>
      </c>
      <c r="O461" s="121" t="s">
        <v>365</v>
      </c>
    </row>
    <row r="462" spans="1:15" s="80" customFormat="1" x14ac:dyDescent="0.25">
      <c r="A462" s="79" t="s">
        <v>946</v>
      </c>
      <c r="C462" s="124"/>
      <c r="D462" s="124"/>
      <c r="E462" s="81"/>
      <c r="F462" s="82"/>
      <c r="G462" s="124"/>
      <c r="H462" s="81"/>
      <c r="I462" s="86"/>
      <c r="J462" s="81"/>
      <c r="K462" s="124"/>
      <c r="L462" s="83"/>
      <c r="M462" s="84"/>
      <c r="N462" s="124"/>
      <c r="O462" s="124"/>
    </row>
    <row r="463" spans="1:15" s="95" customFormat="1" x14ac:dyDescent="0.25">
      <c r="A463" s="94" t="s">
        <v>946</v>
      </c>
      <c r="B463" s="95" t="s">
        <v>114</v>
      </c>
      <c r="C463" s="121" t="s">
        <v>115</v>
      </c>
      <c r="D463" s="121" t="s">
        <v>405</v>
      </c>
      <c r="E463" s="96">
        <v>100</v>
      </c>
      <c r="F463" s="77"/>
      <c r="G463" s="121" t="s">
        <v>363</v>
      </c>
      <c r="H463" s="96" t="s">
        <v>363</v>
      </c>
      <c r="I463" s="97">
        <f>8278/13843698</f>
        <v>5.9796161401382778E-4</v>
      </c>
      <c r="J463" s="96">
        <v>359.49</v>
      </c>
      <c r="K463" s="121" t="s">
        <v>405</v>
      </c>
      <c r="L463" s="98" t="s">
        <v>605</v>
      </c>
      <c r="M463" s="99">
        <v>100</v>
      </c>
      <c r="N463" s="121" t="s">
        <v>1701</v>
      </c>
      <c r="O463" s="121" t="s">
        <v>365</v>
      </c>
    </row>
    <row r="464" spans="1:15" s="95" customFormat="1" x14ac:dyDescent="0.25">
      <c r="A464" s="94" t="s">
        <v>946</v>
      </c>
      <c r="B464" s="95" t="s">
        <v>2074</v>
      </c>
      <c r="C464" s="121" t="s">
        <v>210</v>
      </c>
      <c r="D464" s="121" t="s">
        <v>363</v>
      </c>
      <c r="E464" s="96" t="s">
        <v>363</v>
      </c>
      <c r="F464" s="77"/>
      <c r="G464" s="121" t="s">
        <v>607</v>
      </c>
      <c r="H464" s="96">
        <v>98.47</v>
      </c>
      <c r="I464" s="97">
        <f>1286078/13843698</f>
        <v>9.2899888454660018E-2</v>
      </c>
      <c r="J464" s="96">
        <v>19495.54</v>
      </c>
      <c r="K464" s="121" t="s">
        <v>607</v>
      </c>
      <c r="L464" s="98" t="s">
        <v>947</v>
      </c>
      <c r="M464" s="99">
        <v>98.47</v>
      </c>
      <c r="N464" s="121" t="s">
        <v>2016</v>
      </c>
      <c r="O464" s="121" t="s">
        <v>948</v>
      </c>
    </row>
    <row r="465" spans="1:15" s="95" customFormat="1" x14ac:dyDescent="0.25">
      <c r="A465" s="94" t="s">
        <v>946</v>
      </c>
      <c r="B465" s="95" t="s">
        <v>373</v>
      </c>
      <c r="C465" s="121" t="s">
        <v>180</v>
      </c>
      <c r="D465" s="121" t="s">
        <v>363</v>
      </c>
      <c r="E465" s="96" t="s">
        <v>363</v>
      </c>
      <c r="F465" s="77"/>
      <c r="G465" s="121" t="s">
        <v>941</v>
      </c>
      <c r="H465" s="96">
        <v>96.48</v>
      </c>
      <c r="I465" s="97">
        <f>6075593/13843698</f>
        <v>0.43887066880540154</v>
      </c>
      <c r="J465" s="96">
        <v>68474.03</v>
      </c>
      <c r="K465" s="121" t="s">
        <v>941</v>
      </c>
      <c r="L465" s="98" t="s">
        <v>942</v>
      </c>
      <c r="M465" s="99">
        <v>96.49</v>
      </c>
      <c r="N465" s="121" t="s">
        <v>2017</v>
      </c>
      <c r="O465" s="121" t="s">
        <v>365</v>
      </c>
    </row>
    <row r="466" spans="1:15" s="95" customFormat="1" x14ac:dyDescent="0.25">
      <c r="A466" s="94" t="s">
        <v>946</v>
      </c>
      <c r="B466" s="95" t="s">
        <v>2157</v>
      </c>
      <c r="C466" s="121" t="s">
        <v>101</v>
      </c>
      <c r="D466" s="121" t="s">
        <v>886</v>
      </c>
      <c r="E466" s="96">
        <v>97.98</v>
      </c>
      <c r="F466" s="77"/>
      <c r="G466" s="121" t="s">
        <v>363</v>
      </c>
      <c r="H466" s="96" t="s">
        <v>363</v>
      </c>
      <c r="I466" s="97">
        <f>264650/13843698</f>
        <v>1.911700183000236E-2</v>
      </c>
      <c r="J466" s="96">
        <v>4459.18</v>
      </c>
      <c r="K466" s="121" t="s">
        <v>886</v>
      </c>
      <c r="L466" s="98" t="s">
        <v>887</v>
      </c>
      <c r="M466" s="99">
        <v>97.98</v>
      </c>
      <c r="N466" s="121" t="s">
        <v>1663</v>
      </c>
      <c r="O466" s="121" t="s">
        <v>365</v>
      </c>
    </row>
    <row r="467" spans="1:15" s="95" customFormat="1" x14ac:dyDescent="0.25">
      <c r="A467" s="94" t="s">
        <v>946</v>
      </c>
      <c r="B467" s="95" t="s">
        <v>2158</v>
      </c>
      <c r="C467" s="121" t="s">
        <v>101</v>
      </c>
      <c r="D467" s="121" t="s">
        <v>888</v>
      </c>
      <c r="E467" s="96">
        <v>96.16</v>
      </c>
      <c r="F467" s="77"/>
      <c r="G467" s="121" t="s">
        <v>363</v>
      </c>
      <c r="H467" s="96" t="s">
        <v>363</v>
      </c>
      <c r="I467" s="97">
        <f>208796/13843698</f>
        <v>1.5082386223680985E-2</v>
      </c>
      <c r="J467" s="96">
        <v>6575.65</v>
      </c>
      <c r="K467" s="121" t="s">
        <v>888</v>
      </c>
      <c r="L467" s="98" t="s">
        <v>889</v>
      </c>
      <c r="M467" s="99">
        <v>98.41</v>
      </c>
      <c r="N467" s="121" t="s">
        <v>1664</v>
      </c>
      <c r="O467" s="121" t="s">
        <v>365</v>
      </c>
    </row>
    <row r="468" spans="1:15" s="95" customFormat="1" x14ac:dyDescent="0.25">
      <c r="A468" s="94" t="s">
        <v>946</v>
      </c>
      <c r="B468" s="95" t="s">
        <v>2159</v>
      </c>
      <c r="C468" s="121" t="s">
        <v>101</v>
      </c>
      <c r="D468" s="121" t="s">
        <v>890</v>
      </c>
      <c r="E468" s="96">
        <v>98.87</v>
      </c>
      <c r="F468" s="77"/>
      <c r="G468" s="121" t="s">
        <v>363</v>
      </c>
      <c r="H468" s="96" t="s">
        <v>363</v>
      </c>
      <c r="I468" s="97">
        <f>199911/13843698</f>
        <v>1.4440577943841307E-2</v>
      </c>
      <c r="J468" s="96">
        <v>10244.530000000001</v>
      </c>
      <c r="K468" s="121" t="s">
        <v>890</v>
      </c>
      <c r="L468" s="98" t="s">
        <v>949</v>
      </c>
      <c r="M468" s="99">
        <v>99.49</v>
      </c>
      <c r="N468" s="121" t="s">
        <v>1665</v>
      </c>
      <c r="O468" s="121" t="s">
        <v>365</v>
      </c>
    </row>
    <row r="469" spans="1:15" s="80" customFormat="1" x14ac:dyDescent="0.25">
      <c r="A469" s="79" t="s">
        <v>950</v>
      </c>
      <c r="C469" s="124"/>
      <c r="D469" s="124"/>
      <c r="E469" s="81"/>
      <c r="F469" s="82"/>
      <c r="G469" s="124"/>
      <c r="H469" s="81"/>
      <c r="I469" s="86"/>
      <c r="J469" s="81"/>
      <c r="K469" s="124"/>
      <c r="L469" s="83"/>
      <c r="M469" s="84"/>
      <c r="N469" s="124"/>
      <c r="O469" s="124"/>
    </row>
    <row r="470" spans="1:15" s="95" customFormat="1" x14ac:dyDescent="0.25">
      <c r="A470" s="94" t="s">
        <v>950</v>
      </c>
      <c r="B470" s="95" t="s">
        <v>2160</v>
      </c>
      <c r="C470" s="121" t="s">
        <v>296</v>
      </c>
      <c r="D470" s="121" t="s">
        <v>951</v>
      </c>
      <c r="E470" s="96">
        <v>96.37</v>
      </c>
      <c r="F470" s="77"/>
      <c r="G470" s="121" t="s">
        <v>363</v>
      </c>
      <c r="H470" s="96" t="s">
        <v>363</v>
      </c>
      <c r="I470" s="97">
        <f>477/9668272</f>
        <v>4.9336634302386199E-5</v>
      </c>
      <c r="J470" s="96">
        <v>12.27</v>
      </c>
      <c r="K470" s="121" t="s">
        <v>951</v>
      </c>
      <c r="L470" s="98" t="s">
        <v>952</v>
      </c>
      <c r="M470" s="99">
        <v>96.39</v>
      </c>
      <c r="N470" s="121" t="s">
        <v>2018</v>
      </c>
      <c r="O470" s="121" t="s">
        <v>365</v>
      </c>
    </row>
    <row r="471" spans="1:15" s="95" customFormat="1" x14ac:dyDescent="0.25">
      <c r="A471" s="94" t="s">
        <v>950</v>
      </c>
      <c r="B471" s="95" t="s">
        <v>2157</v>
      </c>
      <c r="C471" s="121" t="s">
        <v>101</v>
      </c>
      <c r="D471" s="121" t="s">
        <v>886</v>
      </c>
      <c r="E471" s="96">
        <v>97.98</v>
      </c>
      <c r="F471" s="77"/>
      <c r="G471" s="121" t="s">
        <v>363</v>
      </c>
      <c r="H471" s="96" t="s">
        <v>363</v>
      </c>
      <c r="I471" s="97">
        <f>131822/9668272</f>
        <v>1.3634494354316884E-2</v>
      </c>
      <c r="J471" s="96">
        <v>2204.0700000000002</v>
      </c>
      <c r="K471" s="121" t="s">
        <v>886</v>
      </c>
      <c r="L471" s="98" t="s">
        <v>887</v>
      </c>
      <c r="M471" s="99">
        <v>97.99</v>
      </c>
      <c r="N471" s="121" t="s">
        <v>1666</v>
      </c>
      <c r="O471" s="121" t="s">
        <v>365</v>
      </c>
    </row>
    <row r="472" spans="1:15" s="95" customFormat="1" x14ac:dyDescent="0.25">
      <c r="A472" s="94" t="s">
        <v>950</v>
      </c>
      <c r="B472" s="95" t="s">
        <v>2158</v>
      </c>
      <c r="C472" s="121" t="s">
        <v>101</v>
      </c>
      <c r="D472" s="121" t="s">
        <v>888</v>
      </c>
      <c r="E472" s="96">
        <v>96.37</v>
      </c>
      <c r="F472" s="77"/>
      <c r="G472" s="121" t="s">
        <v>363</v>
      </c>
      <c r="H472" s="96" t="s">
        <v>363</v>
      </c>
      <c r="I472" s="97">
        <f>71821/9668272</f>
        <v>7.4285249732320311E-3</v>
      </c>
      <c r="J472" s="96">
        <v>2235.94</v>
      </c>
      <c r="K472" s="121" t="s">
        <v>888</v>
      </c>
      <c r="L472" s="98" t="s">
        <v>889</v>
      </c>
      <c r="M472" s="99">
        <v>98.41</v>
      </c>
      <c r="N472" s="121" t="s">
        <v>1667</v>
      </c>
      <c r="O472" s="121" t="s">
        <v>365</v>
      </c>
    </row>
    <row r="473" spans="1:15" s="95" customFormat="1" x14ac:dyDescent="0.25">
      <c r="A473" s="94" t="s">
        <v>950</v>
      </c>
      <c r="B473" s="95" t="s">
        <v>2159</v>
      </c>
      <c r="C473" s="121" t="s">
        <v>101</v>
      </c>
      <c r="D473" s="121" t="s">
        <v>890</v>
      </c>
      <c r="E473" s="96">
        <v>98.94</v>
      </c>
      <c r="F473" s="77"/>
      <c r="G473" s="121" t="s">
        <v>363</v>
      </c>
      <c r="H473" s="96" t="s">
        <v>363</v>
      </c>
      <c r="I473" s="97">
        <f>148876/9668272</f>
        <v>1.5398408319501148E-2</v>
      </c>
      <c r="J473" s="96">
        <v>7540.49</v>
      </c>
      <c r="K473" s="121" t="s">
        <v>890</v>
      </c>
      <c r="L473" s="98" t="s">
        <v>945</v>
      </c>
      <c r="M473" s="99">
        <v>99.52</v>
      </c>
      <c r="N473" s="121" t="s">
        <v>1668</v>
      </c>
      <c r="O473" s="121" t="s">
        <v>365</v>
      </c>
    </row>
    <row r="474" spans="1:15" s="95" customFormat="1" x14ac:dyDescent="0.25">
      <c r="A474" s="94" t="s">
        <v>950</v>
      </c>
      <c r="B474" s="95" t="s">
        <v>2163</v>
      </c>
      <c r="C474" s="121" t="s">
        <v>2166</v>
      </c>
      <c r="D474" s="121" t="s">
        <v>363</v>
      </c>
      <c r="E474" s="96" t="s">
        <v>363</v>
      </c>
      <c r="F474" s="77"/>
      <c r="G474" s="121" t="s">
        <v>953</v>
      </c>
      <c r="H474" s="96">
        <v>91</v>
      </c>
      <c r="I474" s="97">
        <f>5810/9668272</f>
        <v>6.0093468615694714E-4</v>
      </c>
      <c r="J474" s="96">
        <v>105.72</v>
      </c>
      <c r="K474" s="121" t="s">
        <v>953</v>
      </c>
      <c r="L474" s="98" t="s">
        <v>954</v>
      </c>
      <c r="M474" s="99">
        <v>91</v>
      </c>
      <c r="N474" s="121" t="s">
        <v>2019</v>
      </c>
      <c r="O474" s="121" t="s">
        <v>365</v>
      </c>
    </row>
    <row r="475" spans="1:15" s="95" customFormat="1" ht="13.5" x14ac:dyDescent="0.25">
      <c r="A475" s="94" t="s">
        <v>950</v>
      </c>
      <c r="B475" s="100" t="s">
        <v>307</v>
      </c>
      <c r="C475" s="121" t="s">
        <v>308</v>
      </c>
      <c r="D475" s="130" t="s">
        <v>430</v>
      </c>
      <c r="E475" s="96" t="s">
        <v>363</v>
      </c>
      <c r="F475" s="109"/>
      <c r="G475" s="130" t="s">
        <v>430</v>
      </c>
      <c r="H475" s="96" t="s">
        <v>363</v>
      </c>
      <c r="I475" s="97">
        <f>259/9668272</f>
        <v>2.6788654684104873E-5</v>
      </c>
      <c r="J475" s="96">
        <v>86.14</v>
      </c>
      <c r="K475" s="130" t="s">
        <v>430</v>
      </c>
      <c r="L475" s="96" t="s">
        <v>955</v>
      </c>
      <c r="M475" s="96" t="s">
        <v>363</v>
      </c>
      <c r="N475" s="121" t="s">
        <v>2020</v>
      </c>
      <c r="O475" s="121" t="s">
        <v>432</v>
      </c>
    </row>
    <row r="476" spans="1:15" s="95" customFormat="1" x14ac:dyDescent="0.25">
      <c r="A476" s="94" t="s">
        <v>950</v>
      </c>
      <c r="B476" s="114" t="s">
        <v>2164</v>
      </c>
      <c r="C476" s="121" t="s">
        <v>2165</v>
      </c>
      <c r="D476" s="121" t="s">
        <v>363</v>
      </c>
      <c r="E476" s="96" t="s">
        <v>363</v>
      </c>
      <c r="F476" s="77"/>
      <c r="G476" s="121" t="s">
        <v>953</v>
      </c>
      <c r="H476" s="99">
        <v>75.69</v>
      </c>
      <c r="I476" s="97">
        <f>10386/9668272</f>
        <v>1.074235395942522E-3</v>
      </c>
      <c r="J476" s="96">
        <v>170.71</v>
      </c>
      <c r="K476" s="121" t="s">
        <v>953</v>
      </c>
      <c r="L476" s="98" t="s">
        <v>956</v>
      </c>
      <c r="M476" s="99">
        <v>75.69</v>
      </c>
      <c r="N476" s="121" t="s">
        <v>2021</v>
      </c>
      <c r="O476" s="121" t="s">
        <v>2044</v>
      </c>
    </row>
    <row r="477" spans="1:15" s="95" customFormat="1" x14ac:dyDescent="0.25">
      <c r="A477" s="94" t="s">
        <v>950</v>
      </c>
      <c r="B477" s="100" t="s">
        <v>194</v>
      </c>
      <c r="C477" s="121" t="s">
        <v>182</v>
      </c>
      <c r="D477" s="121" t="s">
        <v>363</v>
      </c>
      <c r="E477" s="96" t="s">
        <v>363</v>
      </c>
      <c r="F477" s="77"/>
      <c r="G477" s="121" t="s">
        <v>845</v>
      </c>
      <c r="H477" s="99">
        <v>66.38</v>
      </c>
      <c r="I477" s="97">
        <f>16710/9668272</f>
        <v>1.7283336670710133E-3</v>
      </c>
      <c r="J477" s="96">
        <v>180.41</v>
      </c>
      <c r="K477" s="121" t="s">
        <v>845</v>
      </c>
      <c r="L477" s="98" t="s">
        <v>957</v>
      </c>
      <c r="M477" s="99">
        <v>66.38</v>
      </c>
      <c r="N477" s="121" t="s">
        <v>2022</v>
      </c>
      <c r="O477" s="121" t="s">
        <v>378</v>
      </c>
    </row>
    <row r="478" spans="1:15" s="95" customFormat="1" x14ac:dyDescent="0.25">
      <c r="A478" s="94" t="s">
        <v>950</v>
      </c>
      <c r="B478" s="100" t="s">
        <v>236</v>
      </c>
      <c r="C478" s="121" t="s">
        <v>237</v>
      </c>
      <c r="D478" s="121" t="s">
        <v>363</v>
      </c>
      <c r="E478" s="96" t="s">
        <v>363</v>
      </c>
      <c r="F478" s="77"/>
      <c r="G478" s="121" t="s">
        <v>958</v>
      </c>
      <c r="H478" s="99">
        <v>76.739999999999995</v>
      </c>
      <c r="I478" s="97">
        <f>1454/9668272</f>
        <v>1.5038881818798644E-4</v>
      </c>
      <c r="J478" s="96">
        <v>24.55</v>
      </c>
      <c r="K478" s="121" t="s">
        <v>958</v>
      </c>
      <c r="L478" s="98" t="s">
        <v>959</v>
      </c>
      <c r="M478" s="99">
        <v>76.739999999999995</v>
      </c>
      <c r="N478" s="121" t="s">
        <v>2023</v>
      </c>
      <c r="O478" s="121" t="s">
        <v>378</v>
      </c>
    </row>
    <row r="479" spans="1:15" s="80" customFormat="1" x14ac:dyDescent="0.25">
      <c r="A479" s="79" t="s">
        <v>2035</v>
      </c>
      <c r="C479" s="124"/>
      <c r="D479" s="124"/>
      <c r="E479" s="81"/>
      <c r="F479" s="82"/>
      <c r="G479" s="124"/>
      <c r="H479" s="81"/>
      <c r="I479" s="86"/>
      <c r="J479" s="81"/>
      <c r="K479" s="124"/>
      <c r="L479" s="83"/>
      <c r="M479" s="84"/>
      <c r="N479" s="124"/>
      <c r="O479" s="124"/>
    </row>
    <row r="480" spans="1:15" x14ac:dyDescent="0.25">
      <c r="A480" s="94" t="s">
        <v>960</v>
      </c>
      <c r="B480" s="114" t="s">
        <v>586</v>
      </c>
      <c r="C480" s="125" t="s">
        <v>587</v>
      </c>
      <c r="D480" s="121" t="s">
        <v>588</v>
      </c>
      <c r="E480" s="96" t="s">
        <v>363</v>
      </c>
      <c r="F480" s="77"/>
      <c r="G480" s="121" t="s">
        <v>363</v>
      </c>
      <c r="H480" s="96" t="s">
        <v>363</v>
      </c>
      <c r="I480" s="97">
        <f>23827/12181720</f>
        <v>1.9559635256761773E-3</v>
      </c>
      <c r="J480" s="96">
        <v>254.19918988061301</v>
      </c>
      <c r="K480" s="121" t="s">
        <v>589</v>
      </c>
      <c r="L480" s="98" t="s">
        <v>961</v>
      </c>
      <c r="M480" s="99">
        <v>99.68</v>
      </c>
      <c r="N480" s="125" t="s">
        <v>363</v>
      </c>
      <c r="O480" s="121" t="s">
        <v>365</v>
      </c>
    </row>
    <row r="481" spans="1:15" x14ac:dyDescent="0.25">
      <c r="A481" s="94" t="s">
        <v>960</v>
      </c>
      <c r="B481" s="114" t="s">
        <v>591</v>
      </c>
      <c r="C481" s="125" t="s">
        <v>592</v>
      </c>
      <c r="D481" s="121" t="s">
        <v>593</v>
      </c>
      <c r="E481" s="96" t="s">
        <v>363</v>
      </c>
      <c r="F481" s="77"/>
      <c r="G481" s="121" t="s">
        <v>363</v>
      </c>
      <c r="H481" s="96" t="s">
        <v>363</v>
      </c>
      <c r="I481" s="97">
        <f t="shared" ref="I481" si="2">69029/12181720</f>
        <v>5.6666053726403169E-3</v>
      </c>
      <c r="J481" s="96">
        <v>698.88546939326397</v>
      </c>
      <c r="K481" s="121" t="s">
        <v>594</v>
      </c>
      <c r="L481" s="98" t="s">
        <v>962</v>
      </c>
      <c r="M481" s="99">
        <v>99.5</v>
      </c>
      <c r="N481" s="125" t="s">
        <v>363</v>
      </c>
      <c r="O481" s="121" t="s">
        <v>365</v>
      </c>
    </row>
    <row r="482" spans="1:15" x14ac:dyDescent="0.25">
      <c r="A482" s="94" t="s">
        <v>960</v>
      </c>
      <c r="B482" s="114" t="s">
        <v>596</v>
      </c>
      <c r="C482" s="125" t="s">
        <v>597</v>
      </c>
      <c r="D482" s="121" t="s">
        <v>598</v>
      </c>
      <c r="E482" s="96" t="s">
        <v>363</v>
      </c>
      <c r="F482" s="77"/>
      <c r="G482" s="121" t="s">
        <v>363</v>
      </c>
      <c r="H482" s="96" t="s">
        <v>363</v>
      </c>
      <c r="I482" s="97">
        <f>2888/12181720</f>
        <v>2.3707653763179584E-4</v>
      </c>
      <c r="J482" s="96">
        <v>28.4254521538967</v>
      </c>
      <c r="K482" s="121" t="s">
        <v>598</v>
      </c>
      <c r="L482" s="98" t="s">
        <v>963</v>
      </c>
      <c r="M482" s="99">
        <v>88.9</v>
      </c>
      <c r="N482" s="125" t="s">
        <v>363</v>
      </c>
      <c r="O482" s="121" t="s">
        <v>365</v>
      </c>
    </row>
    <row r="483" spans="1:15" s="80" customFormat="1" x14ac:dyDescent="0.25">
      <c r="A483" s="79" t="s">
        <v>2036</v>
      </c>
      <c r="C483" s="124"/>
      <c r="D483" s="124"/>
      <c r="E483" s="81"/>
      <c r="F483" s="82"/>
      <c r="G483" s="124"/>
      <c r="H483" s="81"/>
      <c r="I483" s="86"/>
      <c r="J483" s="81"/>
      <c r="K483" s="124"/>
      <c r="L483" s="83"/>
      <c r="M483" s="84"/>
      <c r="N483" s="124"/>
      <c r="O483" s="124"/>
    </row>
    <row r="484" spans="1:15" x14ac:dyDescent="0.25">
      <c r="A484" s="94" t="s">
        <v>964</v>
      </c>
      <c r="B484" s="114" t="s">
        <v>586</v>
      </c>
      <c r="C484" s="125" t="s">
        <v>587</v>
      </c>
      <c r="D484" s="121" t="s">
        <v>588</v>
      </c>
      <c r="E484" s="96" t="s">
        <v>363</v>
      </c>
      <c r="F484" s="77"/>
      <c r="G484" s="121" t="s">
        <v>363</v>
      </c>
      <c r="H484" s="96" t="s">
        <v>363</v>
      </c>
      <c r="I484" s="97">
        <f>14511/8624394</f>
        <v>1.6825530002455825E-3</v>
      </c>
      <c r="J484" s="96">
        <v>154.26620238772</v>
      </c>
      <c r="K484" s="121" t="s">
        <v>589</v>
      </c>
      <c r="L484" s="98" t="s">
        <v>590</v>
      </c>
      <c r="M484" s="99">
        <v>99.61</v>
      </c>
      <c r="N484" s="125" t="s">
        <v>363</v>
      </c>
      <c r="O484" s="121" t="s">
        <v>365</v>
      </c>
    </row>
    <row r="485" spans="1:15" x14ac:dyDescent="0.25">
      <c r="A485" s="94" t="s">
        <v>964</v>
      </c>
      <c r="B485" s="114" t="s">
        <v>591</v>
      </c>
      <c r="C485" s="125" t="s">
        <v>592</v>
      </c>
      <c r="D485" s="121" t="s">
        <v>593</v>
      </c>
      <c r="E485" s="96" t="s">
        <v>363</v>
      </c>
      <c r="F485" s="77"/>
      <c r="G485" s="121" t="s">
        <v>363</v>
      </c>
      <c r="H485" s="96" t="s">
        <v>363</v>
      </c>
      <c r="I485" s="97">
        <f t="shared" ref="I485" si="3">40161/8624394</f>
        <v>4.65667500812231E-3</v>
      </c>
      <c r="J485" s="96">
        <v>405.60592562596997</v>
      </c>
      <c r="K485" s="121" t="s">
        <v>594</v>
      </c>
      <c r="L485" s="98" t="s">
        <v>965</v>
      </c>
      <c r="M485" s="99">
        <v>99.58</v>
      </c>
      <c r="N485" s="125" t="s">
        <v>363</v>
      </c>
      <c r="O485" s="121" t="s">
        <v>365</v>
      </c>
    </row>
    <row r="486" spans="1:15" x14ac:dyDescent="0.25">
      <c r="A486" s="94" t="s">
        <v>964</v>
      </c>
      <c r="B486" s="114" t="s">
        <v>596</v>
      </c>
      <c r="C486" s="125" t="s">
        <v>597</v>
      </c>
      <c r="D486" s="121" t="s">
        <v>598</v>
      </c>
      <c r="E486" s="96" t="s">
        <v>363</v>
      </c>
      <c r="F486" s="77"/>
      <c r="G486" s="121" t="s">
        <v>363</v>
      </c>
      <c r="H486" s="96" t="s">
        <v>363</v>
      </c>
      <c r="I486" s="97">
        <f>1613/8624394</f>
        <v>1.8702763347778407E-4</v>
      </c>
      <c r="J486" s="96">
        <v>15.8253863860572</v>
      </c>
      <c r="K486" s="121" t="s">
        <v>598</v>
      </c>
      <c r="L486" s="98" t="s">
        <v>966</v>
      </c>
      <c r="M486" s="99">
        <v>88.41</v>
      </c>
      <c r="N486" s="125" t="s">
        <v>363</v>
      </c>
      <c r="O486" s="121" t="s">
        <v>365</v>
      </c>
    </row>
    <row r="487" spans="1:15" x14ac:dyDescent="0.25">
      <c r="B487" s="114" t="s">
        <v>2123</v>
      </c>
      <c r="C487" s="125" t="s">
        <v>145</v>
      </c>
      <c r="D487" s="121" t="s">
        <v>363</v>
      </c>
      <c r="E487" s="96" t="s">
        <v>363</v>
      </c>
      <c r="G487" s="121" t="s">
        <v>363</v>
      </c>
      <c r="H487" s="96" t="s">
        <v>363</v>
      </c>
      <c r="I487" s="97">
        <f>78/8624394</f>
        <v>9.0441137081631467E-6</v>
      </c>
      <c r="J487" s="116" t="s">
        <v>363</v>
      </c>
      <c r="K487" s="125" t="s">
        <v>363</v>
      </c>
      <c r="L487" s="118" t="s">
        <v>363</v>
      </c>
      <c r="M487" s="119" t="s">
        <v>363</v>
      </c>
      <c r="N487" s="125" t="s">
        <v>363</v>
      </c>
      <c r="O487" s="125" t="s">
        <v>967</v>
      </c>
    </row>
    <row r="488" spans="1:15" x14ac:dyDescent="0.25">
      <c r="A488" s="114"/>
      <c r="C488" s="114"/>
      <c r="D488" s="114"/>
      <c r="E488" s="114"/>
      <c r="F488" s="114"/>
      <c r="G488" s="114"/>
      <c r="H488" s="114"/>
      <c r="I488" s="114"/>
      <c r="J488" s="114"/>
      <c r="K488" s="125"/>
      <c r="L488" s="114"/>
      <c r="M488" s="114"/>
      <c r="O488" s="114"/>
    </row>
    <row r="489" spans="1:15" x14ac:dyDescent="0.25">
      <c r="A489" s="114"/>
      <c r="C489" s="114"/>
      <c r="D489" s="114"/>
      <c r="E489" s="114"/>
      <c r="F489" s="114"/>
      <c r="G489" s="114"/>
      <c r="H489" s="114"/>
      <c r="I489" s="114"/>
      <c r="J489" s="114"/>
      <c r="K489" s="125"/>
      <c r="L489" s="114"/>
      <c r="M489" s="114"/>
      <c r="O489" s="114"/>
    </row>
    <row r="490" spans="1:15" x14ac:dyDescent="0.25">
      <c r="A490" s="114"/>
      <c r="C490" s="114"/>
      <c r="D490" s="114"/>
      <c r="E490" s="114"/>
      <c r="F490" s="114"/>
      <c r="G490" s="114"/>
      <c r="H490" s="114"/>
      <c r="I490" s="114"/>
      <c r="J490" s="114"/>
      <c r="K490" s="125"/>
      <c r="L490" s="114"/>
      <c r="M490" s="114"/>
      <c r="O490" s="114"/>
    </row>
    <row r="491" spans="1:15" x14ac:dyDescent="0.25">
      <c r="A491" s="114"/>
      <c r="C491" s="114"/>
      <c r="D491" s="114"/>
      <c r="E491" s="114"/>
      <c r="F491" s="114"/>
      <c r="G491" s="114"/>
      <c r="H491" s="114"/>
      <c r="I491" s="114"/>
      <c r="J491" s="114"/>
      <c r="K491" s="125"/>
      <c r="L491" s="114"/>
      <c r="M491" s="114"/>
      <c r="O491" s="114"/>
    </row>
    <row r="492" spans="1:15" x14ac:dyDescent="0.25">
      <c r="A492" s="114"/>
      <c r="C492" s="114"/>
      <c r="D492" s="114"/>
      <c r="E492" s="114"/>
      <c r="F492" s="114"/>
      <c r="G492" s="114"/>
      <c r="H492" s="114"/>
      <c r="I492" s="114"/>
      <c r="J492" s="114"/>
      <c r="K492" s="125"/>
      <c r="L492" s="114"/>
      <c r="M492" s="114"/>
      <c r="O492" s="114"/>
    </row>
    <row r="493" spans="1:15" x14ac:dyDescent="0.25">
      <c r="A493" s="114"/>
      <c r="C493" s="114"/>
      <c r="D493" s="114"/>
      <c r="E493" s="114"/>
      <c r="F493" s="114"/>
      <c r="G493" s="114"/>
      <c r="H493" s="114"/>
      <c r="I493" s="114"/>
      <c r="J493" s="114"/>
      <c r="K493" s="125"/>
      <c r="L493" s="114"/>
      <c r="M493" s="114"/>
      <c r="O493" s="114"/>
    </row>
    <row r="494" spans="1:15" x14ac:dyDescent="0.25">
      <c r="A494" s="114"/>
      <c r="C494" s="114"/>
      <c r="D494" s="114"/>
      <c r="E494" s="114"/>
      <c r="F494" s="114"/>
      <c r="G494" s="114"/>
      <c r="H494" s="114"/>
      <c r="I494" s="114"/>
      <c r="J494" s="114"/>
      <c r="K494" s="125"/>
      <c r="L494" s="114"/>
      <c r="M494" s="114"/>
      <c r="O494" s="114"/>
    </row>
    <row r="495" spans="1:15" x14ac:dyDescent="0.25">
      <c r="A495" s="114"/>
      <c r="C495" s="114"/>
      <c r="D495" s="114"/>
      <c r="E495" s="114"/>
      <c r="F495" s="114"/>
      <c r="G495" s="114"/>
      <c r="H495" s="114"/>
      <c r="I495" s="114"/>
      <c r="J495" s="114"/>
      <c r="K495" s="125"/>
      <c r="L495" s="114"/>
      <c r="M495" s="114"/>
      <c r="O495" s="114"/>
    </row>
    <row r="496" spans="1:15" x14ac:dyDescent="0.25">
      <c r="A496" s="114"/>
      <c r="C496" s="114"/>
      <c r="D496" s="114"/>
      <c r="E496" s="114"/>
      <c r="F496" s="114"/>
      <c r="G496" s="114"/>
      <c r="H496" s="114"/>
      <c r="I496" s="114"/>
      <c r="J496" s="114"/>
      <c r="K496" s="125"/>
      <c r="L496" s="114"/>
      <c r="M496" s="114"/>
      <c r="O496" s="114"/>
    </row>
    <row r="497" spans="11:14" s="114" customFormat="1" x14ac:dyDescent="0.25">
      <c r="K497" s="125"/>
      <c r="N497" s="125"/>
    </row>
    <row r="498" spans="11:14" s="114" customFormat="1" x14ac:dyDescent="0.25">
      <c r="K498" s="125"/>
      <c r="N498" s="125"/>
    </row>
    <row r="499" spans="11:14" s="114" customFormat="1" x14ac:dyDescent="0.25">
      <c r="K499" s="125"/>
      <c r="N499" s="125"/>
    </row>
    <row r="500" spans="11:14" s="114" customFormat="1" x14ac:dyDescent="0.25">
      <c r="K500" s="125"/>
      <c r="N500" s="125"/>
    </row>
    <row r="501" spans="11:14" s="114" customFormat="1" x14ac:dyDescent="0.25">
      <c r="K501" s="125"/>
      <c r="N501" s="125"/>
    </row>
    <row r="502" spans="11:14" s="114" customFormat="1" x14ac:dyDescent="0.25">
      <c r="K502" s="125"/>
      <c r="N502" s="125"/>
    </row>
    <row r="503" spans="11:14" s="114" customFormat="1" x14ac:dyDescent="0.25">
      <c r="K503" s="125"/>
      <c r="N503" s="125"/>
    </row>
    <row r="504" spans="11:14" s="114" customFormat="1" x14ac:dyDescent="0.25">
      <c r="K504" s="125"/>
      <c r="N504" s="125"/>
    </row>
    <row r="505" spans="11:14" s="114" customFormat="1" x14ac:dyDescent="0.25">
      <c r="K505" s="125"/>
      <c r="N505" s="125"/>
    </row>
    <row r="506" spans="11:14" s="114" customFormat="1" x14ac:dyDescent="0.25">
      <c r="K506" s="125"/>
      <c r="N506" s="125"/>
    </row>
    <row r="507" spans="11:14" s="114" customFormat="1" x14ac:dyDescent="0.25">
      <c r="K507" s="125"/>
      <c r="N507" s="125"/>
    </row>
    <row r="508" spans="11:14" s="114" customFormat="1" x14ac:dyDescent="0.25">
      <c r="K508" s="125"/>
      <c r="N508" s="125"/>
    </row>
    <row r="509" spans="11:14" s="114" customFormat="1" x14ac:dyDescent="0.25">
      <c r="K509" s="125"/>
      <c r="N509" s="125"/>
    </row>
    <row r="510" spans="11:14" s="114" customFormat="1" x14ac:dyDescent="0.25">
      <c r="K510" s="125"/>
      <c r="N510" s="125"/>
    </row>
    <row r="511" spans="11:14" s="114" customFormat="1" x14ac:dyDescent="0.25">
      <c r="K511" s="125"/>
      <c r="N511" s="125"/>
    </row>
    <row r="512" spans="11:14" s="114" customFormat="1" x14ac:dyDescent="0.25">
      <c r="K512" s="125"/>
      <c r="N512" s="125"/>
    </row>
    <row r="513" spans="11:14" s="114" customFormat="1" x14ac:dyDescent="0.25">
      <c r="K513" s="125"/>
      <c r="N513" s="125"/>
    </row>
    <row r="514" spans="11:14" s="114" customFormat="1" x14ac:dyDescent="0.25">
      <c r="K514" s="125"/>
      <c r="N514" s="125"/>
    </row>
    <row r="515" spans="11:14" s="114" customFormat="1" x14ac:dyDescent="0.25">
      <c r="K515" s="125"/>
      <c r="N515" s="125"/>
    </row>
    <row r="516" spans="11:14" s="114" customFormat="1" x14ac:dyDescent="0.25">
      <c r="K516" s="125"/>
      <c r="N516" s="125"/>
    </row>
    <row r="517" spans="11:14" s="114" customFormat="1" x14ac:dyDescent="0.25">
      <c r="K517" s="125"/>
      <c r="N517" s="125"/>
    </row>
    <row r="518" spans="11:14" s="114" customFormat="1" x14ac:dyDescent="0.25">
      <c r="K518" s="125"/>
      <c r="N518" s="125"/>
    </row>
    <row r="519" spans="11:14" s="114" customFormat="1" x14ac:dyDescent="0.25">
      <c r="K519" s="125"/>
      <c r="N519" s="125"/>
    </row>
    <row r="520" spans="11:14" s="114" customFormat="1" x14ac:dyDescent="0.25">
      <c r="K520" s="125"/>
      <c r="N520" s="125"/>
    </row>
    <row r="521" spans="11:14" s="114" customFormat="1" x14ac:dyDescent="0.25">
      <c r="K521" s="125"/>
      <c r="N521" s="125"/>
    </row>
    <row r="522" spans="11:14" s="114" customFormat="1" x14ac:dyDescent="0.25">
      <c r="K522" s="125"/>
      <c r="N522" s="125"/>
    </row>
    <row r="523" spans="11:14" s="114" customFormat="1" x14ac:dyDescent="0.25">
      <c r="K523" s="125"/>
      <c r="N523" s="125"/>
    </row>
    <row r="524" spans="11:14" s="114" customFormat="1" x14ac:dyDescent="0.25">
      <c r="K524" s="125"/>
      <c r="N524" s="125"/>
    </row>
    <row r="525" spans="11:14" s="114" customFormat="1" x14ac:dyDescent="0.25">
      <c r="K525" s="125"/>
      <c r="N525" s="125"/>
    </row>
    <row r="526" spans="11:14" s="114" customFormat="1" x14ac:dyDescent="0.25">
      <c r="K526" s="125"/>
      <c r="N526" s="125"/>
    </row>
    <row r="527" spans="11:14" s="114" customFormat="1" x14ac:dyDescent="0.25">
      <c r="K527" s="125"/>
      <c r="N527" s="125"/>
    </row>
    <row r="528" spans="11:14" s="114" customFormat="1" x14ac:dyDescent="0.25">
      <c r="K528" s="125"/>
      <c r="N528" s="125"/>
    </row>
    <row r="529" spans="11:14" s="114" customFormat="1" x14ac:dyDescent="0.25">
      <c r="K529" s="125"/>
      <c r="N529" s="125"/>
    </row>
    <row r="530" spans="11:14" s="114" customFormat="1" x14ac:dyDescent="0.25">
      <c r="K530" s="125"/>
      <c r="N530" s="125"/>
    </row>
    <row r="531" spans="11:14" s="114" customFormat="1" x14ac:dyDescent="0.25">
      <c r="K531" s="125"/>
      <c r="N531" s="125"/>
    </row>
    <row r="532" spans="11:14" s="114" customFormat="1" x14ac:dyDescent="0.25">
      <c r="K532" s="125"/>
      <c r="N532" s="125"/>
    </row>
    <row r="533" spans="11:14" s="114" customFormat="1" x14ac:dyDescent="0.25">
      <c r="K533" s="125"/>
      <c r="N533" s="125"/>
    </row>
    <row r="534" spans="11:14" s="114" customFormat="1" x14ac:dyDescent="0.25">
      <c r="K534" s="125"/>
      <c r="N534" s="125"/>
    </row>
    <row r="535" spans="11:14" s="114" customFormat="1" x14ac:dyDescent="0.25">
      <c r="K535" s="125"/>
      <c r="N535" s="125"/>
    </row>
    <row r="536" spans="11:14" s="114" customFormat="1" x14ac:dyDescent="0.25">
      <c r="K536" s="125"/>
      <c r="N536" s="125"/>
    </row>
    <row r="537" spans="11:14" s="114" customFormat="1" x14ac:dyDescent="0.25">
      <c r="K537" s="125"/>
      <c r="N537" s="125"/>
    </row>
    <row r="538" spans="11:14" s="114" customFormat="1" x14ac:dyDescent="0.25">
      <c r="K538" s="125"/>
      <c r="N538" s="125"/>
    </row>
    <row r="539" spans="11:14" s="114" customFormat="1" x14ac:dyDescent="0.25">
      <c r="K539" s="125"/>
      <c r="N539" s="125"/>
    </row>
    <row r="540" spans="11:14" s="114" customFormat="1" x14ac:dyDescent="0.25">
      <c r="K540" s="125"/>
      <c r="N540" s="125"/>
    </row>
    <row r="541" spans="11:14" s="114" customFormat="1" x14ac:dyDescent="0.25">
      <c r="K541" s="125"/>
      <c r="N541" s="125"/>
    </row>
    <row r="542" spans="11:14" s="114" customFormat="1" x14ac:dyDescent="0.25">
      <c r="K542" s="125"/>
      <c r="N542" s="125"/>
    </row>
    <row r="543" spans="11:14" s="114" customFormat="1" x14ac:dyDescent="0.25">
      <c r="K543" s="125"/>
      <c r="N543" s="125"/>
    </row>
    <row r="544" spans="11:14" s="114" customFormat="1" x14ac:dyDescent="0.25">
      <c r="K544" s="125"/>
      <c r="N544" s="125"/>
    </row>
    <row r="545" spans="11:14" s="114" customFormat="1" x14ac:dyDescent="0.25">
      <c r="K545" s="125"/>
      <c r="N545" s="125"/>
    </row>
    <row r="546" spans="11:14" s="114" customFormat="1" x14ac:dyDescent="0.25">
      <c r="K546" s="125"/>
      <c r="N546" s="125"/>
    </row>
    <row r="547" spans="11:14" s="114" customFormat="1" x14ac:dyDescent="0.25">
      <c r="K547" s="125"/>
      <c r="N547" s="125"/>
    </row>
    <row r="548" spans="11:14" s="114" customFormat="1" x14ac:dyDescent="0.25">
      <c r="K548" s="125"/>
      <c r="N548" s="125"/>
    </row>
    <row r="549" spans="11:14" s="114" customFormat="1" x14ac:dyDescent="0.25">
      <c r="K549" s="125"/>
      <c r="N549" s="125"/>
    </row>
    <row r="550" spans="11:14" s="114" customFormat="1" x14ac:dyDescent="0.25">
      <c r="K550" s="125"/>
      <c r="N550" s="125"/>
    </row>
    <row r="551" spans="11:14" s="114" customFormat="1" x14ac:dyDescent="0.25">
      <c r="K551" s="125"/>
      <c r="N551" s="125"/>
    </row>
    <row r="552" spans="11:14" s="114" customFormat="1" x14ac:dyDescent="0.25">
      <c r="K552" s="125"/>
      <c r="N552" s="125"/>
    </row>
    <row r="553" spans="11:14" s="114" customFormat="1" x14ac:dyDescent="0.25">
      <c r="K553" s="125"/>
      <c r="N553" s="125"/>
    </row>
    <row r="554" spans="11:14" s="114" customFormat="1" x14ac:dyDescent="0.25">
      <c r="K554" s="125"/>
      <c r="N554" s="125"/>
    </row>
    <row r="555" spans="11:14" s="114" customFormat="1" x14ac:dyDescent="0.25">
      <c r="K555" s="125"/>
      <c r="N555" s="125"/>
    </row>
    <row r="556" spans="11:14" s="114" customFormat="1" x14ac:dyDescent="0.25">
      <c r="K556" s="125"/>
      <c r="N556" s="125"/>
    </row>
    <row r="557" spans="11:14" s="114" customFormat="1" x14ac:dyDescent="0.25">
      <c r="K557" s="125"/>
      <c r="N557" s="125"/>
    </row>
  </sheetData>
  <autoFilter ref="A4:P487" xr:uid="{00000000-0009-0000-0000-000002000000}"/>
  <mergeCells count="12">
    <mergeCell ref="A2:A4"/>
    <mergeCell ref="B2:B4"/>
    <mergeCell ref="C2:C4"/>
    <mergeCell ref="D2:E3"/>
    <mergeCell ref="G2:H3"/>
    <mergeCell ref="O2:O4"/>
    <mergeCell ref="F2:F4"/>
    <mergeCell ref="I2:M2"/>
    <mergeCell ref="N2:N4"/>
    <mergeCell ref="I3:I4"/>
    <mergeCell ref="K3:M3"/>
    <mergeCell ref="J3:J4"/>
  </mergeCells>
  <hyperlinks>
    <hyperlink ref="G225" r:id="rId1" xr:uid="{00000000-0004-0000-0200-000000000000}"/>
    <hyperlink ref="K225" r:id="rId2" xr:uid="{00000000-0004-0000-0200-000001000000}"/>
    <hyperlink ref="D231" r:id="rId3" xr:uid="{00000000-0004-0000-0200-000002000000}"/>
    <hyperlink ref="K231" r:id="rId4" xr:uid="{00000000-0004-0000-0200-000003000000}"/>
  </hyperlinks>
  <pageMargins left="0.39370078740157483" right="0.39370078740157483" top="0.39370078740157483" bottom="0.39370078740157483" header="0" footer="0"/>
  <pageSetup paperSize="9" scale="41" fitToHeight="0"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46"/>
  <sheetViews>
    <sheetView zoomScaleNormal="100" workbookViewId="0">
      <pane ySplit="2" topLeftCell="A3" activePane="bottomLeft" state="frozen"/>
      <selection pane="bottomLeft" activeCell="F20" sqref="F20"/>
    </sheetView>
  </sheetViews>
  <sheetFormatPr defaultColWidth="8.85546875" defaultRowHeight="16.5" x14ac:dyDescent="0.3"/>
  <cols>
    <col min="1" max="1" width="28.5703125" style="149" customWidth="1"/>
    <col min="2" max="2" width="34" style="149" customWidth="1"/>
    <col min="3" max="3" width="20.7109375" style="149" customWidth="1"/>
    <col min="4" max="4" width="7.28515625" style="149" customWidth="1"/>
    <col min="5" max="5" width="7.28515625" style="170" customWidth="1"/>
    <col min="6" max="6" width="183.28515625" style="156" customWidth="1"/>
    <col min="7" max="16384" width="8.85546875" style="149"/>
  </cols>
  <sheetData>
    <row r="1" spans="1:6" ht="35.65" customHeight="1" x14ac:dyDescent="0.3">
      <c r="A1" s="146"/>
      <c r="B1" s="147"/>
      <c r="C1" s="147"/>
      <c r="D1" s="147"/>
      <c r="E1" s="167"/>
      <c r="F1" s="148"/>
    </row>
    <row r="2" spans="1:6" s="152" customFormat="1" ht="49.5" x14ac:dyDescent="0.25">
      <c r="A2" s="150" t="s">
        <v>2028</v>
      </c>
      <c r="B2" s="150" t="s">
        <v>2030</v>
      </c>
      <c r="C2" s="150" t="s">
        <v>2033</v>
      </c>
      <c r="D2" s="78" t="s">
        <v>968</v>
      </c>
      <c r="E2" s="168" t="s">
        <v>2024</v>
      </c>
      <c r="F2" s="151" t="s">
        <v>2029</v>
      </c>
    </row>
    <row r="3" spans="1:6" x14ac:dyDescent="0.3">
      <c r="A3" s="171" t="s">
        <v>969</v>
      </c>
      <c r="B3" s="171" t="s">
        <v>2100</v>
      </c>
      <c r="C3" s="171" t="s">
        <v>2032</v>
      </c>
      <c r="D3" s="154">
        <v>491</v>
      </c>
      <c r="E3" s="169">
        <f>((LEN(F3)-LEN(SUBSTITUTE(F3,"G","")))+(LEN(F3)-LEN(SUBSTITUTE(F3,"C",""))))*100/LEN(F3)</f>
        <v>62.321792260692462</v>
      </c>
      <c r="F3" s="155" t="s">
        <v>970</v>
      </c>
    </row>
    <row r="4" spans="1:6" x14ac:dyDescent="0.3">
      <c r="A4" s="171" t="s">
        <v>971</v>
      </c>
      <c r="B4" s="171" t="s">
        <v>2100</v>
      </c>
      <c r="C4" s="171" t="s">
        <v>2031</v>
      </c>
      <c r="D4" s="154">
        <v>491</v>
      </c>
      <c r="E4" s="169">
        <f t="shared" ref="E4:E67" si="0">((LEN(F4)-LEN(SUBSTITUTE(F4,"G","")))+(LEN(F4)-LEN(SUBSTITUTE(F4,"C",""))))*100/LEN(F4)</f>
        <v>62.321792260692462</v>
      </c>
      <c r="F4" s="155" t="s">
        <v>972</v>
      </c>
    </row>
    <row r="5" spans="1:6" x14ac:dyDescent="0.3">
      <c r="A5" s="171" t="s">
        <v>973</v>
      </c>
      <c r="B5" s="171" t="s">
        <v>2099</v>
      </c>
      <c r="C5" s="171" t="s">
        <v>2031</v>
      </c>
      <c r="D5" s="154">
        <v>541</v>
      </c>
      <c r="E5" s="169">
        <f t="shared" si="0"/>
        <v>52.680221811460257</v>
      </c>
      <c r="F5" s="155" t="s">
        <v>974</v>
      </c>
    </row>
    <row r="6" spans="1:6" x14ac:dyDescent="0.3">
      <c r="A6" s="153" t="s">
        <v>975</v>
      </c>
      <c r="B6" s="172" t="s">
        <v>430</v>
      </c>
      <c r="C6" s="172" t="s">
        <v>430</v>
      </c>
      <c r="D6" s="154">
        <v>231</v>
      </c>
      <c r="E6" s="169">
        <f t="shared" si="0"/>
        <v>27.705627705627705</v>
      </c>
      <c r="F6" s="155" t="s">
        <v>976</v>
      </c>
    </row>
    <row r="7" spans="1:6" x14ac:dyDescent="0.3">
      <c r="A7" s="171" t="s">
        <v>977</v>
      </c>
      <c r="B7" s="171" t="s">
        <v>2099</v>
      </c>
      <c r="C7" s="171" t="s">
        <v>2032</v>
      </c>
      <c r="D7" s="154">
        <v>541</v>
      </c>
      <c r="E7" s="169">
        <f t="shared" si="0"/>
        <v>52.680221811460257</v>
      </c>
      <c r="F7" s="155" t="s">
        <v>978</v>
      </c>
    </row>
    <row r="8" spans="1:6" x14ac:dyDescent="0.3">
      <c r="A8" s="153" t="s">
        <v>979</v>
      </c>
      <c r="B8" s="172" t="s">
        <v>430</v>
      </c>
      <c r="C8" s="172" t="s">
        <v>430</v>
      </c>
      <c r="D8" s="154">
        <v>319</v>
      </c>
      <c r="E8" s="169">
        <f t="shared" si="0"/>
        <v>48.589341692789972</v>
      </c>
      <c r="F8" s="155" t="s">
        <v>980</v>
      </c>
    </row>
    <row r="9" spans="1:6" x14ac:dyDescent="0.3">
      <c r="A9" s="153" t="s">
        <v>981</v>
      </c>
      <c r="B9" s="172" t="s">
        <v>430</v>
      </c>
      <c r="C9" s="172" t="s">
        <v>430</v>
      </c>
      <c r="D9" s="154">
        <v>766</v>
      </c>
      <c r="E9" s="169">
        <f t="shared" si="0"/>
        <v>27.93733681462141</v>
      </c>
      <c r="F9" s="155" t="s">
        <v>982</v>
      </c>
    </row>
    <row r="10" spans="1:6" x14ac:dyDescent="0.3">
      <c r="A10" s="153" t="s">
        <v>983</v>
      </c>
      <c r="B10" s="172" t="s">
        <v>430</v>
      </c>
      <c r="C10" s="172" t="s">
        <v>430</v>
      </c>
      <c r="D10" s="154">
        <v>441</v>
      </c>
      <c r="E10" s="169">
        <f t="shared" si="0"/>
        <v>32.199546485260768</v>
      </c>
      <c r="F10" s="155" t="s">
        <v>984</v>
      </c>
    </row>
    <row r="11" spans="1:6" x14ac:dyDescent="0.3">
      <c r="A11" s="153" t="s">
        <v>985</v>
      </c>
      <c r="B11" s="172" t="s">
        <v>430</v>
      </c>
      <c r="C11" s="172" t="s">
        <v>430</v>
      </c>
      <c r="D11" s="154">
        <v>342</v>
      </c>
      <c r="E11" s="169">
        <f t="shared" si="0"/>
        <v>48.830409356725148</v>
      </c>
      <c r="F11" s="155" t="s">
        <v>986</v>
      </c>
    </row>
    <row r="12" spans="1:6" x14ac:dyDescent="0.3">
      <c r="A12" s="153" t="s">
        <v>987</v>
      </c>
      <c r="B12" s="172" t="s">
        <v>430</v>
      </c>
      <c r="C12" s="172" t="s">
        <v>430</v>
      </c>
      <c r="D12" s="154">
        <v>210</v>
      </c>
      <c r="E12" s="169">
        <f t="shared" si="0"/>
        <v>51.904761904761905</v>
      </c>
      <c r="F12" s="155" t="s">
        <v>988</v>
      </c>
    </row>
    <row r="13" spans="1:6" x14ac:dyDescent="0.3">
      <c r="A13" s="153" t="s">
        <v>989</v>
      </c>
      <c r="B13" s="172" t="s">
        <v>430</v>
      </c>
      <c r="C13" s="172" t="s">
        <v>430</v>
      </c>
      <c r="D13" s="154">
        <v>315</v>
      </c>
      <c r="E13" s="169">
        <f t="shared" si="0"/>
        <v>26.666666666666668</v>
      </c>
      <c r="F13" s="155" t="s">
        <v>990</v>
      </c>
    </row>
    <row r="14" spans="1:6" x14ac:dyDescent="0.3">
      <c r="A14" s="153" t="s">
        <v>991</v>
      </c>
      <c r="B14" s="172" t="s">
        <v>430</v>
      </c>
      <c r="C14" s="172" t="s">
        <v>430</v>
      </c>
      <c r="D14" s="154">
        <v>293</v>
      </c>
      <c r="E14" s="169">
        <f t="shared" si="0"/>
        <v>57.337883959044369</v>
      </c>
      <c r="F14" s="155" t="s">
        <v>992</v>
      </c>
    </row>
    <row r="15" spans="1:6" x14ac:dyDescent="0.3">
      <c r="A15" s="153" t="s">
        <v>993</v>
      </c>
      <c r="B15" s="172" t="s">
        <v>430</v>
      </c>
      <c r="C15" s="172" t="s">
        <v>430</v>
      </c>
      <c r="D15" s="154">
        <v>434</v>
      </c>
      <c r="E15" s="169">
        <f t="shared" si="0"/>
        <v>33.179723502304149</v>
      </c>
      <c r="F15" s="155" t="s">
        <v>994</v>
      </c>
    </row>
    <row r="16" spans="1:6" x14ac:dyDescent="0.3">
      <c r="A16" s="153" t="s">
        <v>995</v>
      </c>
      <c r="B16" s="172" t="s">
        <v>430</v>
      </c>
      <c r="C16" s="172" t="s">
        <v>430</v>
      </c>
      <c r="D16" s="154">
        <v>206</v>
      </c>
      <c r="E16" s="169">
        <f t="shared" si="0"/>
        <v>26.699029126213592</v>
      </c>
      <c r="F16" s="155" t="s">
        <v>996</v>
      </c>
    </row>
    <row r="17" spans="1:6" x14ac:dyDescent="0.3">
      <c r="A17" s="153" t="s">
        <v>997</v>
      </c>
      <c r="B17" s="172" t="s">
        <v>430</v>
      </c>
      <c r="C17" s="172" t="s">
        <v>430</v>
      </c>
      <c r="D17" s="154">
        <v>212</v>
      </c>
      <c r="E17" s="169">
        <f t="shared" si="0"/>
        <v>45.754716981132077</v>
      </c>
      <c r="F17" s="155" t="s">
        <v>998</v>
      </c>
    </row>
    <row r="18" spans="1:6" x14ac:dyDescent="0.3">
      <c r="A18" s="153" t="s">
        <v>999</v>
      </c>
      <c r="B18" s="172" t="s">
        <v>430</v>
      </c>
      <c r="C18" s="172" t="s">
        <v>430</v>
      </c>
      <c r="D18" s="154">
        <v>494</v>
      </c>
      <c r="E18" s="169">
        <f t="shared" si="0"/>
        <v>59.109311740890689</v>
      </c>
      <c r="F18" s="155" t="s">
        <v>1000</v>
      </c>
    </row>
    <row r="19" spans="1:6" x14ac:dyDescent="0.3">
      <c r="A19" s="153" t="s">
        <v>1001</v>
      </c>
      <c r="B19" s="172" t="s">
        <v>430</v>
      </c>
      <c r="C19" s="172" t="s">
        <v>430</v>
      </c>
      <c r="D19" s="154">
        <v>494</v>
      </c>
      <c r="E19" s="169">
        <f t="shared" si="0"/>
        <v>59.109311740890689</v>
      </c>
      <c r="F19" s="155" t="s">
        <v>1002</v>
      </c>
    </row>
    <row r="20" spans="1:6" x14ac:dyDescent="0.3">
      <c r="A20" s="153" t="s">
        <v>1003</v>
      </c>
      <c r="B20" s="172" t="s">
        <v>430</v>
      </c>
      <c r="C20" s="172" t="s">
        <v>430</v>
      </c>
      <c r="D20" s="154">
        <v>752</v>
      </c>
      <c r="E20" s="169">
        <f t="shared" si="0"/>
        <v>32.047872340425535</v>
      </c>
      <c r="F20" s="155" t="s">
        <v>1004</v>
      </c>
    </row>
    <row r="21" spans="1:6" x14ac:dyDescent="0.3">
      <c r="A21" s="153" t="s">
        <v>1005</v>
      </c>
      <c r="B21" s="172" t="s">
        <v>430</v>
      </c>
      <c r="C21" s="172" t="s">
        <v>430</v>
      </c>
      <c r="D21" s="154">
        <v>512</v>
      </c>
      <c r="E21" s="169">
        <f t="shared" si="0"/>
        <v>53.3203125</v>
      </c>
      <c r="F21" s="155" t="s">
        <v>1006</v>
      </c>
    </row>
    <row r="22" spans="1:6" x14ac:dyDescent="0.3">
      <c r="A22" s="153" t="s">
        <v>1007</v>
      </c>
      <c r="B22" s="172" t="s">
        <v>430</v>
      </c>
      <c r="C22" s="172" t="s">
        <v>430</v>
      </c>
      <c r="D22" s="154">
        <v>201</v>
      </c>
      <c r="E22" s="169">
        <f t="shared" si="0"/>
        <v>39.303482587064678</v>
      </c>
      <c r="F22" s="155" t="s">
        <v>1008</v>
      </c>
    </row>
    <row r="23" spans="1:6" x14ac:dyDescent="0.3">
      <c r="A23" s="153" t="s">
        <v>1009</v>
      </c>
      <c r="B23" s="172" t="s">
        <v>430</v>
      </c>
      <c r="C23" s="172" t="s">
        <v>430</v>
      </c>
      <c r="D23" s="154">
        <v>504</v>
      </c>
      <c r="E23" s="169">
        <f t="shared" si="0"/>
        <v>25.198412698412699</v>
      </c>
      <c r="F23" s="155" t="s">
        <v>1010</v>
      </c>
    </row>
    <row r="24" spans="1:6" x14ac:dyDescent="0.3">
      <c r="A24" s="153" t="s">
        <v>1011</v>
      </c>
      <c r="B24" s="172" t="s">
        <v>430</v>
      </c>
      <c r="C24" s="172" t="s">
        <v>430</v>
      </c>
      <c r="D24" s="154">
        <v>272</v>
      </c>
      <c r="E24" s="169">
        <f t="shared" si="0"/>
        <v>45.955882352941174</v>
      </c>
      <c r="F24" s="155" t="s">
        <v>1012</v>
      </c>
    </row>
    <row r="25" spans="1:6" x14ac:dyDescent="0.3">
      <c r="A25" s="153" t="s">
        <v>1013</v>
      </c>
      <c r="B25" s="172" t="s">
        <v>430</v>
      </c>
      <c r="C25" s="172" t="s">
        <v>430</v>
      </c>
      <c r="D25" s="154">
        <v>205</v>
      </c>
      <c r="E25" s="169">
        <f t="shared" si="0"/>
        <v>32.195121951219512</v>
      </c>
      <c r="F25" s="155" t="s">
        <v>1014</v>
      </c>
    </row>
    <row r="26" spans="1:6" x14ac:dyDescent="0.3">
      <c r="A26" s="153" t="s">
        <v>1015</v>
      </c>
      <c r="B26" s="172" t="s">
        <v>430</v>
      </c>
      <c r="C26" s="172" t="s">
        <v>430</v>
      </c>
      <c r="D26" s="154">
        <v>512</v>
      </c>
      <c r="E26" s="169">
        <f t="shared" si="0"/>
        <v>52.9296875</v>
      </c>
      <c r="F26" s="155" t="s">
        <v>1016</v>
      </c>
    </row>
    <row r="27" spans="1:6" x14ac:dyDescent="0.3">
      <c r="A27" s="153" t="s">
        <v>1017</v>
      </c>
      <c r="B27" s="172" t="s">
        <v>430</v>
      </c>
      <c r="C27" s="172" t="s">
        <v>430</v>
      </c>
      <c r="D27" s="154">
        <v>204</v>
      </c>
      <c r="E27" s="169">
        <f t="shared" si="0"/>
        <v>28.921568627450981</v>
      </c>
      <c r="F27" s="155" t="s">
        <v>1018</v>
      </c>
    </row>
    <row r="28" spans="1:6" x14ac:dyDescent="0.3">
      <c r="A28" s="153" t="s">
        <v>1019</v>
      </c>
      <c r="B28" s="172" t="s">
        <v>430</v>
      </c>
      <c r="C28" s="172" t="s">
        <v>430</v>
      </c>
      <c r="D28" s="154">
        <v>208</v>
      </c>
      <c r="E28" s="169">
        <f t="shared" si="0"/>
        <v>46.634615384615387</v>
      </c>
      <c r="F28" s="155" t="s">
        <v>1020</v>
      </c>
    </row>
    <row r="29" spans="1:6" x14ac:dyDescent="0.3">
      <c r="A29" s="153" t="s">
        <v>1021</v>
      </c>
      <c r="B29" s="172" t="s">
        <v>430</v>
      </c>
      <c r="C29" s="172" t="s">
        <v>430</v>
      </c>
      <c r="D29" s="154">
        <v>202</v>
      </c>
      <c r="E29" s="169">
        <f t="shared" si="0"/>
        <v>21.782178217821784</v>
      </c>
      <c r="F29" s="155" t="s">
        <v>1022</v>
      </c>
    </row>
    <row r="30" spans="1:6" x14ac:dyDescent="0.3">
      <c r="A30" s="153" t="s">
        <v>1023</v>
      </c>
      <c r="B30" s="172" t="s">
        <v>430</v>
      </c>
      <c r="C30" s="172" t="s">
        <v>430</v>
      </c>
      <c r="D30" s="154">
        <v>205</v>
      </c>
      <c r="E30" s="169">
        <f t="shared" si="0"/>
        <v>13.170731707317072</v>
      </c>
      <c r="F30" s="155" t="s">
        <v>1024</v>
      </c>
    </row>
    <row r="31" spans="1:6" x14ac:dyDescent="0.3">
      <c r="A31" s="153" t="s">
        <v>1025</v>
      </c>
      <c r="B31" s="172" t="s">
        <v>430</v>
      </c>
      <c r="C31" s="172" t="s">
        <v>430</v>
      </c>
      <c r="D31" s="154">
        <v>353</v>
      </c>
      <c r="E31" s="169">
        <f t="shared" si="0"/>
        <v>47.025495750708217</v>
      </c>
      <c r="F31" s="155" t="s">
        <v>1026</v>
      </c>
    </row>
    <row r="32" spans="1:6" x14ac:dyDescent="0.3">
      <c r="A32" s="153" t="s">
        <v>1027</v>
      </c>
      <c r="B32" s="172" t="s">
        <v>430</v>
      </c>
      <c r="C32" s="172" t="s">
        <v>430</v>
      </c>
      <c r="D32" s="154">
        <v>509</v>
      </c>
      <c r="E32" s="169">
        <f t="shared" si="0"/>
        <v>52.062868369351669</v>
      </c>
      <c r="F32" s="155" t="s">
        <v>1028</v>
      </c>
    </row>
    <row r="33" spans="1:6" x14ac:dyDescent="0.3">
      <c r="A33" s="153" t="s">
        <v>1029</v>
      </c>
      <c r="B33" s="172" t="s">
        <v>430</v>
      </c>
      <c r="C33" s="172" t="s">
        <v>430</v>
      </c>
      <c r="D33" s="154">
        <v>298</v>
      </c>
      <c r="E33" s="169">
        <f t="shared" si="0"/>
        <v>29.19463087248322</v>
      </c>
      <c r="F33" s="155" t="s">
        <v>1030</v>
      </c>
    </row>
    <row r="34" spans="1:6" x14ac:dyDescent="0.3">
      <c r="A34" s="153" t="s">
        <v>1031</v>
      </c>
      <c r="B34" s="172" t="s">
        <v>430</v>
      </c>
      <c r="C34" s="172" t="s">
        <v>430</v>
      </c>
      <c r="D34" s="154">
        <v>512</v>
      </c>
      <c r="E34" s="169">
        <f t="shared" si="0"/>
        <v>53.3203125</v>
      </c>
      <c r="F34" s="155" t="s">
        <v>1032</v>
      </c>
    </row>
    <row r="35" spans="1:6" x14ac:dyDescent="0.3">
      <c r="A35" s="153" t="s">
        <v>1033</v>
      </c>
      <c r="B35" s="172" t="s">
        <v>430</v>
      </c>
      <c r="C35" s="172" t="s">
        <v>430</v>
      </c>
      <c r="D35" s="154">
        <v>244</v>
      </c>
      <c r="E35" s="169">
        <f t="shared" si="0"/>
        <v>51.229508196721312</v>
      </c>
      <c r="F35" s="155" t="s">
        <v>1034</v>
      </c>
    </row>
    <row r="36" spans="1:6" x14ac:dyDescent="0.3">
      <c r="A36" s="153" t="s">
        <v>1035</v>
      </c>
      <c r="B36" s="172" t="s">
        <v>430</v>
      </c>
      <c r="C36" s="172" t="s">
        <v>430</v>
      </c>
      <c r="D36" s="154">
        <v>512</v>
      </c>
      <c r="E36" s="169">
        <f t="shared" si="0"/>
        <v>53.125</v>
      </c>
      <c r="F36" s="155" t="s">
        <v>1036</v>
      </c>
    </row>
    <row r="37" spans="1:6" x14ac:dyDescent="0.3">
      <c r="A37" s="153" t="s">
        <v>1037</v>
      </c>
      <c r="B37" s="172" t="s">
        <v>430</v>
      </c>
      <c r="C37" s="172" t="s">
        <v>430</v>
      </c>
      <c r="D37" s="154">
        <v>244</v>
      </c>
      <c r="E37" s="169">
        <f t="shared" si="0"/>
        <v>52.049180327868854</v>
      </c>
      <c r="F37" s="155" t="s">
        <v>1038</v>
      </c>
    </row>
    <row r="38" spans="1:6" x14ac:dyDescent="0.3">
      <c r="A38" s="153" t="s">
        <v>1039</v>
      </c>
      <c r="B38" s="172" t="s">
        <v>430</v>
      </c>
      <c r="C38" s="172" t="s">
        <v>430</v>
      </c>
      <c r="D38" s="154">
        <v>744</v>
      </c>
      <c r="E38" s="169">
        <f t="shared" si="0"/>
        <v>56.98924731182796</v>
      </c>
      <c r="F38" s="155" t="s">
        <v>1040</v>
      </c>
    </row>
    <row r="39" spans="1:6" x14ac:dyDescent="0.3">
      <c r="A39" s="153" t="s">
        <v>1041</v>
      </c>
      <c r="B39" s="172" t="s">
        <v>430</v>
      </c>
      <c r="C39" s="172" t="s">
        <v>430</v>
      </c>
      <c r="D39" s="154">
        <v>327</v>
      </c>
      <c r="E39" s="169">
        <f t="shared" si="0"/>
        <v>63.608562691131496</v>
      </c>
      <c r="F39" s="155" t="s">
        <v>1042</v>
      </c>
    </row>
    <row r="40" spans="1:6" x14ac:dyDescent="0.3">
      <c r="A40" s="153" t="s">
        <v>1043</v>
      </c>
      <c r="B40" s="172" t="s">
        <v>430</v>
      </c>
      <c r="C40" s="172" t="s">
        <v>430</v>
      </c>
      <c r="D40" s="154">
        <v>351</v>
      </c>
      <c r="E40" s="169">
        <f t="shared" si="0"/>
        <v>63.247863247863251</v>
      </c>
      <c r="F40" s="155" t="s">
        <v>1044</v>
      </c>
    </row>
    <row r="41" spans="1:6" x14ac:dyDescent="0.3">
      <c r="A41" s="153" t="s">
        <v>1045</v>
      </c>
      <c r="B41" s="172" t="s">
        <v>430</v>
      </c>
      <c r="C41" s="172" t="s">
        <v>430</v>
      </c>
      <c r="D41" s="154">
        <v>650</v>
      </c>
      <c r="E41" s="169">
        <f t="shared" si="0"/>
        <v>40.769230769230766</v>
      </c>
      <c r="F41" s="155" t="s">
        <v>1046</v>
      </c>
    </row>
    <row r="42" spans="1:6" x14ac:dyDescent="0.3">
      <c r="A42" s="153" t="s">
        <v>1047</v>
      </c>
      <c r="B42" s="172" t="s">
        <v>430</v>
      </c>
      <c r="C42" s="172" t="s">
        <v>430</v>
      </c>
      <c r="D42" s="154">
        <v>277</v>
      </c>
      <c r="E42" s="169">
        <f t="shared" si="0"/>
        <v>39.711191335740075</v>
      </c>
      <c r="F42" s="155" t="s">
        <v>1048</v>
      </c>
    </row>
    <row r="43" spans="1:6" x14ac:dyDescent="0.3">
      <c r="A43" s="153" t="s">
        <v>1049</v>
      </c>
      <c r="B43" s="172" t="s">
        <v>430</v>
      </c>
      <c r="C43" s="172" t="s">
        <v>430</v>
      </c>
      <c r="D43" s="154">
        <v>753</v>
      </c>
      <c r="E43" s="169">
        <f t="shared" si="0"/>
        <v>37.317397078353252</v>
      </c>
      <c r="F43" s="155" t="s">
        <v>1050</v>
      </c>
    </row>
    <row r="44" spans="1:6" x14ac:dyDescent="0.3">
      <c r="A44" s="153" t="s">
        <v>1051</v>
      </c>
      <c r="B44" s="172" t="s">
        <v>430</v>
      </c>
      <c r="C44" s="172" t="s">
        <v>430</v>
      </c>
      <c r="D44" s="154">
        <v>246</v>
      </c>
      <c r="E44" s="169">
        <f t="shared" si="0"/>
        <v>61.788617886178862</v>
      </c>
      <c r="F44" s="155" t="s">
        <v>1052</v>
      </c>
    </row>
    <row r="45" spans="1:6" x14ac:dyDescent="0.3">
      <c r="A45" s="153" t="s">
        <v>1053</v>
      </c>
      <c r="B45" s="172" t="s">
        <v>430</v>
      </c>
      <c r="C45" s="172" t="s">
        <v>430</v>
      </c>
      <c r="D45" s="154">
        <v>226</v>
      </c>
      <c r="E45" s="169">
        <f t="shared" si="0"/>
        <v>46.902654867256636</v>
      </c>
      <c r="F45" s="155" t="s">
        <v>1054</v>
      </c>
    </row>
    <row r="46" spans="1:6" x14ac:dyDescent="0.3">
      <c r="A46" s="153" t="s">
        <v>1055</v>
      </c>
      <c r="B46" s="172" t="s">
        <v>430</v>
      </c>
      <c r="C46" s="172" t="s">
        <v>430</v>
      </c>
      <c r="D46" s="154">
        <v>273</v>
      </c>
      <c r="E46" s="169">
        <f t="shared" si="0"/>
        <v>61.172161172161175</v>
      </c>
      <c r="F46" s="155" t="s">
        <v>1056</v>
      </c>
    </row>
    <row r="47" spans="1:6" x14ac:dyDescent="0.3">
      <c r="A47" s="153" t="s">
        <v>1057</v>
      </c>
      <c r="B47" s="172" t="s">
        <v>430</v>
      </c>
      <c r="C47" s="172" t="s">
        <v>430</v>
      </c>
      <c r="D47" s="154">
        <v>244</v>
      </c>
      <c r="E47" s="169">
        <f t="shared" si="0"/>
        <v>50.819672131147541</v>
      </c>
      <c r="F47" s="155" t="s">
        <v>1058</v>
      </c>
    </row>
    <row r="48" spans="1:6" x14ac:dyDescent="0.3">
      <c r="A48" s="153" t="s">
        <v>1059</v>
      </c>
      <c r="B48" s="172" t="s">
        <v>430</v>
      </c>
      <c r="C48" s="172" t="s">
        <v>430</v>
      </c>
      <c r="D48" s="154">
        <v>221</v>
      </c>
      <c r="E48" s="169">
        <f t="shared" si="0"/>
        <v>36.199095022624434</v>
      </c>
      <c r="F48" s="155" t="s">
        <v>1060</v>
      </c>
    </row>
    <row r="49" spans="1:6" x14ac:dyDescent="0.3">
      <c r="A49" s="153" t="s">
        <v>1061</v>
      </c>
      <c r="B49" s="172" t="s">
        <v>430</v>
      </c>
      <c r="C49" s="172" t="s">
        <v>430</v>
      </c>
      <c r="D49" s="154">
        <v>226</v>
      </c>
      <c r="E49" s="169">
        <f t="shared" si="0"/>
        <v>46.902654867256636</v>
      </c>
      <c r="F49" s="155" t="s">
        <v>1062</v>
      </c>
    </row>
    <row r="50" spans="1:6" x14ac:dyDescent="0.3">
      <c r="A50" s="153" t="s">
        <v>1063</v>
      </c>
      <c r="B50" s="172" t="s">
        <v>430</v>
      </c>
      <c r="C50" s="172" t="s">
        <v>430</v>
      </c>
      <c r="D50" s="154">
        <v>468</v>
      </c>
      <c r="E50" s="169">
        <f t="shared" si="0"/>
        <v>30.555555555555557</v>
      </c>
      <c r="F50" s="155" t="s">
        <v>1064</v>
      </c>
    </row>
    <row r="51" spans="1:6" x14ac:dyDescent="0.3">
      <c r="A51" s="153" t="s">
        <v>1065</v>
      </c>
      <c r="B51" s="172" t="s">
        <v>430</v>
      </c>
      <c r="C51" s="172" t="s">
        <v>430</v>
      </c>
      <c r="D51" s="154">
        <v>291</v>
      </c>
      <c r="E51" s="169">
        <f t="shared" si="0"/>
        <v>40.893470790378004</v>
      </c>
      <c r="F51" s="155" t="s">
        <v>1066</v>
      </c>
    </row>
    <row r="52" spans="1:6" x14ac:dyDescent="0.3">
      <c r="A52" s="153" t="s">
        <v>1067</v>
      </c>
      <c r="B52" s="172" t="s">
        <v>430</v>
      </c>
      <c r="C52" s="172" t="s">
        <v>430</v>
      </c>
      <c r="D52" s="154">
        <v>744</v>
      </c>
      <c r="E52" s="169">
        <f t="shared" si="0"/>
        <v>41.801075268817208</v>
      </c>
      <c r="F52" s="155" t="s">
        <v>1068</v>
      </c>
    </row>
    <row r="53" spans="1:6" x14ac:dyDescent="0.3">
      <c r="A53" s="153" t="s">
        <v>1069</v>
      </c>
      <c r="B53" s="172" t="s">
        <v>430</v>
      </c>
      <c r="C53" s="172" t="s">
        <v>430</v>
      </c>
      <c r="D53" s="154">
        <v>244</v>
      </c>
      <c r="E53" s="169">
        <f t="shared" si="0"/>
        <v>52.049180327868854</v>
      </c>
      <c r="F53" s="155" t="s">
        <v>1070</v>
      </c>
    </row>
    <row r="54" spans="1:6" x14ac:dyDescent="0.3">
      <c r="A54" s="153" t="s">
        <v>1071</v>
      </c>
      <c r="B54" s="172" t="s">
        <v>430</v>
      </c>
      <c r="C54" s="172" t="s">
        <v>430</v>
      </c>
      <c r="D54" s="154">
        <v>391</v>
      </c>
      <c r="E54" s="169">
        <f t="shared" si="0"/>
        <v>35.549872122762146</v>
      </c>
      <c r="F54" s="155" t="s">
        <v>1072</v>
      </c>
    </row>
    <row r="55" spans="1:6" x14ac:dyDescent="0.3">
      <c r="A55" s="153" t="s">
        <v>1073</v>
      </c>
      <c r="B55" s="172" t="s">
        <v>430</v>
      </c>
      <c r="C55" s="172" t="s">
        <v>430</v>
      </c>
      <c r="D55" s="154">
        <v>744</v>
      </c>
      <c r="E55" s="169">
        <f t="shared" si="0"/>
        <v>41.801075268817208</v>
      </c>
      <c r="F55" s="155" t="s">
        <v>1074</v>
      </c>
    </row>
    <row r="56" spans="1:6" x14ac:dyDescent="0.3">
      <c r="A56" s="153" t="s">
        <v>1075</v>
      </c>
      <c r="B56" s="172" t="s">
        <v>430</v>
      </c>
      <c r="C56" s="172" t="s">
        <v>430</v>
      </c>
      <c r="D56" s="154">
        <v>298</v>
      </c>
      <c r="E56" s="169">
        <f t="shared" si="0"/>
        <v>40.939597315436245</v>
      </c>
      <c r="F56" s="155" t="s">
        <v>1076</v>
      </c>
    </row>
    <row r="57" spans="1:6" x14ac:dyDescent="0.3">
      <c r="A57" s="153" t="s">
        <v>1077</v>
      </c>
      <c r="B57" s="172" t="s">
        <v>430</v>
      </c>
      <c r="C57" s="172" t="s">
        <v>430</v>
      </c>
      <c r="D57" s="154">
        <v>247</v>
      </c>
      <c r="E57" s="169">
        <f t="shared" si="0"/>
        <v>45.344129554655872</v>
      </c>
      <c r="F57" s="155" t="s">
        <v>1078</v>
      </c>
    </row>
    <row r="58" spans="1:6" x14ac:dyDescent="0.3">
      <c r="A58" s="153" t="s">
        <v>1079</v>
      </c>
      <c r="B58" s="172" t="s">
        <v>430</v>
      </c>
      <c r="C58" s="172" t="s">
        <v>430</v>
      </c>
      <c r="D58" s="154">
        <v>222</v>
      </c>
      <c r="E58" s="169">
        <f t="shared" si="0"/>
        <v>44.594594594594597</v>
      </c>
      <c r="F58" s="155" t="s">
        <v>1080</v>
      </c>
    </row>
    <row r="59" spans="1:6" x14ac:dyDescent="0.3">
      <c r="A59" s="153" t="s">
        <v>1081</v>
      </c>
      <c r="B59" s="172" t="s">
        <v>430</v>
      </c>
      <c r="C59" s="172" t="s">
        <v>430</v>
      </c>
      <c r="D59" s="154">
        <v>247</v>
      </c>
      <c r="E59" s="169">
        <f t="shared" si="0"/>
        <v>45.344129554655872</v>
      </c>
      <c r="F59" s="155" t="s">
        <v>1082</v>
      </c>
    </row>
    <row r="60" spans="1:6" x14ac:dyDescent="0.3">
      <c r="A60" s="153" t="s">
        <v>1083</v>
      </c>
      <c r="B60" s="172" t="s">
        <v>430</v>
      </c>
      <c r="C60" s="172" t="s">
        <v>430</v>
      </c>
      <c r="D60" s="154">
        <v>228</v>
      </c>
      <c r="E60" s="169">
        <f t="shared" si="0"/>
        <v>44.736842105263158</v>
      </c>
      <c r="F60" s="155" t="s">
        <v>1084</v>
      </c>
    </row>
    <row r="61" spans="1:6" x14ac:dyDescent="0.3">
      <c r="A61" s="153" t="s">
        <v>1085</v>
      </c>
      <c r="B61" s="172" t="s">
        <v>430</v>
      </c>
      <c r="C61" s="172" t="s">
        <v>430</v>
      </c>
      <c r="D61" s="154">
        <v>231</v>
      </c>
      <c r="E61" s="169">
        <f t="shared" si="0"/>
        <v>69.264069264069263</v>
      </c>
      <c r="F61" s="155" t="s">
        <v>1086</v>
      </c>
    </row>
    <row r="62" spans="1:6" x14ac:dyDescent="0.3">
      <c r="A62" s="153" t="s">
        <v>1087</v>
      </c>
      <c r="B62" s="172" t="s">
        <v>430</v>
      </c>
      <c r="C62" s="172" t="s">
        <v>430</v>
      </c>
      <c r="D62" s="154">
        <v>229</v>
      </c>
      <c r="E62" s="169">
        <f t="shared" si="0"/>
        <v>40.174672489082973</v>
      </c>
      <c r="F62" s="155" t="s">
        <v>1088</v>
      </c>
    </row>
    <row r="63" spans="1:6" x14ac:dyDescent="0.3">
      <c r="A63" s="153" t="s">
        <v>1089</v>
      </c>
      <c r="B63" s="172" t="s">
        <v>430</v>
      </c>
      <c r="C63" s="172" t="s">
        <v>430</v>
      </c>
      <c r="D63" s="154">
        <v>223</v>
      </c>
      <c r="E63" s="169">
        <f t="shared" si="0"/>
        <v>47.982062780269061</v>
      </c>
      <c r="F63" s="155" t="s">
        <v>1090</v>
      </c>
    </row>
    <row r="64" spans="1:6" x14ac:dyDescent="0.3">
      <c r="A64" s="153" t="s">
        <v>1091</v>
      </c>
      <c r="B64" s="172" t="s">
        <v>430</v>
      </c>
      <c r="C64" s="172" t="s">
        <v>430</v>
      </c>
      <c r="D64" s="154">
        <v>244</v>
      </c>
      <c r="E64" s="169">
        <f t="shared" si="0"/>
        <v>45.081967213114751</v>
      </c>
      <c r="F64" s="155" t="s">
        <v>1092</v>
      </c>
    </row>
    <row r="65" spans="1:6" x14ac:dyDescent="0.3">
      <c r="A65" s="153" t="s">
        <v>1093</v>
      </c>
      <c r="B65" s="172" t="s">
        <v>430</v>
      </c>
      <c r="C65" s="172" t="s">
        <v>430</v>
      </c>
      <c r="D65" s="154">
        <v>220</v>
      </c>
      <c r="E65" s="169">
        <f t="shared" si="0"/>
        <v>48.18181818181818</v>
      </c>
      <c r="F65" s="155" t="s">
        <v>1094</v>
      </c>
    </row>
    <row r="66" spans="1:6" x14ac:dyDescent="0.3">
      <c r="A66" s="153" t="s">
        <v>1095</v>
      </c>
      <c r="B66" s="172" t="s">
        <v>430</v>
      </c>
      <c r="C66" s="172" t="s">
        <v>430</v>
      </c>
      <c r="D66" s="154">
        <v>278</v>
      </c>
      <c r="E66" s="169">
        <f t="shared" si="0"/>
        <v>40.647482014388487</v>
      </c>
      <c r="F66" s="155" t="s">
        <v>1096</v>
      </c>
    </row>
    <row r="67" spans="1:6" x14ac:dyDescent="0.3">
      <c r="A67" s="153" t="s">
        <v>1097</v>
      </c>
      <c r="B67" s="172" t="s">
        <v>430</v>
      </c>
      <c r="C67" s="172" t="s">
        <v>430</v>
      </c>
      <c r="D67" s="154">
        <v>339</v>
      </c>
      <c r="E67" s="169">
        <f t="shared" si="0"/>
        <v>45.427728613569322</v>
      </c>
      <c r="F67" s="155" t="s">
        <v>1098</v>
      </c>
    </row>
    <row r="68" spans="1:6" x14ac:dyDescent="0.3">
      <c r="A68" s="153" t="s">
        <v>1099</v>
      </c>
      <c r="B68" s="172" t="s">
        <v>430</v>
      </c>
      <c r="C68" s="172" t="s">
        <v>430</v>
      </c>
      <c r="D68" s="154">
        <v>204</v>
      </c>
      <c r="E68" s="169">
        <f t="shared" ref="E68:E131" si="1">((LEN(F68)-LEN(SUBSTITUTE(F68,"G","")))+(LEN(F68)-LEN(SUBSTITUTE(F68,"C",""))))*100/LEN(F68)</f>
        <v>36.764705882352942</v>
      </c>
      <c r="F68" s="155" t="s">
        <v>1100</v>
      </c>
    </row>
    <row r="69" spans="1:6" x14ac:dyDescent="0.3">
      <c r="A69" s="153" t="s">
        <v>1101</v>
      </c>
      <c r="B69" s="172" t="s">
        <v>430</v>
      </c>
      <c r="C69" s="172" t="s">
        <v>430</v>
      </c>
      <c r="D69" s="154">
        <v>747</v>
      </c>
      <c r="E69" s="169">
        <f t="shared" si="1"/>
        <v>30.120481927710845</v>
      </c>
      <c r="F69" s="155" t="s">
        <v>1102</v>
      </c>
    </row>
    <row r="70" spans="1:6" x14ac:dyDescent="0.3">
      <c r="A70" s="153" t="s">
        <v>1103</v>
      </c>
      <c r="B70" s="172" t="s">
        <v>430</v>
      </c>
      <c r="C70" s="172" t="s">
        <v>430</v>
      </c>
      <c r="D70" s="154">
        <v>220</v>
      </c>
      <c r="E70" s="169">
        <f t="shared" si="1"/>
        <v>48.636363636363633</v>
      </c>
      <c r="F70" s="155" t="s">
        <v>1104</v>
      </c>
    </row>
    <row r="71" spans="1:6" x14ac:dyDescent="0.3">
      <c r="A71" s="153" t="s">
        <v>1105</v>
      </c>
      <c r="B71" s="172" t="s">
        <v>430</v>
      </c>
      <c r="C71" s="172" t="s">
        <v>430</v>
      </c>
      <c r="D71" s="154">
        <v>278</v>
      </c>
      <c r="E71" s="169">
        <f t="shared" si="1"/>
        <v>41.007194244604314</v>
      </c>
      <c r="F71" s="155" t="s">
        <v>1106</v>
      </c>
    </row>
    <row r="72" spans="1:6" x14ac:dyDescent="0.3">
      <c r="A72" s="153" t="s">
        <v>1107</v>
      </c>
      <c r="B72" s="172" t="s">
        <v>430</v>
      </c>
      <c r="C72" s="172" t="s">
        <v>430</v>
      </c>
      <c r="D72" s="154">
        <v>229</v>
      </c>
      <c r="E72" s="169">
        <f t="shared" si="1"/>
        <v>37.554585152838428</v>
      </c>
      <c r="F72" s="155" t="s">
        <v>1108</v>
      </c>
    </row>
    <row r="73" spans="1:6" x14ac:dyDescent="0.3">
      <c r="A73" s="153" t="s">
        <v>1109</v>
      </c>
      <c r="B73" s="172" t="s">
        <v>430</v>
      </c>
      <c r="C73" s="172" t="s">
        <v>430</v>
      </c>
      <c r="D73" s="154">
        <v>653</v>
      </c>
      <c r="E73" s="169">
        <f t="shared" si="1"/>
        <v>40.428790199081163</v>
      </c>
      <c r="F73" s="155" t="s">
        <v>1110</v>
      </c>
    </row>
    <row r="74" spans="1:6" x14ac:dyDescent="0.3">
      <c r="A74" s="153" t="s">
        <v>1111</v>
      </c>
      <c r="B74" s="172" t="s">
        <v>430</v>
      </c>
      <c r="C74" s="172" t="s">
        <v>430</v>
      </c>
      <c r="D74" s="154">
        <v>262</v>
      </c>
      <c r="E74" s="169">
        <f t="shared" si="1"/>
        <v>35.496183206106871</v>
      </c>
      <c r="F74" s="155" t="s">
        <v>1112</v>
      </c>
    </row>
    <row r="75" spans="1:6" x14ac:dyDescent="0.3">
      <c r="A75" s="153" t="s">
        <v>1113</v>
      </c>
      <c r="B75" s="172" t="s">
        <v>430</v>
      </c>
      <c r="C75" s="172" t="s">
        <v>430</v>
      </c>
      <c r="D75" s="154">
        <v>766</v>
      </c>
      <c r="E75" s="169">
        <f t="shared" si="1"/>
        <v>42.167101827676241</v>
      </c>
      <c r="F75" s="155" t="s">
        <v>1114</v>
      </c>
    </row>
    <row r="76" spans="1:6" x14ac:dyDescent="0.3">
      <c r="A76" s="153" t="s">
        <v>1115</v>
      </c>
      <c r="B76" s="172" t="s">
        <v>430</v>
      </c>
      <c r="C76" s="172" t="s">
        <v>430</v>
      </c>
      <c r="D76" s="154">
        <v>229</v>
      </c>
      <c r="E76" s="169">
        <f t="shared" si="1"/>
        <v>37.554585152838428</v>
      </c>
      <c r="F76" s="155" t="s">
        <v>1116</v>
      </c>
    </row>
    <row r="77" spans="1:6" x14ac:dyDescent="0.3">
      <c r="A77" s="153" t="s">
        <v>1117</v>
      </c>
      <c r="B77" s="172" t="s">
        <v>430</v>
      </c>
      <c r="C77" s="172" t="s">
        <v>430</v>
      </c>
      <c r="D77" s="154">
        <v>311</v>
      </c>
      <c r="E77" s="169">
        <f t="shared" si="1"/>
        <v>41.157556270096464</v>
      </c>
      <c r="F77" s="155" t="s">
        <v>1118</v>
      </c>
    </row>
    <row r="78" spans="1:6" x14ac:dyDescent="0.3">
      <c r="A78" s="153" t="s">
        <v>1119</v>
      </c>
      <c r="B78" s="172" t="s">
        <v>430</v>
      </c>
      <c r="C78" s="172" t="s">
        <v>430</v>
      </c>
      <c r="D78" s="154">
        <v>771</v>
      </c>
      <c r="E78" s="169">
        <f t="shared" si="1"/>
        <v>46.692607003891048</v>
      </c>
      <c r="F78" s="155" t="s">
        <v>1120</v>
      </c>
    </row>
    <row r="79" spans="1:6" x14ac:dyDescent="0.3">
      <c r="A79" s="153" t="s">
        <v>1121</v>
      </c>
      <c r="B79" s="172" t="s">
        <v>430</v>
      </c>
      <c r="C79" s="172" t="s">
        <v>430</v>
      </c>
      <c r="D79" s="154">
        <v>324</v>
      </c>
      <c r="E79" s="169">
        <f t="shared" si="1"/>
        <v>47.530864197530867</v>
      </c>
      <c r="F79" s="155" t="s">
        <v>1122</v>
      </c>
    </row>
    <row r="80" spans="1:6" x14ac:dyDescent="0.3">
      <c r="A80" s="153" t="s">
        <v>1123</v>
      </c>
      <c r="B80" s="172" t="s">
        <v>430</v>
      </c>
      <c r="C80" s="172" t="s">
        <v>430</v>
      </c>
      <c r="D80" s="154">
        <v>375</v>
      </c>
      <c r="E80" s="169">
        <f t="shared" si="1"/>
        <v>38.666666666666664</v>
      </c>
      <c r="F80" s="155" t="s">
        <v>1124</v>
      </c>
    </row>
    <row r="81" spans="1:6" x14ac:dyDescent="0.3">
      <c r="A81" s="153" t="s">
        <v>1125</v>
      </c>
      <c r="B81" s="172" t="s">
        <v>430</v>
      </c>
      <c r="C81" s="172" t="s">
        <v>430</v>
      </c>
      <c r="D81" s="154">
        <v>252</v>
      </c>
      <c r="E81" s="169">
        <f t="shared" si="1"/>
        <v>48.015873015873019</v>
      </c>
      <c r="F81" s="155" t="s">
        <v>1126</v>
      </c>
    </row>
    <row r="82" spans="1:6" x14ac:dyDescent="0.3">
      <c r="A82" s="153" t="s">
        <v>1127</v>
      </c>
      <c r="B82" s="172" t="s">
        <v>430</v>
      </c>
      <c r="C82" s="172" t="s">
        <v>430</v>
      </c>
      <c r="D82" s="154">
        <v>244</v>
      </c>
      <c r="E82" s="169">
        <f t="shared" si="1"/>
        <v>50.819672131147541</v>
      </c>
      <c r="F82" s="155" t="s">
        <v>1128</v>
      </c>
    </row>
    <row r="83" spans="1:6" x14ac:dyDescent="0.3">
      <c r="A83" s="153" t="s">
        <v>1129</v>
      </c>
      <c r="B83" s="172" t="s">
        <v>430</v>
      </c>
      <c r="C83" s="172" t="s">
        <v>430</v>
      </c>
      <c r="D83" s="154">
        <v>578</v>
      </c>
      <c r="E83" s="169">
        <f t="shared" si="1"/>
        <v>46.193771626297575</v>
      </c>
      <c r="F83" s="155" t="s">
        <v>1130</v>
      </c>
    </row>
    <row r="84" spans="1:6" x14ac:dyDescent="0.3">
      <c r="A84" s="153" t="s">
        <v>1131</v>
      </c>
      <c r="B84" s="172" t="s">
        <v>430</v>
      </c>
      <c r="C84" s="172" t="s">
        <v>430</v>
      </c>
      <c r="D84" s="154">
        <v>296</v>
      </c>
      <c r="E84" s="169">
        <f t="shared" si="1"/>
        <v>34.45945945945946</v>
      </c>
      <c r="F84" s="155" t="s">
        <v>1132</v>
      </c>
    </row>
    <row r="85" spans="1:6" x14ac:dyDescent="0.3">
      <c r="A85" s="153" t="s">
        <v>1133</v>
      </c>
      <c r="B85" s="172" t="s">
        <v>430</v>
      </c>
      <c r="C85" s="172" t="s">
        <v>430</v>
      </c>
      <c r="D85" s="154">
        <v>261</v>
      </c>
      <c r="E85" s="169">
        <f t="shared" si="1"/>
        <v>57.47126436781609</v>
      </c>
      <c r="F85" s="155" t="s">
        <v>1134</v>
      </c>
    </row>
    <row r="86" spans="1:6" x14ac:dyDescent="0.3">
      <c r="A86" s="153" t="s">
        <v>1135</v>
      </c>
      <c r="B86" s="172" t="s">
        <v>430</v>
      </c>
      <c r="C86" s="172" t="s">
        <v>430</v>
      </c>
      <c r="D86" s="154">
        <v>262</v>
      </c>
      <c r="E86" s="169">
        <f t="shared" si="1"/>
        <v>35.496183206106871</v>
      </c>
      <c r="F86" s="155" t="s">
        <v>1136</v>
      </c>
    </row>
    <row r="87" spans="1:6" x14ac:dyDescent="0.3">
      <c r="A87" s="153" t="s">
        <v>1137</v>
      </c>
      <c r="B87" s="172" t="s">
        <v>430</v>
      </c>
      <c r="C87" s="172" t="s">
        <v>430</v>
      </c>
      <c r="D87" s="154">
        <v>244</v>
      </c>
      <c r="E87" s="169">
        <f t="shared" si="1"/>
        <v>50</v>
      </c>
      <c r="F87" s="155" t="s">
        <v>1138</v>
      </c>
    </row>
    <row r="88" spans="1:6" x14ac:dyDescent="0.3">
      <c r="A88" s="153" t="s">
        <v>1139</v>
      </c>
      <c r="B88" s="172" t="s">
        <v>430</v>
      </c>
      <c r="C88" s="172" t="s">
        <v>430</v>
      </c>
      <c r="D88" s="154">
        <v>213</v>
      </c>
      <c r="E88" s="169">
        <f t="shared" si="1"/>
        <v>48.356807511737088</v>
      </c>
      <c r="F88" s="155" t="s">
        <v>1140</v>
      </c>
    </row>
    <row r="89" spans="1:6" x14ac:dyDescent="0.3">
      <c r="A89" s="153" t="s">
        <v>1141</v>
      </c>
      <c r="B89" s="172" t="s">
        <v>430</v>
      </c>
      <c r="C89" s="172" t="s">
        <v>430</v>
      </c>
      <c r="D89" s="154">
        <v>714</v>
      </c>
      <c r="E89" s="169">
        <f t="shared" si="1"/>
        <v>40.196078431372548</v>
      </c>
      <c r="F89" s="155" t="s">
        <v>1142</v>
      </c>
    </row>
    <row r="90" spans="1:6" x14ac:dyDescent="0.3">
      <c r="A90" s="153" t="s">
        <v>1143</v>
      </c>
      <c r="B90" s="172" t="s">
        <v>430</v>
      </c>
      <c r="C90" s="172" t="s">
        <v>430</v>
      </c>
      <c r="D90" s="154">
        <v>296</v>
      </c>
      <c r="E90" s="169">
        <f t="shared" si="1"/>
        <v>21.621621621621621</v>
      </c>
      <c r="F90" s="155" t="s">
        <v>1144</v>
      </c>
    </row>
    <row r="91" spans="1:6" x14ac:dyDescent="0.3">
      <c r="A91" s="153" t="s">
        <v>1145</v>
      </c>
      <c r="B91" s="172" t="s">
        <v>430</v>
      </c>
      <c r="C91" s="172" t="s">
        <v>430</v>
      </c>
      <c r="D91" s="154">
        <v>762</v>
      </c>
      <c r="E91" s="169">
        <f t="shared" si="1"/>
        <v>45.669291338582674</v>
      </c>
      <c r="F91" s="155" t="s">
        <v>1146</v>
      </c>
    </row>
    <row r="92" spans="1:6" x14ac:dyDescent="0.3">
      <c r="A92" s="153" t="s">
        <v>1147</v>
      </c>
      <c r="B92" s="172" t="s">
        <v>430</v>
      </c>
      <c r="C92" s="172" t="s">
        <v>430</v>
      </c>
      <c r="D92" s="154">
        <v>274</v>
      </c>
      <c r="E92" s="169">
        <f t="shared" si="1"/>
        <v>45.255474452554743</v>
      </c>
      <c r="F92" s="155" t="s">
        <v>1148</v>
      </c>
    </row>
    <row r="93" spans="1:6" x14ac:dyDescent="0.3">
      <c r="A93" s="153" t="s">
        <v>1149</v>
      </c>
      <c r="B93" s="172" t="s">
        <v>430</v>
      </c>
      <c r="C93" s="172" t="s">
        <v>430</v>
      </c>
      <c r="D93" s="154">
        <v>216</v>
      </c>
      <c r="E93" s="169">
        <f t="shared" si="1"/>
        <v>60.648148148148145</v>
      </c>
      <c r="F93" s="155" t="s">
        <v>1150</v>
      </c>
    </row>
    <row r="94" spans="1:6" x14ac:dyDescent="0.3">
      <c r="A94" s="153" t="s">
        <v>1151</v>
      </c>
      <c r="B94" s="172" t="s">
        <v>430</v>
      </c>
      <c r="C94" s="172" t="s">
        <v>430</v>
      </c>
      <c r="D94" s="154">
        <v>439</v>
      </c>
      <c r="E94" s="169">
        <f t="shared" si="1"/>
        <v>42.824601366742598</v>
      </c>
      <c r="F94" s="155" t="s">
        <v>1152</v>
      </c>
    </row>
    <row r="95" spans="1:6" x14ac:dyDescent="0.3">
      <c r="A95" s="153" t="s">
        <v>1153</v>
      </c>
      <c r="B95" s="172" t="s">
        <v>430</v>
      </c>
      <c r="C95" s="172" t="s">
        <v>430</v>
      </c>
      <c r="D95" s="154">
        <v>222</v>
      </c>
      <c r="E95" s="169">
        <f t="shared" si="1"/>
        <v>30.18018018018018</v>
      </c>
      <c r="F95" s="155" t="s">
        <v>1154</v>
      </c>
    </row>
    <row r="96" spans="1:6" x14ac:dyDescent="0.3">
      <c r="A96" s="153" t="s">
        <v>1155</v>
      </c>
      <c r="B96" s="172" t="s">
        <v>430</v>
      </c>
      <c r="C96" s="172" t="s">
        <v>430</v>
      </c>
      <c r="D96" s="154">
        <v>408</v>
      </c>
      <c r="E96" s="169">
        <f t="shared" si="1"/>
        <v>36.764705882352942</v>
      </c>
      <c r="F96" s="155" t="s">
        <v>1156</v>
      </c>
    </row>
    <row r="97" spans="1:6" x14ac:dyDescent="0.3">
      <c r="A97" s="153" t="s">
        <v>1157</v>
      </c>
      <c r="B97" s="172" t="s">
        <v>430</v>
      </c>
      <c r="C97" s="172" t="s">
        <v>430</v>
      </c>
      <c r="D97" s="154">
        <v>262</v>
      </c>
      <c r="E97" s="169">
        <f t="shared" si="1"/>
        <v>47.328244274809158</v>
      </c>
      <c r="F97" s="155" t="s">
        <v>1158</v>
      </c>
    </row>
    <row r="98" spans="1:6" x14ac:dyDescent="0.3">
      <c r="A98" s="153" t="s">
        <v>1159</v>
      </c>
      <c r="B98" s="172" t="s">
        <v>430</v>
      </c>
      <c r="C98" s="172" t="s">
        <v>430</v>
      </c>
      <c r="D98" s="154">
        <v>224</v>
      </c>
      <c r="E98" s="169">
        <f t="shared" si="1"/>
        <v>37.946428571428569</v>
      </c>
      <c r="F98" s="155" t="s">
        <v>1160</v>
      </c>
    </row>
    <row r="99" spans="1:6" x14ac:dyDescent="0.3">
      <c r="A99" s="153" t="s">
        <v>1161</v>
      </c>
      <c r="B99" s="172" t="s">
        <v>430</v>
      </c>
      <c r="C99" s="172" t="s">
        <v>430</v>
      </c>
      <c r="D99" s="154">
        <v>262</v>
      </c>
      <c r="E99" s="169">
        <f t="shared" si="1"/>
        <v>50</v>
      </c>
      <c r="F99" s="155" t="s">
        <v>1162</v>
      </c>
    </row>
    <row r="100" spans="1:6" x14ac:dyDescent="0.3">
      <c r="A100" s="153" t="s">
        <v>1163</v>
      </c>
      <c r="B100" s="172" t="s">
        <v>430</v>
      </c>
      <c r="C100" s="172" t="s">
        <v>430</v>
      </c>
      <c r="D100" s="154">
        <v>565</v>
      </c>
      <c r="E100" s="169">
        <f t="shared" si="1"/>
        <v>52.389380530973455</v>
      </c>
      <c r="F100" s="155" t="s">
        <v>1164</v>
      </c>
    </row>
    <row r="101" spans="1:6" x14ac:dyDescent="0.3">
      <c r="A101" s="153" t="s">
        <v>1165</v>
      </c>
      <c r="B101" s="172" t="s">
        <v>430</v>
      </c>
      <c r="C101" s="172" t="s">
        <v>430</v>
      </c>
      <c r="D101" s="154">
        <v>331</v>
      </c>
      <c r="E101" s="169">
        <f t="shared" si="1"/>
        <v>37.462235649546827</v>
      </c>
      <c r="F101" s="155" t="s">
        <v>1166</v>
      </c>
    </row>
    <row r="102" spans="1:6" x14ac:dyDescent="0.3">
      <c r="A102" s="153" t="s">
        <v>1167</v>
      </c>
      <c r="B102" s="172" t="s">
        <v>430</v>
      </c>
      <c r="C102" s="172" t="s">
        <v>430</v>
      </c>
      <c r="D102" s="154">
        <v>368</v>
      </c>
      <c r="E102" s="169">
        <f t="shared" si="1"/>
        <v>51.630434782608695</v>
      </c>
      <c r="F102" s="155" t="s">
        <v>1168</v>
      </c>
    </row>
    <row r="103" spans="1:6" x14ac:dyDescent="0.3">
      <c r="A103" s="153" t="s">
        <v>1169</v>
      </c>
      <c r="B103" s="172" t="s">
        <v>430</v>
      </c>
      <c r="C103" s="172" t="s">
        <v>430</v>
      </c>
      <c r="D103" s="154">
        <v>259</v>
      </c>
      <c r="E103" s="169">
        <f t="shared" si="1"/>
        <v>55.598455598455601</v>
      </c>
      <c r="F103" s="155" t="s">
        <v>1170</v>
      </c>
    </row>
    <row r="104" spans="1:6" x14ac:dyDescent="0.3">
      <c r="A104" s="153" t="s">
        <v>1171</v>
      </c>
      <c r="B104" s="172" t="s">
        <v>430</v>
      </c>
      <c r="C104" s="172" t="s">
        <v>430</v>
      </c>
      <c r="D104" s="154">
        <v>290</v>
      </c>
      <c r="E104" s="169">
        <f t="shared" si="1"/>
        <v>32.758620689655174</v>
      </c>
      <c r="F104" s="155" t="s">
        <v>1172</v>
      </c>
    </row>
    <row r="105" spans="1:6" x14ac:dyDescent="0.3">
      <c r="A105" s="153" t="s">
        <v>1173</v>
      </c>
      <c r="B105" s="172" t="s">
        <v>430</v>
      </c>
      <c r="C105" s="172" t="s">
        <v>430</v>
      </c>
      <c r="D105" s="154">
        <v>232</v>
      </c>
      <c r="E105" s="169">
        <f t="shared" si="1"/>
        <v>33.620689655172413</v>
      </c>
      <c r="F105" s="155" t="s">
        <v>1174</v>
      </c>
    </row>
    <row r="106" spans="1:6" x14ac:dyDescent="0.3">
      <c r="A106" s="153" t="s">
        <v>1175</v>
      </c>
      <c r="B106" s="172" t="s">
        <v>430</v>
      </c>
      <c r="C106" s="172" t="s">
        <v>430</v>
      </c>
      <c r="D106" s="154">
        <v>759</v>
      </c>
      <c r="E106" s="169">
        <f t="shared" si="1"/>
        <v>41.76548089591568</v>
      </c>
      <c r="F106" s="155" t="s">
        <v>1176</v>
      </c>
    </row>
    <row r="107" spans="1:6" x14ac:dyDescent="0.3">
      <c r="A107" s="153" t="s">
        <v>1177</v>
      </c>
      <c r="B107" s="172" t="s">
        <v>430</v>
      </c>
      <c r="C107" s="172" t="s">
        <v>430</v>
      </c>
      <c r="D107" s="154">
        <v>321</v>
      </c>
      <c r="E107" s="169">
        <f t="shared" si="1"/>
        <v>46.105919003115268</v>
      </c>
      <c r="F107" s="155" t="s">
        <v>1178</v>
      </c>
    </row>
    <row r="108" spans="1:6" x14ac:dyDescent="0.3">
      <c r="A108" s="153" t="s">
        <v>1179</v>
      </c>
      <c r="B108" s="172" t="s">
        <v>430</v>
      </c>
      <c r="C108" s="172" t="s">
        <v>430</v>
      </c>
      <c r="D108" s="154">
        <v>753</v>
      </c>
      <c r="E108" s="169">
        <f t="shared" si="1"/>
        <v>39.176626826029214</v>
      </c>
      <c r="F108" s="155" t="s">
        <v>1180</v>
      </c>
    </row>
    <row r="109" spans="1:6" x14ac:dyDescent="0.3">
      <c r="A109" s="153" t="s">
        <v>1181</v>
      </c>
      <c r="B109" s="172" t="s">
        <v>430</v>
      </c>
      <c r="C109" s="172" t="s">
        <v>430</v>
      </c>
      <c r="D109" s="154">
        <v>514</v>
      </c>
      <c r="E109" s="169">
        <f t="shared" si="1"/>
        <v>53.307392996108952</v>
      </c>
      <c r="F109" s="155" t="s">
        <v>1182</v>
      </c>
    </row>
    <row r="110" spans="1:6" x14ac:dyDescent="0.3">
      <c r="A110" s="153" t="s">
        <v>1183</v>
      </c>
      <c r="B110" s="172" t="s">
        <v>430</v>
      </c>
      <c r="C110" s="172" t="s">
        <v>430</v>
      </c>
      <c r="D110" s="154">
        <v>332</v>
      </c>
      <c r="E110" s="169">
        <f t="shared" si="1"/>
        <v>35.843373493975903</v>
      </c>
      <c r="F110" s="155" t="s">
        <v>1184</v>
      </c>
    </row>
    <row r="111" spans="1:6" x14ac:dyDescent="0.3">
      <c r="A111" s="153" t="s">
        <v>1185</v>
      </c>
      <c r="B111" s="172" t="s">
        <v>430</v>
      </c>
      <c r="C111" s="172" t="s">
        <v>430</v>
      </c>
      <c r="D111" s="154">
        <v>308</v>
      </c>
      <c r="E111" s="169">
        <f t="shared" si="1"/>
        <v>44.480519480519483</v>
      </c>
      <c r="F111" s="155" t="s">
        <v>1186</v>
      </c>
    </row>
    <row r="112" spans="1:6" x14ac:dyDescent="0.3">
      <c r="A112" s="153" t="s">
        <v>1187</v>
      </c>
      <c r="B112" s="172" t="s">
        <v>430</v>
      </c>
      <c r="C112" s="172" t="s">
        <v>430</v>
      </c>
      <c r="D112" s="154">
        <v>217</v>
      </c>
      <c r="E112" s="169">
        <f t="shared" si="1"/>
        <v>35.483870967741936</v>
      </c>
      <c r="F112" s="155" t="s">
        <v>1188</v>
      </c>
    </row>
    <row r="113" spans="1:6" x14ac:dyDescent="0.3">
      <c r="A113" s="153" t="s">
        <v>1189</v>
      </c>
      <c r="B113" s="172" t="s">
        <v>430</v>
      </c>
      <c r="C113" s="172" t="s">
        <v>430</v>
      </c>
      <c r="D113" s="154">
        <v>217</v>
      </c>
      <c r="E113" s="169">
        <f t="shared" si="1"/>
        <v>28.110599078341014</v>
      </c>
      <c r="F113" s="155" t="s">
        <v>1190</v>
      </c>
    </row>
    <row r="114" spans="1:6" x14ac:dyDescent="0.3">
      <c r="A114" s="153" t="s">
        <v>1191</v>
      </c>
      <c r="B114" s="172" t="s">
        <v>430</v>
      </c>
      <c r="C114" s="172" t="s">
        <v>430</v>
      </c>
      <c r="D114" s="154">
        <v>238</v>
      </c>
      <c r="E114" s="169">
        <f t="shared" si="1"/>
        <v>44.117647058823529</v>
      </c>
      <c r="F114" s="155" t="s">
        <v>1192</v>
      </c>
    </row>
    <row r="115" spans="1:6" x14ac:dyDescent="0.3">
      <c r="A115" s="153" t="s">
        <v>1193</v>
      </c>
      <c r="B115" s="172" t="s">
        <v>430</v>
      </c>
      <c r="C115" s="172" t="s">
        <v>430</v>
      </c>
      <c r="D115" s="154">
        <v>210</v>
      </c>
      <c r="E115" s="169">
        <f t="shared" si="1"/>
        <v>49.523809523809526</v>
      </c>
      <c r="F115" s="155" t="s">
        <v>1194</v>
      </c>
    </row>
    <row r="116" spans="1:6" x14ac:dyDescent="0.3">
      <c r="A116" s="153" t="s">
        <v>1195</v>
      </c>
      <c r="B116" s="172" t="s">
        <v>430</v>
      </c>
      <c r="C116" s="172" t="s">
        <v>430</v>
      </c>
      <c r="D116" s="154">
        <v>283</v>
      </c>
      <c r="E116" s="169">
        <f t="shared" si="1"/>
        <v>44.169611307420496</v>
      </c>
      <c r="F116" s="155" t="s">
        <v>1196</v>
      </c>
    </row>
    <row r="117" spans="1:6" x14ac:dyDescent="0.3">
      <c r="A117" s="153" t="s">
        <v>1197</v>
      </c>
      <c r="B117" s="172" t="s">
        <v>430</v>
      </c>
      <c r="C117" s="172" t="s">
        <v>430</v>
      </c>
      <c r="D117" s="154">
        <v>511</v>
      </c>
      <c r="E117" s="169">
        <f t="shared" si="1"/>
        <v>52.44618395303327</v>
      </c>
      <c r="F117" s="155" t="s">
        <v>1198</v>
      </c>
    </row>
    <row r="118" spans="1:6" x14ac:dyDescent="0.3">
      <c r="A118" s="153" t="s">
        <v>1199</v>
      </c>
      <c r="B118" s="172" t="s">
        <v>430</v>
      </c>
      <c r="C118" s="172" t="s">
        <v>430</v>
      </c>
      <c r="D118" s="154">
        <v>281</v>
      </c>
      <c r="E118" s="169">
        <f t="shared" si="1"/>
        <v>43.060498220640568</v>
      </c>
      <c r="F118" s="155" t="s">
        <v>1200</v>
      </c>
    </row>
    <row r="119" spans="1:6" x14ac:dyDescent="0.3">
      <c r="A119" s="153" t="s">
        <v>1201</v>
      </c>
      <c r="B119" s="172" t="s">
        <v>430</v>
      </c>
      <c r="C119" s="172" t="s">
        <v>430</v>
      </c>
      <c r="D119" s="154">
        <v>574</v>
      </c>
      <c r="E119" s="169">
        <f t="shared" si="1"/>
        <v>31.881533101045296</v>
      </c>
      <c r="F119" s="155" t="s">
        <v>1202</v>
      </c>
    </row>
    <row r="120" spans="1:6" x14ac:dyDescent="0.3">
      <c r="A120" s="153" t="s">
        <v>1203</v>
      </c>
      <c r="B120" s="172" t="s">
        <v>430</v>
      </c>
      <c r="C120" s="172" t="s">
        <v>430</v>
      </c>
      <c r="D120" s="154">
        <v>512</v>
      </c>
      <c r="E120" s="169">
        <f t="shared" si="1"/>
        <v>52.734375</v>
      </c>
      <c r="F120" s="155" t="s">
        <v>1204</v>
      </c>
    </row>
    <row r="121" spans="1:6" x14ac:dyDescent="0.3">
      <c r="A121" s="153" t="s">
        <v>1205</v>
      </c>
      <c r="B121" s="172" t="s">
        <v>430</v>
      </c>
      <c r="C121" s="172" t="s">
        <v>430</v>
      </c>
      <c r="D121" s="154">
        <v>284</v>
      </c>
      <c r="E121" s="169">
        <f t="shared" si="1"/>
        <v>50.352112676056336</v>
      </c>
      <c r="F121" s="155" t="s">
        <v>1206</v>
      </c>
    </row>
    <row r="122" spans="1:6" x14ac:dyDescent="0.3">
      <c r="A122" s="153" t="s">
        <v>1207</v>
      </c>
      <c r="B122" s="172" t="s">
        <v>430</v>
      </c>
      <c r="C122" s="172" t="s">
        <v>430</v>
      </c>
      <c r="D122" s="154">
        <v>406</v>
      </c>
      <c r="E122" s="169">
        <f t="shared" si="1"/>
        <v>30.541871921182267</v>
      </c>
      <c r="F122" s="155" t="s">
        <v>1208</v>
      </c>
    </row>
    <row r="123" spans="1:6" x14ac:dyDescent="0.3">
      <c r="A123" s="153" t="s">
        <v>1209</v>
      </c>
      <c r="B123" s="172" t="s">
        <v>430</v>
      </c>
      <c r="C123" s="172" t="s">
        <v>430</v>
      </c>
      <c r="D123" s="154">
        <v>226</v>
      </c>
      <c r="E123" s="169">
        <f t="shared" si="1"/>
        <v>34.513274336283189</v>
      </c>
      <c r="F123" s="155" t="s">
        <v>1210</v>
      </c>
    </row>
    <row r="124" spans="1:6" x14ac:dyDescent="0.3">
      <c r="A124" s="153" t="s">
        <v>1211</v>
      </c>
      <c r="B124" s="172" t="s">
        <v>430</v>
      </c>
      <c r="C124" s="172" t="s">
        <v>430</v>
      </c>
      <c r="D124" s="154">
        <v>319</v>
      </c>
      <c r="E124" s="169">
        <f t="shared" si="1"/>
        <v>30.094043887147336</v>
      </c>
      <c r="F124" s="155" t="s">
        <v>1212</v>
      </c>
    </row>
    <row r="125" spans="1:6" x14ac:dyDescent="0.3">
      <c r="A125" s="153" t="s">
        <v>1213</v>
      </c>
      <c r="B125" s="172" t="s">
        <v>430</v>
      </c>
      <c r="C125" s="172" t="s">
        <v>430</v>
      </c>
      <c r="D125" s="154">
        <v>281</v>
      </c>
      <c r="E125" s="169">
        <f t="shared" si="1"/>
        <v>43.060498220640568</v>
      </c>
      <c r="F125" s="155" t="s">
        <v>1214</v>
      </c>
    </row>
    <row r="126" spans="1:6" x14ac:dyDescent="0.3">
      <c r="A126" s="153" t="s">
        <v>1215</v>
      </c>
      <c r="B126" s="172" t="s">
        <v>430</v>
      </c>
      <c r="C126" s="172" t="s">
        <v>430</v>
      </c>
      <c r="D126" s="154">
        <v>321</v>
      </c>
      <c r="E126" s="169">
        <f t="shared" si="1"/>
        <v>46.728971962616825</v>
      </c>
      <c r="F126" s="155" t="s">
        <v>1216</v>
      </c>
    </row>
    <row r="127" spans="1:6" x14ac:dyDescent="0.3">
      <c r="A127" s="153" t="s">
        <v>1217</v>
      </c>
      <c r="B127" s="172" t="s">
        <v>430</v>
      </c>
      <c r="C127" s="172" t="s">
        <v>430</v>
      </c>
      <c r="D127" s="154">
        <v>213</v>
      </c>
      <c r="E127" s="169">
        <f t="shared" si="1"/>
        <v>31.92488262910798</v>
      </c>
      <c r="F127" s="155" t="s">
        <v>1218</v>
      </c>
    </row>
    <row r="128" spans="1:6" x14ac:dyDescent="0.3">
      <c r="A128" s="153" t="s">
        <v>1219</v>
      </c>
      <c r="B128" s="172" t="s">
        <v>430</v>
      </c>
      <c r="C128" s="172" t="s">
        <v>430</v>
      </c>
      <c r="D128" s="154">
        <v>213</v>
      </c>
      <c r="E128" s="169">
        <f t="shared" si="1"/>
        <v>32.394366197183096</v>
      </c>
      <c r="F128" s="155" t="s">
        <v>1220</v>
      </c>
    </row>
    <row r="129" spans="1:6" x14ac:dyDescent="0.3">
      <c r="A129" s="153" t="s">
        <v>1221</v>
      </c>
      <c r="B129" s="172" t="s">
        <v>430</v>
      </c>
      <c r="C129" s="172" t="s">
        <v>430</v>
      </c>
      <c r="D129" s="154">
        <v>686</v>
      </c>
      <c r="E129" s="169">
        <f t="shared" si="1"/>
        <v>55.830903790087461</v>
      </c>
      <c r="F129" s="155" t="s">
        <v>1222</v>
      </c>
    </row>
    <row r="130" spans="1:6" x14ac:dyDescent="0.3">
      <c r="A130" s="153" t="s">
        <v>1223</v>
      </c>
      <c r="B130" s="172" t="s">
        <v>430</v>
      </c>
      <c r="C130" s="172" t="s">
        <v>430</v>
      </c>
      <c r="D130" s="154">
        <v>226</v>
      </c>
      <c r="E130" s="169">
        <f t="shared" si="1"/>
        <v>52.212389380530972</v>
      </c>
      <c r="F130" s="155" t="s">
        <v>1224</v>
      </c>
    </row>
    <row r="131" spans="1:6" x14ac:dyDescent="0.3">
      <c r="A131" s="153" t="s">
        <v>1225</v>
      </c>
      <c r="B131" s="172" t="s">
        <v>430</v>
      </c>
      <c r="C131" s="172" t="s">
        <v>430</v>
      </c>
      <c r="D131" s="154">
        <v>733</v>
      </c>
      <c r="E131" s="169">
        <f t="shared" si="1"/>
        <v>29.740791268758528</v>
      </c>
      <c r="F131" s="155" t="s">
        <v>1226</v>
      </c>
    </row>
    <row r="132" spans="1:6" x14ac:dyDescent="0.3">
      <c r="A132" s="153" t="s">
        <v>1227</v>
      </c>
      <c r="B132" s="172" t="s">
        <v>430</v>
      </c>
      <c r="C132" s="172" t="s">
        <v>430</v>
      </c>
      <c r="D132" s="154">
        <v>268</v>
      </c>
      <c r="E132" s="169">
        <f t="shared" ref="E132:E195" si="2">((LEN(F132)-LEN(SUBSTITUTE(F132,"G","")))+(LEN(F132)-LEN(SUBSTITUTE(F132,"C",""))))*100/LEN(F132)</f>
        <v>35.447761194029852</v>
      </c>
      <c r="F132" s="155" t="s">
        <v>1228</v>
      </c>
    </row>
    <row r="133" spans="1:6" x14ac:dyDescent="0.3">
      <c r="A133" s="153" t="s">
        <v>1229</v>
      </c>
      <c r="B133" s="172" t="s">
        <v>430</v>
      </c>
      <c r="C133" s="172" t="s">
        <v>430</v>
      </c>
      <c r="D133" s="154">
        <v>287</v>
      </c>
      <c r="E133" s="169">
        <f t="shared" si="2"/>
        <v>57.491289198606275</v>
      </c>
      <c r="F133" s="155" t="s">
        <v>1230</v>
      </c>
    </row>
    <row r="134" spans="1:6" x14ac:dyDescent="0.3">
      <c r="A134" s="153" t="s">
        <v>1231</v>
      </c>
      <c r="B134" s="172" t="s">
        <v>430</v>
      </c>
      <c r="C134" s="172" t="s">
        <v>430</v>
      </c>
      <c r="D134" s="154">
        <v>348</v>
      </c>
      <c r="E134" s="169">
        <f t="shared" si="2"/>
        <v>39.942528735632187</v>
      </c>
      <c r="F134" s="155" t="s">
        <v>1232</v>
      </c>
    </row>
    <row r="135" spans="1:6" x14ac:dyDescent="0.3">
      <c r="A135" s="153" t="s">
        <v>1233</v>
      </c>
      <c r="B135" s="172" t="s">
        <v>430</v>
      </c>
      <c r="C135" s="172" t="s">
        <v>430</v>
      </c>
      <c r="D135" s="154">
        <v>568</v>
      </c>
      <c r="E135" s="169">
        <f t="shared" si="2"/>
        <v>51.232394366197184</v>
      </c>
      <c r="F135" s="155" t="s">
        <v>1234</v>
      </c>
    </row>
    <row r="136" spans="1:6" x14ac:dyDescent="0.3">
      <c r="A136" s="153" t="s">
        <v>1235</v>
      </c>
      <c r="B136" s="172" t="s">
        <v>430</v>
      </c>
      <c r="C136" s="172" t="s">
        <v>430</v>
      </c>
      <c r="D136" s="154">
        <v>686</v>
      </c>
      <c r="E136" s="169">
        <f t="shared" si="2"/>
        <v>55.976676384839649</v>
      </c>
      <c r="F136" s="155" t="s">
        <v>1236</v>
      </c>
    </row>
    <row r="137" spans="1:6" x14ac:dyDescent="0.3">
      <c r="A137" s="153" t="s">
        <v>1237</v>
      </c>
      <c r="B137" s="172" t="s">
        <v>430</v>
      </c>
      <c r="C137" s="172" t="s">
        <v>430</v>
      </c>
      <c r="D137" s="154">
        <v>568</v>
      </c>
      <c r="E137" s="169">
        <f t="shared" si="2"/>
        <v>51.232394366197184</v>
      </c>
      <c r="F137" s="155" t="s">
        <v>1238</v>
      </c>
    </row>
    <row r="138" spans="1:6" x14ac:dyDescent="0.3">
      <c r="A138" s="153" t="s">
        <v>1239</v>
      </c>
      <c r="B138" s="172" t="s">
        <v>430</v>
      </c>
      <c r="C138" s="172" t="s">
        <v>430</v>
      </c>
      <c r="D138" s="154">
        <v>472</v>
      </c>
      <c r="E138" s="169">
        <f t="shared" si="2"/>
        <v>28.389830508474578</v>
      </c>
      <c r="F138" s="155" t="s">
        <v>1240</v>
      </c>
    </row>
    <row r="139" spans="1:6" x14ac:dyDescent="0.3">
      <c r="A139" s="153" t="s">
        <v>1241</v>
      </c>
      <c r="B139" s="172" t="s">
        <v>430</v>
      </c>
      <c r="C139" s="172" t="s">
        <v>430</v>
      </c>
      <c r="D139" s="154">
        <v>344</v>
      </c>
      <c r="E139" s="169">
        <f t="shared" si="2"/>
        <v>33.430232558139537</v>
      </c>
      <c r="F139" s="155" t="s">
        <v>1242</v>
      </c>
    </row>
    <row r="140" spans="1:6" x14ac:dyDescent="0.3">
      <c r="A140" s="153" t="s">
        <v>1243</v>
      </c>
      <c r="B140" s="172" t="s">
        <v>430</v>
      </c>
      <c r="C140" s="172" t="s">
        <v>430</v>
      </c>
      <c r="D140" s="154">
        <v>412</v>
      </c>
      <c r="E140" s="169">
        <f t="shared" si="2"/>
        <v>46.844660194174757</v>
      </c>
      <c r="F140" s="155" t="s">
        <v>1244</v>
      </c>
    </row>
    <row r="141" spans="1:6" x14ac:dyDescent="0.3">
      <c r="A141" s="153" t="s">
        <v>1245</v>
      </c>
      <c r="B141" s="172" t="s">
        <v>430</v>
      </c>
      <c r="C141" s="172" t="s">
        <v>430</v>
      </c>
      <c r="D141" s="154">
        <v>214</v>
      </c>
      <c r="E141" s="169">
        <f t="shared" si="2"/>
        <v>37.850467289719624</v>
      </c>
      <c r="F141" s="155" t="s">
        <v>1246</v>
      </c>
    </row>
    <row r="142" spans="1:6" x14ac:dyDescent="0.3">
      <c r="A142" s="153" t="s">
        <v>1247</v>
      </c>
      <c r="B142" s="172" t="s">
        <v>430</v>
      </c>
      <c r="C142" s="172" t="s">
        <v>430</v>
      </c>
      <c r="D142" s="154">
        <v>270</v>
      </c>
      <c r="E142" s="169">
        <f t="shared" si="2"/>
        <v>38.148148148148145</v>
      </c>
      <c r="F142" s="155" t="s">
        <v>1248</v>
      </c>
    </row>
    <row r="143" spans="1:6" x14ac:dyDescent="0.3">
      <c r="A143" s="153" t="s">
        <v>1249</v>
      </c>
      <c r="B143" s="172" t="s">
        <v>430</v>
      </c>
      <c r="C143" s="172" t="s">
        <v>430</v>
      </c>
      <c r="D143" s="154">
        <v>349</v>
      </c>
      <c r="E143" s="169">
        <f t="shared" si="2"/>
        <v>50.429799426934096</v>
      </c>
      <c r="F143" s="155" t="s">
        <v>1250</v>
      </c>
    </row>
    <row r="144" spans="1:6" x14ac:dyDescent="0.3">
      <c r="A144" s="153" t="s">
        <v>1251</v>
      </c>
      <c r="B144" s="172" t="s">
        <v>430</v>
      </c>
      <c r="C144" s="172" t="s">
        <v>430</v>
      </c>
      <c r="D144" s="154">
        <v>768</v>
      </c>
      <c r="E144" s="169">
        <f t="shared" si="2"/>
        <v>35.286458333333336</v>
      </c>
      <c r="F144" s="155" t="s">
        <v>1252</v>
      </c>
    </row>
    <row r="145" spans="1:6" x14ac:dyDescent="0.3">
      <c r="A145" s="153" t="s">
        <v>1253</v>
      </c>
      <c r="B145" s="172" t="s">
        <v>430</v>
      </c>
      <c r="C145" s="172" t="s">
        <v>430</v>
      </c>
      <c r="D145" s="154">
        <v>266</v>
      </c>
      <c r="E145" s="169">
        <f t="shared" si="2"/>
        <v>39.849624060150376</v>
      </c>
      <c r="F145" s="155" t="s">
        <v>1254</v>
      </c>
    </row>
    <row r="146" spans="1:6" x14ac:dyDescent="0.3">
      <c r="A146" s="153" t="s">
        <v>1255</v>
      </c>
      <c r="B146" s="172" t="s">
        <v>430</v>
      </c>
      <c r="C146" s="172" t="s">
        <v>430</v>
      </c>
      <c r="D146" s="154">
        <v>512</v>
      </c>
      <c r="E146" s="169">
        <f t="shared" si="2"/>
        <v>54.1015625</v>
      </c>
      <c r="F146" s="155" t="s">
        <v>1256</v>
      </c>
    </row>
    <row r="147" spans="1:6" x14ac:dyDescent="0.3">
      <c r="A147" s="153" t="s">
        <v>1257</v>
      </c>
      <c r="B147" s="172" t="s">
        <v>430</v>
      </c>
      <c r="C147" s="172" t="s">
        <v>430</v>
      </c>
      <c r="D147" s="154">
        <v>717</v>
      </c>
      <c r="E147" s="169">
        <f t="shared" si="2"/>
        <v>48.953974895397486</v>
      </c>
      <c r="F147" s="155" t="s">
        <v>1258</v>
      </c>
    </row>
    <row r="148" spans="1:6" x14ac:dyDescent="0.3">
      <c r="A148" s="153" t="s">
        <v>1259</v>
      </c>
      <c r="B148" s="172" t="s">
        <v>430</v>
      </c>
      <c r="C148" s="172" t="s">
        <v>430</v>
      </c>
      <c r="D148" s="154">
        <v>354</v>
      </c>
      <c r="E148" s="169">
        <f t="shared" si="2"/>
        <v>37.570621468926554</v>
      </c>
      <c r="F148" s="155" t="s">
        <v>1260</v>
      </c>
    </row>
    <row r="149" spans="1:6" x14ac:dyDescent="0.3">
      <c r="A149" s="153" t="s">
        <v>1261</v>
      </c>
      <c r="B149" s="172" t="s">
        <v>430</v>
      </c>
      <c r="C149" s="172" t="s">
        <v>430</v>
      </c>
      <c r="D149" s="154">
        <v>200</v>
      </c>
      <c r="E149" s="169">
        <f t="shared" si="2"/>
        <v>38.5</v>
      </c>
      <c r="F149" s="155" t="s">
        <v>1262</v>
      </c>
    </row>
    <row r="150" spans="1:6" x14ac:dyDescent="0.3">
      <c r="A150" s="153" t="s">
        <v>1263</v>
      </c>
      <c r="B150" s="172" t="s">
        <v>430</v>
      </c>
      <c r="C150" s="172" t="s">
        <v>430</v>
      </c>
      <c r="D150" s="154">
        <v>228</v>
      </c>
      <c r="E150" s="169">
        <f t="shared" si="2"/>
        <v>36.842105263157897</v>
      </c>
      <c r="F150" s="155" t="s">
        <v>1264</v>
      </c>
    </row>
    <row r="151" spans="1:6" x14ac:dyDescent="0.3">
      <c r="A151" s="153" t="s">
        <v>1265</v>
      </c>
      <c r="B151" s="172" t="s">
        <v>430</v>
      </c>
      <c r="C151" s="172" t="s">
        <v>430</v>
      </c>
      <c r="D151" s="154">
        <v>511</v>
      </c>
      <c r="E151" s="169">
        <f t="shared" si="2"/>
        <v>53.033268101761252</v>
      </c>
      <c r="F151" s="155" t="s">
        <v>1266</v>
      </c>
    </row>
    <row r="152" spans="1:6" x14ac:dyDescent="0.3">
      <c r="A152" s="153" t="s">
        <v>1267</v>
      </c>
      <c r="B152" s="172" t="s">
        <v>430</v>
      </c>
      <c r="C152" s="172" t="s">
        <v>430</v>
      </c>
      <c r="D152" s="154">
        <v>752</v>
      </c>
      <c r="E152" s="169">
        <f t="shared" si="2"/>
        <v>42.287234042553195</v>
      </c>
      <c r="F152" s="155" t="s">
        <v>1268</v>
      </c>
    </row>
    <row r="153" spans="1:6" x14ac:dyDescent="0.3">
      <c r="A153" s="153" t="s">
        <v>1269</v>
      </c>
      <c r="B153" s="172" t="s">
        <v>430</v>
      </c>
      <c r="C153" s="172" t="s">
        <v>430</v>
      </c>
      <c r="D153" s="154">
        <v>276</v>
      </c>
      <c r="E153" s="169">
        <f t="shared" si="2"/>
        <v>34.782608695652172</v>
      </c>
      <c r="F153" s="155" t="s">
        <v>1270</v>
      </c>
    </row>
    <row r="154" spans="1:6" x14ac:dyDescent="0.3">
      <c r="A154" s="153" t="s">
        <v>1271</v>
      </c>
      <c r="B154" s="172" t="s">
        <v>430</v>
      </c>
      <c r="C154" s="172" t="s">
        <v>430</v>
      </c>
      <c r="D154" s="154">
        <v>409</v>
      </c>
      <c r="E154" s="169">
        <f t="shared" si="2"/>
        <v>38.875305623471881</v>
      </c>
      <c r="F154" s="155" t="s">
        <v>1272</v>
      </c>
    </row>
    <row r="155" spans="1:6" x14ac:dyDescent="0.3">
      <c r="A155" s="153" t="s">
        <v>1273</v>
      </c>
      <c r="B155" s="172" t="s">
        <v>430</v>
      </c>
      <c r="C155" s="172" t="s">
        <v>430</v>
      </c>
      <c r="D155" s="154">
        <v>213</v>
      </c>
      <c r="E155" s="169">
        <f t="shared" si="2"/>
        <v>32.394366197183096</v>
      </c>
      <c r="F155" s="155" t="s">
        <v>1274</v>
      </c>
    </row>
    <row r="156" spans="1:6" x14ac:dyDescent="0.3">
      <c r="A156" s="153" t="s">
        <v>1275</v>
      </c>
      <c r="B156" s="172" t="s">
        <v>430</v>
      </c>
      <c r="C156" s="172" t="s">
        <v>430</v>
      </c>
      <c r="D156" s="154">
        <v>213</v>
      </c>
      <c r="E156" s="169">
        <f t="shared" si="2"/>
        <v>31.92488262910798</v>
      </c>
      <c r="F156" s="155" t="s">
        <v>1218</v>
      </c>
    </row>
    <row r="157" spans="1:6" x14ac:dyDescent="0.3">
      <c r="A157" s="153" t="s">
        <v>1276</v>
      </c>
      <c r="B157" s="172" t="s">
        <v>430</v>
      </c>
      <c r="C157" s="172" t="s">
        <v>430</v>
      </c>
      <c r="D157" s="154">
        <v>210</v>
      </c>
      <c r="E157" s="169">
        <f t="shared" si="2"/>
        <v>39.523809523809526</v>
      </c>
      <c r="F157" s="155" t="s">
        <v>1277</v>
      </c>
    </row>
    <row r="158" spans="1:6" x14ac:dyDescent="0.3">
      <c r="A158" s="153" t="s">
        <v>1278</v>
      </c>
      <c r="B158" s="172" t="s">
        <v>430</v>
      </c>
      <c r="C158" s="172" t="s">
        <v>430</v>
      </c>
      <c r="D158" s="154">
        <v>557</v>
      </c>
      <c r="E158" s="169">
        <f t="shared" si="2"/>
        <v>41.472172351885099</v>
      </c>
      <c r="F158" s="155" t="s">
        <v>1279</v>
      </c>
    </row>
    <row r="159" spans="1:6" x14ac:dyDescent="0.3">
      <c r="A159" s="153" t="s">
        <v>1280</v>
      </c>
      <c r="B159" s="172" t="s">
        <v>430</v>
      </c>
      <c r="C159" s="172" t="s">
        <v>430</v>
      </c>
      <c r="D159" s="154">
        <v>220</v>
      </c>
      <c r="E159" s="169">
        <f t="shared" si="2"/>
        <v>32.727272727272727</v>
      </c>
      <c r="F159" s="155" t="s">
        <v>1281</v>
      </c>
    </row>
    <row r="160" spans="1:6" x14ac:dyDescent="0.3">
      <c r="A160" s="153" t="s">
        <v>1282</v>
      </c>
      <c r="B160" s="172" t="s">
        <v>430</v>
      </c>
      <c r="C160" s="172" t="s">
        <v>430</v>
      </c>
      <c r="D160" s="154">
        <v>231</v>
      </c>
      <c r="E160" s="169">
        <f t="shared" si="2"/>
        <v>28.571428571428573</v>
      </c>
      <c r="F160" s="155" t="s">
        <v>1283</v>
      </c>
    </row>
    <row r="161" spans="1:6" x14ac:dyDescent="0.3">
      <c r="A161" s="153" t="s">
        <v>1284</v>
      </c>
      <c r="B161" s="172" t="s">
        <v>430</v>
      </c>
      <c r="C161" s="172" t="s">
        <v>430</v>
      </c>
      <c r="D161" s="154">
        <v>229</v>
      </c>
      <c r="E161" s="169">
        <f t="shared" si="2"/>
        <v>51.091703056768559</v>
      </c>
      <c r="F161" s="155" t="s">
        <v>1285</v>
      </c>
    </row>
    <row r="162" spans="1:6" x14ac:dyDescent="0.3">
      <c r="A162" s="153" t="s">
        <v>1286</v>
      </c>
      <c r="B162" s="172" t="s">
        <v>430</v>
      </c>
      <c r="C162" s="172" t="s">
        <v>430</v>
      </c>
      <c r="D162" s="154">
        <v>352</v>
      </c>
      <c r="E162" s="169">
        <f t="shared" si="2"/>
        <v>32.670454545454547</v>
      </c>
      <c r="F162" s="155" t="s">
        <v>1287</v>
      </c>
    </row>
    <row r="163" spans="1:6" x14ac:dyDescent="0.3">
      <c r="A163" s="153" t="s">
        <v>1288</v>
      </c>
      <c r="B163" s="172" t="s">
        <v>430</v>
      </c>
      <c r="C163" s="172" t="s">
        <v>430</v>
      </c>
      <c r="D163" s="154">
        <v>589</v>
      </c>
      <c r="E163" s="169">
        <f t="shared" si="2"/>
        <v>40.407470288624786</v>
      </c>
      <c r="F163" s="155" t="s">
        <v>1289</v>
      </c>
    </row>
    <row r="164" spans="1:6" x14ac:dyDescent="0.3">
      <c r="A164" s="153" t="s">
        <v>1290</v>
      </c>
      <c r="B164" s="172" t="s">
        <v>430</v>
      </c>
      <c r="C164" s="172" t="s">
        <v>430</v>
      </c>
      <c r="D164" s="154">
        <v>740</v>
      </c>
      <c r="E164" s="169">
        <f t="shared" si="2"/>
        <v>37.027027027027025</v>
      </c>
      <c r="F164" s="155" t="s">
        <v>1291</v>
      </c>
    </row>
    <row r="165" spans="1:6" x14ac:dyDescent="0.3">
      <c r="A165" s="153" t="s">
        <v>1292</v>
      </c>
      <c r="B165" s="172" t="s">
        <v>430</v>
      </c>
      <c r="C165" s="172" t="s">
        <v>430</v>
      </c>
      <c r="D165" s="154">
        <v>430</v>
      </c>
      <c r="E165" s="169">
        <f t="shared" si="2"/>
        <v>29.069767441860463</v>
      </c>
      <c r="F165" s="155" t="s">
        <v>1293</v>
      </c>
    </row>
    <row r="166" spans="1:6" x14ac:dyDescent="0.3">
      <c r="A166" s="153" t="s">
        <v>1294</v>
      </c>
      <c r="B166" s="172" t="s">
        <v>430</v>
      </c>
      <c r="C166" s="172" t="s">
        <v>430</v>
      </c>
      <c r="D166" s="154">
        <v>201</v>
      </c>
      <c r="E166" s="169">
        <f t="shared" si="2"/>
        <v>58.706467661691541</v>
      </c>
      <c r="F166" s="155" t="s">
        <v>1295</v>
      </c>
    </row>
    <row r="167" spans="1:6" x14ac:dyDescent="0.3">
      <c r="A167" s="153" t="s">
        <v>1296</v>
      </c>
      <c r="B167" s="172" t="s">
        <v>430</v>
      </c>
      <c r="C167" s="172" t="s">
        <v>430</v>
      </c>
      <c r="D167" s="154">
        <v>217</v>
      </c>
      <c r="E167" s="169">
        <f t="shared" si="2"/>
        <v>32.258064516129032</v>
      </c>
      <c r="F167" s="155" t="s">
        <v>1297</v>
      </c>
    </row>
    <row r="168" spans="1:6" x14ac:dyDescent="0.3">
      <c r="A168" s="153" t="s">
        <v>1298</v>
      </c>
      <c r="B168" s="172" t="s">
        <v>430</v>
      </c>
      <c r="C168" s="172" t="s">
        <v>430</v>
      </c>
      <c r="D168" s="154">
        <v>489</v>
      </c>
      <c r="E168" s="169">
        <f t="shared" si="2"/>
        <v>57.055214723926383</v>
      </c>
      <c r="F168" s="155" t="s">
        <v>1299</v>
      </c>
    </row>
    <row r="169" spans="1:6" x14ac:dyDescent="0.3">
      <c r="A169" s="153" t="s">
        <v>1300</v>
      </c>
      <c r="B169" s="172" t="s">
        <v>430</v>
      </c>
      <c r="C169" s="172" t="s">
        <v>430</v>
      </c>
      <c r="D169" s="154">
        <v>209</v>
      </c>
      <c r="E169" s="169">
        <f t="shared" si="2"/>
        <v>44.019138755980862</v>
      </c>
      <c r="F169" s="155" t="s">
        <v>1301</v>
      </c>
    </row>
    <row r="170" spans="1:6" x14ac:dyDescent="0.3">
      <c r="A170" s="153" t="s">
        <v>1302</v>
      </c>
      <c r="B170" s="172" t="s">
        <v>430</v>
      </c>
      <c r="C170" s="172" t="s">
        <v>430</v>
      </c>
      <c r="D170" s="154">
        <v>307</v>
      </c>
      <c r="E170" s="169">
        <f t="shared" si="2"/>
        <v>49.185667752442995</v>
      </c>
      <c r="F170" s="155" t="s">
        <v>1303</v>
      </c>
    </row>
    <row r="171" spans="1:6" x14ac:dyDescent="0.3">
      <c r="A171" s="153" t="s">
        <v>1304</v>
      </c>
      <c r="B171" s="172" t="s">
        <v>430</v>
      </c>
      <c r="C171" s="172" t="s">
        <v>430</v>
      </c>
      <c r="D171" s="154">
        <v>438</v>
      </c>
      <c r="E171" s="169">
        <f t="shared" si="2"/>
        <v>48.401826484018265</v>
      </c>
      <c r="F171" s="155" t="s">
        <v>1305</v>
      </c>
    </row>
    <row r="172" spans="1:6" x14ac:dyDescent="0.3">
      <c r="A172" s="153" t="s">
        <v>1306</v>
      </c>
      <c r="B172" s="172" t="s">
        <v>430</v>
      </c>
      <c r="C172" s="172" t="s">
        <v>430</v>
      </c>
      <c r="D172" s="154">
        <v>244</v>
      </c>
      <c r="E172" s="169">
        <f t="shared" si="2"/>
        <v>38.114754098360656</v>
      </c>
      <c r="F172" s="155" t="s">
        <v>1307</v>
      </c>
    </row>
    <row r="173" spans="1:6" x14ac:dyDescent="0.3">
      <c r="A173" s="153" t="s">
        <v>1308</v>
      </c>
      <c r="B173" s="172" t="s">
        <v>430</v>
      </c>
      <c r="C173" s="172" t="s">
        <v>430</v>
      </c>
      <c r="D173" s="154">
        <v>264</v>
      </c>
      <c r="E173" s="169">
        <f t="shared" si="2"/>
        <v>40.530303030303031</v>
      </c>
      <c r="F173" s="155" t="s">
        <v>1309</v>
      </c>
    </row>
    <row r="174" spans="1:6" x14ac:dyDescent="0.3">
      <c r="A174" s="153" t="s">
        <v>1310</v>
      </c>
      <c r="B174" s="172" t="s">
        <v>430</v>
      </c>
      <c r="C174" s="172" t="s">
        <v>430</v>
      </c>
      <c r="D174" s="154">
        <v>218</v>
      </c>
      <c r="E174" s="169">
        <f t="shared" si="2"/>
        <v>48.165137614678898</v>
      </c>
      <c r="F174" s="155" t="s">
        <v>1311</v>
      </c>
    </row>
    <row r="175" spans="1:6" x14ac:dyDescent="0.3">
      <c r="A175" s="153" t="s">
        <v>1312</v>
      </c>
      <c r="B175" s="172" t="s">
        <v>430</v>
      </c>
      <c r="C175" s="172" t="s">
        <v>430</v>
      </c>
      <c r="D175" s="154">
        <v>583</v>
      </c>
      <c r="E175" s="169">
        <f t="shared" si="2"/>
        <v>39.451114922813034</v>
      </c>
      <c r="F175" s="155" t="s">
        <v>1313</v>
      </c>
    </row>
    <row r="176" spans="1:6" x14ac:dyDescent="0.3">
      <c r="A176" s="153" t="s">
        <v>1314</v>
      </c>
      <c r="B176" s="172" t="s">
        <v>430</v>
      </c>
      <c r="C176" s="172" t="s">
        <v>430</v>
      </c>
      <c r="D176" s="154">
        <v>398</v>
      </c>
      <c r="E176" s="169">
        <f t="shared" si="2"/>
        <v>33.417085427135682</v>
      </c>
      <c r="F176" s="155" t="s">
        <v>1315</v>
      </c>
    </row>
    <row r="177" spans="1:6" x14ac:dyDescent="0.3">
      <c r="A177" s="153" t="s">
        <v>1316</v>
      </c>
      <c r="B177" s="172" t="s">
        <v>430</v>
      </c>
      <c r="C177" s="172" t="s">
        <v>430</v>
      </c>
      <c r="D177" s="154">
        <v>213</v>
      </c>
      <c r="E177" s="169">
        <f t="shared" si="2"/>
        <v>32.394366197183096</v>
      </c>
      <c r="F177" s="155" t="s">
        <v>1317</v>
      </c>
    </row>
    <row r="178" spans="1:6" x14ac:dyDescent="0.3">
      <c r="A178" s="153" t="s">
        <v>1318</v>
      </c>
      <c r="B178" s="172" t="s">
        <v>430</v>
      </c>
      <c r="C178" s="172" t="s">
        <v>430</v>
      </c>
      <c r="D178" s="154">
        <v>213</v>
      </c>
      <c r="E178" s="169">
        <f t="shared" si="2"/>
        <v>32.394366197183096</v>
      </c>
      <c r="F178" s="155" t="s">
        <v>1319</v>
      </c>
    </row>
    <row r="179" spans="1:6" x14ac:dyDescent="0.3">
      <c r="A179" s="153" t="s">
        <v>1320</v>
      </c>
      <c r="B179" s="172" t="s">
        <v>430</v>
      </c>
      <c r="C179" s="172" t="s">
        <v>430</v>
      </c>
      <c r="D179" s="154">
        <v>326</v>
      </c>
      <c r="E179" s="169">
        <f t="shared" si="2"/>
        <v>25.766871165644172</v>
      </c>
      <c r="F179" s="155" t="s">
        <v>1321</v>
      </c>
    </row>
    <row r="180" spans="1:6" x14ac:dyDescent="0.3">
      <c r="A180" s="153" t="s">
        <v>1322</v>
      </c>
      <c r="B180" s="172" t="s">
        <v>430</v>
      </c>
      <c r="C180" s="172" t="s">
        <v>430</v>
      </c>
      <c r="D180" s="154">
        <v>214</v>
      </c>
      <c r="E180" s="169">
        <f t="shared" si="2"/>
        <v>30.373831775700936</v>
      </c>
      <c r="F180" s="155" t="s">
        <v>1323</v>
      </c>
    </row>
    <row r="181" spans="1:6" x14ac:dyDescent="0.3">
      <c r="A181" s="153" t="s">
        <v>1324</v>
      </c>
      <c r="B181" s="172" t="s">
        <v>430</v>
      </c>
      <c r="C181" s="172" t="s">
        <v>430</v>
      </c>
      <c r="D181" s="154">
        <v>288</v>
      </c>
      <c r="E181" s="169">
        <f t="shared" si="2"/>
        <v>51.041666666666664</v>
      </c>
      <c r="F181" s="155" t="s">
        <v>1325</v>
      </c>
    </row>
    <row r="182" spans="1:6" x14ac:dyDescent="0.3">
      <c r="A182" s="153" t="s">
        <v>1326</v>
      </c>
      <c r="B182" s="172" t="s">
        <v>430</v>
      </c>
      <c r="C182" s="172" t="s">
        <v>430</v>
      </c>
      <c r="D182" s="154">
        <v>350</v>
      </c>
      <c r="E182" s="169">
        <f t="shared" si="2"/>
        <v>23.714285714285715</v>
      </c>
      <c r="F182" s="155" t="s">
        <v>1327</v>
      </c>
    </row>
    <row r="183" spans="1:6" x14ac:dyDescent="0.3">
      <c r="A183" s="153" t="s">
        <v>1328</v>
      </c>
      <c r="B183" s="172" t="s">
        <v>430</v>
      </c>
      <c r="C183" s="172" t="s">
        <v>430</v>
      </c>
      <c r="D183" s="154">
        <v>231</v>
      </c>
      <c r="E183" s="169">
        <f t="shared" si="2"/>
        <v>28.571428571428573</v>
      </c>
      <c r="F183" s="155" t="s">
        <v>1283</v>
      </c>
    </row>
    <row r="184" spans="1:6" x14ac:dyDescent="0.3">
      <c r="A184" s="153" t="s">
        <v>1329</v>
      </c>
      <c r="B184" s="172" t="s">
        <v>430</v>
      </c>
      <c r="C184" s="172" t="s">
        <v>430</v>
      </c>
      <c r="D184" s="154">
        <v>426</v>
      </c>
      <c r="E184" s="169">
        <f t="shared" si="2"/>
        <v>40.845070422535208</v>
      </c>
      <c r="F184" s="155" t="s">
        <v>1330</v>
      </c>
    </row>
    <row r="185" spans="1:6" x14ac:dyDescent="0.3">
      <c r="A185" s="153" t="s">
        <v>1331</v>
      </c>
      <c r="B185" s="172" t="s">
        <v>430</v>
      </c>
      <c r="C185" s="172" t="s">
        <v>430</v>
      </c>
      <c r="D185" s="154">
        <v>261</v>
      </c>
      <c r="E185" s="169">
        <f t="shared" si="2"/>
        <v>35.249042145593869</v>
      </c>
      <c r="F185" s="155" t="s">
        <v>1332</v>
      </c>
    </row>
    <row r="186" spans="1:6" x14ac:dyDescent="0.3">
      <c r="A186" s="153" t="s">
        <v>1333</v>
      </c>
      <c r="B186" s="172" t="s">
        <v>430</v>
      </c>
      <c r="C186" s="172" t="s">
        <v>430</v>
      </c>
      <c r="D186" s="154">
        <v>306</v>
      </c>
      <c r="E186" s="169">
        <f t="shared" si="2"/>
        <v>38.235294117647058</v>
      </c>
      <c r="F186" s="155" t="s">
        <v>1334</v>
      </c>
    </row>
    <row r="187" spans="1:6" x14ac:dyDescent="0.3">
      <c r="A187" s="153" t="s">
        <v>1335</v>
      </c>
      <c r="B187" s="172" t="s">
        <v>430</v>
      </c>
      <c r="C187" s="172" t="s">
        <v>430</v>
      </c>
      <c r="D187" s="154">
        <v>234</v>
      </c>
      <c r="E187" s="169">
        <f t="shared" si="2"/>
        <v>52.136752136752136</v>
      </c>
      <c r="F187" s="155" t="s">
        <v>1336</v>
      </c>
    </row>
    <row r="188" spans="1:6" x14ac:dyDescent="0.3">
      <c r="A188" s="153" t="s">
        <v>1337</v>
      </c>
      <c r="B188" s="172" t="s">
        <v>430</v>
      </c>
      <c r="C188" s="172" t="s">
        <v>430</v>
      </c>
      <c r="D188" s="154">
        <v>349</v>
      </c>
      <c r="E188" s="169">
        <f t="shared" si="2"/>
        <v>38.681948424068771</v>
      </c>
      <c r="F188" s="155" t="s">
        <v>1338</v>
      </c>
    </row>
    <row r="189" spans="1:6" x14ac:dyDescent="0.3">
      <c r="A189" s="153" t="s">
        <v>1339</v>
      </c>
      <c r="B189" s="172" t="s">
        <v>430</v>
      </c>
      <c r="C189" s="172" t="s">
        <v>430</v>
      </c>
      <c r="D189" s="154">
        <v>208</v>
      </c>
      <c r="E189" s="169">
        <f t="shared" si="2"/>
        <v>46.634615384615387</v>
      </c>
      <c r="F189" s="155" t="s">
        <v>1340</v>
      </c>
    </row>
    <row r="190" spans="1:6" x14ac:dyDescent="0.3">
      <c r="A190" s="153" t="s">
        <v>1341</v>
      </c>
      <c r="B190" s="172" t="s">
        <v>430</v>
      </c>
      <c r="C190" s="172" t="s">
        <v>430</v>
      </c>
      <c r="D190" s="154">
        <v>278</v>
      </c>
      <c r="E190" s="169">
        <f t="shared" si="2"/>
        <v>45.68345323741007</v>
      </c>
      <c r="F190" s="155" t="s">
        <v>1342</v>
      </c>
    </row>
    <row r="191" spans="1:6" x14ac:dyDescent="0.3">
      <c r="A191" s="153" t="s">
        <v>1343</v>
      </c>
      <c r="B191" s="172" t="s">
        <v>430</v>
      </c>
      <c r="C191" s="172" t="s">
        <v>430</v>
      </c>
      <c r="D191" s="154">
        <v>538</v>
      </c>
      <c r="E191" s="169">
        <f t="shared" si="2"/>
        <v>36.431226765799259</v>
      </c>
      <c r="F191" s="155" t="s">
        <v>1344</v>
      </c>
    </row>
    <row r="192" spans="1:6" x14ac:dyDescent="0.3">
      <c r="A192" s="153" t="s">
        <v>1345</v>
      </c>
      <c r="B192" s="172" t="s">
        <v>430</v>
      </c>
      <c r="C192" s="172" t="s">
        <v>430</v>
      </c>
      <c r="D192" s="154">
        <v>776</v>
      </c>
      <c r="E192" s="169">
        <f t="shared" si="2"/>
        <v>39.432989690721648</v>
      </c>
      <c r="F192" s="155" t="s">
        <v>1346</v>
      </c>
    </row>
    <row r="193" spans="1:6" x14ac:dyDescent="0.3">
      <c r="A193" s="153" t="s">
        <v>1347</v>
      </c>
      <c r="B193" s="172" t="s">
        <v>430</v>
      </c>
      <c r="C193" s="172" t="s">
        <v>430</v>
      </c>
      <c r="D193" s="154">
        <v>248</v>
      </c>
      <c r="E193" s="169">
        <f t="shared" si="2"/>
        <v>29.43548387096774</v>
      </c>
      <c r="F193" s="155" t="s">
        <v>1348</v>
      </c>
    </row>
    <row r="194" spans="1:6" x14ac:dyDescent="0.3">
      <c r="A194" s="153" t="s">
        <v>1349</v>
      </c>
      <c r="B194" s="172" t="s">
        <v>430</v>
      </c>
      <c r="C194" s="172" t="s">
        <v>430</v>
      </c>
      <c r="D194" s="154">
        <v>507</v>
      </c>
      <c r="E194" s="169">
        <f t="shared" si="2"/>
        <v>39.842209072978306</v>
      </c>
      <c r="F194" s="155" t="s">
        <v>1350</v>
      </c>
    </row>
    <row r="195" spans="1:6" x14ac:dyDescent="0.3">
      <c r="A195" s="153" t="s">
        <v>1351</v>
      </c>
      <c r="B195" s="172" t="s">
        <v>430</v>
      </c>
      <c r="C195" s="172" t="s">
        <v>430</v>
      </c>
      <c r="D195" s="154">
        <v>512</v>
      </c>
      <c r="E195" s="169">
        <f t="shared" si="2"/>
        <v>52.734375</v>
      </c>
      <c r="F195" s="155" t="s">
        <v>1352</v>
      </c>
    </row>
    <row r="196" spans="1:6" x14ac:dyDescent="0.3">
      <c r="A196" s="153" t="s">
        <v>1353</v>
      </c>
      <c r="B196" s="172" t="s">
        <v>430</v>
      </c>
      <c r="C196" s="172" t="s">
        <v>430</v>
      </c>
      <c r="D196" s="154">
        <v>278</v>
      </c>
      <c r="E196" s="169">
        <f t="shared" ref="E196:E259" si="3">((LEN(F196)-LEN(SUBSTITUTE(F196,"G","")))+(LEN(F196)-LEN(SUBSTITUTE(F196,"C",""))))*100/LEN(F196)</f>
        <v>44.964028776978417</v>
      </c>
      <c r="F196" s="155" t="s">
        <v>1354</v>
      </c>
    </row>
    <row r="197" spans="1:6" x14ac:dyDescent="0.3">
      <c r="A197" s="153" t="s">
        <v>1355</v>
      </c>
      <c r="B197" s="172" t="s">
        <v>430</v>
      </c>
      <c r="C197" s="172" t="s">
        <v>430</v>
      </c>
      <c r="D197" s="154">
        <v>200</v>
      </c>
      <c r="E197" s="169">
        <f t="shared" si="3"/>
        <v>44.5</v>
      </c>
      <c r="F197" s="155" t="s">
        <v>1356</v>
      </c>
    </row>
    <row r="198" spans="1:6" x14ac:dyDescent="0.3">
      <c r="A198" s="153" t="s">
        <v>1357</v>
      </c>
      <c r="B198" s="172" t="s">
        <v>430</v>
      </c>
      <c r="C198" s="172" t="s">
        <v>430</v>
      </c>
      <c r="D198" s="154">
        <v>208</v>
      </c>
      <c r="E198" s="169">
        <f t="shared" si="3"/>
        <v>46.634615384615387</v>
      </c>
      <c r="F198" s="155" t="s">
        <v>1358</v>
      </c>
    </row>
    <row r="199" spans="1:6" x14ac:dyDescent="0.3">
      <c r="A199" s="153" t="s">
        <v>1359</v>
      </c>
      <c r="B199" s="172" t="s">
        <v>430</v>
      </c>
      <c r="C199" s="172" t="s">
        <v>430</v>
      </c>
      <c r="D199" s="154">
        <v>262</v>
      </c>
      <c r="E199" s="169">
        <f t="shared" si="3"/>
        <v>32.44274809160305</v>
      </c>
      <c r="F199" s="155" t="s">
        <v>1360</v>
      </c>
    </row>
    <row r="200" spans="1:6" x14ac:dyDescent="0.3">
      <c r="A200" s="153" t="s">
        <v>1361</v>
      </c>
      <c r="B200" s="172" t="s">
        <v>430</v>
      </c>
      <c r="C200" s="172" t="s">
        <v>430</v>
      </c>
      <c r="D200" s="154">
        <v>236</v>
      </c>
      <c r="E200" s="169">
        <f t="shared" si="3"/>
        <v>54.66101694915254</v>
      </c>
      <c r="F200" s="155" t="s">
        <v>1362</v>
      </c>
    </row>
    <row r="201" spans="1:6" x14ac:dyDescent="0.3">
      <c r="A201" s="153" t="s">
        <v>1363</v>
      </c>
      <c r="B201" s="172" t="s">
        <v>430</v>
      </c>
      <c r="C201" s="172" t="s">
        <v>430</v>
      </c>
      <c r="D201" s="154">
        <v>268</v>
      </c>
      <c r="E201" s="169">
        <f t="shared" si="3"/>
        <v>25</v>
      </c>
      <c r="F201" s="155" t="s">
        <v>1364</v>
      </c>
    </row>
    <row r="202" spans="1:6" x14ac:dyDescent="0.3">
      <c r="A202" s="153" t="s">
        <v>1365</v>
      </c>
      <c r="B202" s="172" t="s">
        <v>430</v>
      </c>
      <c r="C202" s="172" t="s">
        <v>430</v>
      </c>
      <c r="D202" s="154">
        <v>625</v>
      </c>
      <c r="E202" s="169">
        <f t="shared" si="3"/>
        <v>37.44</v>
      </c>
      <c r="F202" s="155" t="s">
        <v>1366</v>
      </c>
    </row>
    <row r="203" spans="1:6" x14ac:dyDescent="0.3">
      <c r="A203" s="153" t="s">
        <v>1367</v>
      </c>
      <c r="B203" s="172" t="s">
        <v>430</v>
      </c>
      <c r="C203" s="172" t="s">
        <v>430</v>
      </c>
      <c r="D203" s="154">
        <v>225</v>
      </c>
      <c r="E203" s="169">
        <f t="shared" si="3"/>
        <v>43.555555555555557</v>
      </c>
      <c r="F203" s="155" t="s">
        <v>1368</v>
      </c>
    </row>
    <row r="204" spans="1:6" x14ac:dyDescent="0.3">
      <c r="A204" s="153" t="s">
        <v>1369</v>
      </c>
      <c r="B204" s="172" t="s">
        <v>430</v>
      </c>
      <c r="C204" s="172" t="s">
        <v>430</v>
      </c>
      <c r="D204" s="154">
        <v>236</v>
      </c>
      <c r="E204" s="169">
        <f t="shared" si="3"/>
        <v>54.66101694915254</v>
      </c>
      <c r="F204" s="155" t="s">
        <v>1370</v>
      </c>
    </row>
    <row r="205" spans="1:6" x14ac:dyDescent="0.3">
      <c r="A205" s="153" t="s">
        <v>1371</v>
      </c>
      <c r="B205" s="172" t="s">
        <v>430</v>
      </c>
      <c r="C205" s="172" t="s">
        <v>430</v>
      </c>
      <c r="D205" s="154">
        <v>220</v>
      </c>
      <c r="E205" s="169">
        <f t="shared" si="3"/>
        <v>37.727272727272727</v>
      </c>
      <c r="F205" s="155" t="s">
        <v>1372</v>
      </c>
    </row>
    <row r="206" spans="1:6" x14ac:dyDescent="0.3">
      <c r="A206" s="171" t="s">
        <v>1373</v>
      </c>
      <c r="B206" s="171" t="s">
        <v>2101</v>
      </c>
      <c r="C206" s="171" t="s">
        <v>2031</v>
      </c>
      <c r="D206" s="154">
        <v>580</v>
      </c>
      <c r="E206" s="169">
        <f t="shared" si="3"/>
        <v>39.827586206896555</v>
      </c>
      <c r="F206" s="155" t="s">
        <v>1374</v>
      </c>
    </row>
    <row r="207" spans="1:6" x14ac:dyDescent="0.3">
      <c r="A207" s="171" t="s">
        <v>1375</v>
      </c>
      <c r="B207" s="171" t="s">
        <v>2101</v>
      </c>
      <c r="C207" s="171" t="s">
        <v>2032</v>
      </c>
      <c r="D207" s="154">
        <v>580</v>
      </c>
      <c r="E207" s="169">
        <f t="shared" si="3"/>
        <v>40</v>
      </c>
      <c r="F207" s="155" t="s">
        <v>1376</v>
      </c>
    </row>
    <row r="208" spans="1:6" x14ac:dyDescent="0.3">
      <c r="A208" s="153" t="s">
        <v>1377</v>
      </c>
      <c r="B208" s="172" t="s">
        <v>430</v>
      </c>
      <c r="C208" s="172" t="s">
        <v>430</v>
      </c>
      <c r="D208" s="154">
        <v>244</v>
      </c>
      <c r="E208" s="169">
        <f t="shared" si="3"/>
        <v>40.16393442622951</v>
      </c>
      <c r="F208" s="155" t="s">
        <v>1378</v>
      </c>
    </row>
    <row r="209" spans="1:6" x14ac:dyDescent="0.3">
      <c r="A209" s="153" t="s">
        <v>1379</v>
      </c>
      <c r="B209" s="172" t="s">
        <v>430</v>
      </c>
      <c r="C209" s="172" t="s">
        <v>430</v>
      </c>
      <c r="D209" s="154">
        <v>355</v>
      </c>
      <c r="E209" s="169">
        <f t="shared" si="3"/>
        <v>36.338028169014088</v>
      </c>
      <c r="F209" s="155" t="s">
        <v>1380</v>
      </c>
    </row>
    <row r="210" spans="1:6" x14ac:dyDescent="0.3">
      <c r="A210" s="153" t="s">
        <v>1381</v>
      </c>
      <c r="B210" s="172" t="s">
        <v>430</v>
      </c>
      <c r="C210" s="172" t="s">
        <v>430</v>
      </c>
      <c r="D210" s="154">
        <v>205</v>
      </c>
      <c r="E210" s="169">
        <f t="shared" si="3"/>
        <v>50.243902439024389</v>
      </c>
      <c r="F210" s="155" t="s">
        <v>1382</v>
      </c>
    </row>
    <row r="211" spans="1:6" x14ac:dyDescent="0.3">
      <c r="A211" s="153" t="s">
        <v>1383</v>
      </c>
      <c r="B211" s="172" t="s">
        <v>430</v>
      </c>
      <c r="C211" s="172" t="s">
        <v>430</v>
      </c>
      <c r="D211" s="154">
        <v>220</v>
      </c>
      <c r="E211" s="169">
        <f t="shared" si="3"/>
        <v>50.909090909090907</v>
      </c>
      <c r="F211" s="155" t="s">
        <v>1384</v>
      </c>
    </row>
    <row r="212" spans="1:6" x14ac:dyDescent="0.3">
      <c r="A212" s="153" t="s">
        <v>1385</v>
      </c>
      <c r="B212" s="172" t="s">
        <v>430</v>
      </c>
      <c r="C212" s="172" t="s">
        <v>430</v>
      </c>
      <c r="D212" s="154">
        <v>455</v>
      </c>
      <c r="E212" s="169">
        <f t="shared" si="3"/>
        <v>27.692307692307693</v>
      </c>
      <c r="F212" s="155" t="s">
        <v>1386</v>
      </c>
    </row>
    <row r="213" spans="1:6" x14ac:dyDescent="0.3">
      <c r="A213" s="153" t="s">
        <v>1387</v>
      </c>
      <c r="B213" s="172" t="s">
        <v>430</v>
      </c>
      <c r="C213" s="172" t="s">
        <v>430</v>
      </c>
      <c r="D213" s="154">
        <v>340</v>
      </c>
      <c r="E213" s="169">
        <f t="shared" si="3"/>
        <v>38.235294117647058</v>
      </c>
      <c r="F213" s="155" t="s">
        <v>1388</v>
      </c>
    </row>
    <row r="214" spans="1:6" x14ac:dyDescent="0.3">
      <c r="A214" s="153" t="s">
        <v>1389</v>
      </c>
      <c r="B214" s="172" t="s">
        <v>430</v>
      </c>
      <c r="C214" s="172" t="s">
        <v>430</v>
      </c>
      <c r="D214" s="154">
        <v>377</v>
      </c>
      <c r="E214" s="169">
        <f t="shared" si="3"/>
        <v>32.625994694960212</v>
      </c>
      <c r="F214" s="155" t="s">
        <v>1390</v>
      </c>
    </row>
    <row r="215" spans="1:6" x14ac:dyDescent="0.3">
      <c r="A215" s="153" t="s">
        <v>1391</v>
      </c>
      <c r="B215" s="172" t="s">
        <v>430</v>
      </c>
      <c r="C215" s="172" t="s">
        <v>430</v>
      </c>
      <c r="D215" s="154">
        <v>210</v>
      </c>
      <c r="E215" s="169">
        <f t="shared" si="3"/>
        <v>50</v>
      </c>
      <c r="F215" s="155" t="s">
        <v>1392</v>
      </c>
    </row>
    <row r="216" spans="1:6" x14ac:dyDescent="0.3">
      <c r="A216" s="153" t="s">
        <v>1393</v>
      </c>
      <c r="B216" s="172" t="s">
        <v>430</v>
      </c>
      <c r="C216" s="172" t="s">
        <v>430</v>
      </c>
      <c r="D216" s="154">
        <v>386</v>
      </c>
      <c r="E216" s="169">
        <f t="shared" si="3"/>
        <v>41.709844559585491</v>
      </c>
      <c r="F216" s="155" t="s">
        <v>1394</v>
      </c>
    </row>
    <row r="217" spans="1:6" x14ac:dyDescent="0.3">
      <c r="A217" s="153" t="s">
        <v>1395</v>
      </c>
      <c r="B217" s="172" t="s">
        <v>430</v>
      </c>
      <c r="C217" s="172" t="s">
        <v>430</v>
      </c>
      <c r="D217" s="154">
        <v>251</v>
      </c>
      <c r="E217" s="169">
        <f t="shared" si="3"/>
        <v>32.669322709163346</v>
      </c>
      <c r="F217" s="155" t="s">
        <v>1396</v>
      </c>
    </row>
    <row r="218" spans="1:6" x14ac:dyDescent="0.3">
      <c r="A218" s="153" t="s">
        <v>1397</v>
      </c>
      <c r="B218" s="172" t="s">
        <v>430</v>
      </c>
      <c r="C218" s="172" t="s">
        <v>430</v>
      </c>
      <c r="D218" s="154">
        <v>204</v>
      </c>
      <c r="E218" s="169">
        <f t="shared" si="3"/>
        <v>50.490196078431374</v>
      </c>
      <c r="F218" s="155" t="s">
        <v>1398</v>
      </c>
    </row>
    <row r="219" spans="1:6" x14ac:dyDescent="0.3">
      <c r="A219" s="153" t="s">
        <v>1399</v>
      </c>
      <c r="B219" s="172" t="s">
        <v>430</v>
      </c>
      <c r="C219" s="172" t="s">
        <v>430</v>
      </c>
      <c r="D219" s="154">
        <v>342</v>
      </c>
      <c r="E219" s="169">
        <f t="shared" si="3"/>
        <v>42.690058479532162</v>
      </c>
      <c r="F219" s="155" t="s">
        <v>1400</v>
      </c>
    </row>
    <row r="220" spans="1:6" x14ac:dyDescent="0.3">
      <c r="A220" s="153" t="s">
        <v>1401</v>
      </c>
      <c r="B220" s="172" t="s">
        <v>430</v>
      </c>
      <c r="C220" s="172" t="s">
        <v>430</v>
      </c>
      <c r="D220" s="154">
        <v>302</v>
      </c>
      <c r="E220" s="169">
        <f t="shared" si="3"/>
        <v>39.403973509933778</v>
      </c>
      <c r="F220" s="155" t="s">
        <v>1402</v>
      </c>
    </row>
    <row r="221" spans="1:6" x14ac:dyDescent="0.3">
      <c r="A221" s="153" t="s">
        <v>1403</v>
      </c>
      <c r="B221" s="172" t="s">
        <v>430</v>
      </c>
      <c r="C221" s="172" t="s">
        <v>430</v>
      </c>
      <c r="D221" s="154">
        <v>282</v>
      </c>
      <c r="E221" s="169">
        <f t="shared" si="3"/>
        <v>31.560283687943262</v>
      </c>
      <c r="F221" s="155" t="s">
        <v>1404</v>
      </c>
    </row>
    <row r="222" spans="1:6" x14ac:dyDescent="0.3">
      <c r="A222" s="153" t="s">
        <v>1405</v>
      </c>
      <c r="B222" s="172" t="s">
        <v>430</v>
      </c>
      <c r="C222" s="172" t="s">
        <v>430</v>
      </c>
      <c r="D222" s="154">
        <v>270</v>
      </c>
      <c r="E222" s="169">
        <f t="shared" si="3"/>
        <v>52.962962962962962</v>
      </c>
      <c r="F222" s="155" t="s">
        <v>1406</v>
      </c>
    </row>
    <row r="223" spans="1:6" x14ac:dyDescent="0.3">
      <c r="A223" s="153" t="s">
        <v>1407</v>
      </c>
      <c r="B223" s="172" t="s">
        <v>430</v>
      </c>
      <c r="C223" s="172" t="s">
        <v>430</v>
      </c>
      <c r="D223" s="154">
        <v>213</v>
      </c>
      <c r="E223" s="169">
        <f t="shared" si="3"/>
        <v>31.92488262910798</v>
      </c>
      <c r="F223" s="155" t="s">
        <v>1408</v>
      </c>
    </row>
    <row r="224" spans="1:6" x14ac:dyDescent="0.3">
      <c r="A224" s="153" t="s">
        <v>1409</v>
      </c>
      <c r="B224" s="172" t="s">
        <v>430</v>
      </c>
      <c r="C224" s="172" t="s">
        <v>430</v>
      </c>
      <c r="D224" s="154">
        <v>213</v>
      </c>
      <c r="E224" s="169">
        <f t="shared" si="3"/>
        <v>31.92488262910798</v>
      </c>
      <c r="F224" s="155" t="s">
        <v>1410</v>
      </c>
    </row>
    <row r="225" spans="1:6" x14ac:dyDescent="0.3">
      <c r="A225" s="153" t="s">
        <v>1411</v>
      </c>
      <c r="B225" s="172" t="s">
        <v>430</v>
      </c>
      <c r="C225" s="172" t="s">
        <v>430</v>
      </c>
      <c r="D225" s="154">
        <v>213</v>
      </c>
      <c r="E225" s="169">
        <f t="shared" si="3"/>
        <v>32.394366197183096</v>
      </c>
      <c r="F225" s="155" t="s">
        <v>1412</v>
      </c>
    </row>
    <row r="226" spans="1:6" x14ac:dyDescent="0.3">
      <c r="A226" s="153" t="s">
        <v>1413</v>
      </c>
      <c r="B226" s="172" t="s">
        <v>430</v>
      </c>
      <c r="C226" s="172" t="s">
        <v>430</v>
      </c>
      <c r="D226" s="154">
        <v>213</v>
      </c>
      <c r="E226" s="169">
        <f t="shared" si="3"/>
        <v>32.394366197183096</v>
      </c>
      <c r="F226" s="155" t="s">
        <v>1414</v>
      </c>
    </row>
    <row r="227" spans="1:6" x14ac:dyDescent="0.3">
      <c r="A227" s="153" t="s">
        <v>1415</v>
      </c>
      <c r="B227" s="172" t="s">
        <v>430</v>
      </c>
      <c r="C227" s="172" t="s">
        <v>430</v>
      </c>
      <c r="D227" s="154">
        <v>337</v>
      </c>
      <c r="E227" s="169">
        <f t="shared" si="3"/>
        <v>43.323442136498514</v>
      </c>
      <c r="F227" s="155" t="s">
        <v>1416</v>
      </c>
    </row>
    <row r="228" spans="1:6" x14ac:dyDescent="0.3">
      <c r="A228" s="153" t="s">
        <v>1417</v>
      </c>
      <c r="B228" s="172" t="s">
        <v>430</v>
      </c>
      <c r="C228" s="172" t="s">
        <v>430</v>
      </c>
      <c r="D228" s="154">
        <v>274</v>
      </c>
      <c r="E228" s="169">
        <f t="shared" si="3"/>
        <v>45.985401459854018</v>
      </c>
      <c r="F228" s="155" t="s">
        <v>1418</v>
      </c>
    </row>
    <row r="229" spans="1:6" x14ac:dyDescent="0.3">
      <c r="A229" s="153" t="s">
        <v>1419</v>
      </c>
      <c r="B229" s="172" t="s">
        <v>430</v>
      </c>
      <c r="C229" s="172" t="s">
        <v>430</v>
      </c>
      <c r="D229" s="154">
        <v>471</v>
      </c>
      <c r="E229" s="169">
        <f t="shared" si="3"/>
        <v>31.847133757961782</v>
      </c>
      <c r="F229" s="155" t="s">
        <v>1420</v>
      </c>
    </row>
    <row r="230" spans="1:6" x14ac:dyDescent="0.3">
      <c r="A230" s="153" t="s">
        <v>1421</v>
      </c>
      <c r="B230" s="172" t="s">
        <v>430</v>
      </c>
      <c r="C230" s="172" t="s">
        <v>430</v>
      </c>
      <c r="D230" s="154">
        <v>512</v>
      </c>
      <c r="E230" s="169">
        <f t="shared" si="3"/>
        <v>53.125</v>
      </c>
      <c r="F230" s="155" t="s">
        <v>1422</v>
      </c>
    </row>
    <row r="231" spans="1:6" x14ac:dyDescent="0.3">
      <c r="A231" s="153" t="s">
        <v>1423</v>
      </c>
      <c r="B231" s="172" t="s">
        <v>430</v>
      </c>
      <c r="C231" s="172" t="s">
        <v>430</v>
      </c>
      <c r="D231" s="154">
        <v>207</v>
      </c>
      <c r="E231" s="169">
        <f t="shared" si="3"/>
        <v>43.478260869565219</v>
      </c>
      <c r="F231" s="155" t="s">
        <v>1424</v>
      </c>
    </row>
    <row r="232" spans="1:6" x14ac:dyDescent="0.3">
      <c r="A232" s="153" t="s">
        <v>1425</v>
      </c>
      <c r="B232" s="172" t="s">
        <v>430</v>
      </c>
      <c r="C232" s="172" t="s">
        <v>430</v>
      </c>
      <c r="D232" s="154">
        <v>282</v>
      </c>
      <c r="E232" s="169">
        <f t="shared" si="3"/>
        <v>35.460992907801419</v>
      </c>
      <c r="F232" s="155" t="s">
        <v>1426</v>
      </c>
    </row>
    <row r="233" spans="1:6" x14ac:dyDescent="0.3">
      <c r="A233" s="153" t="s">
        <v>1427</v>
      </c>
      <c r="B233" s="172" t="s">
        <v>430</v>
      </c>
      <c r="C233" s="172" t="s">
        <v>430</v>
      </c>
      <c r="D233" s="154">
        <v>681</v>
      </c>
      <c r="E233" s="169">
        <f t="shared" si="3"/>
        <v>32.305433186490454</v>
      </c>
      <c r="F233" s="155" t="s">
        <v>1428</v>
      </c>
    </row>
    <row r="234" spans="1:6" x14ac:dyDescent="0.3">
      <c r="A234" s="153" t="s">
        <v>1429</v>
      </c>
      <c r="B234" s="172" t="s">
        <v>430</v>
      </c>
      <c r="C234" s="172" t="s">
        <v>430</v>
      </c>
      <c r="D234" s="154">
        <v>269</v>
      </c>
      <c r="E234" s="169">
        <f t="shared" si="3"/>
        <v>37.54646840148699</v>
      </c>
      <c r="F234" s="155" t="s">
        <v>1430</v>
      </c>
    </row>
    <row r="235" spans="1:6" x14ac:dyDescent="0.3">
      <c r="A235" s="153" t="s">
        <v>1431</v>
      </c>
      <c r="B235" s="172" t="s">
        <v>430</v>
      </c>
      <c r="C235" s="172" t="s">
        <v>430</v>
      </c>
      <c r="D235" s="154">
        <v>337</v>
      </c>
      <c r="E235" s="169">
        <f t="shared" si="3"/>
        <v>43.026706231454007</v>
      </c>
      <c r="F235" s="155" t="s">
        <v>1432</v>
      </c>
    </row>
    <row r="236" spans="1:6" x14ac:dyDescent="0.3">
      <c r="A236" s="153" t="s">
        <v>1433</v>
      </c>
      <c r="B236" s="172" t="s">
        <v>430</v>
      </c>
      <c r="C236" s="172" t="s">
        <v>430</v>
      </c>
      <c r="D236" s="154">
        <v>221</v>
      </c>
      <c r="E236" s="169">
        <f t="shared" si="3"/>
        <v>24.434389140271492</v>
      </c>
      <c r="F236" s="155" t="s">
        <v>1434</v>
      </c>
    </row>
    <row r="237" spans="1:6" x14ac:dyDescent="0.3">
      <c r="A237" s="153" t="s">
        <v>1435</v>
      </c>
      <c r="B237" s="172" t="s">
        <v>430</v>
      </c>
      <c r="C237" s="172" t="s">
        <v>430</v>
      </c>
      <c r="D237" s="154">
        <v>320</v>
      </c>
      <c r="E237" s="169">
        <f t="shared" si="3"/>
        <v>50</v>
      </c>
      <c r="F237" s="155" t="s">
        <v>1436</v>
      </c>
    </row>
    <row r="238" spans="1:6" x14ac:dyDescent="0.3">
      <c r="A238" s="153" t="s">
        <v>1437</v>
      </c>
      <c r="B238" s="172" t="s">
        <v>430</v>
      </c>
      <c r="C238" s="172" t="s">
        <v>430</v>
      </c>
      <c r="D238" s="154">
        <v>782</v>
      </c>
      <c r="E238" s="169">
        <f t="shared" si="3"/>
        <v>37.851662404092075</v>
      </c>
      <c r="F238" s="155" t="s">
        <v>1438</v>
      </c>
    </row>
    <row r="239" spans="1:6" x14ac:dyDescent="0.3">
      <c r="A239" s="153" t="s">
        <v>1439</v>
      </c>
      <c r="B239" s="172" t="s">
        <v>430</v>
      </c>
      <c r="C239" s="172" t="s">
        <v>430</v>
      </c>
      <c r="D239" s="154">
        <v>411</v>
      </c>
      <c r="E239" s="169">
        <f t="shared" si="3"/>
        <v>45.742092457420924</v>
      </c>
      <c r="F239" s="155" t="s">
        <v>1440</v>
      </c>
    </row>
    <row r="240" spans="1:6" x14ac:dyDescent="0.3">
      <c r="A240" s="153" t="s">
        <v>1441</v>
      </c>
      <c r="B240" s="172" t="s">
        <v>430</v>
      </c>
      <c r="C240" s="172" t="s">
        <v>430</v>
      </c>
      <c r="D240" s="154">
        <v>397</v>
      </c>
      <c r="E240" s="169">
        <f t="shared" si="3"/>
        <v>51.133501259445843</v>
      </c>
      <c r="F240" s="155" t="s">
        <v>1442</v>
      </c>
    </row>
    <row r="241" spans="1:6" x14ac:dyDescent="0.3">
      <c r="A241" s="153" t="s">
        <v>1443</v>
      </c>
      <c r="B241" s="172" t="s">
        <v>430</v>
      </c>
      <c r="C241" s="172" t="s">
        <v>430</v>
      </c>
      <c r="D241" s="154">
        <v>222</v>
      </c>
      <c r="E241" s="169">
        <f t="shared" si="3"/>
        <v>30.63063063063063</v>
      </c>
      <c r="F241" s="155" t="s">
        <v>1444</v>
      </c>
    </row>
    <row r="242" spans="1:6" x14ac:dyDescent="0.3">
      <c r="A242" s="153" t="s">
        <v>1445</v>
      </c>
      <c r="B242" s="172" t="s">
        <v>430</v>
      </c>
      <c r="C242" s="172" t="s">
        <v>430</v>
      </c>
      <c r="D242" s="154">
        <v>734</v>
      </c>
      <c r="E242" s="169">
        <f t="shared" si="3"/>
        <v>38.555858310626704</v>
      </c>
      <c r="F242" s="155" t="s">
        <v>1446</v>
      </c>
    </row>
    <row r="243" spans="1:6" x14ac:dyDescent="0.3">
      <c r="A243" s="153" t="s">
        <v>1447</v>
      </c>
      <c r="B243" s="172" t="s">
        <v>430</v>
      </c>
      <c r="C243" s="172" t="s">
        <v>430</v>
      </c>
      <c r="D243" s="154">
        <v>244</v>
      </c>
      <c r="E243" s="169">
        <f t="shared" si="3"/>
        <v>51.639344262295083</v>
      </c>
      <c r="F243" s="155" t="s">
        <v>1448</v>
      </c>
    </row>
    <row r="244" spans="1:6" x14ac:dyDescent="0.3">
      <c r="A244" s="153" t="s">
        <v>1449</v>
      </c>
      <c r="B244" s="172" t="s">
        <v>430</v>
      </c>
      <c r="C244" s="172" t="s">
        <v>430</v>
      </c>
      <c r="D244" s="154">
        <v>761</v>
      </c>
      <c r="E244" s="169">
        <f t="shared" si="3"/>
        <v>38.501971090670168</v>
      </c>
      <c r="F244" s="155" t="s">
        <v>1450</v>
      </c>
    </row>
    <row r="245" spans="1:6" x14ac:dyDescent="0.3">
      <c r="A245" s="153" t="s">
        <v>1451</v>
      </c>
      <c r="B245" s="172" t="s">
        <v>430</v>
      </c>
      <c r="C245" s="172" t="s">
        <v>430</v>
      </c>
      <c r="D245" s="154">
        <v>343</v>
      </c>
      <c r="E245" s="169">
        <f t="shared" si="3"/>
        <v>44.023323615160351</v>
      </c>
      <c r="F245" s="155" t="s">
        <v>1452</v>
      </c>
    </row>
    <row r="246" spans="1:6" x14ac:dyDescent="0.3">
      <c r="A246" s="153" t="s">
        <v>1453</v>
      </c>
      <c r="B246" s="172" t="s">
        <v>430</v>
      </c>
      <c r="C246" s="172" t="s">
        <v>430</v>
      </c>
      <c r="D246" s="154">
        <v>483</v>
      </c>
      <c r="E246" s="169">
        <f t="shared" si="3"/>
        <v>38.716356107660452</v>
      </c>
      <c r="F246" s="155" t="s">
        <v>1454</v>
      </c>
    </row>
    <row r="247" spans="1:6" x14ac:dyDescent="0.3">
      <c r="A247" s="153" t="s">
        <v>1455</v>
      </c>
      <c r="B247" s="172" t="s">
        <v>430</v>
      </c>
      <c r="C247" s="172" t="s">
        <v>430</v>
      </c>
      <c r="D247" s="154">
        <v>220</v>
      </c>
      <c r="E247" s="169">
        <f t="shared" si="3"/>
        <v>37.727272727272727</v>
      </c>
      <c r="F247" s="155" t="s">
        <v>1372</v>
      </c>
    </row>
    <row r="248" spans="1:6" x14ac:dyDescent="0.3">
      <c r="A248" s="153" t="s">
        <v>1456</v>
      </c>
      <c r="B248" s="172" t="s">
        <v>430</v>
      </c>
      <c r="C248" s="172" t="s">
        <v>430</v>
      </c>
      <c r="D248" s="154">
        <v>255</v>
      </c>
      <c r="E248" s="169">
        <f t="shared" si="3"/>
        <v>46.666666666666664</v>
      </c>
      <c r="F248" s="155" t="s">
        <v>1457</v>
      </c>
    </row>
    <row r="249" spans="1:6" x14ac:dyDescent="0.3">
      <c r="A249" s="153" t="s">
        <v>1458</v>
      </c>
      <c r="B249" s="172" t="s">
        <v>430</v>
      </c>
      <c r="C249" s="172" t="s">
        <v>430</v>
      </c>
      <c r="D249" s="154">
        <v>265</v>
      </c>
      <c r="E249" s="169">
        <f t="shared" si="3"/>
        <v>40</v>
      </c>
      <c r="F249" s="155" t="s">
        <v>1459</v>
      </c>
    </row>
    <row r="250" spans="1:6" x14ac:dyDescent="0.3">
      <c r="A250" s="153" t="s">
        <v>1460</v>
      </c>
      <c r="B250" s="172" t="s">
        <v>430</v>
      </c>
      <c r="C250" s="172" t="s">
        <v>430</v>
      </c>
      <c r="D250" s="154">
        <v>220</v>
      </c>
      <c r="E250" s="169">
        <f t="shared" si="3"/>
        <v>39.090909090909093</v>
      </c>
      <c r="F250" s="155" t="s">
        <v>1461</v>
      </c>
    </row>
    <row r="251" spans="1:6" x14ac:dyDescent="0.3">
      <c r="A251" s="153" t="s">
        <v>1462</v>
      </c>
      <c r="B251" s="172" t="s">
        <v>430</v>
      </c>
      <c r="C251" s="172" t="s">
        <v>430</v>
      </c>
      <c r="D251" s="154">
        <v>231</v>
      </c>
      <c r="E251" s="169">
        <f t="shared" si="3"/>
        <v>41.99134199134199</v>
      </c>
      <c r="F251" s="155" t="s">
        <v>1463</v>
      </c>
    </row>
    <row r="252" spans="1:6" x14ac:dyDescent="0.3">
      <c r="A252" s="153" t="s">
        <v>1464</v>
      </c>
      <c r="B252" s="172" t="s">
        <v>430</v>
      </c>
      <c r="C252" s="172" t="s">
        <v>430</v>
      </c>
      <c r="D252" s="154">
        <v>740</v>
      </c>
      <c r="E252" s="169">
        <f t="shared" si="3"/>
        <v>39.594594594594597</v>
      </c>
      <c r="F252" s="155" t="s">
        <v>1465</v>
      </c>
    </row>
    <row r="253" spans="1:6" x14ac:dyDescent="0.3">
      <c r="A253" s="153" t="s">
        <v>1466</v>
      </c>
      <c r="B253" s="172" t="s">
        <v>430</v>
      </c>
      <c r="C253" s="172" t="s">
        <v>430</v>
      </c>
      <c r="D253" s="154">
        <v>254</v>
      </c>
      <c r="E253" s="169">
        <f t="shared" si="3"/>
        <v>46.062992125984252</v>
      </c>
      <c r="F253" s="155" t="s">
        <v>1467</v>
      </c>
    </row>
    <row r="254" spans="1:6" x14ac:dyDescent="0.3">
      <c r="A254" s="153" t="s">
        <v>1468</v>
      </c>
      <c r="B254" s="172" t="s">
        <v>430</v>
      </c>
      <c r="C254" s="172" t="s">
        <v>430</v>
      </c>
      <c r="D254" s="154">
        <v>389</v>
      </c>
      <c r="E254" s="169">
        <f t="shared" si="3"/>
        <v>46.015424164524418</v>
      </c>
      <c r="F254" s="155" t="s">
        <v>1469</v>
      </c>
    </row>
    <row r="255" spans="1:6" x14ac:dyDescent="0.3">
      <c r="A255" s="153" t="s">
        <v>1470</v>
      </c>
      <c r="B255" s="172" t="s">
        <v>430</v>
      </c>
      <c r="C255" s="172" t="s">
        <v>430</v>
      </c>
      <c r="D255" s="154">
        <v>314</v>
      </c>
      <c r="E255" s="169">
        <f t="shared" si="3"/>
        <v>43.312101910828027</v>
      </c>
      <c r="F255" s="155" t="s">
        <v>1471</v>
      </c>
    </row>
    <row r="256" spans="1:6" x14ac:dyDescent="0.3">
      <c r="A256" s="153" t="s">
        <v>1472</v>
      </c>
      <c r="B256" s="172" t="s">
        <v>430</v>
      </c>
      <c r="C256" s="172" t="s">
        <v>430</v>
      </c>
      <c r="D256" s="154">
        <v>301</v>
      </c>
      <c r="E256" s="169">
        <f t="shared" si="3"/>
        <v>38.205980066445186</v>
      </c>
      <c r="F256" s="155" t="s">
        <v>1473</v>
      </c>
    </row>
    <row r="257" spans="1:6" x14ac:dyDescent="0.3">
      <c r="A257" s="153" t="s">
        <v>1474</v>
      </c>
      <c r="B257" s="172" t="s">
        <v>430</v>
      </c>
      <c r="C257" s="172" t="s">
        <v>430</v>
      </c>
      <c r="D257" s="154">
        <v>220</v>
      </c>
      <c r="E257" s="169">
        <f t="shared" si="3"/>
        <v>39.090909090909093</v>
      </c>
      <c r="F257" s="155" t="s">
        <v>1475</v>
      </c>
    </row>
    <row r="258" spans="1:6" x14ac:dyDescent="0.3">
      <c r="A258" s="153" t="s">
        <v>1476</v>
      </c>
      <c r="B258" s="172" t="s">
        <v>430</v>
      </c>
      <c r="C258" s="172" t="s">
        <v>430</v>
      </c>
      <c r="D258" s="154">
        <v>222</v>
      </c>
      <c r="E258" s="169">
        <f t="shared" si="3"/>
        <v>38.288288288288285</v>
      </c>
      <c r="F258" s="155" t="s">
        <v>1477</v>
      </c>
    </row>
    <row r="259" spans="1:6" x14ac:dyDescent="0.3">
      <c r="A259" s="171" t="s">
        <v>1478</v>
      </c>
      <c r="B259" s="171" t="s">
        <v>2102</v>
      </c>
      <c r="C259" s="171" t="s">
        <v>2031</v>
      </c>
      <c r="D259" s="154">
        <v>274</v>
      </c>
      <c r="E259" s="169">
        <f t="shared" si="3"/>
        <v>63.868613138686129</v>
      </c>
      <c r="F259" s="155" t="s">
        <v>1479</v>
      </c>
    </row>
    <row r="260" spans="1:6" x14ac:dyDescent="0.3">
      <c r="A260" s="171" t="s">
        <v>1480</v>
      </c>
      <c r="B260" s="171" t="s">
        <v>2102</v>
      </c>
      <c r="C260" s="171" t="s">
        <v>2032</v>
      </c>
      <c r="D260" s="154">
        <v>274</v>
      </c>
      <c r="E260" s="169">
        <f t="shared" ref="E260:E323" si="4">((LEN(F260)-LEN(SUBSTITUTE(F260,"G","")))+(LEN(F260)-LEN(SUBSTITUTE(F260,"C",""))))*100/LEN(F260)</f>
        <v>64.233576642335763</v>
      </c>
      <c r="F260" s="155" t="s">
        <v>1481</v>
      </c>
    </row>
    <row r="261" spans="1:6" x14ac:dyDescent="0.3">
      <c r="A261" s="153" t="s">
        <v>1482</v>
      </c>
      <c r="B261" s="172" t="s">
        <v>430</v>
      </c>
      <c r="C261" s="172" t="s">
        <v>430</v>
      </c>
      <c r="D261" s="154">
        <v>363</v>
      </c>
      <c r="E261" s="169">
        <f t="shared" si="4"/>
        <v>33.884297520661157</v>
      </c>
      <c r="F261" s="155" t="s">
        <v>1483</v>
      </c>
    </row>
    <row r="262" spans="1:6" x14ac:dyDescent="0.3">
      <c r="A262" s="153" t="s">
        <v>1484</v>
      </c>
      <c r="B262" s="172" t="s">
        <v>430</v>
      </c>
      <c r="C262" s="172" t="s">
        <v>430</v>
      </c>
      <c r="D262" s="154">
        <v>213</v>
      </c>
      <c r="E262" s="169">
        <f t="shared" si="4"/>
        <v>32.394366197183096</v>
      </c>
      <c r="F262" s="155" t="s">
        <v>1412</v>
      </c>
    </row>
    <row r="263" spans="1:6" x14ac:dyDescent="0.3">
      <c r="A263" s="153" t="s">
        <v>1485</v>
      </c>
      <c r="B263" s="172" t="s">
        <v>430</v>
      </c>
      <c r="C263" s="172" t="s">
        <v>430</v>
      </c>
      <c r="D263" s="154">
        <v>213</v>
      </c>
      <c r="E263" s="169">
        <f t="shared" si="4"/>
        <v>32.394366197183096</v>
      </c>
      <c r="F263" s="155" t="s">
        <v>1274</v>
      </c>
    </row>
    <row r="264" spans="1:6" x14ac:dyDescent="0.3">
      <c r="A264" s="153" t="s">
        <v>1486</v>
      </c>
      <c r="B264" s="172" t="s">
        <v>430</v>
      </c>
      <c r="C264" s="172" t="s">
        <v>430</v>
      </c>
      <c r="D264" s="154">
        <v>256</v>
      </c>
      <c r="E264" s="169">
        <f t="shared" si="4"/>
        <v>30.078125</v>
      </c>
      <c r="F264" s="155" t="s">
        <v>1487</v>
      </c>
    </row>
    <row r="265" spans="1:6" x14ac:dyDescent="0.3">
      <c r="A265" s="153" t="s">
        <v>1488</v>
      </c>
      <c r="B265" s="172" t="s">
        <v>430</v>
      </c>
      <c r="C265" s="172" t="s">
        <v>430</v>
      </c>
      <c r="D265" s="154">
        <v>355</v>
      </c>
      <c r="E265" s="169">
        <f t="shared" si="4"/>
        <v>52.95774647887324</v>
      </c>
      <c r="F265" s="155" t="s">
        <v>1489</v>
      </c>
    </row>
    <row r="266" spans="1:6" x14ac:dyDescent="0.3">
      <c r="A266" s="153" t="s">
        <v>1490</v>
      </c>
      <c r="B266" s="172" t="s">
        <v>430</v>
      </c>
      <c r="C266" s="172" t="s">
        <v>430</v>
      </c>
      <c r="D266" s="154">
        <v>225</v>
      </c>
      <c r="E266" s="169">
        <f t="shared" si="4"/>
        <v>64.444444444444443</v>
      </c>
      <c r="F266" s="155" t="s">
        <v>1491</v>
      </c>
    </row>
    <row r="267" spans="1:6" x14ac:dyDescent="0.3">
      <c r="A267" s="153" t="s">
        <v>1492</v>
      </c>
      <c r="B267" s="172" t="s">
        <v>430</v>
      </c>
      <c r="C267" s="172" t="s">
        <v>430</v>
      </c>
      <c r="D267" s="154">
        <v>248</v>
      </c>
      <c r="E267" s="169">
        <f t="shared" si="4"/>
        <v>37.5</v>
      </c>
      <c r="F267" s="155" t="s">
        <v>1493</v>
      </c>
    </row>
    <row r="268" spans="1:6" x14ac:dyDescent="0.3">
      <c r="A268" s="153" t="s">
        <v>1494</v>
      </c>
      <c r="B268" s="172" t="s">
        <v>430</v>
      </c>
      <c r="C268" s="172" t="s">
        <v>430</v>
      </c>
      <c r="D268" s="154">
        <v>210</v>
      </c>
      <c r="E268" s="169">
        <f t="shared" si="4"/>
        <v>46.666666666666664</v>
      </c>
      <c r="F268" s="155" t="s">
        <v>1495</v>
      </c>
    </row>
    <row r="269" spans="1:6" x14ac:dyDescent="0.3">
      <c r="A269" s="153" t="s">
        <v>1496</v>
      </c>
      <c r="B269" s="172" t="s">
        <v>430</v>
      </c>
      <c r="C269" s="172" t="s">
        <v>430</v>
      </c>
      <c r="D269" s="154">
        <v>482</v>
      </c>
      <c r="E269" s="169">
        <f t="shared" si="4"/>
        <v>35.062240663900418</v>
      </c>
      <c r="F269" s="155" t="s">
        <v>1497</v>
      </c>
    </row>
    <row r="270" spans="1:6" x14ac:dyDescent="0.3">
      <c r="A270" s="153" t="s">
        <v>1498</v>
      </c>
      <c r="B270" s="172" t="s">
        <v>430</v>
      </c>
      <c r="C270" s="172" t="s">
        <v>430</v>
      </c>
      <c r="D270" s="154">
        <v>206</v>
      </c>
      <c r="E270" s="169">
        <f t="shared" si="4"/>
        <v>50.485436893203882</v>
      </c>
      <c r="F270" s="155" t="s">
        <v>1499</v>
      </c>
    </row>
    <row r="271" spans="1:6" x14ac:dyDescent="0.3">
      <c r="A271" s="153" t="s">
        <v>1500</v>
      </c>
      <c r="B271" s="172" t="s">
        <v>430</v>
      </c>
      <c r="C271" s="172" t="s">
        <v>430</v>
      </c>
      <c r="D271" s="154">
        <v>215</v>
      </c>
      <c r="E271" s="169">
        <f t="shared" si="4"/>
        <v>36.279069767441861</v>
      </c>
      <c r="F271" s="155" t="s">
        <v>1501</v>
      </c>
    </row>
    <row r="272" spans="1:6" x14ac:dyDescent="0.3">
      <c r="A272" s="153" t="s">
        <v>1502</v>
      </c>
      <c r="B272" s="172" t="s">
        <v>430</v>
      </c>
      <c r="C272" s="172" t="s">
        <v>430</v>
      </c>
      <c r="D272" s="154">
        <v>462</v>
      </c>
      <c r="E272" s="169">
        <f t="shared" si="4"/>
        <v>37.012987012987011</v>
      </c>
      <c r="F272" s="155" t="s">
        <v>1503</v>
      </c>
    </row>
    <row r="273" spans="1:6" x14ac:dyDescent="0.3">
      <c r="A273" s="153" t="s">
        <v>1504</v>
      </c>
      <c r="B273" s="172" t="s">
        <v>430</v>
      </c>
      <c r="C273" s="172" t="s">
        <v>430</v>
      </c>
      <c r="D273" s="154">
        <v>771</v>
      </c>
      <c r="E273" s="169">
        <f t="shared" si="4"/>
        <v>33.722438391699093</v>
      </c>
      <c r="F273" s="155" t="s">
        <v>1505</v>
      </c>
    </row>
    <row r="274" spans="1:6" x14ac:dyDescent="0.3">
      <c r="A274" s="153" t="s">
        <v>1506</v>
      </c>
      <c r="B274" s="172" t="s">
        <v>430</v>
      </c>
      <c r="C274" s="172" t="s">
        <v>430</v>
      </c>
      <c r="D274" s="154">
        <v>225</v>
      </c>
      <c r="E274" s="169">
        <f t="shared" si="4"/>
        <v>36</v>
      </c>
      <c r="F274" s="155" t="s">
        <v>1507</v>
      </c>
    </row>
    <row r="275" spans="1:6" x14ac:dyDescent="0.3">
      <c r="A275" s="153" t="s">
        <v>1508</v>
      </c>
      <c r="B275" s="172" t="s">
        <v>430</v>
      </c>
      <c r="C275" s="172" t="s">
        <v>430</v>
      </c>
      <c r="D275" s="154">
        <v>205</v>
      </c>
      <c r="E275" s="169">
        <f t="shared" si="4"/>
        <v>37.560975609756099</v>
      </c>
      <c r="F275" s="155" t="s">
        <v>1509</v>
      </c>
    </row>
    <row r="276" spans="1:6" x14ac:dyDescent="0.3">
      <c r="A276" s="153" t="s">
        <v>1510</v>
      </c>
      <c r="B276" s="172" t="s">
        <v>430</v>
      </c>
      <c r="C276" s="172" t="s">
        <v>430</v>
      </c>
      <c r="D276" s="154">
        <v>241</v>
      </c>
      <c r="E276" s="169">
        <f t="shared" si="4"/>
        <v>40.663900414937757</v>
      </c>
      <c r="F276" s="155" t="s">
        <v>1511</v>
      </c>
    </row>
    <row r="277" spans="1:6" x14ac:dyDescent="0.3">
      <c r="A277" s="153" t="s">
        <v>1512</v>
      </c>
      <c r="B277" s="172" t="s">
        <v>430</v>
      </c>
      <c r="C277" s="172" t="s">
        <v>430</v>
      </c>
      <c r="D277" s="154">
        <v>205</v>
      </c>
      <c r="E277" s="169">
        <f t="shared" si="4"/>
        <v>37.560975609756099</v>
      </c>
      <c r="F277" s="155" t="s">
        <v>1513</v>
      </c>
    </row>
    <row r="278" spans="1:6" x14ac:dyDescent="0.3">
      <c r="A278" s="153" t="s">
        <v>1514</v>
      </c>
      <c r="B278" s="172" t="s">
        <v>430</v>
      </c>
      <c r="C278" s="172" t="s">
        <v>430</v>
      </c>
      <c r="D278" s="154">
        <v>206</v>
      </c>
      <c r="E278" s="169">
        <f t="shared" si="4"/>
        <v>41.262135922330096</v>
      </c>
      <c r="F278" s="155" t="s">
        <v>1515</v>
      </c>
    </row>
    <row r="279" spans="1:6" x14ac:dyDescent="0.3">
      <c r="A279" s="153" t="s">
        <v>1516</v>
      </c>
      <c r="B279" s="172" t="s">
        <v>430</v>
      </c>
      <c r="C279" s="172" t="s">
        <v>430</v>
      </c>
      <c r="D279" s="154">
        <v>452</v>
      </c>
      <c r="E279" s="169">
        <f t="shared" si="4"/>
        <v>33.185840707964601</v>
      </c>
      <c r="F279" s="155" t="s">
        <v>1517</v>
      </c>
    </row>
    <row r="280" spans="1:6" x14ac:dyDescent="0.3">
      <c r="A280" s="153" t="s">
        <v>1518</v>
      </c>
      <c r="B280" s="172" t="s">
        <v>430</v>
      </c>
      <c r="C280" s="172" t="s">
        <v>430</v>
      </c>
      <c r="D280" s="154">
        <v>302</v>
      </c>
      <c r="E280" s="169">
        <f t="shared" si="4"/>
        <v>39.403973509933778</v>
      </c>
      <c r="F280" s="155" t="s">
        <v>1402</v>
      </c>
    </row>
    <row r="281" spans="1:6" x14ac:dyDescent="0.3">
      <c r="A281" s="153" t="s">
        <v>1519</v>
      </c>
      <c r="B281" s="172" t="s">
        <v>430</v>
      </c>
      <c r="C281" s="172" t="s">
        <v>430</v>
      </c>
      <c r="D281" s="154">
        <v>246</v>
      </c>
      <c r="E281" s="169">
        <f t="shared" si="4"/>
        <v>40.650406504065039</v>
      </c>
      <c r="F281" s="155" t="s">
        <v>1520</v>
      </c>
    </row>
    <row r="282" spans="1:6" x14ac:dyDescent="0.3">
      <c r="A282" s="153" t="s">
        <v>1521</v>
      </c>
      <c r="B282" s="172" t="s">
        <v>430</v>
      </c>
      <c r="C282" s="172" t="s">
        <v>430</v>
      </c>
      <c r="D282" s="154">
        <v>273</v>
      </c>
      <c r="E282" s="169">
        <f t="shared" si="4"/>
        <v>46.886446886446883</v>
      </c>
      <c r="F282" s="155" t="s">
        <v>1522</v>
      </c>
    </row>
    <row r="283" spans="1:6" x14ac:dyDescent="0.3">
      <c r="A283" s="153" t="s">
        <v>1523</v>
      </c>
      <c r="B283" s="172" t="s">
        <v>430</v>
      </c>
      <c r="C283" s="172" t="s">
        <v>430</v>
      </c>
      <c r="D283" s="154">
        <v>719</v>
      </c>
      <c r="E283" s="169">
        <f t="shared" si="4"/>
        <v>55.632823365785811</v>
      </c>
      <c r="F283" s="155" t="s">
        <v>1524</v>
      </c>
    </row>
    <row r="284" spans="1:6" x14ac:dyDescent="0.3">
      <c r="A284" s="153" t="s">
        <v>1525</v>
      </c>
      <c r="B284" s="172" t="s">
        <v>430</v>
      </c>
      <c r="C284" s="172" t="s">
        <v>430</v>
      </c>
      <c r="D284" s="154">
        <v>359</v>
      </c>
      <c r="E284" s="169">
        <f t="shared" si="4"/>
        <v>35.654596100278553</v>
      </c>
      <c r="F284" s="155" t="s">
        <v>1526</v>
      </c>
    </row>
    <row r="285" spans="1:6" x14ac:dyDescent="0.3">
      <c r="A285" s="153" t="s">
        <v>1527</v>
      </c>
      <c r="B285" s="172" t="s">
        <v>430</v>
      </c>
      <c r="C285" s="172" t="s">
        <v>430</v>
      </c>
      <c r="D285" s="154">
        <v>396</v>
      </c>
      <c r="E285" s="169">
        <f t="shared" si="4"/>
        <v>29.292929292929294</v>
      </c>
      <c r="F285" s="155" t="s">
        <v>1528</v>
      </c>
    </row>
    <row r="286" spans="1:6" x14ac:dyDescent="0.3">
      <c r="A286" s="153" t="s">
        <v>1529</v>
      </c>
      <c r="B286" s="172" t="s">
        <v>430</v>
      </c>
      <c r="C286" s="172" t="s">
        <v>430</v>
      </c>
      <c r="D286" s="154">
        <v>316</v>
      </c>
      <c r="E286" s="169">
        <f t="shared" si="4"/>
        <v>50.949367088607595</v>
      </c>
      <c r="F286" s="155" t="s">
        <v>1530</v>
      </c>
    </row>
    <row r="287" spans="1:6" x14ac:dyDescent="0.3">
      <c r="A287" s="153" t="s">
        <v>1531</v>
      </c>
      <c r="B287" s="172" t="s">
        <v>430</v>
      </c>
      <c r="C287" s="172" t="s">
        <v>430</v>
      </c>
      <c r="D287" s="154">
        <v>230</v>
      </c>
      <c r="E287" s="169">
        <f t="shared" si="4"/>
        <v>40.434782608695649</v>
      </c>
      <c r="F287" s="155" t="s">
        <v>1532</v>
      </c>
    </row>
    <row r="288" spans="1:6" x14ac:dyDescent="0.3">
      <c r="A288" s="153" t="s">
        <v>1533</v>
      </c>
      <c r="B288" s="172" t="s">
        <v>430</v>
      </c>
      <c r="C288" s="172" t="s">
        <v>430</v>
      </c>
      <c r="D288" s="154">
        <v>205</v>
      </c>
      <c r="E288" s="169">
        <f t="shared" si="4"/>
        <v>37.560975609756099</v>
      </c>
      <c r="F288" s="155" t="s">
        <v>1534</v>
      </c>
    </row>
    <row r="289" spans="1:6" x14ac:dyDescent="0.3">
      <c r="A289" s="153" t="s">
        <v>1535</v>
      </c>
      <c r="B289" s="172" t="s">
        <v>430</v>
      </c>
      <c r="C289" s="172" t="s">
        <v>430</v>
      </c>
      <c r="D289" s="154">
        <v>342</v>
      </c>
      <c r="E289" s="169">
        <f t="shared" si="4"/>
        <v>48.245614035087719</v>
      </c>
      <c r="F289" s="155" t="s">
        <v>1536</v>
      </c>
    </row>
    <row r="290" spans="1:6" x14ac:dyDescent="0.3">
      <c r="A290" s="153" t="s">
        <v>1537</v>
      </c>
      <c r="B290" s="172" t="s">
        <v>430</v>
      </c>
      <c r="C290" s="172" t="s">
        <v>430</v>
      </c>
      <c r="D290" s="154">
        <v>240</v>
      </c>
      <c r="E290" s="169">
        <f t="shared" si="4"/>
        <v>50.833333333333336</v>
      </c>
      <c r="F290" s="155" t="s">
        <v>1538</v>
      </c>
    </row>
    <row r="291" spans="1:6" x14ac:dyDescent="0.3">
      <c r="A291" s="153" t="s">
        <v>1539</v>
      </c>
      <c r="B291" s="172" t="s">
        <v>430</v>
      </c>
      <c r="C291" s="172" t="s">
        <v>430</v>
      </c>
      <c r="D291" s="154">
        <v>201</v>
      </c>
      <c r="E291" s="169">
        <f t="shared" si="4"/>
        <v>38.308457711442784</v>
      </c>
      <c r="F291" s="155" t="s">
        <v>1540</v>
      </c>
    </row>
    <row r="292" spans="1:6" x14ac:dyDescent="0.3">
      <c r="A292" s="153" t="s">
        <v>1541</v>
      </c>
      <c r="B292" s="172" t="s">
        <v>430</v>
      </c>
      <c r="C292" s="172" t="s">
        <v>430</v>
      </c>
      <c r="D292" s="154">
        <v>621</v>
      </c>
      <c r="E292" s="169">
        <f t="shared" si="4"/>
        <v>34.460547504025762</v>
      </c>
      <c r="F292" s="155" t="s">
        <v>1542</v>
      </c>
    </row>
    <row r="293" spans="1:6" x14ac:dyDescent="0.3">
      <c r="A293" s="153" t="s">
        <v>1543</v>
      </c>
      <c r="B293" s="172" t="s">
        <v>430</v>
      </c>
      <c r="C293" s="172" t="s">
        <v>430</v>
      </c>
      <c r="D293" s="154">
        <v>384</v>
      </c>
      <c r="E293" s="169">
        <f t="shared" si="4"/>
        <v>34.635416666666664</v>
      </c>
      <c r="F293" s="155" t="s">
        <v>1544</v>
      </c>
    </row>
    <row r="294" spans="1:6" x14ac:dyDescent="0.3">
      <c r="A294" s="153" t="s">
        <v>1545</v>
      </c>
      <c r="B294" s="172" t="s">
        <v>430</v>
      </c>
      <c r="C294" s="172" t="s">
        <v>430</v>
      </c>
      <c r="D294" s="154">
        <v>215</v>
      </c>
      <c r="E294" s="169">
        <f t="shared" si="4"/>
        <v>30.232558139534884</v>
      </c>
      <c r="F294" s="155" t="s">
        <v>1546</v>
      </c>
    </row>
    <row r="295" spans="1:6" x14ac:dyDescent="0.3">
      <c r="A295" s="153" t="s">
        <v>1547</v>
      </c>
      <c r="B295" s="172" t="s">
        <v>430</v>
      </c>
      <c r="C295" s="172" t="s">
        <v>430</v>
      </c>
      <c r="D295" s="154">
        <v>438</v>
      </c>
      <c r="E295" s="169">
        <f t="shared" si="4"/>
        <v>42.922374429223744</v>
      </c>
      <c r="F295" s="155" t="s">
        <v>1548</v>
      </c>
    </row>
    <row r="296" spans="1:6" x14ac:dyDescent="0.3">
      <c r="A296" s="153" t="s">
        <v>1549</v>
      </c>
      <c r="B296" s="172" t="s">
        <v>430</v>
      </c>
      <c r="C296" s="172" t="s">
        <v>430</v>
      </c>
      <c r="D296" s="154">
        <v>265</v>
      </c>
      <c r="E296" s="169">
        <f t="shared" si="4"/>
        <v>29.433962264150942</v>
      </c>
      <c r="F296" s="155" t="s">
        <v>1550</v>
      </c>
    </row>
    <row r="297" spans="1:6" x14ac:dyDescent="0.3">
      <c r="A297" s="153" t="s">
        <v>1551</v>
      </c>
      <c r="B297" s="172" t="s">
        <v>430</v>
      </c>
      <c r="C297" s="172" t="s">
        <v>430</v>
      </c>
      <c r="D297" s="154">
        <v>350</v>
      </c>
      <c r="E297" s="169">
        <f t="shared" si="4"/>
        <v>43.142857142857146</v>
      </c>
      <c r="F297" s="155" t="s">
        <v>1552</v>
      </c>
    </row>
    <row r="298" spans="1:6" x14ac:dyDescent="0.3">
      <c r="A298" s="153" t="s">
        <v>1553</v>
      </c>
      <c r="B298" s="172" t="s">
        <v>430</v>
      </c>
      <c r="C298" s="172" t="s">
        <v>430</v>
      </c>
      <c r="D298" s="154">
        <v>491</v>
      </c>
      <c r="E298" s="169">
        <f t="shared" si="4"/>
        <v>62.525458248472503</v>
      </c>
      <c r="F298" s="155" t="s">
        <v>1554</v>
      </c>
    </row>
    <row r="299" spans="1:6" x14ac:dyDescent="0.3">
      <c r="A299" s="153" t="s">
        <v>1555</v>
      </c>
      <c r="B299" s="172" t="s">
        <v>430</v>
      </c>
      <c r="C299" s="172" t="s">
        <v>430</v>
      </c>
      <c r="D299" s="154">
        <v>679</v>
      </c>
      <c r="E299" s="169">
        <f t="shared" si="4"/>
        <v>48.748159057437405</v>
      </c>
      <c r="F299" s="155" t="s">
        <v>1556</v>
      </c>
    </row>
    <row r="300" spans="1:6" x14ac:dyDescent="0.3">
      <c r="A300" s="153" t="s">
        <v>1557</v>
      </c>
      <c r="B300" s="172" t="s">
        <v>430</v>
      </c>
      <c r="C300" s="172" t="s">
        <v>430</v>
      </c>
      <c r="D300" s="154">
        <v>345</v>
      </c>
      <c r="E300" s="169">
        <f t="shared" si="4"/>
        <v>51.594202898550726</v>
      </c>
      <c r="F300" s="155" t="s">
        <v>1558</v>
      </c>
    </row>
    <row r="301" spans="1:6" x14ac:dyDescent="0.3">
      <c r="A301" s="153" t="s">
        <v>1559</v>
      </c>
      <c r="B301" s="172" t="s">
        <v>430</v>
      </c>
      <c r="C301" s="172" t="s">
        <v>430</v>
      </c>
      <c r="D301" s="154">
        <v>216</v>
      </c>
      <c r="E301" s="169">
        <f t="shared" si="4"/>
        <v>26.851851851851851</v>
      </c>
      <c r="F301" s="155" t="s">
        <v>1560</v>
      </c>
    </row>
    <row r="302" spans="1:6" x14ac:dyDescent="0.3">
      <c r="A302" s="153" t="s">
        <v>1561</v>
      </c>
      <c r="B302" s="172" t="s">
        <v>430</v>
      </c>
      <c r="C302" s="172" t="s">
        <v>430</v>
      </c>
      <c r="D302" s="154">
        <v>282</v>
      </c>
      <c r="E302" s="169">
        <f t="shared" si="4"/>
        <v>45.744680851063826</v>
      </c>
      <c r="F302" s="155" t="s">
        <v>1562</v>
      </c>
    </row>
    <row r="303" spans="1:6" x14ac:dyDescent="0.3">
      <c r="A303" s="153" t="s">
        <v>1563</v>
      </c>
      <c r="B303" s="172" t="s">
        <v>430</v>
      </c>
      <c r="C303" s="172" t="s">
        <v>430</v>
      </c>
      <c r="D303" s="154">
        <v>205</v>
      </c>
      <c r="E303" s="169">
        <f t="shared" si="4"/>
        <v>37.560975609756099</v>
      </c>
      <c r="F303" s="155" t="s">
        <v>1564</v>
      </c>
    </row>
    <row r="304" spans="1:6" x14ac:dyDescent="0.3">
      <c r="A304" s="153" t="s">
        <v>1565</v>
      </c>
      <c r="B304" s="172" t="s">
        <v>430</v>
      </c>
      <c r="C304" s="172" t="s">
        <v>430</v>
      </c>
      <c r="D304" s="154">
        <v>491</v>
      </c>
      <c r="E304" s="169">
        <f t="shared" si="4"/>
        <v>62.525458248472503</v>
      </c>
      <c r="F304" s="155" t="s">
        <v>1566</v>
      </c>
    </row>
    <row r="305" spans="1:6" x14ac:dyDescent="0.3">
      <c r="A305" s="153" t="s">
        <v>1567</v>
      </c>
      <c r="B305" s="172" t="s">
        <v>430</v>
      </c>
      <c r="C305" s="172" t="s">
        <v>430</v>
      </c>
      <c r="D305" s="154">
        <v>306</v>
      </c>
      <c r="E305" s="169">
        <f t="shared" si="4"/>
        <v>43.464052287581701</v>
      </c>
      <c r="F305" s="155" t="s">
        <v>1568</v>
      </c>
    </row>
    <row r="306" spans="1:6" x14ac:dyDescent="0.3">
      <c r="A306" s="153" t="s">
        <v>1569</v>
      </c>
      <c r="B306" s="172" t="s">
        <v>430</v>
      </c>
      <c r="C306" s="172" t="s">
        <v>430</v>
      </c>
      <c r="D306" s="154">
        <v>201</v>
      </c>
      <c r="E306" s="169">
        <f t="shared" si="4"/>
        <v>38.308457711442784</v>
      </c>
      <c r="F306" s="155" t="s">
        <v>1570</v>
      </c>
    </row>
    <row r="307" spans="1:6" x14ac:dyDescent="0.3">
      <c r="A307" s="153" t="s">
        <v>1571</v>
      </c>
      <c r="B307" s="172" t="s">
        <v>430</v>
      </c>
      <c r="C307" s="172" t="s">
        <v>430</v>
      </c>
      <c r="D307" s="154">
        <v>537</v>
      </c>
      <c r="E307" s="169">
        <f t="shared" si="4"/>
        <v>42.271880819366849</v>
      </c>
      <c r="F307" s="155" t="s">
        <v>1572</v>
      </c>
    </row>
    <row r="308" spans="1:6" x14ac:dyDescent="0.3">
      <c r="A308" s="153" t="s">
        <v>1573</v>
      </c>
      <c r="B308" s="172" t="s">
        <v>430</v>
      </c>
      <c r="C308" s="172" t="s">
        <v>430</v>
      </c>
      <c r="D308" s="154">
        <v>793</v>
      </c>
      <c r="E308" s="169">
        <f t="shared" si="4"/>
        <v>32.534678436317783</v>
      </c>
      <c r="F308" s="155" t="s">
        <v>1574</v>
      </c>
    </row>
    <row r="309" spans="1:6" x14ac:dyDescent="0.3">
      <c r="A309" s="153" t="s">
        <v>1575</v>
      </c>
      <c r="B309" s="172" t="s">
        <v>430</v>
      </c>
      <c r="C309" s="172" t="s">
        <v>430</v>
      </c>
      <c r="D309" s="154">
        <v>204</v>
      </c>
      <c r="E309" s="169">
        <f t="shared" si="4"/>
        <v>31.862745098039216</v>
      </c>
      <c r="F309" s="155" t="s">
        <v>1576</v>
      </c>
    </row>
    <row r="310" spans="1:6" x14ac:dyDescent="0.3">
      <c r="A310" s="153" t="s">
        <v>1577</v>
      </c>
      <c r="B310" s="172" t="s">
        <v>430</v>
      </c>
      <c r="C310" s="172" t="s">
        <v>430</v>
      </c>
      <c r="D310" s="154">
        <v>760</v>
      </c>
      <c r="E310" s="169">
        <f t="shared" si="4"/>
        <v>40.526315789473685</v>
      </c>
      <c r="F310" s="155" t="s">
        <v>1578</v>
      </c>
    </row>
    <row r="311" spans="1:6" x14ac:dyDescent="0.3">
      <c r="A311" s="153" t="s">
        <v>1579</v>
      </c>
      <c r="B311" s="172" t="s">
        <v>430</v>
      </c>
      <c r="C311" s="172" t="s">
        <v>430</v>
      </c>
      <c r="D311" s="154">
        <v>391</v>
      </c>
      <c r="E311" s="169">
        <f t="shared" si="4"/>
        <v>34.271099744245525</v>
      </c>
      <c r="F311" s="155" t="s">
        <v>1580</v>
      </c>
    </row>
    <row r="312" spans="1:6" x14ac:dyDescent="0.3">
      <c r="A312" s="153" t="s">
        <v>1581</v>
      </c>
      <c r="B312" s="172" t="s">
        <v>430</v>
      </c>
      <c r="C312" s="172" t="s">
        <v>430</v>
      </c>
      <c r="D312" s="154">
        <v>491</v>
      </c>
      <c r="E312" s="169">
        <f t="shared" si="4"/>
        <v>62.932790224032587</v>
      </c>
      <c r="F312" s="155" t="s">
        <v>1582</v>
      </c>
    </row>
    <row r="313" spans="1:6" x14ac:dyDescent="0.3">
      <c r="A313" s="153" t="s">
        <v>1583</v>
      </c>
      <c r="B313" s="172" t="s">
        <v>430</v>
      </c>
      <c r="C313" s="172" t="s">
        <v>430</v>
      </c>
      <c r="D313" s="154">
        <v>265</v>
      </c>
      <c r="E313" s="169">
        <f t="shared" si="4"/>
        <v>30.188679245283019</v>
      </c>
      <c r="F313" s="155" t="s">
        <v>1584</v>
      </c>
    </row>
    <row r="314" spans="1:6" x14ac:dyDescent="0.3">
      <c r="A314" s="153" t="s">
        <v>1585</v>
      </c>
      <c r="B314" s="172" t="s">
        <v>430</v>
      </c>
      <c r="C314" s="172" t="s">
        <v>430</v>
      </c>
      <c r="D314" s="154">
        <v>344</v>
      </c>
      <c r="E314" s="169">
        <f t="shared" si="4"/>
        <v>37.5</v>
      </c>
      <c r="F314" s="155" t="s">
        <v>1586</v>
      </c>
    </row>
    <row r="315" spans="1:6" x14ac:dyDescent="0.3">
      <c r="A315" s="153" t="s">
        <v>1587</v>
      </c>
      <c r="B315" s="172" t="s">
        <v>430</v>
      </c>
      <c r="C315" s="172" t="s">
        <v>430</v>
      </c>
      <c r="D315" s="154">
        <v>239</v>
      </c>
      <c r="E315" s="169">
        <f t="shared" si="4"/>
        <v>37.238493723849373</v>
      </c>
      <c r="F315" s="155" t="s">
        <v>1588</v>
      </c>
    </row>
    <row r="316" spans="1:6" x14ac:dyDescent="0.3">
      <c r="A316" s="153" t="s">
        <v>1589</v>
      </c>
      <c r="B316" s="172" t="s">
        <v>430</v>
      </c>
      <c r="C316" s="172" t="s">
        <v>430</v>
      </c>
      <c r="D316" s="154">
        <v>439</v>
      </c>
      <c r="E316" s="169">
        <f t="shared" si="4"/>
        <v>43.052391799544417</v>
      </c>
      <c r="F316" s="155" t="s">
        <v>1590</v>
      </c>
    </row>
    <row r="317" spans="1:6" x14ac:dyDescent="0.3">
      <c r="A317" s="153" t="s">
        <v>1591</v>
      </c>
      <c r="B317" s="172" t="s">
        <v>430</v>
      </c>
      <c r="C317" s="172" t="s">
        <v>430</v>
      </c>
      <c r="D317" s="154">
        <v>455</v>
      </c>
      <c r="E317" s="169">
        <f t="shared" si="4"/>
        <v>36.92307692307692</v>
      </c>
      <c r="F317" s="155" t="s">
        <v>1592</v>
      </c>
    </row>
    <row r="318" spans="1:6" x14ac:dyDescent="0.3">
      <c r="A318" s="153" t="s">
        <v>1593</v>
      </c>
      <c r="B318" s="172" t="s">
        <v>430</v>
      </c>
      <c r="C318" s="172" t="s">
        <v>430</v>
      </c>
      <c r="D318" s="154">
        <v>225</v>
      </c>
      <c r="E318" s="169">
        <f t="shared" si="4"/>
        <v>28</v>
      </c>
      <c r="F318" s="155" t="s">
        <v>1594</v>
      </c>
    </row>
    <row r="319" spans="1:6" x14ac:dyDescent="0.3">
      <c r="A319" s="153" t="s">
        <v>1595</v>
      </c>
      <c r="B319" s="172" t="s">
        <v>430</v>
      </c>
      <c r="C319" s="172" t="s">
        <v>430</v>
      </c>
      <c r="D319" s="154">
        <v>370</v>
      </c>
      <c r="E319" s="169">
        <f t="shared" si="4"/>
        <v>33.513513513513516</v>
      </c>
      <c r="F319" s="155" t="s">
        <v>1596</v>
      </c>
    </row>
    <row r="320" spans="1:6" x14ac:dyDescent="0.3">
      <c r="A320" s="153" t="s">
        <v>1597</v>
      </c>
      <c r="B320" s="172" t="s">
        <v>430</v>
      </c>
      <c r="C320" s="172" t="s">
        <v>430</v>
      </c>
      <c r="D320" s="154">
        <v>226</v>
      </c>
      <c r="E320" s="169">
        <f t="shared" si="4"/>
        <v>49.115044247787608</v>
      </c>
      <c r="F320" s="155" t="s">
        <v>1598</v>
      </c>
    </row>
    <row r="321" spans="1:6" x14ac:dyDescent="0.3">
      <c r="A321" s="153" t="s">
        <v>1599</v>
      </c>
      <c r="B321" s="172" t="s">
        <v>430</v>
      </c>
      <c r="C321" s="172" t="s">
        <v>430</v>
      </c>
      <c r="D321" s="154">
        <v>229</v>
      </c>
      <c r="E321" s="169">
        <f t="shared" si="4"/>
        <v>27.074235807860262</v>
      </c>
      <c r="F321" s="155" t="s">
        <v>1600</v>
      </c>
    </row>
    <row r="322" spans="1:6" x14ac:dyDescent="0.3">
      <c r="A322" s="153" t="s">
        <v>1601</v>
      </c>
      <c r="B322" s="172" t="s">
        <v>430</v>
      </c>
      <c r="C322" s="172" t="s">
        <v>430</v>
      </c>
      <c r="D322" s="154">
        <v>210</v>
      </c>
      <c r="E322" s="169">
        <f t="shared" si="4"/>
        <v>51.904761904761905</v>
      </c>
      <c r="F322" s="155" t="s">
        <v>1602</v>
      </c>
    </row>
    <row r="323" spans="1:6" x14ac:dyDescent="0.3">
      <c r="A323" s="153" t="s">
        <v>1603</v>
      </c>
      <c r="B323" s="172" t="s">
        <v>430</v>
      </c>
      <c r="C323" s="172" t="s">
        <v>430</v>
      </c>
      <c r="D323" s="154">
        <v>405</v>
      </c>
      <c r="E323" s="169">
        <f t="shared" si="4"/>
        <v>32.098765432098766</v>
      </c>
      <c r="F323" s="155" t="s">
        <v>1604</v>
      </c>
    </row>
    <row r="324" spans="1:6" x14ac:dyDescent="0.3">
      <c r="A324" s="153" t="s">
        <v>1605</v>
      </c>
      <c r="B324" s="172" t="s">
        <v>430</v>
      </c>
      <c r="C324" s="172" t="s">
        <v>430</v>
      </c>
      <c r="D324" s="154">
        <v>352</v>
      </c>
      <c r="E324" s="169">
        <f t="shared" ref="E324:E346" si="5">((LEN(F324)-LEN(SUBSTITUTE(F324,"G","")))+(LEN(F324)-LEN(SUBSTITUTE(F324,"C",""))))*100/LEN(F324)</f>
        <v>32.670454545454547</v>
      </c>
      <c r="F324" s="155" t="s">
        <v>1606</v>
      </c>
    </row>
    <row r="325" spans="1:6" x14ac:dyDescent="0.3">
      <c r="A325" s="153" t="s">
        <v>1607</v>
      </c>
      <c r="B325" s="172" t="s">
        <v>430</v>
      </c>
      <c r="C325" s="172" t="s">
        <v>430</v>
      </c>
      <c r="D325" s="154">
        <v>276</v>
      </c>
      <c r="E325" s="169">
        <f t="shared" si="5"/>
        <v>34.782608695652172</v>
      </c>
      <c r="F325" s="155" t="s">
        <v>1270</v>
      </c>
    </row>
    <row r="326" spans="1:6" x14ac:dyDescent="0.3">
      <c r="A326" s="153" t="s">
        <v>1608</v>
      </c>
      <c r="B326" s="172" t="s">
        <v>430</v>
      </c>
      <c r="C326" s="172" t="s">
        <v>430</v>
      </c>
      <c r="D326" s="154">
        <v>491</v>
      </c>
      <c r="E326" s="169">
        <f t="shared" si="5"/>
        <v>62.932790224032587</v>
      </c>
      <c r="F326" s="155" t="s">
        <v>1609</v>
      </c>
    </row>
    <row r="327" spans="1:6" x14ac:dyDescent="0.3">
      <c r="A327" s="153" t="s">
        <v>1610</v>
      </c>
      <c r="B327" s="172" t="s">
        <v>430</v>
      </c>
      <c r="C327" s="172" t="s">
        <v>430</v>
      </c>
      <c r="D327" s="154">
        <v>733</v>
      </c>
      <c r="E327" s="169">
        <f t="shared" si="5"/>
        <v>32.742155525238744</v>
      </c>
      <c r="F327" s="155" t="s">
        <v>1611</v>
      </c>
    </row>
    <row r="328" spans="1:6" x14ac:dyDescent="0.3">
      <c r="A328" s="153" t="s">
        <v>1612</v>
      </c>
      <c r="B328" s="172" t="s">
        <v>430</v>
      </c>
      <c r="C328" s="172" t="s">
        <v>430</v>
      </c>
      <c r="D328" s="154">
        <v>260</v>
      </c>
      <c r="E328" s="169">
        <f t="shared" si="5"/>
        <v>29.615384615384617</v>
      </c>
      <c r="F328" s="155" t="s">
        <v>1613</v>
      </c>
    </row>
    <row r="329" spans="1:6" x14ac:dyDescent="0.3">
      <c r="A329" s="153" t="s">
        <v>1614</v>
      </c>
      <c r="B329" s="172" t="s">
        <v>430</v>
      </c>
      <c r="C329" s="172" t="s">
        <v>430</v>
      </c>
      <c r="D329" s="154">
        <v>246</v>
      </c>
      <c r="E329" s="169">
        <f t="shared" si="5"/>
        <v>43.902439024390247</v>
      </c>
      <c r="F329" s="155" t="s">
        <v>1615</v>
      </c>
    </row>
    <row r="330" spans="1:6" x14ac:dyDescent="0.3">
      <c r="A330" s="153" t="s">
        <v>1616</v>
      </c>
      <c r="B330" s="172" t="s">
        <v>430</v>
      </c>
      <c r="C330" s="172" t="s">
        <v>430</v>
      </c>
      <c r="D330" s="154">
        <v>215</v>
      </c>
      <c r="E330" s="169">
        <f t="shared" si="5"/>
        <v>33.02325581395349</v>
      </c>
      <c r="F330" s="155" t="s">
        <v>1617</v>
      </c>
    </row>
    <row r="331" spans="1:6" x14ac:dyDescent="0.3">
      <c r="A331" s="153" t="s">
        <v>1618</v>
      </c>
      <c r="B331" s="172" t="s">
        <v>430</v>
      </c>
      <c r="C331" s="172" t="s">
        <v>430</v>
      </c>
      <c r="D331" s="154">
        <v>759</v>
      </c>
      <c r="E331" s="169">
        <f t="shared" si="5"/>
        <v>34.255599472990774</v>
      </c>
      <c r="F331" s="155" t="s">
        <v>1619</v>
      </c>
    </row>
    <row r="332" spans="1:6" x14ac:dyDescent="0.3">
      <c r="A332" s="153" t="s">
        <v>1620</v>
      </c>
      <c r="B332" s="172" t="s">
        <v>430</v>
      </c>
      <c r="C332" s="172" t="s">
        <v>430</v>
      </c>
      <c r="D332" s="154">
        <v>458</v>
      </c>
      <c r="E332" s="169">
        <f t="shared" si="5"/>
        <v>39.519650655021834</v>
      </c>
      <c r="F332" s="155" t="s">
        <v>1621</v>
      </c>
    </row>
    <row r="333" spans="1:6" x14ac:dyDescent="0.3">
      <c r="A333" s="153" t="s">
        <v>1622</v>
      </c>
      <c r="B333" s="172" t="s">
        <v>430</v>
      </c>
      <c r="C333" s="172" t="s">
        <v>430</v>
      </c>
      <c r="D333" s="154">
        <v>780</v>
      </c>
      <c r="E333" s="169">
        <f t="shared" si="5"/>
        <v>46.410256410256409</v>
      </c>
      <c r="F333" s="155" t="s">
        <v>1623</v>
      </c>
    </row>
    <row r="334" spans="1:6" x14ac:dyDescent="0.3">
      <c r="A334" s="153" t="s">
        <v>1624</v>
      </c>
      <c r="B334" s="172" t="s">
        <v>430</v>
      </c>
      <c r="C334" s="172" t="s">
        <v>430</v>
      </c>
      <c r="D334" s="154">
        <v>305</v>
      </c>
      <c r="E334" s="169">
        <f t="shared" si="5"/>
        <v>39.344262295081968</v>
      </c>
      <c r="F334" s="155" t="s">
        <v>1625</v>
      </c>
    </row>
    <row r="335" spans="1:6" x14ac:dyDescent="0.3">
      <c r="A335" s="171" t="s">
        <v>1626</v>
      </c>
      <c r="B335" s="171" t="s">
        <v>307</v>
      </c>
      <c r="C335" s="171" t="s">
        <v>2031</v>
      </c>
      <c r="D335" s="154">
        <v>447</v>
      </c>
      <c r="E335" s="169">
        <f t="shared" si="5"/>
        <v>46.085011185682326</v>
      </c>
      <c r="F335" s="155" t="s">
        <v>1627</v>
      </c>
    </row>
    <row r="336" spans="1:6" x14ac:dyDescent="0.3">
      <c r="A336" s="153" t="s">
        <v>1628</v>
      </c>
      <c r="B336" s="172" t="s">
        <v>430</v>
      </c>
      <c r="C336" s="172" t="s">
        <v>430</v>
      </c>
      <c r="D336" s="154">
        <v>531</v>
      </c>
      <c r="E336" s="169">
        <f t="shared" si="5"/>
        <v>50.847457627118644</v>
      </c>
      <c r="F336" s="155" t="s">
        <v>1629</v>
      </c>
    </row>
    <row r="337" spans="1:6" x14ac:dyDescent="0.3">
      <c r="A337" s="153" t="s">
        <v>1630</v>
      </c>
      <c r="B337" s="172" t="s">
        <v>430</v>
      </c>
      <c r="C337" s="172" t="s">
        <v>430</v>
      </c>
      <c r="D337" s="154">
        <v>225</v>
      </c>
      <c r="E337" s="169">
        <f t="shared" si="5"/>
        <v>28.888888888888889</v>
      </c>
      <c r="F337" s="155" t="s">
        <v>1631</v>
      </c>
    </row>
    <row r="338" spans="1:6" x14ac:dyDescent="0.3">
      <c r="A338" s="153" t="s">
        <v>1632</v>
      </c>
      <c r="B338" s="172" t="s">
        <v>430</v>
      </c>
      <c r="C338" s="172" t="s">
        <v>430</v>
      </c>
      <c r="D338" s="154">
        <v>773</v>
      </c>
      <c r="E338" s="169">
        <f t="shared" si="5"/>
        <v>52.263906856403622</v>
      </c>
      <c r="F338" s="155" t="s">
        <v>1633</v>
      </c>
    </row>
    <row r="339" spans="1:6" x14ac:dyDescent="0.3">
      <c r="A339" s="153" t="s">
        <v>1634</v>
      </c>
      <c r="B339" s="172" t="s">
        <v>430</v>
      </c>
      <c r="C339" s="172" t="s">
        <v>430</v>
      </c>
      <c r="D339" s="154">
        <v>245</v>
      </c>
      <c r="E339" s="169">
        <f t="shared" si="5"/>
        <v>52.244897959183675</v>
      </c>
      <c r="F339" s="155" t="s">
        <v>1635</v>
      </c>
    </row>
    <row r="340" spans="1:6" x14ac:dyDescent="0.3">
      <c r="A340" s="153" t="s">
        <v>1636</v>
      </c>
      <c r="B340" s="172" t="s">
        <v>430</v>
      </c>
      <c r="C340" s="172" t="s">
        <v>430</v>
      </c>
      <c r="D340" s="154">
        <v>248</v>
      </c>
      <c r="E340" s="169">
        <f t="shared" si="5"/>
        <v>55.241935483870968</v>
      </c>
      <c r="F340" s="155" t="s">
        <v>1637</v>
      </c>
    </row>
    <row r="341" spans="1:6" x14ac:dyDescent="0.3">
      <c r="A341" s="171" t="s">
        <v>1638</v>
      </c>
      <c r="B341" s="171" t="s">
        <v>307</v>
      </c>
      <c r="C341" s="171" t="s">
        <v>2032</v>
      </c>
      <c r="D341" s="154">
        <v>447</v>
      </c>
      <c r="E341" s="169">
        <f t="shared" si="5"/>
        <v>46.085011185682326</v>
      </c>
      <c r="F341" s="155" t="s">
        <v>1639</v>
      </c>
    </row>
    <row r="342" spans="1:6" x14ac:dyDescent="0.3">
      <c r="A342" s="153" t="s">
        <v>1640</v>
      </c>
      <c r="B342" s="172" t="s">
        <v>430</v>
      </c>
      <c r="C342" s="172" t="s">
        <v>430</v>
      </c>
      <c r="D342" s="154">
        <v>368</v>
      </c>
      <c r="E342" s="169">
        <f t="shared" si="5"/>
        <v>37.5</v>
      </c>
      <c r="F342" s="155" t="s">
        <v>1641</v>
      </c>
    </row>
    <row r="343" spans="1:6" x14ac:dyDescent="0.3">
      <c r="A343" s="153" t="s">
        <v>1642</v>
      </c>
      <c r="B343" s="172" t="s">
        <v>430</v>
      </c>
      <c r="C343" s="172" t="s">
        <v>430</v>
      </c>
      <c r="D343" s="154">
        <v>282</v>
      </c>
      <c r="E343" s="169">
        <f t="shared" si="5"/>
        <v>38.652482269503544</v>
      </c>
      <c r="F343" s="155" t="s">
        <v>1643</v>
      </c>
    </row>
    <row r="344" spans="1:6" x14ac:dyDescent="0.3">
      <c r="A344" s="153" t="s">
        <v>1644</v>
      </c>
      <c r="B344" s="172" t="s">
        <v>430</v>
      </c>
      <c r="C344" s="172" t="s">
        <v>430</v>
      </c>
      <c r="D344" s="154">
        <v>367</v>
      </c>
      <c r="E344" s="169">
        <f t="shared" si="5"/>
        <v>44.686648501362399</v>
      </c>
      <c r="F344" s="155" t="s">
        <v>1645</v>
      </c>
    </row>
    <row r="345" spans="1:6" x14ac:dyDescent="0.3">
      <c r="A345" s="153" t="s">
        <v>1646</v>
      </c>
      <c r="B345" s="172" t="s">
        <v>430</v>
      </c>
      <c r="C345" s="172" t="s">
        <v>430</v>
      </c>
      <c r="D345" s="154">
        <v>275</v>
      </c>
      <c r="E345" s="169">
        <f t="shared" si="5"/>
        <v>48</v>
      </c>
      <c r="F345" s="155" t="s">
        <v>1647</v>
      </c>
    </row>
    <row r="346" spans="1:6" x14ac:dyDescent="0.3">
      <c r="A346" s="153" t="s">
        <v>1648</v>
      </c>
      <c r="B346" s="172" t="s">
        <v>430</v>
      </c>
      <c r="C346" s="172" t="s">
        <v>430</v>
      </c>
      <c r="D346" s="154">
        <v>273</v>
      </c>
      <c r="E346" s="169">
        <f t="shared" si="5"/>
        <v>42.490842490842489</v>
      </c>
      <c r="F346" s="155" t="s">
        <v>1649</v>
      </c>
    </row>
  </sheetData>
  <autoFilter ref="A2:F346" xr:uid="{00000000-0009-0000-0000-000003000000}">
    <sortState xmlns:xlrd2="http://schemas.microsoft.com/office/spreadsheetml/2017/richdata2" ref="A3:C385">
      <sortCondition ref="A2"/>
    </sortState>
  </autoFilter>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SI-Additonal File 02</vt:lpstr>
      <vt:lpstr>S. Table 4</vt:lpstr>
      <vt:lpstr>S. Table 5</vt:lpstr>
      <vt:lpstr>S. Table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Paul Rivarez</cp:lastModifiedBy>
  <cp:revision/>
  <dcterms:created xsi:type="dcterms:W3CDTF">2021-10-28T13:13:00Z</dcterms:created>
  <dcterms:modified xsi:type="dcterms:W3CDTF">2022-11-14T10:37:02Z</dcterms:modified>
  <cp:category/>
  <cp:contentStatus/>
</cp:coreProperties>
</file>