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8_{86D3FCC5-27D7-4BDD-B427-E8BC73DAE875}" xr6:coauthVersionLast="47" xr6:coauthVersionMax="47" xr10:uidLastSave="{00000000-0000-0000-0000-000000000000}"/>
  <bookViews>
    <workbookView xWindow="2070" yWindow="2070" windowWidth="20490" windowHeight="15645" xr2:uid="{00000000-000D-0000-FFFF-FFFF00000000}"/>
  </bookViews>
  <sheets>
    <sheet name="STable 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1" i="3" l="1"/>
  <c r="F52" i="3"/>
  <c r="F53" i="3"/>
  <c r="F72" i="3"/>
  <c r="E55" i="3" l="1"/>
  <c r="G55" i="3" s="1"/>
  <c r="E54" i="3"/>
  <c r="G54" i="3" s="1"/>
  <c r="E53" i="3"/>
  <c r="G53" i="3" s="1"/>
  <c r="E52" i="3"/>
  <c r="G52" i="3" s="1"/>
  <c r="F31" i="3"/>
  <c r="E31" i="3"/>
  <c r="E51" i="3" l="1"/>
  <c r="G51" i="3" s="1"/>
  <c r="E79" i="3"/>
  <c r="G79" i="3" s="1"/>
  <c r="E78" i="3"/>
  <c r="G78" i="3" s="1"/>
  <c r="E77" i="3"/>
  <c r="G77" i="3" s="1"/>
  <c r="E76" i="3"/>
  <c r="G76" i="3" s="1"/>
  <c r="E75" i="3"/>
  <c r="G75" i="3" s="1"/>
  <c r="E74" i="3"/>
  <c r="G74" i="3" s="1"/>
  <c r="E73" i="3"/>
  <c r="G73" i="3" s="1"/>
  <c r="E72" i="3"/>
  <c r="G72" i="3" s="1"/>
  <c r="E32" i="3" l="1"/>
  <c r="G32" i="3" s="1"/>
  <c r="E30" i="3"/>
  <c r="E29" i="3"/>
  <c r="G71" i="3"/>
  <c r="G70" i="3"/>
  <c r="G69" i="3"/>
  <c r="G68" i="3"/>
  <c r="G67" i="3"/>
  <c r="G66" i="3"/>
  <c r="G65" i="3"/>
  <c r="G64" i="3"/>
  <c r="F63" i="3"/>
  <c r="E63" i="3"/>
  <c r="F62" i="3"/>
  <c r="E62" i="3"/>
  <c r="G62" i="3" s="1"/>
  <c r="F61" i="3"/>
  <c r="E61" i="3"/>
  <c r="F60" i="3"/>
  <c r="E60" i="3"/>
  <c r="F59" i="3"/>
  <c r="E59" i="3"/>
  <c r="F58" i="3"/>
  <c r="E58" i="3"/>
  <c r="F57" i="3"/>
  <c r="E57" i="3"/>
  <c r="F56" i="3"/>
  <c r="E56" i="3"/>
  <c r="G50" i="3"/>
  <c r="G49" i="3"/>
  <c r="G48" i="3"/>
  <c r="G47" i="3"/>
  <c r="G46" i="3"/>
  <c r="F45" i="3"/>
  <c r="E45" i="3"/>
  <c r="F44" i="3"/>
  <c r="E44" i="3"/>
  <c r="F43" i="3"/>
  <c r="E43" i="3"/>
  <c r="F42" i="3"/>
  <c r="E42" i="3"/>
  <c r="F41" i="3"/>
  <c r="E41" i="3"/>
  <c r="E40" i="3"/>
  <c r="G40" i="3" s="1"/>
  <c r="E39" i="3"/>
  <c r="G39" i="3" s="1"/>
  <c r="E38" i="3"/>
  <c r="G38" i="3" s="1"/>
  <c r="E37" i="3"/>
  <c r="G37" i="3" s="1"/>
  <c r="E36" i="3"/>
  <c r="G36" i="3" s="1"/>
  <c r="E35" i="3"/>
  <c r="E34" i="3"/>
  <c r="G34" i="3" s="1"/>
  <c r="E33" i="3"/>
  <c r="G31" i="3"/>
  <c r="G29" i="3"/>
  <c r="G16" i="3"/>
  <c r="G15" i="3"/>
  <c r="G14" i="3"/>
  <c r="G13" i="3"/>
  <c r="G12" i="3"/>
  <c r="G11" i="3"/>
  <c r="G10" i="3"/>
  <c r="G9" i="3"/>
  <c r="G8" i="3"/>
  <c r="G7" i="3"/>
  <c r="G6" i="3"/>
  <c r="G5" i="3"/>
  <c r="G45" i="3" l="1"/>
  <c r="G35" i="3"/>
  <c r="G60" i="3"/>
  <c r="G56" i="3"/>
  <c r="G41" i="3"/>
  <c r="G44" i="3"/>
  <c r="G59" i="3"/>
  <c r="G33" i="3"/>
  <c r="G61" i="3"/>
  <c r="G63" i="3"/>
  <c r="G42" i="3"/>
  <c r="G57" i="3"/>
  <c r="G30" i="3"/>
  <c r="G58" i="3"/>
  <c r="G43" i="3"/>
</calcChain>
</file>

<file path=xl/sharedStrings.xml><?xml version="1.0" encoding="utf-8"?>
<sst xmlns="http://schemas.openxmlformats.org/spreadsheetml/2006/main" count="361" uniqueCount="69">
  <si>
    <t>MetaPro</t>
  </si>
  <si>
    <t>Dataset</t>
  </si>
  <si>
    <t>HUMAnN2</t>
  </si>
  <si>
    <t>SRR1828965</t>
  </si>
  <si>
    <t>SRR1828976</t>
  </si>
  <si>
    <t>SRR1828983</t>
  </si>
  <si>
    <t>SRR1828989</t>
  </si>
  <si>
    <t>SRR1828991</t>
  </si>
  <si>
    <t>SRR1828993</t>
  </si>
  <si>
    <t>SRR1828998</t>
  </si>
  <si>
    <t>SRR1828995</t>
  </si>
  <si>
    <t>SRR1829003</t>
  </si>
  <si>
    <t>SRR1829000</t>
  </si>
  <si>
    <t>SRR1829007</t>
  </si>
  <si>
    <t>SRR1829005</t>
  </si>
  <si>
    <t>SAMSA2</t>
  </si>
  <si>
    <t>SRR443366</t>
  </si>
  <si>
    <t>SRR443367</t>
  </si>
  <si>
    <t>SRR443368</t>
  </si>
  <si>
    <t>SRR443369</t>
  </si>
  <si>
    <t>SRR443370</t>
  </si>
  <si>
    <t>SRR5984039</t>
  </si>
  <si>
    <t>SRR5984037</t>
  </si>
  <si>
    <t>SRR5984034</t>
  </si>
  <si>
    <t>SRR5984031</t>
  </si>
  <si>
    <t>SRR5984044</t>
  </si>
  <si>
    <t>SRR5984041</t>
  </si>
  <si>
    <t>SRR5984042</t>
  </si>
  <si>
    <t>SRR5984049</t>
  </si>
  <si>
    <t>Pipeline</t>
  </si>
  <si>
    <t>Pre-Processing</t>
  </si>
  <si>
    <t>Data Analysis</t>
  </si>
  <si>
    <t>Total Time</t>
  </si>
  <si>
    <t>Sample SRR ID</t>
  </si>
  <si>
    <t>NOD Mouse 1 - Cecum - Qiagen</t>
  </si>
  <si>
    <t>NOD Mouse 1 - Cecum - Qiagen - Ribominus</t>
  </si>
  <si>
    <t>NOD Mouse 1 - Colon - Qiagen</t>
  </si>
  <si>
    <t>NOD Mouse 2 - Cecum - Qiagen</t>
  </si>
  <si>
    <t>NOD Mouse 2 - Cecum - Qiagen - Ribominus</t>
  </si>
  <si>
    <t>NOD Mouse 2 - Colon - Qiagen</t>
  </si>
  <si>
    <t>NOD Mouse 3 - Cecum - Invitrogen</t>
  </si>
  <si>
    <t>NOD Mouse 3 Cecum - Qiagen</t>
  </si>
  <si>
    <t>NOD Mouse 4 - Cecum – Invitrogen</t>
  </si>
  <si>
    <t>NOD Mouse 4 - Cecum - Qiagen</t>
  </si>
  <si>
    <t>NOD Mouse 4 - Cecum – Qiagen - Ribominus</t>
  </si>
  <si>
    <t>NOD Mouse 4 - Colon – Qiagen</t>
  </si>
  <si>
    <t>Oral Biofilm (6 hours)</t>
  </si>
  <si>
    <t>Oral Biofilm (9 hours)</t>
  </si>
  <si>
    <t>Oral Biofilm (11 hours)</t>
  </si>
  <si>
    <t>Oral Biofilm (13 hours)</t>
  </si>
  <si>
    <t>Oral Biofilm (15 hours)</t>
  </si>
  <si>
    <t>Oral Biofilm (17 hours)</t>
  </si>
  <si>
    <t>Oral Biofilm (21 hours)</t>
  </si>
  <si>
    <t>Oral Biofilm (24 hours)</t>
  </si>
  <si>
    <t>Kimchi Fermentation Day 7</t>
  </si>
  <si>
    <t>Sample Description</t>
  </si>
  <si>
    <t>Kimchi Fermentation Day 13</t>
  </si>
  <si>
    <t>Kimchi Fermentation Day 18</t>
  </si>
  <si>
    <t>Kimchi Fermentation Day 25</t>
  </si>
  <si>
    <t>Kimchi Fermentation Day 29</t>
  </si>
  <si>
    <t>Kimchi Fermentation</t>
  </si>
  <si>
    <t>NOD Mouse</t>
  </si>
  <si>
    <t>Human Oral Biofilm</t>
  </si>
  <si>
    <t>---</t>
  </si>
  <si>
    <t>NOD Mouse 3 - Cecum - Qiagen</t>
  </si>
  <si>
    <t xml:space="preserve">This table reports the amount of processing time required for each run of the three pipelines.  MetaPro additionally exports the timing data of each stage independently. HUMAnN3’s pre-processing step is a separate stage using a separate tool called KneadData.  SAMSA2 cleans the data in the pipeline, but it is integrated and does not export timing data.  </t>
  </si>
  <si>
    <r>
      <t xml:space="preserve">Pipeline Runtime (s) </t>
    </r>
    <r>
      <rPr>
        <vertAlign val="superscript"/>
        <sz val="12"/>
        <rFont val="Times New Roman"/>
        <family val="1"/>
      </rPr>
      <t>1</t>
    </r>
  </si>
  <si>
    <r>
      <rPr>
        <vertAlign val="superscript"/>
        <sz val="12"/>
        <rFont val="Times New Roman"/>
        <family val="1"/>
      </rPr>
      <t xml:space="preserve">1 </t>
    </r>
    <r>
      <rPr>
        <sz val="12"/>
        <rFont val="Times New Roman"/>
        <family val="1"/>
      </rPr>
      <t>SAMSA2 does not report time for preprocessing seperately from data analysis, thus only Total Runtime is reported in this table</t>
    </r>
  </si>
  <si>
    <t>Supplemental Table 8: Computational performance statistics of MetaPro, HUMAnN3, and SAMSA2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</si>
</sst>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2" fontId="5" fillId="0" borderId="0" xfId="0" applyNumberFormat="1" applyFont="1"/>
    <xf numFmtId="2" fontId="3" fillId="0" borderId="0" xfId="0" applyNumberFormat="1" applyFont="1"/>
    <xf numFmtId="2" fontId="3" fillId="0" borderId="0" xfId="0" quotePrefix="1" applyNumberFormat="1" applyFont="1" applyAlignment="1">
      <alignment horizontal="right"/>
    </xf>
    <xf numFmtId="2" fontId="3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Mean Pipeline Runtime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'STable 8'!$J$5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A2-4049-A894-17A927ED5478}"/>
              </c:ext>
            </c:extLst>
          </c:dPt>
          <c:errBars>
            <c:errBarType val="both"/>
            <c:errValType val="cust"/>
            <c:noEndCap val="0"/>
            <c:plus>
              <c:numRef>
                <c:f>('STable 8'!$P$5,'STable 8'!$P$8,'STable 8'!$P$11)</c:f>
                <c:numCache>
                  <c:formatCode>General</c:formatCode>
                  <c:ptCount val="3"/>
                </c:numCache>
              </c:numRef>
            </c:plus>
            <c:minus>
              <c:numRef>
                <c:f>('STable 8'!$P$5,'STable 8'!$P$8,'STable 8'!$P$11)</c:f>
                <c:numCache>
                  <c:formatCode>General</c:formatCode>
                  <c:ptCount val="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('STable 8'!$I$5,'STable 8'!$I$8,'STable 8'!$I$11)</c:f>
              <c:numCache>
                <c:formatCode>General</c:formatCode>
                <c:ptCount val="3"/>
              </c:numCache>
            </c:numRef>
          </c:cat>
          <c:val>
            <c:numRef>
              <c:f>('STable 8'!$O$5,'STable 8'!$O$8,'STable 8'!$O$11)</c:f>
              <c:numCache>
                <c:formatCode>0.00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2BA2-4049-A894-17A927ED5478}"/>
            </c:ext>
          </c:extLst>
        </c:ser>
        <c:ser>
          <c:idx val="0"/>
          <c:order val="1"/>
          <c:tx>
            <c:strRef>
              <c:f>'STable 8'!$J$6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('STable 8'!$P$6,'STable 8'!$P$9,'STable 8'!$P$12)</c:f>
                <c:numCache>
                  <c:formatCode>General</c:formatCode>
                  <c:ptCount val="3"/>
                </c:numCache>
              </c:numRef>
            </c:plus>
            <c:minus>
              <c:numRef>
                <c:f>('STable 8'!$P$6,'STable 8'!$P$9,'STable 8'!$P$12)</c:f>
                <c:numCache>
                  <c:formatCode>General</c:formatCode>
                  <c:ptCount val="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('STable 8'!$I$5,'STable 8'!$I$8,'STable 8'!$I$11)</c:f>
              <c:numCache>
                <c:formatCode>General</c:formatCode>
                <c:ptCount val="3"/>
              </c:numCache>
            </c:numRef>
          </c:cat>
          <c:val>
            <c:numRef>
              <c:f>('STable 8'!$O$6,'STable 8'!$O$9,'STable 8'!$O$12)</c:f>
              <c:numCache>
                <c:formatCode>0.00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2BA2-4049-A894-17A927ED5478}"/>
            </c:ext>
          </c:extLst>
        </c:ser>
        <c:ser>
          <c:idx val="2"/>
          <c:order val="2"/>
          <c:tx>
            <c:strRef>
              <c:f>'STable 8'!$J$7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('STable 8'!$P$7,'STable 8'!$P$10,'STable 8'!$P$13)</c:f>
                <c:numCache>
                  <c:formatCode>General</c:formatCode>
                  <c:ptCount val="3"/>
                </c:numCache>
              </c:numRef>
            </c:plus>
            <c:minus>
              <c:numRef>
                <c:f>('STable 8'!$P$7,'STable 8'!$P$10,'STable 8'!$P$13)</c:f>
                <c:numCache>
                  <c:formatCode>General</c:formatCode>
                  <c:ptCount val="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('STable 8'!$I$5,'STable 8'!$I$8,'STable 8'!$I$11)</c:f>
              <c:numCache>
                <c:formatCode>General</c:formatCode>
                <c:ptCount val="3"/>
              </c:numCache>
            </c:numRef>
          </c:cat>
          <c:val>
            <c:numRef>
              <c:f>('STable 8'!$O$7,'STable 8'!$O$10,'STable 8'!$O$13)</c:f>
              <c:numCache>
                <c:formatCode>0.00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2BA2-4049-A894-17A927ED5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4542352"/>
        <c:axId val="464539728"/>
      </c:barChart>
      <c:catAx>
        <c:axId val="46454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539728"/>
        <c:crosses val="autoZero"/>
        <c:auto val="1"/>
        <c:lblAlgn val="ctr"/>
        <c:lblOffset val="100"/>
        <c:noMultiLvlLbl val="0"/>
      </c:catAx>
      <c:valAx>
        <c:axId val="46453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Total Time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\ 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54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428625</xdr:colOff>
      <xdr:row>6</xdr:row>
      <xdr:rowOff>100011</xdr:rowOff>
    </xdr:from>
    <xdr:to>
      <xdr:col>30</xdr:col>
      <xdr:colOff>352425</xdr:colOff>
      <xdr:row>30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B1CA27-FF3A-4380-B10C-093D68DA3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DA90-66C2-44F0-B5DB-6ADCAA6DEEBF}">
  <dimension ref="A1:Q81"/>
  <sheetViews>
    <sheetView tabSelected="1" topLeftCell="A66" workbookViewId="0">
      <selection activeCell="H15" sqref="H15"/>
    </sheetView>
  </sheetViews>
  <sheetFormatPr defaultColWidth="9.140625" defaultRowHeight="15.75" x14ac:dyDescent="0.25"/>
  <cols>
    <col min="1" max="1" width="19.85546875" style="2" bestFit="1" customWidth="1"/>
    <col min="2" max="2" width="13.7109375" style="2" bestFit="1" customWidth="1"/>
    <col min="3" max="3" width="40.7109375" style="2" bestFit="1" customWidth="1"/>
    <col min="4" max="4" width="10.140625" style="2" bestFit="1" customWidth="1"/>
    <col min="5" max="5" width="14.28515625" style="2" bestFit="1" customWidth="1"/>
    <col min="6" max="6" width="12.7109375" style="2" bestFit="1" customWidth="1"/>
    <col min="7" max="7" width="10.28515625" style="2" bestFit="1" customWidth="1"/>
    <col min="8" max="8" width="9.140625" style="2"/>
    <col min="9" max="9" width="19.85546875" style="2" bestFit="1" customWidth="1"/>
    <col min="10" max="10" width="10.140625" style="2" bestFit="1" customWidth="1"/>
    <col min="11" max="11" width="14.28515625" style="2" customWidth="1"/>
    <col min="12" max="12" width="7.7109375" style="2" bestFit="1" customWidth="1"/>
    <col min="13" max="13" width="10.5703125" style="2" customWidth="1"/>
    <col min="14" max="14" width="10.7109375" style="2" customWidth="1"/>
    <col min="15" max="15" width="15.140625" style="2" customWidth="1"/>
    <col min="16" max="16" width="10.28515625" style="2" bestFit="1" customWidth="1"/>
    <col min="17" max="17" width="8.5703125" style="2" bestFit="1" customWidth="1"/>
    <col min="18" max="16384" width="9.140625" style="2"/>
  </cols>
  <sheetData>
    <row r="1" spans="1:17" x14ac:dyDescent="0.25">
      <c r="A1" s="1" t="s">
        <v>68</v>
      </c>
    </row>
    <row r="2" spans="1:17" x14ac:dyDescent="0.25">
      <c r="A2" s="2" t="s">
        <v>65</v>
      </c>
    </row>
    <row r="3" spans="1:17" ht="18.75" x14ac:dyDescent="0.25">
      <c r="E3" s="7" t="s">
        <v>66</v>
      </c>
      <c r="F3" s="7"/>
      <c r="G3" s="7"/>
      <c r="K3" s="7"/>
      <c r="L3" s="7"/>
      <c r="M3" s="7"/>
      <c r="N3" s="7"/>
      <c r="O3" s="7"/>
      <c r="P3" s="7"/>
      <c r="Q3" s="7"/>
    </row>
    <row r="4" spans="1:17" x14ac:dyDescent="0.25">
      <c r="A4" s="2" t="s">
        <v>1</v>
      </c>
      <c r="B4" s="2" t="s">
        <v>33</v>
      </c>
      <c r="C4" s="2" t="s">
        <v>55</v>
      </c>
      <c r="D4" s="2" t="s">
        <v>29</v>
      </c>
      <c r="E4" s="2" t="s">
        <v>30</v>
      </c>
      <c r="F4" s="2" t="s">
        <v>31</v>
      </c>
      <c r="G4" s="2" t="s">
        <v>32</v>
      </c>
    </row>
    <row r="5" spans="1:17" x14ac:dyDescent="0.25">
      <c r="A5" s="2" t="s">
        <v>61</v>
      </c>
      <c r="B5" s="2" t="s">
        <v>3</v>
      </c>
      <c r="C5" s="2" t="s">
        <v>34</v>
      </c>
      <c r="D5" s="2" t="s">
        <v>2</v>
      </c>
      <c r="E5" s="3">
        <v>255</v>
      </c>
      <c r="F5" s="4">
        <v>815</v>
      </c>
      <c r="G5" s="4">
        <f t="shared" ref="G5:G16" si="0">E5+F5</f>
        <v>1070</v>
      </c>
      <c r="K5" s="4"/>
      <c r="L5" s="4"/>
      <c r="M5" s="4"/>
      <c r="N5" s="4"/>
      <c r="O5" s="4"/>
      <c r="P5" s="4"/>
    </row>
    <row r="6" spans="1:17" x14ac:dyDescent="0.25">
      <c r="A6" s="2" t="s">
        <v>61</v>
      </c>
      <c r="B6" s="2" t="s">
        <v>4</v>
      </c>
      <c r="C6" s="2" t="s">
        <v>35</v>
      </c>
      <c r="D6" s="2" t="s">
        <v>2</v>
      </c>
      <c r="E6" s="4">
        <v>283</v>
      </c>
      <c r="F6" s="4">
        <v>1001</v>
      </c>
      <c r="G6" s="4">
        <f t="shared" si="0"/>
        <v>1284</v>
      </c>
      <c r="K6" s="5"/>
      <c r="L6" s="5"/>
      <c r="M6" s="5"/>
      <c r="N6" s="5"/>
      <c r="O6" s="4"/>
      <c r="P6" s="4"/>
    </row>
    <row r="7" spans="1:17" x14ac:dyDescent="0.25">
      <c r="A7" s="2" t="s">
        <v>61</v>
      </c>
      <c r="B7" s="2" t="s">
        <v>5</v>
      </c>
      <c r="C7" s="2" t="s">
        <v>36</v>
      </c>
      <c r="D7" s="2" t="s">
        <v>2</v>
      </c>
      <c r="E7" s="4">
        <v>285</v>
      </c>
      <c r="F7" s="6">
        <v>722</v>
      </c>
      <c r="G7" s="4">
        <f t="shared" si="0"/>
        <v>1007</v>
      </c>
      <c r="K7" s="4"/>
      <c r="L7" s="4"/>
      <c r="M7" s="4"/>
      <c r="N7" s="4"/>
      <c r="O7" s="4"/>
      <c r="P7" s="4"/>
    </row>
    <row r="8" spans="1:17" x14ac:dyDescent="0.25">
      <c r="A8" s="2" t="s">
        <v>61</v>
      </c>
      <c r="B8" s="2" t="s">
        <v>6</v>
      </c>
      <c r="C8" s="2" t="s">
        <v>37</v>
      </c>
      <c r="D8" s="2" t="s">
        <v>2</v>
      </c>
      <c r="E8" s="4">
        <v>228</v>
      </c>
      <c r="F8" s="4">
        <v>1235</v>
      </c>
      <c r="G8" s="4">
        <f t="shared" si="0"/>
        <v>1463</v>
      </c>
      <c r="K8" s="4"/>
      <c r="L8" s="4"/>
      <c r="M8" s="4"/>
      <c r="N8" s="4"/>
      <c r="O8" s="4"/>
      <c r="P8" s="4"/>
    </row>
    <row r="9" spans="1:17" x14ac:dyDescent="0.25">
      <c r="A9" s="2" t="s">
        <v>61</v>
      </c>
      <c r="B9" s="2" t="s">
        <v>7</v>
      </c>
      <c r="C9" s="2" t="s">
        <v>38</v>
      </c>
      <c r="D9" s="2" t="s">
        <v>2</v>
      </c>
      <c r="E9" s="4">
        <v>382</v>
      </c>
      <c r="F9" s="4">
        <v>717</v>
      </c>
      <c r="G9" s="4">
        <f t="shared" si="0"/>
        <v>1099</v>
      </c>
      <c r="K9" s="5"/>
      <c r="L9" s="5"/>
      <c r="M9" s="5"/>
      <c r="N9" s="5"/>
      <c r="O9" s="4"/>
      <c r="P9" s="4"/>
    </row>
    <row r="10" spans="1:17" x14ac:dyDescent="0.25">
      <c r="A10" s="2" t="s">
        <v>61</v>
      </c>
      <c r="B10" s="2" t="s">
        <v>8</v>
      </c>
      <c r="C10" s="2" t="s">
        <v>39</v>
      </c>
      <c r="D10" s="2" t="s">
        <v>2</v>
      </c>
      <c r="E10" s="4">
        <v>237</v>
      </c>
      <c r="F10" s="4">
        <v>760</v>
      </c>
      <c r="G10" s="4">
        <f t="shared" si="0"/>
        <v>997</v>
      </c>
      <c r="K10" s="4"/>
      <c r="L10" s="4"/>
      <c r="M10" s="4"/>
      <c r="N10" s="4"/>
      <c r="O10" s="4"/>
      <c r="P10" s="4"/>
    </row>
    <row r="11" spans="1:17" x14ac:dyDescent="0.25">
      <c r="A11" s="2" t="s">
        <v>61</v>
      </c>
      <c r="B11" s="2" t="s">
        <v>9</v>
      </c>
      <c r="C11" s="2" t="s">
        <v>40</v>
      </c>
      <c r="D11" s="2" t="s">
        <v>2</v>
      </c>
      <c r="E11" s="4">
        <v>478</v>
      </c>
      <c r="F11" s="4">
        <v>1253</v>
      </c>
      <c r="G11" s="4">
        <f t="shared" si="0"/>
        <v>1731</v>
      </c>
      <c r="K11" s="4"/>
      <c r="L11" s="4"/>
      <c r="M11" s="4"/>
      <c r="N11" s="4"/>
      <c r="O11" s="4"/>
      <c r="P11" s="4"/>
    </row>
    <row r="12" spans="1:17" x14ac:dyDescent="0.25">
      <c r="A12" s="2" t="s">
        <v>61</v>
      </c>
      <c r="B12" s="2" t="s">
        <v>10</v>
      </c>
      <c r="C12" s="2" t="s">
        <v>41</v>
      </c>
      <c r="D12" s="2" t="s">
        <v>2</v>
      </c>
      <c r="E12" s="4">
        <v>247</v>
      </c>
      <c r="F12" s="4">
        <v>752</v>
      </c>
      <c r="G12" s="4">
        <f t="shared" si="0"/>
        <v>999</v>
      </c>
      <c r="K12" s="5"/>
      <c r="L12" s="5"/>
      <c r="M12" s="5"/>
      <c r="N12" s="5"/>
      <c r="O12" s="4"/>
      <c r="P12" s="4"/>
    </row>
    <row r="13" spans="1:17" x14ac:dyDescent="0.25">
      <c r="A13" s="2" t="s">
        <v>61</v>
      </c>
      <c r="B13" s="2" t="s">
        <v>13</v>
      </c>
      <c r="C13" s="2" t="s">
        <v>42</v>
      </c>
      <c r="D13" s="2" t="s">
        <v>2</v>
      </c>
      <c r="E13" s="4">
        <v>570</v>
      </c>
      <c r="F13" s="4">
        <v>1030</v>
      </c>
      <c r="G13" s="4">
        <f t="shared" si="0"/>
        <v>1600</v>
      </c>
      <c r="K13" s="4"/>
      <c r="L13" s="4"/>
      <c r="M13" s="4"/>
      <c r="N13" s="4"/>
      <c r="O13" s="4"/>
      <c r="P13" s="4"/>
    </row>
    <row r="14" spans="1:17" x14ac:dyDescent="0.25">
      <c r="A14" s="2" t="s">
        <v>61</v>
      </c>
      <c r="B14" s="2" t="s">
        <v>12</v>
      </c>
      <c r="C14" s="2" t="s">
        <v>43</v>
      </c>
      <c r="D14" s="2" t="s">
        <v>2</v>
      </c>
      <c r="E14" s="4">
        <v>350</v>
      </c>
      <c r="F14" s="4">
        <v>1085</v>
      </c>
      <c r="G14" s="4">
        <f t="shared" si="0"/>
        <v>1435</v>
      </c>
    </row>
    <row r="15" spans="1:17" x14ac:dyDescent="0.25">
      <c r="A15" s="2" t="s">
        <v>61</v>
      </c>
      <c r="B15" s="2" t="s">
        <v>11</v>
      </c>
      <c r="C15" s="2" t="s">
        <v>44</v>
      </c>
      <c r="D15" s="2" t="s">
        <v>2</v>
      </c>
      <c r="E15" s="4">
        <v>389</v>
      </c>
      <c r="F15" s="4">
        <v>1329</v>
      </c>
      <c r="G15" s="4">
        <f t="shared" si="0"/>
        <v>1718</v>
      </c>
    </row>
    <row r="16" spans="1:17" x14ac:dyDescent="0.25">
      <c r="A16" s="2" t="s">
        <v>61</v>
      </c>
      <c r="B16" s="2" t="s">
        <v>14</v>
      </c>
      <c r="C16" s="2" t="s">
        <v>45</v>
      </c>
      <c r="D16" s="2" t="s">
        <v>2</v>
      </c>
      <c r="E16" s="4">
        <v>370</v>
      </c>
      <c r="F16" s="4">
        <v>952</v>
      </c>
      <c r="G16" s="4">
        <f t="shared" si="0"/>
        <v>1322</v>
      </c>
    </row>
    <row r="17" spans="1:7" x14ac:dyDescent="0.25">
      <c r="A17" s="2" t="s">
        <v>61</v>
      </c>
      <c r="B17" s="2" t="s">
        <v>3</v>
      </c>
      <c r="C17" s="2" t="s">
        <v>34</v>
      </c>
      <c r="D17" s="2" t="s">
        <v>15</v>
      </c>
      <c r="E17" s="5" t="s">
        <v>63</v>
      </c>
      <c r="F17" s="5" t="s">
        <v>63</v>
      </c>
      <c r="G17" s="4">
        <v>1608</v>
      </c>
    </row>
    <row r="18" spans="1:7" x14ac:dyDescent="0.25">
      <c r="A18" s="2" t="s">
        <v>61</v>
      </c>
      <c r="B18" s="2" t="s">
        <v>4</v>
      </c>
      <c r="C18" s="2" t="s">
        <v>35</v>
      </c>
      <c r="D18" s="2" t="s">
        <v>15</v>
      </c>
      <c r="E18" s="5" t="s">
        <v>63</v>
      </c>
      <c r="F18" s="5" t="s">
        <v>63</v>
      </c>
      <c r="G18" s="4">
        <v>1649</v>
      </c>
    </row>
    <row r="19" spans="1:7" x14ac:dyDescent="0.25">
      <c r="A19" s="2" t="s">
        <v>61</v>
      </c>
      <c r="B19" s="2" t="s">
        <v>5</v>
      </c>
      <c r="C19" s="2" t="s">
        <v>36</v>
      </c>
      <c r="D19" s="2" t="s">
        <v>15</v>
      </c>
      <c r="E19" s="5" t="s">
        <v>63</v>
      </c>
      <c r="F19" s="5" t="s">
        <v>63</v>
      </c>
      <c r="G19" s="6">
        <v>2392</v>
      </c>
    </row>
    <row r="20" spans="1:7" x14ac:dyDescent="0.25">
      <c r="A20" s="2" t="s">
        <v>61</v>
      </c>
      <c r="B20" s="2" t="s">
        <v>6</v>
      </c>
      <c r="C20" s="2" t="s">
        <v>37</v>
      </c>
      <c r="D20" s="2" t="s">
        <v>15</v>
      </c>
      <c r="E20" s="5" t="s">
        <v>63</v>
      </c>
      <c r="F20" s="5" t="s">
        <v>63</v>
      </c>
      <c r="G20" s="4">
        <v>2490</v>
      </c>
    </row>
    <row r="21" spans="1:7" x14ac:dyDescent="0.25">
      <c r="A21" s="2" t="s">
        <v>61</v>
      </c>
      <c r="B21" s="2" t="s">
        <v>7</v>
      </c>
      <c r="C21" s="2" t="s">
        <v>38</v>
      </c>
      <c r="D21" s="2" t="s">
        <v>15</v>
      </c>
      <c r="E21" s="5" t="s">
        <v>63</v>
      </c>
      <c r="F21" s="5" t="s">
        <v>63</v>
      </c>
      <c r="G21" s="4">
        <v>2462</v>
      </c>
    </row>
    <row r="22" spans="1:7" x14ac:dyDescent="0.25">
      <c r="A22" s="2" t="s">
        <v>61</v>
      </c>
      <c r="B22" s="2" t="s">
        <v>8</v>
      </c>
      <c r="C22" s="2" t="s">
        <v>39</v>
      </c>
      <c r="D22" s="2" t="s">
        <v>15</v>
      </c>
      <c r="E22" s="5" t="s">
        <v>63</v>
      </c>
      <c r="F22" s="5" t="s">
        <v>63</v>
      </c>
      <c r="G22" s="4">
        <v>2473</v>
      </c>
    </row>
    <row r="23" spans="1:7" x14ac:dyDescent="0.25">
      <c r="A23" s="2" t="s">
        <v>61</v>
      </c>
      <c r="B23" s="2" t="s">
        <v>9</v>
      </c>
      <c r="C23" s="2" t="s">
        <v>40</v>
      </c>
      <c r="D23" s="2" t="s">
        <v>15</v>
      </c>
      <c r="E23" s="5" t="s">
        <v>63</v>
      </c>
      <c r="F23" s="5" t="s">
        <v>63</v>
      </c>
      <c r="G23" s="4">
        <v>2535</v>
      </c>
    </row>
    <row r="24" spans="1:7" x14ac:dyDescent="0.25">
      <c r="A24" s="2" t="s">
        <v>61</v>
      </c>
      <c r="B24" s="2" t="s">
        <v>10</v>
      </c>
      <c r="C24" s="2" t="s">
        <v>41</v>
      </c>
      <c r="D24" s="2" t="s">
        <v>15</v>
      </c>
      <c r="E24" s="5" t="s">
        <v>63</v>
      </c>
      <c r="F24" s="5" t="s">
        <v>63</v>
      </c>
      <c r="G24" s="4">
        <v>2491</v>
      </c>
    </row>
    <row r="25" spans="1:7" x14ac:dyDescent="0.25">
      <c r="A25" s="2" t="s">
        <v>61</v>
      </c>
      <c r="B25" s="2" t="s">
        <v>13</v>
      </c>
      <c r="C25" s="2" t="s">
        <v>42</v>
      </c>
      <c r="D25" s="2" t="s">
        <v>15</v>
      </c>
      <c r="E25" s="5" t="s">
        <v>63</v>
      </c>
      <c r="F25" s="5" t="s">
        <v>63</v>
      </c>
      <c r="G25" s="4">
        <v>2526</v>
      </c>
    </row>
    <row r="26" spans="1:7" x14ac:dyDescent="0.25">
      <c r="A26" s="2" t="s">
        <v>61</v>
      </c>
      <c r="B26" s="2" t="s">
        <v>12</v>
      </c>
      <c r="C26" s="2" t="s">
        <v>43</v>
      </c>
      <c r="D26" s="2" t="s">
        <v>15</v>
      </c>
      <c r="E26" s="5" t="s">
        <v>63</v>
      </c>
      <c r="F26" s="5" t="s">
        <v>63</v>
      </c>
      <c r="G26" s="4">
        <v>2488</v>
      </c>
    </row>
    <row r="27" spans="1:7" x14ac:dyDescent="0.25">
      <c r="A27" s="2" t="s">
        <v>61</v>
      </c>
      <c r="B27" s="2" t="s">
        <v>11</v>
      </c>
      <c r="C27" s="2" t="s">
        <v>44</v>
      </c>
      <c r="D27" s="2" t="s">
        <v>15</v>
      </c>
      <c r="E27" s="5" t="s">
        <v>63</v>
      </c>
      <c r="F27" s="5" t="s">
        <v>63</v>
      </c>
      <c r="G27" s="4">
        <v>2507</v>
      </c>
    </row>
    <row r="28" spans="1:7" x14ac:dyDescent="0.25">
      <c r="A28" s="2" t="s">
        <v>61</v>
      </c>
      <c r="B28" s="2" t="s">
        <v>14</v>
      </c>
      <c r="C28" s="2" t="s">
        <v>45</v>
      </c>
      <c r="D28" s="2" t="s">
        <v>15</v>
      </c>
      <c r="E28" s="5" t="s">
        <v>63</v>
      </c>
      <c r="F28" s="5" t="s">
        <v>63</v>
      </c>
      <c r="G28" s="4">
        <v>2480</v>
      </c>
    </row>
    <row r="29" spans="1:7" x14ac:dyDescent="0.25">
      <c r="A29" s="2" t="s">
        <v>61</v>
      </c>
      <c r="B29" s="2" t="s">
        <v>3</v>
      </c>
      <c r="C29" s="2" t="s">
        <v>34</v>
      </c>
      <c r="D29" s="2" t="s">
        <v>0</v>
      </c>
      <c r="E29" s="4">
        <f>90.9+77.4+8.2+5276.3+32.4+31.4</f>
        <v>5516.5999999999995</v>
      </c>
      <c r="F29" s="3">
        <v>5410.1</v>
      </c>
      <c r="G29" s="4">
        <f t="shared" ref="G29:G40" si="1">E29+F29</f>
        <v>10926.7</v>
      </c>
    </row>
    <row r="30" spans="1:7" x14ac:dyDescent="0.25">
      <c r="A30" s="2" t="s">
        <v>61</v>
      </c>
      <c r="B30" s="2" t="s">
        <v>4</v>
      </c>
      <c r="C30" s="2" t="s">
        <v>35</v>
      </c>
      <c r="D30" s="2" t="s">
        <v>0</v>
      </c>
      <c r="E30" s="4">
        <f>127.1+106.2+26.6+3453.4+48.4+153.2</f>
        <v>3914.9</v>
      </c>
      <c r="F30" s="4">
        <v>15547.1</v>
      </c>
      <c r="G30" s="4">
        <f t="shared" si="1"/>
        <v>19462</v>
      </c>
    </row>
    <row r="31" spans="1:7" x14ac:dyDescent="0.25">
      <c r="A31" s="2" t="s">
        <v>61</v>
      </c>
      <c r="B31" s="2" t="s">
        <v>5</v>
      </c>
      <c r="C31" s="2" t="s">
        <v>36</v>
      </c>
      <c r="D31" s="2" t="s">
        <v>0</v>
      </c>
      <c r="E31" s="4">
        <f>78.7+94.8+27.5+12263.5+43.3+32</f>
        <v>12539.8</v>
      </c>
      <c r="F31" s="4">
        <f>549.7+940.8+3658.6+882+1378.4+61.9</f>
        <v>7471.4</v>
      </c>
      <c r="G31" s="4">
        <f t="shared" si="1"/>
        <v>20011.199999999997</v>
      </c>
    </row>
    <row r="32" spans="1:7" x14ac:dyDescent="0.25">
      <c r="A32" s="2" t="s">
        <v>61</v>
      </c>
      <c r="B32" s="2" t="s">
        <v>6</v>
      </c>
      <c r="C32" s="2" t="s">
        <v>37</v>
      </c>
      <c r="D32" s="2" t="s">
        <v>0</v>
      </c>
      <c r="E32" s="4">
        <f>126.1+80+15.1+9063.1+48.1+39.3</f>
        <v>9371.7000000000007</v>
      </c>
      <c r="F32" s="4">
        <v>15002.9</v>
      </c>
      <c r="G32" s="4">
        <f t="shared" si="1"/>
        <v>24374.6</v>
      </c>
    </row>
    <row r="33" spans="1:7" x14ac:dyDescent="0.25">
      <c r="A33" s="2" t="s">
        <v>61</v>
      </c>
      <c r="B33" s="2" t="s">
        <v>7</v>
      </c>
      <c r="C33" s="2" t="s">
        <v>38</v>
      </c>
      <c r="D33" s="2" t="s">
        <v>0</v>
      </c>
      <c r="E33" s="4">
        <f>65.2+76+11.5+685.6+22.8+59.7</f>
        <v>920.8</v>
      </c>
      <c r="F33" s="4">
        <v>15412.7</v>
      </c>
      <c r="G33" s="4">
        <f t="shared" si="1"/>
        <v>16333.5</v>
      </c>
    </row>
    <row r="34" spans="1:7" x14ac:dyDescent="0.25">
      <c r="A34" s="2" t="s">
        <v>61</v>
      </c>
      <c r="B34" s="2" t="s">
        <v>8</v>
      </c>
      <c r="C34" s="2" t="s">
        <v>39</v>
      </c>
      <c r="D34" s="2" t="s">
        <v>0</v>
      </c>
      <c r="E34" s="4">
        <f>67.7+78.5+17+1851.3+30.8+65.6</f>
        <v>2110.9</v>
      </c>
      <c r="F34" s="4">
        <v>8198</v>
      </c>
      <c r="G34" s="4">
        <f t="shared" si="1"/>
        <v>10308.9</v>
      </c>
    </row>
    <row r="35" spans="1:7" x14ac:dyDescent="0.25">
      <c r="A35" s="2" t="s">
        <v>61</v>
      </c>
      <c r="B35" s="2" t="s">
        <v>9</v>
      </c>
      <c r="C35" s="2" t="s">
        <v>40</v>
      </c>
      <c r="D35" s="2" t="s">
        <v>0</v>
      </c>
      <c r="E35" s="4">
        <f>134.1+128.4+33.9+2018.9+58.7+294.2</f>
        <v>2668.2</v>
      </c>
      <c r="F35" s="4">
        <v>17337</v>
      </c>
      <c r="G35" s="4">
        <f t="shared" si="1"/>
        <v>20005.2</v>
      </c>
    </row>
    <row r="36" spans="1:7" x14ac:dyDescent="0.25">
      <c r="A36" s="2" t="s">
        <v>61</v>
      </c>
      <c r="B36" s="2" t="s">
        <v>10</v>
      </c>
      <c r="C36" s="2" t="s">
        <v>64</v>
      </c>
      <c r="D36" s="2" t="s">
        <v>0</v>
      </c>
      <c r="E36" s="4">
        <f>67.2+72.2+11+1183.2+28.3+37.4</f>
        <v>1399.3000000000002</v>
      </c>
      <c r="F36" s="4">
        <v>6233</v>
      </c>
      <c r="G36" s="4">
        <f t="shared" si="1"/>
        <v>7632.3</v>
      </c>
    </row>
    <row r="37" spans="1:7" x14ac:dyDescent="0.25">
      <c r="A37" s="2" t="s">
        <v>61</v>
      </c>
      <c r="B37" s="2" t="s">
        <v>13</v>
      </c>
      <c r="C37" s="2" t="s">
        <v>42</v>
      </c>
      <c r="D37" s="2" t="s">
        <v>0</v>
      </c>
      <c r="E37" s="4">
        <f>126.1+144.7+33.9+1846+52.2+363.2</f>
        <v>2566.0999999999995</v>
      </c>
      <c r="F37" s="4">
        <v>19978.599999999999</v>
      </c>
      <c r="G37" s="4">
        <f t="shared" si="1"/>
        <v>22544.699999999997</v>
      </c>
    </row>
    <row r="38" spans="1:7" x14ac:dyDescent="0.25">
      <c r="A38" s="2" t="s">
        <v>61</v>
      </c>
      <c r="B38" s="2" t="s">
        <v>12</v>
      </c>
      <c r="C38" s="2" t="s">
        <v>43</v>
      </c>
      <c r="D38" s="2" t="s">
        <v>0</v>
      </c>
      <c r="E38" s="4">
        <f>95.4+75.2+12.6+1380.4+40.1+45.5</f>
        <v>1649.2</v>
      </c>
      <c r="F38" s="4">
        <v>7690.1</v>
      </c>
      <c r="G38" s="4">
        <f t="shared" si="1"/>
        <v>9339.3000000000011</v>
      </c>
    </row>
    <row r="39" spans="1:7" x14ac:dyDescent="0.25">
      <c r="A39" s="2" t="s">
        <v>61</v>
      </c>
      <c r="B39" s="2" t="s">
        <v>11</v>
      </c>
      <c r="C39" s="2" t="s">
        <v>44</v>
      </c>
      <c r="D39" s="2" t="s">
        <v>0</v>
      </c>
      <c r="E39" s="4">
        <f>131.5+81.4+14.8+1177+46.9+84.3</f>
        <v>1535.9</v>
      </c>
      <c r="F39" s="4">
        <v>13365.4</v>
      </c>
      <c r="G39" s="4">
        <f t="shared" si="1"/>
        <v>14901.3</v>
      </c>
    </row>
    <row r="40" spans="1:7" x14ac:dyDescent="0.25">
      <c r="A40" s="2" t="s">
        <v>61</v>
      </c>
      <c r="B40" s="2" t="s">
        <v>14</v>
      </c>
      <c r="C40" s="2" t="s">
        <v>45</v>
      </c>
      <c r="D40" s="2" t="s">
        <v>0</v>
      </c>
      <c r="E40" s="4">
        <f>99.5+94.7+20.8+1808.1+42.9+170</f>
        <v>2236</v>
      </c>
      <c r="F40" s="4">
        <v>14781.1</v>
      </c>
      <c r="G40" s="4">
        <f t="shared" si="1"/>
        <v>17017.099999999999</v>
      </c>
    </row>
    <row r="41" spans="1:7" x14ac:dyDescent="0.25">
      <c r="A41" s="2" t="s">
        <v>60</v>
      </c>
      <c r="B41" s="2" t="s">
        <v>16</v>
      </c>
      <c r="C41" s="2" t="s">
        <v>54</v>
      </c>
      <c r="D41" s="2" t="s">
        <v>2</v>
      </c>
      <c r="E41" s="4">
        <f xml:space="preserve"> (34*60) + 28</f>
        <v>2068</v>
      </c>
      <c r="F41" s="4">
        <f>(2*3600)+(54*60)+59</f>
        <v>10499</v>
      </c>
      <c r="G41" s="4">
        <f xml:space="preserve"> F41+E41</f>
        <v>12567</v>
      </c>
    </row>
    <row r="42" spans="1:7" x14ac:dyDescent="0.25">
      <c r="A42" s="2" t="s">
        <v>60</v>
      </c>
      <c r="B42" s="2" t="s">
        <v>17</v>
      </c>
      <c r="C42" s="2" t="s">
        <v>56</v>
      </c>
      <c r="D42" s="2" t="s">
        <v>2</v>
      </c>
      <c r="E42" s="4">
        <f xml:space="preserve"> (35 * 60) + 14</f>
        <v>2114</v>
      </c>
      <c r="F42" s="4">
        <f>(2*3600) + (38*60) + 45</f>
        <v>9525</v>
      </c>
      <c r="G42" s="4">
        <f xml:space="preserve"> F42+E42</f>
        <v>11639</v>
      </c>
    </row>
    <row r="43" spans="1:7" x14ac:dyDescent="0.25">
      <c r="A43" s="2" t="s">
        <v>60</v>
      </c>
      <c r="B43" s="2" t="s">
        <v>18</v>
      </c>
      <c r="C43" s="2" t="s">
        <v>57</v>
      </c>
      <c r="D43" s="2" t="s">
        <v>2</v>
      </c>
      <c r="E43" s="4">
        <f xml:space="preserve"> (30 * 60) + 9</f>
        <v>1809</v>
      </c>
      <c r="F43" s="4">
        <f xml:space="preserve"> (2*3600) + (19*60) + 17</f>
        <v>8357</v>
      </c>
      <c r="G43" s="4">
        <f xml:space="preserve"> F43+E43</f>
        <v>10166</v>
      </c>
    </row>
    <row r="44" spans="1:7" x14ac:dyDescent="0.25">
      <c r="A44" s="2" t="s">
        <v>60</v>
      </c>
      <c r="B44" s="2" t="s">
        <v>19</v>
      </c>
      <c r="C44" s="2" t="s">
        <v>58</v>
      </c>
      <c r="D44" s="2" t="s">
        <v>2</v>
      </c>
      <c r="E44" s="4">
        <f xml:space="preserve"> (33 * 60) + 40</f>
        <v>2020</v>
      </c>
      <c r="F44" s="4">
        <f xml:space="preserve"> (2*3600) + (20*60) + 40</f>
        <v>8440</v>
      </c>
      <c r="G44" s="4">
        <f xml:space="preserve"> F44+E44</f>
        <v>10460</v>
      </c>
    </row>
    <row r="45" spans="1:7" x14ac:dyDescent="0.25">
      <c r="A45" s="2" t="s">
        <v>60</v>
      </c>
      <c r="B45" s="2" t="s">
        <v>20</v>
      </c>
      <c r="C45" s="2" t="s">
        <v>59</v>
      </c>
      <c r="D45" s="2" t="s">
        <v>2</v>
      </c>
      <c r="E45" s="4">
        <f xml:space="preserve"> (29 * 60 )+ 53</f>
        <v>1793</v>
      </c>
      <c r="F45" s="4">
        <f xml:space="preserve"> (2*3600) + (25 * 60) + 10</f>
        <v>8710</v>
      </c>
      <c r="G45" s="4">
        <f xml:space="preserve"> F45+E45</f>
        <v>10503</v>
      </c>
    </row>
    <row r="46" spans="1:7" x14ac:dyDescent="0.25">
      <c r="A46" s="2" t="s">
        <v>60</v>
      </c>
      <c r="B46" s="2" t="s">
        <v>16</v>
      </c>
      <c r="C46" s="2" t="s">
        <v>54</v>
      </c>
      <c r="D46" s="2" t="s">
        <v>15</v>
      </c>
      <c r="E46" s="5" t="s">
        <v>63</v>
      </c>
      <c r="F46" s="5" t="s">
        <v>63</v>
      </c>
      <c r="G46" s="4">
        <f>(3600) + (8*60) + 42</f>
        <v>4122</v>
      </c>
    </row>
    <row r="47" spans="1:7" x14ac:dyDescent="0.25">
      <c r="A47" s="2" t="s">
        <v>60</v>
      </c>
      <c r="B47" s="2" t="s">
        <v>17</v>
      </c>
      <c r="C47" s="2" t="s">
        <v>56</v>
      </c>
      <c r="D47" s="2" t="s">
        <v>15</v>
      </c>
      <c r="E47" s="5" t="s">
        <v>63</v>
      </c>
      <c r="F47" s="5" t="s">
        <v>63</v>
      </c>
      <c r="G47" s="4">
        <f xml:space="preserve"> (2*2600) + (3*60) + 13</f>
        <v>5393</v>
      </c>
    </row>
    <row r="48" spans="1:7" x14ac:dyDescent="0.25">
      <c r="A48" s="2" t="s">
        <v>60</v>
      </c>
      <c r="B48" s="2" t="s">
        <v>18</v>
      </c>
      <c r="C48" s="2" t="s">
        <v>57</v>
      </c>
      <c r="D48" s="2" t="s">
        <v>15</v>
      </c>
      <c r="E48" s="5" t="s">
        <v>63</v>
      </c>
      <c r="F48" s="5" t="s">
        <v>63</v>
      </c>
      <c r="G48" s="4">
        <f>(2*3600) + (32*60) + 18</f>
        <v>9138</v>
      </c>
    </row>
    <row r="49" spans="1:7" x14ac:dyDescent="0.25">
      <c r="A49" s="2" t="s">
        <v>60</v>
      </c>
      <c r="B49" s="2" t="s">
        <v>19</v>
      </c>
      <c r="C49" s="2" t="s">
        <v>58</v>
      </c>
      <c r="D49" s="2" t="s">
        <v>15</v>
      </c>
      <c r="E49" s="5" t="s">
        <v>63</v>
      </c>
      <c r="F49" s="5" t="s">
        <v>63</v>
      </c>
      <c r="G49" s="4">
        <f>3600+(20*60)</f>
        <v>4800</v>
      </c>
    </row>
    <row r="50" spans="1:7" x14ac:dyDescent="0.25">
      <c r="A50" s="2" t="s">
        <v>60</v>
      </c>
      <c r="B50" s="2" t="s">
        <v>20</v>
      </c>
      <c r="C50" s="2" t="s">
        <v>59</v>
      </c>
      <c r="D50" s="2" t="s">
        <v>15</v>
      </c>
      <c r="E50" s="5" t="s">
        <v>63</v>
      </c>
      <c r="F50" s="5" t="s">
        <v>63</v>
      </c>
      <c r="G50" s="4">
        <f xml:space="preserve"> 3600 + (39*60) + 20</f>
        <v>5960</v>
      </c>
    </row>
    <row r="51" spans="1:7" x14ac:dyDescent="0.25">
      <c r="A51" s="2" t="s">
        <v>60</v>
      </c>
      <c r="B51" s="2" t="s">
        <v>16</v>
      </c>
      <c r="C51" s="2" t="s">
        <v>54</v>
      </c>
      <c r="D51" s="2" t="s">
        <v>0</v>
      </c>
      <c r="E51" s="4">
        <f>509.7+337+22887.9+647.6+2605.5</f>
        <v>26987.7</v>
      </c>
      <c r="F51" s="4">
        <f>5903.2+17699.7+31131.4+420+1318+59278.3</f>
        <v>115750.6</v>
      </c>
      <c r="G51" s="4">
        <f>F51+ E51</f>
        <v>142738.30000000002</v>
      </c>
    </row>
    <row r="52" spans="1:7" x14ac:dyDescent="0.25">
      <c r="A52" s="2" t="s">
        <v>60</v>
      </c>
      <c r="B52" s="2" t="s">
        <v>17</v>
      </c>
      <c r="C52" s="2" t="s">
        <v>56</v>
      </c>
      <c r="D52" s="2" t="s">
        <v>0</v>
      </c>
      <c r="E52" s="4">
        <f>569.9+344.7+25783.4+752.4+1818</f>
        <v>29268.400000000001</v>
      </c>
      <c r="F52" s="4">
        <f>22551.9+(12*3600) + 19241.3+(18*3600)+26117+1443.7+37313+1301</f>
        <v>215967.90000000002</v>
      </c>
      <c r="G52" s="4">
        <f>F52+ E52</f>
        <v>245236.30000000002</v>
      </c>
    </row>
    <row r="53" spans="1:7" x14ac:dyDescent="0.25">
      <c r="A53" s="2" t="s">
        <v>60</v>
      </c>
      <c r="B53" s="2" t="s">
        <v>18</v>
      </c>
      <c r="C53" s="2" t="s">
        <v>57</v>
      </c>
      <c r="D53" s="2" t="s">
        <v>0</v>
      </c>
      <c r="E53" s="4">
        <f>543.2+303.3+23148.3+672.3+1112.2</f>
        <v>25779.3</v>
      </c>
      <c r="F53" s="4">
        <f>12376.8+40517+(9*3600)+26065</f>
        <v>111358.8</v>
      </c>
      <c r="G53" s="4">
        <f>F53+ E53</f>
        <v>137138.1</v>
      </c>
    </row>
    <row r="54" spans="1:7" x14ac:dyDescent="0.25">
      <c r="A54" s="2" t="s">
        <v>60</v>
      </c>
      <c r="B54" s="2" t="s">
        <v>19</v>
      </c>
      <c r="C54" s="2" t="s">
        <v>58</v>
      </c>
      <c r="D54" s="2" t="s">
        <v>0</v>
      </c>
      <c r="E54" s="4">
        <f>532.3+189.9+19484.1+617.7</f>
        <v>20824</v>
      </c>
      <c r="F54" s="4">
        <v>32404.3</v>
      </c>
      <c r="G54" s="4">
        <f>F54+ E54</f>
        <v>53228.3</v>
      </c>
    </row>
    <row r="55" spans="1:7" x14ac:dyDescent="0.25">
      <c r="A55" s="2" t="s">
        <v>60</v>
      </c>
      <c r="B55" s="2" t="s">
        <v>20</v>
      </c>
      <c r="C55" s="2" t="s">
        <v>59</v>
      </c>
      <c r="D55" s="2" t="s">
        <v>0</v>
      </c>
      <c r="E55" s="4">
        <f>524.5+229.8+20012+639.4</f>
        <v>21405.7</v>
      </c>
      <c r="F55" s="4">
        <v>34441.699999999997</v>
      </c>
      <c r="G55" s="4">
        <f>F55+ E55</f>
        <v>55847.399999999994</v>
      </c>
    </row>
    <row r="56" spans="1:7" x14ac:dyDescent="0.25">
      <c r="A56" s="2" t="s">
        <v>62</v>
      </c>
      <c r="B56" s="2" t="s">
        <v>21</v>
      </c>
      <c r="C56" s="2" t="s">
        <v>46</v>
      </c>
      <c r="D56" s="2" t="s">
        <v>2</v>
      </c>
      <c r="E56" s="4">
        <f xml:space="preserve"> (51 * 60) + 23</f>
        <v>3083</v>
      </c>
      <c r="F56" s="4">
        <f>(2*3600) + (47*60) + 27</f>
        <v>10047</v>
      </c>
      <c r="G56" s="4">
        <f t="shared" ref="G56:G63" si="2" xml:space="preserve"> F56+E56</f>
        <v>13130</v>
      </c>
    </row>
    <row r="57" spans="1:7" x14ac:dyDescent="0.25">
      <c r="A57" s="2" t="s">
        <v>62</v>
      </c>
      <c r="B57" s="2" t="s">
        <v>22</v>
      </c>
      <c r="C57" s="2" t="s">
        <v>47</v>
      </c>
      <c r="D57" s="2" t="s">
        <v>2</v>
      </c>
      <c r="E57" s="4">
        <f xml:space="preserve"> (56 *60) + 5</f>
        <v>3365</v>
      </c>
      <c r="F57" s="4">
        <f xml:space="preserve"> (2*3600) + (35*60) + 49</f>
        <v>9349</v>
      </c>
      <c r="G57" s="4">
        <f t="shared" si="2"/>
        <v>12714</v>
      </c>
    </row>
    <row r="58" spans="1:7" x14ac:dyDescent="0.25">
      <c r="A58" s="2" t="s">
        <v>62</v>
      </c>
      <c r="B58" s="2" t="s">
        <v>23</v>
      </c>
      <c r="C58" s="2" t="s">
        <v>48</v>
      </c>
      <c r="D58" s="2" t="s">
        <v>2</v>
      </c>
      <c r="E58" s="4">
        <f xml:space="preserve"> (55* 60) + 32</f>
        <v>3332</v>
      </c>
      <c r="F58" s="4">
        <f xml:space="preserve"> (2*3600) + (54*60) + 52</f>
        <v>10492</v>
      </c>
      <c r="G58" s="4">
        <f t="shared" si="2"/>
        <v>13824</v>
      </c>
    </row>
    <row r="59" spans="1:7" x14ac:dyDescent="0.25">
      <c r="A59" s="2" t="s">
        <v>62</v>
      </c>
      <c r="B59" s="2" t="s">
        <v>24</v>
      </c>
      <c r="C59" s="2" t="s">
        <v>49</v>
      </c>
      <c r="D59" s="2" t="s">
        <v>2</v>
      </c>
      <c r="E59" s="4">
        <f xml:space="preserve"> (59 *60) + 32</f>
        <v>3572</v>
      </c>
      <c r="F59" s="4">
        <f xml:space="preserve"> (2*3600) + (51 *60) + 57</f>
        <v>10317</v>
      </c>
      <c r="G59" s="4">
        <f t="shared" si="2"/>
        <v>13889</v>
      </c>
    </row>
    <row r="60" spans="1:7" x14ac:dyDescent="0.25">
      <c r="A60" s="2" t="s">
        <v>62</v>
      </c>
      <c r="B60" s="2" t="s">
        <v>25</v>
      </c>
      <c r="C60" s="2" t="s">
        <v>50</v>
      </c>
      <c r="D60" s="2" t="s">
        <v>2</v>
      </c>
      <c r="E60" s="4">
        <f xml:space="preserve"> (59 * 60) + 49</f>
        <v>3589</v>
      </c>
      <c r="F60" s="4">
        <f>(3*3600) + (12*60)</f>
        <v>11520</v>
      </c>
      <c r="G60" s="4">
        <f t="shared" si="2"/>
        <v>15109</v>
      </c>
    </row>
    <row r="61" spans="1:7" x14ac:dyDescent="0.25">
      <c r="A61" s="2" t="s">
        <v>62</v>
      </c>
      <c r="B61" s="2" t="s">
        <v>26</v>
      </c>
      <c r="C61" s="2" t="s">
        <v>51</v>
      </c>
      <c r="D61" s="2" t="s">
        <v>2</v>
      </c>
      <c r="E61" s="4">
        <f xml:space="preserve"> (58 *60) + 20</f>
        <v>3500</v>
      </c>
      <c r="F61" s="4">
        <f xml:space="preserve"> (2*3600) + (52*60) + 22</f>
        <v>10342</v>
      </c>
      <c r="G61" s="4">
        <f t="shared" si="2"/>
        <v>13842</v>
      </c>
    </row>
    <row r="62" spans="1:7" x14ac:dyDescent="0.25">
      <c r="A62" s="2" t="s">
        <v>62</v>
      </c>
      <c r="B62" s="2" t="s">
        <v>27</v>
      </c>
      <c r="C62" s="2" t="s">
        <v>52</v>
      </c>
      <c r="D62" s="2" t="s">
        <v>2</v>
      </c>
      <c r="E62" s="4">
        <f xml:space="preserve"> 3600 + (3*60) + 21</f>
        <v>3801</v>
      </c>
      <c r="F62" s="4">
        <f xml:space="preserve"> (3*3600) + (24*60) + 11</f>
        <v>12251</v>
      </c>
      <c r="G62" s="4">
        <f t="shared" si="2"/>
        <v>16052</v>
      </c>
    </row>
    <row r="63" spans="1:7" x14ac:dyDescent="0.25">
      <c r="A63" s="2" t="s">
        <v>62</v>
      </c>
      <c r="B63" s="2" t="s">
        <v>28</v>
      </c>
      <c r="C63" s="2" t="s">
        <v>53</v>
      </c>
      <c r="D63" s="2" t="s">
        <v>2</v>
      </c>
      <c r="E63" s="4">
        <f xml:space="preserve"> 3606</f>
        <v>3606</v>
      </c>
      <c r="F63" s="4">
        <f xml:space="preserve"> (3*3600) + (21*60) + 27</f>
        <v>12087</v>
      </c>
      <c r="G63" s="4">
        <f t="shared" si="2"/>
        <v>15693</v>
      </c>
    </row>
    <row r="64" spans="1:7" x14ac:dyDescent="0.25">
      <c r="A64" s="2" t="s">
        <v>62</v>
      </c>
      <c r="B64" s="2" t="s">
        <v>21</v>
      </c>
      <c r="C64" s="2" t="s">
        <v>46</v>
      </c>
      <c r="D64" s="2" t="s">
        <v>15</v>
      </c>
      <c r="E64" s="5" t="s">
        <v>63</v>
      </c>
      <c r="F64" s="5" t="s">
        <v>63</v>
      </c>
      <c r="G64" s="4">
        <f xml:space="preserve"> (15*3600) + (19*60) + 32</f>
        <v>55172</v>
      </c>
    </row>
    <row r="65" spans="1:7" x14ac:dyDescent="0.25">
      <c r="A65" s="2" t="s">
        <v>62</v>
      </c>
      <c r="B65" s="2" t="s">
        <v>22</v>
      </c>
      <c r="C65" s="2" t="s">
        <v>47</v>
      </c>
      <c r="D65" s="2" t="s">
        <v>15</v>
      </c>
      <c r="E65" s="5" t="s">
        <v>63</v>
      </c>
      <c r="F65" s="5" t="s">
        <v>63</v>
      </c>
      <c r="G65" s="4">
        <f>(14*3600) + (10*60) + 56</f>
        <v>51056</v>
      </c>
    </row>
    <row r="66" spans="1:7" x14ac:dyDescent="0.25">
      <c r="A66" s="2" t="s">
        <v>62</v>
      </c>
      <c r="B66" s="2" t="s">
        <v>23</v>
      </c>
      <c r="C66" s="2" t="s">
        <v>48</v>
      </c>
      <c r="D66" s="2" t="s">
        <v>15</v>
      </c>
      <c r="E66" s="5" t="s">
        <v>63</v>
      </c>
      <c r="F66" s="5" t="s">
        <v>63</v>
      </c>
      <c r="G66" s="4">
        <f xml:space="preserve"> (13*3600) + (34*60) + 53</f>
        <v>48893</v>
      </c>
    </row>
    <row r="67" spans="1:7" x14ac:dyDescent="0.25">
      <c r="A67" s="2" t="s">
        <v>62</v>
      </c>
      <c r="B67" s="2" t="s">
        <v>24</v>
      </c>
      <c r="C67" s="2" t="s">
        <v>49</v>
      </c>
      <c r="D67" s="2" t="s">
        <v>15</v>
      </c>
      <c r="E67" s="5" t="s">
        <v>63</v>
      </c>
      <c r="F67" s="5" t="s">
        <v>63</v>
      </c>
      <c r="G67" s="4">
        <f>(16*3600) + (20*60) + 8</f>
        <v>58808</v>
      </c>
    </row>
    <row r="68" spans="1:7" x14ac:dyDescent="0.25">
      <c r="A68" s="2" t="s">
        <v>62</v>
      </c>
      <c r="B68" s="2" t="s">
        <v>25</v>
      </c>
      <c r="C68" s="2" t="s">
        <v>50</v>
      </c>
      <c r="D68" s="2" t="s">
        <v>15</v>
      </c>
      <c r="E68" s="5" t="s">
        <v>63</v>
      </c>
      <c r="F68" s="5" t="s">
        <v>63</v>
      </c>
      <c r="G68" s="4">
        <f xml:space="preserve"> (14*3600) + (28*60) + 45</f>
        <v>52125</v>
      </c>
    </row>
    <row r="69" spans="1:7" x14ac:dyDescent="0.25">
      <c r="A69" s="2" t="s">
        <v>62</v>
      </c>
      <c r="B69" s="2" t="s">
        <v>26</v>
      </c>
      <c r="C69" s="2" t="s">
        <v>51</v>
      </c>
      <c r="D69" s="2" t="s">
        <v>15</v>
      </c>
      <c r="E69" s="5" t="s">
        <v>63</v>
      </c>
      <c r="F69" s="5" t="s">
        <v>63</v>
      </c>
      <c r="G69" s="4">
        <f xml:space="preserve"> (15*3600) + (32*60) + 44</f>
        <v>55964</v>
      </c>
    </row>
    <row r="70" spans="1:7" x14ac:dyDescent="0.25">
      <c r="A70" s="2" t="s">
        <v>62</v>
      </c>
      <c r="B70" s="2" t="s">
        <v>27</v>
      </c>
      <c r="C70" s="2" t="s">
        <v>52</v>
      </c>
      <c r="D70" s="2" t="s">
        <v>15</v>
      </c>
      <c r="E70" s="5" t="s">
        <v>63</v>
      </c>
      <c r="F70" s="5" t="s">
        <v>63</v>
      </c>
      <c r="G70" s="4">
        <f xml:space="preserve"> (15*3600) + (56*60) + 8</f>
        <v>57368</v>
      </c>
    </row>
    <row r="71" spans="1:7" x14ac:dyDescent="0.25">
      <c r="A71" s="2" t="s">
        <v>62</v>
      </c>
      <c r="B71" s="2" t="s">
        <v>28</v>
      </c>
      <c r="C71" s="2" t="s">
        <v>53</v>
      </c>
      <c r="D71" s="2" t="s">
        <v>15</v>
      </c>
      <c r="E71" s="5" t="s">
        <v>63</v>
      </c>
      <c r="F71" s="5" t="s">
        <v>63</v>
      </c>
      <c r="G71" s="4">
        <f xml:space="preserve"> (14*3600) + (28*60) + 45</f>
        <v>52125</v>
      </c>
    </row>
    <row r="72" spans="1:7" x14ac:dyDescent="0.25">
      <c r="A72" s="2" t="s">
        <v>62</v>
      </c>
      <c r="B72" s="2" t="s">
        <v>21</v>
      </c>
      <c r="C72" s="2" t="s">
        <v>46</v>
      </c>
      <c r="D72" s="2" t="s">
        <v>0</v>
      </c>
      <c r="E72" s="4">
        <f>670.4+512.9+399.1+11228.1+680+4017.2</f>
        <v>17507.7</v>
      </c>
      <c r="F72" s="4">
        <f>40447.3</f>
        <v>40447.300000000003</v>
      </c>
      <c r="G72" s="4">
        <f t="shared" ref="G72:G79" si="3">F72+ E72</f>
        <v>57955</v>
      </c>
    </row>
    <row r="73" spans="1:7" x14ac:dyDescent="0.25">
      <c r="A73" s="2" t="s">
        <v>62</v>
      </c>
      <c r="B73" s="2" t="s">
        <v>22</v>
      </c>
      <c r="C73" s="2" t="s">
        <v>47</v>
      </c>
      <c r="D73" s="2" t="s">
        <v>0</v>
      </c>
      <c r="E73" s="4">
        <f>758.5+540.9+425+11575.2+724.8+4437.5</f>
        <v>18461.900000000001</v>
      </c>
      <c r="F73" s="4">
        <v>37709.800000000003</v>
      </c>
      <c r="G73" s="4">
        <f t="shared" si="3"/>
        <v>56171.700000000004</v>
      </c>
    </row>
    <row r="74" spans="1:7" x14ac:dyDescent="0.25">
      <c r="A74" s="2" t="s">
        <v>62</v>
      </c>
      <c r="B74" s="2" t="s">
        <v>23</v>
      </c>
      <c r="C74" s="2" t="s">
        <v>48</v>
      </c>
      <c r="D74" s="2" t="s">
        <v>0</v>
      </c>
      <c r="E74" s="4">
        <f>829.2+634.4+512.3+14034.7+746.4+4935.1</f>
        <v>21692.1</v>
      </c>
      <c r="F74" s="4">
        <v>48801.8</v>
      </c>
      <c r="G74" s="4">
        <f t="shared" si="3"/>
        <v>70493.899999999994</v>
      </c>
    </row>
    <row r="75" spans="1:7" x14ac:dyDescent="0.25">
      <c r="A75" s="2" t="s">
        <v>62</v>
      </c>
      <c r="B75" s="2" t="s">
        <v>24</v>
      </c>
      <c r="C75" s="2" t="s">
        <v>49</v>
      </c>
      <c r="D75" s="2" t="s">
        <v>0</v>
      </c>
      <c r="E75" s="4">
        <f>797.8+460.5+345.7+9081.1+748.7+4294.9</f>
        <v>15728.7</v>
      </c>
      <c r="F75" s="4">
        <v>37744.699999999997</v>
      </c>
      <c r="G75" s="4">
        <f t="shared" si="3"/>
        <v>53473.399999999994</v>
      </c>
    </row>
    <row r="76" spans="1:7" x14ac:dyDescent="0.25">
      <c r="A76" s="2" t="s">
        <v>62</v>
      </c>
      <c r="B76" s="2" t="s">
        <v>25</v>
      </c>
      <c r="C76" s="2" t="s">
        <v>50</v>
      </c>
      <c r="D76" s="2" t="s">
        <v>0</v>
      </c>
      <c r="E76" s="4">
        <f>875.4+591+473.8+12636.9+795.1+5120.2</f>
        <v>20492.400000000001</v>
      </c>
      <c r="F76" s="4">
        <v>44390.9</v>
      </c>
      <c r="G76" s="4">
        <f t="shared" si="3"/>
        <v>64883.3</v>
      </c>
    </row>
    <row r="77" spans="1:7" x14ac:dyDescent="0.25">
      <c r="A77" s="2" t="s">
        <v>62</v>
      </c>
      <c r="B77" s="2" t="s">
        <v>26</v>
      </c>
      <c r="C77" s="2" t="s">
        <v>51</v>
      </c>
      <c r="D77" s="2" t="s">
        <v>0</v>
      </c>
      <c r="E77" s="4">
        <f>877.7+486.9+376.7+9662.4+4475.6</f>
        <v>15879.3</v>
      </c>
      <c r="F77" s="4">
        <v>42898.5</v>
      </c>
      <c r="G77" s="4">
        <f t="shared" si="3"/>
        <v>58777.8</v>
      </c>
    </row>
    <row r="78" spans="1:7" x14ac:dyDescent="0.25">
      <c r="A78" s="2" t="s">
        <v>62</v>
      </c>
      <c r="B78" s="2" t="s">
        <v>27</v>
      </c>
      <c r="C78" s="2" t="s">
        <v>52</v>
      </c>
      <c r="D78" s="2" t="s">
        <v>0</v>
      </c>
      <c r="E78" s="4">
        <f>923.7+607.5+483.3+13100.1+841.7+5272.5</f>
        <v>21228.800000000003</v>
      </c>
      <c r="F78" s="4">
        <v>43015.1</v>
      </c>
      <c r="G78" s="4">
        <f t="shared" si="3"/>
        <v>64243.9</v>
      </c>
    </row>
    <row r="79" spans="1:7" x14ac:dyDescent="0.25">
      <c r="A79" s="2" t="s">
        <v>62</v>
      </c>
      <c r="B79" s="2" t="s">
        <v>28</v>
      </c>
      <c r="C79" s="2" t="s">
        <v>53</v>
      </c>
      <c r="D79" s="2" t="s">
        <v>0</v>
      </c>
      <c r="E79" s="4">
        <f>890.8+640.3+520.7+14651.4+811.5+4959.3</f>
        <v>22474</v>
      </c>
      <c r="F79" s="4">
        <v>40961.599999999999</v>
      </c>
      <c r="G79" s="4">
        <f t="shared" si="3"/>
        <v>63435.6</v>
      </c>
    </row>
    <row r="81" spans="1:1" ht="18.75" x14ac:dyDescent="0.25">
      <c r="A81" s="2" t="s">
        <v>67</v>
      </c>
    </row>
  </sheetData>
  <mergeCells count="2">
    <mergeCell ref="E3:G3"/>
    <mergeCell ref="K3:Q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2022-12-20T15:24:38Z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3111139d-a787-4c92-a4fb-43eafe33411a</vt:lpwstr>
  </property>
</Properties>
</file>