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illy\Dropbox\Papers.MTPipeline\Submission\Supplemental Tables\"/>
    </mc:Choice>
  </mc:AlternateContent>
  <xr:revisionPtr revIDLastSave="0" documentId="13_ncr:1_{817E685D-3003-4A6A-9441-6B5BEBCF9D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8" i="1" l="1"/>
  <c r="A99" i="1" s="1"/>
  <c r="A100" i="1" s="1"/>
  <c r="A101" i="1" s="1"/>
  <c r="A102" i="1" s="1"/>
  <c r="A103" i="1" s="1"/>
  <c r="A97" i="1"/>
  <c r="I97" i="1"/>
  <c r="I98" i="1"/>
  <c r="I99" i="1"/>
  <c r="I100" i="1"/>
  <c r="I101" i="1"/>
  <c r="I102" i="1"/>
  <c r="I103" i="1"/>
  <c r="I96" i="1"/>
  <c r="D97" i="1"/>
  <c r="E97" i="1"/>
  <c r="F97" i="1"/>
  <c r="G97" i="1"/>
  <c r="D98" i="1"/>
  <c r="E98" i="1"/>
  <c r="F98" i="1"/>
  <c r="G98" i="1"/>
  <c r="D99" i="1"/>
  <c r="E99" i="1"/>
  <c r="F99" i="1"/>
  <c r="G99" i="1"/>
  <c r="D100" i="1"/>
  <c r="E100" i="1"/>
  <c r="F100" i="1"/>
  <c r="G100" i="1"/>
  <c r="D101" i="1"/>
  <c r="E101" i="1"/>
  <c r="F101" i="1"/>
  <c r="G101" i="1"/>
  <c r="D102" i="1"/>
  <c r="E102" i="1"/>
  <c r="F102" i="1"/>
  <c r="G102" i="1"/>
  <c r="D103" i="1"/>
  <c r="E103" i="1"/>
  <c r="F103" i="1"/>
  <c r="G103" i="1"/>
  <c r="E96" i="1"/>
  <c r="F96" i="1"/>
  <c r="G96" i="1"/>
  <c r="D96" i="1"/>
  <c r="A69" i="1"/>
  <c r="A70" i="1" s="1"/>
  <c r="A71" i="1" s="1"/>
  <c r="A68" i="1"/>
  <c r="I68" i="1"/>
  <c r="I69" i="1"/>
  <c r="I70" i="1"/>
  <c r="I71" i="1"/>
  <c r="I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G67" i="1"/>
  <c r="E67" i="1"/>
  <c r="F67" i="1"/>
  <c r="D67" i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E41" i="1"/>
  <c r="E42" i="1"/>
  <c r="E43" i="1"/>
  <c r="E44" i="1"/>
  <c r="E45" i="1"/>
  <c r="E46" i="1"/>
  <c r="E47" i="1"/>
  <c r="E48" i="1"/>
  <c r="E49" i="1"/>
  <c r="E50" i="1"/>
  <c r="E51" i="1"/>
  <c r="E40" i="1"/>
  <c r="F80" i="1" l="1"/>
  <c r="F52" i="1" l="1"/>
  <c r="F15" i="1"/>
  <c r="F51" i="1" s="1"/>
  <c r="I51" i="1" s="1"/>
  <c r="F14" i="1"/>
  <c r="F50" i="1" s="1"/>
  <c r="I50" i="1" s="1"/>
  <c r="F13" i="1"/>
  <c r="F49" i="1" s="1"/>
  <c r="I49" i="1" s="1"/>
  <c r="F12" i="1"/>
  <c r="F48" i="1" s="1"/>
  <c r="I48" i="1" s="1"/>
  <c r="F11" i="1"/>
  <c r="F47" i="1" s="1"/>
  <c r="I47" i="1" s="1"/>
  <c r="F10" i="1"/>
  <c r="F46" i="1" s="1"/>
  <c r="I46" i="1" s="1"/>
  <c r="F9" i="1"/>
  <c r="F45" i="1" s="1"/>
  <c r="I45" i="1" s="1"/>
  <c r="F8" i="1"/>
  <c r="F44" i="1" s="1"/>
  <c r="I44" i="1" s="1"/>
  <c r="F7" i="1"/>
  <c r="F43" i="1" s="1"/>
  <c r="I43" i="1" s="1"/>
  <c r="F6" i="1"/>
  <c r="F42" i="1" s="1"/>
  <c r="I42" i="1" s="1"/>
  <c r="F5" i="1"/>
  <c r="F41" i="1" s="1"/>
  <c r="I41" i="1" s="1"/>
  <c r="F4" i="1"/>
  <c r="F40" i="1" s="1"/>
  <c r="I40" i="1" s="1"/>
  <c r="A73" i="1"/>
  <c r="A74" i="1" s="1"/>
  <c r="A75" i="1" s="1"/>
  <c r="A76" i="1" s="1"/>
  <c r="A77" i="1" s="1"/>
  <c r="A78" i="1" s="1"/>
  <c r="A79" i="1" s="1"/>
  <c r="A53" i="1"/>
  <c r="A54" i="1" s="1"/>
  <c r="A55" i="1" s="1"/>
  <c r="A56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I95" i="1" l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F87" i="1"/>
  <c r="I87" i="1" s="1"/>
  <c r="F86" i="1"/>
  <c r="I86" i="1" s="1"/>
  <c r="F85" i="1"/>
  <c r="I85" i="1" s="1"/>
  <c r="F84" i="1"/>
  <c r="I84" i="1" s="1"/>
  <c r="F83" i="1"/>
  <c r="I83" i="1" s="1"/>
  <c r="F82" i="1"/>
  <c r="I82" i="1" s="1"/>
  <c r="F81" i="1"/>
  <c r="G81" i="1" s="1"/>
  <c r="I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66" i="1"/>
  <c r="G66" i="1"/>
  <c r="D66" i="1"/>
  <c r="I65" i="1"/>
  <c r="G65" i="1"/>
  <c r="D65" i="1"/>
  <c r="I64" i="1"/>
  <c r="G64" i="1"/>
  <c r="D64" i="1"/>
  <c r="I63" i="1"/>
  <c r="D63" i="1"/>
  <c r="G63" i="1" s="1"/>
  <c r="I62" i="1"/>
  <c r="D62" i="1"/>
  <c r="G62" i="1" s="1"/>
  <c r="F61" i="1"/>
  <c r="I61" i="1" s="1"/>
  <c r="D61" i="1"/>
  <c r="F60" i="1"/>
  <c r="I60" i="1" s="1"/>
  <c r="D60" i="1"/>
  <c r="F59" i="1"/>
  <c r="I59" i="1" s="1"/>
  <c r="D59" i="1"/>
  <c r="F58" i="1"/>
  <c r="I58" i="1" s="1"/>
  <c r="D58" i="1"/>
  <c r="F57" i="1"/>
  <c r="I57" i="1" s="1"/>
  <c r="D57" i="1"/>
  <c r="I56" i="1"/>
  <c r="D56" i="1"/>
  <c r="G56" i="1" s="1"/>
  <c r="I55" i="1"/>
  <c r="D55" i="1"/>
  <c r="G55" i="1" s="1"/>
  <c r="I54" i="1"/>
  <c r="D54" i="1"/>
  <c r="I53" i="1"/>
  <c r="D53" i="1"/>
  <c r="G53" i="1" s="1"/>
  <c r="I52" i="1"/>
  <c r="D52" i="1"/>
  <c r="G52" i="1" s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F27" i="1"/>
  <c r="I27" i="1" s="1"/>
  <c r="E27" i="1"/>
  <c r="F26" i="1"/>
  <c r="I26" i="1" s="1"/>
  <c r="E26" i="1"/>
  <c r="F25" i="1"/>
  <c r="I25" i="1" s="1"/>
  <c r="E25" i="1"/>
  <c r="F24" i="1"/>
  <c r="I24" i="1" s="1"/>
  <c r="E24" i="1"/>
  <c r="F23" i="1"/>
  <c r="I23" i="1" s="1"/>
  <c r="E23" i="1"/>
  <c r="F22" i="1"/>
  <c r="I22" i="1" s="1"/>
  <c r="E22" i="1"/>
  <c r="F21" i="1"/>
  <c r="I21" i="1" s="1"/>
  <c r="E21" i="1"/>
  <c r="F20" i="1"/>
  <c r="I20" i="1" s="1"/>
  <c r="E20" i="1"/>
  <c r="F19" i="1"/>
  <c r="I19" i="1" s="1"/>
  <c r="E19" i="1"/>
  <c r="F18" i="1"/>
  <c r="I18" i="1" s="1"/>
  <c r="E18" i="1"/>
  <c r="F17" i="1"/>
  <c r="I17" i="1" s="1"/>
  <c r="E17" i="1"/>
  <c r="F16" i="1"/>
  <c r="I16" i="1" s="1"/>
  <c r="E16" i="1"/>
  <c r="I15" i="1"/>
  <c r="D15" i="1"/>
  <c r="D51" i="1" s="1"/>
  <c r="I14" i="1"/>
  <c r="D14" i="1"/>
  <c r="I13" i="1"/>
  <c r="D13" i="1"/>
  <c r="I12" i="1"/>
  <c r="D12" i="1"/>
  <c r="I11" i="1"/>
  <c r="D11" i="1"/>
  <c r="I10" i="1"/>
  <c r="D10" i="1"/>
  <c r="D46" i="1" s="1"/>
  <c r="I9" i="1"/>
  <c r="D9" i="1"/>
  <c r="I8" i="1"/>
  <c r="D8" i="1"/>
  <c r="I7" i="1"/>
  <c r="D7" i="1"/>
  <c r="I6" i="1"/>
  <c r="D6" i="1"/>
  <c r="D42" i="1" s="1"/>
  <c r="I5" i="1"/>
  <c r="D5" i="1"/>
  <c r="I4" i="1"/>
  <c r="D4" i="1"/>
  <c r="G9" i="1" l="1"/>
  <c r="G45" i="1" s="1"/>
  <c r="D45" i="1"/>
  <c r="G5" i="1"/>
  <c r="G41" i="1" s="1"/>
  <c r="D41" i="1"/>
  <c r="G7" i="1"/>
  <c r="G43" i="1" s="1"/>
  <c r="D43" i="1"/>
  <c r="G11" i="1"/>
  <c r="G47" i="1" s="1"/>
  <c r="D47" i="1"/>
  <c r="G13" i="1"/>
  <c r="G49" i="1" s="1"/>
  <c r="D49" i="1"/>
  <c r="G4" i="1"/>
  <c r="G40" i="1" s="1"/>
  <c r="D40" i="1"/>
  <c r="G8" i="1"/>
  <c r="G44" i="1" s="1"/>
  <c r="D44" i="1"/>
  <c r="G12" i="1"/>
  <c r="G48" i="1" s="1"/>
  <c r="D48" i="1"/>
  <c r="G14" i="1"/>
  <c r="G50" i="1" s="1"/>
  <c r="D50" i="1"/>
  <c r="G25" i="1"/>
  <c r="G61" i="1"/>
  <c r="G16" i="1"/>
  <c r="G22" i="1"/>
  <c r="G85" i="1"/>
  <c r="I81" i="1"/>
  <c r="G58" i="1"/>
  <c r="G17" i="1"/>
  <c r="G59" i="1"/>
  <c r="G80" i="1"/>
  <c r="G19" i="1"/>
  <c r="G23" i="1"/>
  <c r="G86" i="1"/>
  <c r="G26" i="1"/>
  <c r="G20" i="1"/>
  <c r="G82" i="1"/>
  <c r="G83" i="1"/>
  <c r="G87" i="1"/>
  <c r="G15" i="1"/>
  <c r="G51" i="1" s="1"/>
  <c r="G18" i="1"/>
  <c r="G21" i="1"/>
  <c r="G24" i="1"/>
  <c r="G27" i="1"/>
  <c r="G54" i="1"/>
  <c r="G57" i="1"/>
  <c r="G60" i="1"/>
  <c r="G6" i="1"/>
  <c r="G42" i="1" s="1"/>
  <c r="G10" i="1"/>
  <c r="G46" i="1" s="1"/>
  <c r="G84" i="1"/>
</calcChain>
</file>

<file path=xl/sharedStrings.xml><?xml version="1.0" encoding="utf-8"?>
<sst xmlns="http://schemas.openxmlformats.org/spreadsheetml/2006/main" count="269" uniqueCount="67">
  <si>
    <t>Pipeline</t>
  </si>
  <si>
    <t>Sample SRR ID</t>
  </si>
  <si>
    <t>Sample Description</t>
  </si>
  <si>
    <t>High quality reads</t>
  </si>
  <si>
    <t>Putative mRNA reads</t>
  </si>
  <si>
    <t>% of total reads which are putative mRNA</t>
  </si>
  <si>
    <t>Annotated mRNA reads</t>
  </si>
  <si>
    <t>% of putative mRNA reads annotated</t>
  </si>
  <si>
    <t>HUMAnN2</t>
  </si>
  <si>
    <t>SRR1828965</t>
  </si>
  <si>
    <t>NOD Mouse 1 - Cecum - Qiagen</t>
  </si>
  <si>
    <t>SRR1828976</t>
  </si>
  <si>
    <t>NOD Mouse 1 - Cecum - Qiagen - Ribominus</t>
  </si>
  <si>
    <t>SAMSA2</t>
  </si>
  <si>
    <t>SRR1828983</t>
  </si>
  <si>
    <t>NOD Mouse 1 - Colon - Qiagen</t>
  </si>
  <si>
    <t>MetaPro</t>
  </si>
  <si>
    <t>SRR1828989</t>
  </si>
  <si>
    <t>NOD Mouse 2 - Cecum - Qiagen</t>
  </si>
  <si>
    <t>SRR1828991</t>
  </si>
  <si>
    <t>NOD Mouse 2 - Cecum - Qiagen - Ribominus</t>
  </si>
  <si>
    <t>SRR1828993</t>
  </si>
  <si>
    <t>NOD Mouse 2 - Colon - Qiagen</t>
  </si>
  <si>
    <t>SRR1828998</t>
  </si>
  <si>
    <t>NOD Mouse 3 - Cecum - Invitrogen</t>
  </si>
  <si>
    <t>SRR1828995</t>
  </si>
  <si>
    <t>SRR1829007</t>
  </si>
  <si>
    <t>NOD Mouse 4 - Cecum – Invitrogen</t>
  </si>
  <si>
    <t>SRR1829000</t>
  </si>
  <si>
    <t>NOD Mouse 4 - Cecum - Qiagen</t>
  </si>
  <si>
    <t>SRR1829003</t>
  </si>
  <si>
    <t>NOD Mouse 4 - Cecum – Qiagen - Ribominus</t>
  </si>
  <si>
    <t>SRR1829005</t>
  </si>
  <si>
    <t>NOD Mouse 4 - Colon – Qiagen</t>
  </si>
  <si>
    <t>SRR443366</t>
  </si>
  <si>
    <t>Kimchi Fermentation Day 7</t>
  </si>
  <si>
    <t>SRR443367</t>
  </si>
  <si>
    <t>Kimchi Fermentation Day 13</t>
  </si>
  <si>
    <t>SRR443368</t>
  </si>
  <si>
    <t>Kimchi Fermentation Day 18</t>
  </si>
  <si>
    <t>SRR443369</t>
  </si>
  <si>
    <t>Kimchi Fermentation Day 25</t>
  </si>
  <si>
    <t>SRR443370</t>
  </si>
  <si>
    <t>Kimchi Fermentation Day 29</t>
  </si>
  <si>
    <t>SRR5984039</t>
  </si>
  <si>
    <t>Oral Biofilm (6 hours)</t>
  </si>
  <si>
    <t>SRR5984037</t>
  </si>
  <si>
    <t>Oral Biofilm (9 hours)</t>
  </si>
  <si>
    <t>SRR5984034</t>
  </si>
  <si>
    <t>Oral Biofilm (11 hours)</t>
  </si>
  <si>
    <t>SRR5984031</t>
  </si>
  <si>
    <t>Oral Biofilm (13 hours)</t>
  </si>
  <si>
    <t>SRR5984044</t>
  </si>
  <si>
    <t>Oral Biofilm (15 hours)</t>
  </si>
  <si>
    <t>SRR5984041</t>
  </si>
  <si>
    <t>Oral Biofilm (17 hours)</t>
  </si>
  <si>
    <t>SRR5984042</t>
  </si>
  <si>
    <t>Oral Biofilm (21 hours)</t>
  </si>
  <si>
    <t>SRR5984049</t>
  </si>
  <si>
    <t>Oral Biofilm (24 hours)</t>
  </si>
  <si>
    <t>NOD Mouse 3 - Cecum - Qiagen</t>
  </si>
  <si>
    <t>HUMAnN3</t>
  </si>
  <si>
    <t>Supplemental Table S1 Summary of Sequence Read Processing for Three Metatranscriptomic Datasets (NOD Mouse gut; Kimchi and Human Oral Biofilm) Processed by HUMAnN3, MetaPro and SAMSA2.</t>
  </si>
  <si>
    <r>
      <t xml:space="preserve">Total reads </t>
    </r>
    <r>
      <rPr>
        <vertAlign val="superscript"/>
        <sz val="11"/>
        <color theme="1"/>
        <rFont val="Times New Roman"/>
        <family val="1"/>
      </rPr>
      <t>1</t>
    </r>
  </si>
  <si>
    <r>
      <rPr>
        <vertAlign val="superscript"/>
        <sz val="11"/>
        <rFont val="Times New Roman"/>
        <family val="1"/>
      </rPr>
      <t xml:space="preserve">1 </t>
    </r>
    <r>
      <rPr>
        <sz val="11"/>
        <rFont val="Times New Roman"/>
        <family val="1"/>
      </rPr>
      <t>HUMAnN3 treats paired end reads independently, thus total reads are reported as the total number of reverse reads in addition to the forward reads for the NOD mouse dataset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</si>
  <si>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HUMAnN3 counts represent the number of unique uniref gene clusters (i.e. gene families) and allows multiple uniref genefamilies to be assigned to a single read; MetaPro and SAMSA2 maps each read to a single transcript.</t>
    </r>
  </si>
  <si>
    <r>
      <t>Unique Gene/Gene Families</t>
    </r>
    <r>
      <rPr>
        <vertAlign val="superscript"/>
        <sz val="11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</si>
</sst>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1" fontId="3" fillId="0" borderId="0" xfId="0" quotePrefix="1" applyNumberFormat="1" applyFont="1" applyAlignment="1">
      <alignment horizontal="right"/>
    </xf>
    <xf numFmtId="164" fontId="3" fillId="0" borderId="0" xfId="0" applyNumberFormat="1" applyFont="1"/>
    <xf numFmtId="2" fontId="3" fillId="0" borderId="0" xfId="0" applyNumberFormat="1" applyFont="1"/>
    <xf numFmtId="1" fontId="6" fillId="0" borderId="0" xfId="0" applyNumberFormat="1" applyFont="1" applyAlignment="1">
      <alignment horizontal="right" vertical="center" wrapText="1"/>
    </xf>
    <xf numFmtId="0" fontId="4" fillId="0" borderId="0" xfId="0" applyFont="1" applyFill="1"/>
    <xf numFmtId="1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/>
    <xf numFmtId="1" fontId="6" fillId="0" borderId="0" xfId="0" applyNumberFormat="1" applyFont="1" applyFill="1" applyAlignment="1">
      <alignment horizontal="right" vertical="center" wrapText="1"/>
    </xf>
    <xf numFmtId="1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5"/>
  <sheetViews>
    <sheetView tabSelected="1" zoomScale="130" zoomScaleNormal="130" workbookViewId="0">
      <pane xSplit="1" topLeftCell="B1" activePane="topRight" state="frozen"/>
      <selection pane="topRight" activeCell="J3" sqref="J3"/>
    </sheetView>
  </sheetViews>
  <sheetFormatPr defaultRowHeight="15" x14ac:dyDescent="0.25"/>
  <cols>
    <col min="1" max="1" width="10.140625" style="2" bestFit="1" customWidth="1"/>
    <col min="2" max="2" width="13.7109375" style="2" bestFit="1" customWidth="1"/>
    <col min="3" max="3" width="28.28515625" style="2" customWidth="1"/>
    <col min="4" max="4" width="11.85546875" style="2" bestFit="1" customWidth="1"/>
    <col min="5" max="5" width="9.7109375" style="2" customWidth="1"/>
    <col min="6" max="6" width="11.7109375" style="2" customWidth="1"/>
    <col min="7" max="7" width="9.5703125" style="2" customWidth="1"/>
    <col min="8" max="8" width="11.28515625" style="2" customWidth="1"/>
    <col min="9" max="9" width="10.28515625" style="2" customWidth="1"/>
    <col min="10" max="10" width="10.42578125" style="2" customWidth="1"/>
    <col min="11" max="11" width="10.140625" style="2" bestFit="1" customWidth="1"/>
    <col min="12" max="12" width="19.85546875" style="2" bestFit="1" customWidth="1"/>
    <col min="13" max="13" width="10.140625" style="2" bestFit="1" customWidth="1"/>
    <col min="14" max="14" width="10.42578125" style="2" customWidth="1"/>
    <col min="15" max="15" width="7.7109375" style="2" bestFit="1" customWidth="1"/>
    <col min="16" max="16" width="7.85546875" style="2" customWidth="1"/>
    <col min="17" max="17" width="7.7109375" style="2" bestFit="1" customWidth="1"/>
    <col min="18" max="16384" width="9.140625" style="2"/>
  </cols>
  <sheetData>
    <row r="1" spans="1:20" x14ac:dyDescent="0.25">
      <c r="A1" s="1" t="s">
        <v>62</v>
      </c>
    </row>
    <row r="3" spans="1:20" ht="18" x14ac:dyDescent="0.25">
      <c r="A3" s="3" t="s">
        <v>0</v>
      </c>
      <c r="B3" s="3" t="s">
        <v>1</v>
      </c>
      <c r="C3" s="3" t="s">
        <v>2</v>
      </c>
      <c r="D3" s="2" t="s">
        <v>63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66</v>
      </c>
      <c r="K3" s="3"/>
    </row>
    <row r="4" spans="1:20" x14ac:dyDescent="0.25">
      <c r="A4" s="3" t="s">
        <v>61</v>
      </c>
      <c r="B4" s="3" t="s">
        <v>9</v>
      </c>
      <c r="C4" s="3" t="s">
        <v>10</v>
      </c>
      <c r="D4" s="4">
        <f>2*D16</f>
        <v>4492588</v>
      </c>
      <c r="E4" s="5">
        <v>3348051</v>
      </c>
      <c r="F4" s="4">
        <f xml:space="preserve"> 13379632 / 4</f>
        <v>3344908</v>
      </c>
      <c r="G4" s="6">
        <f t="shared" ref="G4:G27" si="0">F4*100/D4</f>
        <v>74.453922772353039</v>
      </c>
      <c r="H4" s="4">
        <v>0</v>
      </c>
      <c r="I4" s="6">
        <f>H4*100/F4</f>
        <v>0</v>
      </c>
      <c r="J4" s="4">
        <v>16</v>
      </c>
      <c r="K4" s="14"/>
      <c r="N4" s="7"/>
      <c r="O4" s="7"/>
      <c r="P4" s="7"/>
      <c r="Q4" s="7"/>
      <c r="R4" s="7"/>
      <c r="S4" s="7"/>
      <c r="T4" s="4"/>
    </row>
    <row r="5" spans="1:20" x14ac:dyDescent="0.25">
      <c r="A5" s="3" t="str">
        <f>A4</f>
        <v>HUMAnN3</v>
      </c>
      <c r="B5" s="3" t="s">
        <v>11</v>
      </c>
      <c r="C5" s="3" t="s">
        <v>12</v>
      </c>
      <c r="D5" s="4">
        <f t="shared" ref="D5:D15" si="1">2*D17</f>
        <v>5862702</v>
      </c>
      <c r="E5" s="5">
        <v>4089107</v>
      </c>
      <c r="F5" s="4">
        <f>16186664/4</f>
        <v>4046666</v>
      </c>
      <c r="G5" s="6">
        <f t="shared" si="0"/>
        <v>69.023907406516656</v>
      </c>
      <c r="H5" s="4">
        <v>420147</v>
      </c>
      <c r="I5" s="6">
        <f t="shared" ref="I5:I15" si="2">H5*100/F5</f>
        <v>10.382547015246626</v>
      </c>
      <c r="J5" s="4">
        <v>6484</v>
      </c>
      <c r="K5" s="3"/>
      <c r="N5" s="7"/>
      <c r="O5" s="7"/>
      <c r="P5" s="7"/>
      <c r="Q5" s="7"/>
      <c r="R5" s="7"/>
      <c r="S5" s="7"/>
      <c r="T5" s="4"/>
    </row>
    <row r="6" spans="1:20" x14ac:dyDescent="0.25">
      <c r="A6" s="3" t="str">
        <f t="shared" ref="A6:A15" si="3">A5</f>
        <v>HUMAnN3</v>
      </c>
      <c r="B6" s="3" t="s">
        <v>14</v>
      </c>
      <c r="C6" s="3" t="s">
        <v>15</v>
      </c>
      <c r="D6" s="4">
        <f t="shared" si="1"/>
        <v>2740994</v>
      </c>
      <c r="E6" s="5">
        <v>2555361</v>
      </c>
      <c r="F6" s="4">
        <f>10213992/4</f>
        <v>2553498</v>
      </c>
      <c r="G6" s="6">
        <f t="shared" si="0"/>
        <v>93.159561823192604</v>
      </c>
      <c r="H6" s="4">
        <v>13684</v>
      </c>
      <c r="I6" s="6">
        <f t="shared" si="2"/>
        <v>0.53589233279211501</v>
      </c>
      <c r="J6" s="4">
        <v>333</v>
      </c>
      <c r="K6" s="3"/>
      <c r="N6" s="7"/>
      <c r="O6" s="7"/>
      <c r="P6" s="7"/>
      <c r="Q6" s="7"/>
      <c r="R6" s="7"/>
      <c r="S6" s="7"/>
      <c r="T6" s="4"/>
    </row>
    <row r="7" spans="1:20" x14ac:dyDescent="0.25">
      <c r="A7" s="3" t="str">
        <f t="shared" si="3"/>
        <v>HUMAnN3</v>
      </c>
      <c r="B7" s="3" t="s">
        <v>17</v>
      </c>
      <c r="C7" s="3" t="s">
        <v>18</v>
      </c>
      <c r="D7" s="4">
        <f t="shared" si="1"/>
        <v>6270402</v>
      </c>
      <c r="E7" s="5">
        <v>4926423</v>
      </c>
      <c r="F7" s="4">
        <f>19687108/4</f>
        <v>4921777</v>
      </c>
      <c r="G7" s="6">
        <f t="shared" si="0"/>
        <v>78.492208314554631</v>
      </c>
      <c r="H7" s="4">
        <v>28408</v>
      </c>
      <c r="I7" s="6">
        <f t="shared" si="2"/>
        <v>0.5771899051907472</v>
      </c>
      <c r="J7" s="4">
        <v>445</v>
      </c>
      <c r="K7" s="3"/>
      <c r="N7" s="7"/>
      <c r="O7" s="7"/>
      <c r="P7" s="7"/>
      <c r="Q7" s="7"/>
      <c r="R7" s="7"/>
      <c r="S7" s="7"/>
      <c r="T7" s="4"/>
    </row>
    <row r="8" spans="1:20" x14ac:dyDescent="0.25">
      <c r="A8" s="3" t="str">
        <f t="shared" si="3"/>
        <v>HUMAnN3</v>
      </c>
      <c r="B8" s="3" t="s">
        <v>19</v>
      </c>
      <c r="C8" s="3" t="s">
        <v>20</v>
      </c>
      <c r="D8" s="4">
        <f t="shared" si="1"/>
        <v>4043392</v>
      </c>
      <c r="E8" s="5">
        <v>2701476</v>
      </c>
      <c r="F8" s="4">
        <f>10746104/4</f>
        <v>2686526</v>
      </c>
      <c r="G8" s="6">
        <f t="shared" si="0"/>
        <v>66.442383028902469</v>
      </c>
      <c r="H8" s="4">
        <v>31180</v>
      </c>
      <c r="I8" s="6">
        <f t="shared" si="2"/>
        <v>1.1606066719622292</v>
      </c>
      <c r="J8" s="4">
        <v>914</v>
      </c>
      <c r="K8" s="3"/>
      <c r="N8" s="7"/>
      <c r="O8" s="7"/>
      <c r="P8" s="7"/>
      <c r="Q8" s="7"/>
      <c r="R8" s="7"/>
      <c r="S8" s="7"/>
      <c r="T8" s="4"/>
    </row>
    <row r="9" spans="1:20" x14ac:dyDescent="0.25">
      <c r="A9" s="3" t="str">
        <f t="shared" si="3"/>
        <v>HUMAnN3</v>
      </c>
      <c r="B9" s="3" t="s">
        <v>21</v>
      </c>
      <c r="C9" s="3" t="s">
        <v>22</v>
      </c>
      <c r="D9" s="4">
        <f t="shared" si="1"/>
        <v>3158744</v>
      </c>
      <c r="E9" s="5">
        <v>2869174</v>
      </c>
      <c r="F9" s="4">
        <f>11315336/4</f>
        <v>2828834</v>
      </c>
      <c r="G9" s="6">
        <f t="shared" si="0"/>
        <v>89.555658831484919</v>
      </c>
      <c r="H9" s="4">
        <v>25728</v>
      </c>
      <c r="I9" s="6">
        <f t="shared" ref="I9:I14" si="4">H9*100/F9</f>
        <v>0.90949133105724833</v>
      </c>
      <c r="J9" s="4">
        <v>707</v>
      </c>
      <c r="K9" s="3"/>
      <c r="N9" s="7"/>
      <c r="O9" s="7"/>
      <c r="P9" s="7"/>
      <c r="Q9" s="7"/>
      <c r="R9" s="7"/>
      <c r="S9" s="7"/>
      <c r="T9" s="4"/>
    </row>
    <row r="10" spans="1:20" x14ac:dyDescent="0.25">
      <c r="A10" s="3" t="str">
        <f t="shared" si="3"/>
        <v>HUMAnN3</v>
      </c>
      <c r="B10" s="3" t="s">
        <v>23</v>
      </c>
      <c r="C10" s="3" t="s">
        <v>24</v>
      </c>
      <c r="D10" s="4">
        <f t="shared" si="1"/>
        <v>6175010</v>
      </c>
      <c r="E10" s="5">
        <v>5492493</v>
      </c>
      <c r="F10" s="4">
        <f>20951500/4</f>
        <v>5237875</v>
      </c>
      <c r="G10" s="6">
        <f t="shared" si="0"/>
        <v>84.823749273280526</v>
      </c>
      <c r="H10" s="4">
        <v>463268</v>
      </c>
      <c r="I10" s="6">
        <f t="shared" si="4"/>
        <v>8.8445791470777753</v>
      </c>
      <c r="J10" s="4">
        <v>9187</v>
      </c>
      <c r="K10" s="3"/>
      <c r="N10" s="7"/>
      <c r="O10" s="7"/>
      <c r="P10" s="7"/>
      <c r="Q10" s="7"/>
      <c r="R10" s="7"/>
      <c r="S10" s="7"/>
      <c r="T10" s="4"/>
    </row>
    <row r="11" spans="1:20" x14ac:dyDescent="0.25">
      <c r="A11" s="3" t="str">
        <f t="shared" si="3"/>
        <v>HUMAnN3</v>
      </c>
      <c r="B11" s="3" t="s">
        <v>25</v>
      </c>
      <c r="C11" s="3" t="s">
        <v>60</v>
      </c>
      <c r="D11" s="4">
        <f t="shared" si="1"/>
        <v>3441874</v>
      </c>
      <c r="E11" s="5">
        <v>2905323</v>
      </c>
      <c r="F11" s="4">
        <f>11612236/4</f>
        <v>2903059</v>
      </c>
      <c r="G11" s="6">
        <f t="shared" si="0"/>
        <v>84.345301425909255</v>
      </c>
      <c r="H11" s="4">
        <v>16555</v>
      </c>
      <c r="I11" s="6">
        <f t="shared" si="4"/>
        <v>0.57026054241405355</v>
      </c>
      <c r="J11" s="4">
        <v>316</v>
      </c>
      <c r="K11" s="3"/>
      <c r="N11" s="7"/>
      <c r="O11" s="7"/>
      <c r="P11" s="7"/>
      <c r="Q11" s="7"/>
      <c r="R11" s="7"/>
      <c r="S11" s="7"/>
      <c r="T11" s="4"/>
    </row>
    <row r="12" spans="1:20" x14ac:dyDescent="0.25">
      <c r="A12" s="3" t="str">
        <f t="shared" si="3"/>
        <v>HUMAnN3</v>
      </c>
      <c r="B12" s="3" t="s">
        <v>26</v>
      </c>
      <c r="C12" s="3" t="s">
        <v>27</v>
      </c>
      <c r="D12" s="4">
        <f t="shared" si="1"/>
        <v>5353648</v>
      </c>
      <c r="E12" s="5">
        <v>4928468</v>
      </c>
      <c r="F12" s="4">
        <f>17188688/4</f>
        <v>4297172</v>
      </c>
      <c r="G12" s="6">
        <f t="shared" si="0"/>
        <v>80.266240888455869</v>
      </c>
      <c r="H12" s="4">
        <v>210727</v>
      </c>
      <c r="I12" s="6">
        <f t="shared" si="4"/>
        <v>4.9038530456774829</v>
      </c>
      <c r="J12" s="4">
        <v>7544</v>
      </c>
      <c r="K12" s="3"/>
      <c r="N12" s="7"/>
      <c r="O12" s="7"/>
      <c r="P12" s="7"/>
      <c r="Q12" s="7"/>
      <c r="R12" s="7"/>
      <c r="S12" s="7"/>
      <c r="T12" s="4"/>
    </row>
    <row r="13" spans="1:20" x14ac:dyDescent="0.25">
      <c r="A13" s="3" t="str">
        <f t="shared" si="3"/>
        <v>HUMAnN3</v>
      </c>
      <c r="B13" s="3" t="s">
        <v>28</v>
      </c>
      <c r="C13" s="3" t="s">
        <v>29</v>
      </c>
      <c r="D13" s="4">
        <f t="shared" si="1"/>
        <v>5044920</v>
      </c>
      <c r="E13" s="5">
        <v>4234884</v>
      </c>
      <c r="F13" s="4">
        <f>16913824/4</f>
        <v>4228456</v>
      </c>
      <c r="G13" s="6">
        <f t="shared" si="0"/>
        <v>83.816116013732625</v>
      </c>
      <c r="H13" s="4">
        <v>20658</v>
      </c>
      <c r="I13" s="6">
        <f t="shared" si="4"/>
        <v>0.48854711979975668</v>
      </c>
      <c r="J13" s="4">
        <v>271</v>
      </c>
      <c r="K13" s="3"/>
      <c r="P13" s="7"/>
    </row>
    <row r="14" spans="1:20" x14ac:dyDescent="0.25">
      <c r="A14" s="3" t="str">
        <f t="shared" si="3"/>
        <v>HUMAnN3</v>
      </c>
      <c r="B14" s="3" t="s">
        <v>30</v>
      </c>
      <c r="C14" s="3" t="s">
        <v>31</v>
      </c>
      <c r="D14" s="4">
        <f t="shared" si="1"/>
        <v>8285682</v>
      </c>
      <c r="E14" s="5">
        <v>5752093</v>
      </c>
      <c r="F14" s="4">
        <f>22825816/4</f>
        <v>5706454</v>
      </c>
      <c r="G14" s="6">
        <f t="shared" si="0"/>
        <v>68.871264912170176</v>
      </c>
      <c r="H14" s="4">
        <v>107021</v>
      </c>
      <c r="I14" s="6">
        <f t="shared" si="4"/>
        <v>1.8754378813883368</v>
      </c>
      <c r="J14" s="4">
        <v>1144</v>
      </c>
      <c r="K14" s="3"/>
      <c r="P14" s="7"/>
    </row>
    <row r="15" spans="1:20" x14ac:dyDescent="0.25">
      <c r="A15" s="3" t="str">
        <f t="shared" si="3"/>
        <v>HUMAnN3</v>
      </c>
      <c r="B15" s="3" t="s">
        <v>32</v>
      </c>
      <c r="C15" s="3" t="s">
        <v>33</v>
      </c>
      <c r="D15" s="4">
        <f t="shared" si="1"/>
        <v>4691606</v>
      </c>
      <c r="E15" s="5">
        <v>4190143</v>
      </c>
      <c r="F15" s="4">
        <f>16176628/4</f>
        <v>4044157</v>
      </c>
      <c r="G15" s="6">
        <f t="shared" si="0"/>
        <v>86.199842868305652</v>
      </c>
      <c r="H15" s="4">
        <v>136194</v>
      </c>
      <c r="I15" s="6">
        <f t="shared" si="2"/>
        <v>3.3676734112943687</v>
      </c>
      <c r="J15" s="4">
        <v>4929</v>
      </c>
      <c r="K15" s="3"/>
      <c r="P15" s="7"/>
    </row>
    <row r="16" spans="1:20" x14ac:dyDescent="0.25">
      <c r="A16" s="3" t="s">
        <v>13</v>
      </c>
      <c r="B16" s="3" t="s">
        <v>9</v>
      </c>
      <c r="C16" s="3" t="s">
        <v>10</v>
      </c>
      <c r="D16" s="4">
        <v>2246294</v>
      </c>
      <c r="E16" s="4">
        <f xml:space="preserve"> 5085060 / 4</f>
        <v>1271265</v>
      </c>
      <c r="F16" s="4">
        <f xml:space="preserve"> 2107120 / 4</f>
        <v>526780</v>
      </c>
      <c r="G16" s="6">
        <f t="shared" si="0"/>
        <v>23.451070963996699</v>
      </c>
      <c r="H16" s="4">
        <v>10196</v>
      </c>
      <c r="I16" s="6">
        <f xml:space="preserve"> 100*H16/F16</f>
        <v>1.9355328600174646</v>
      </c>
      <c r="J16" s="4">
        <v>1722</v>
      </c>
      <c r="K16" s="14"/>
      <c r="P16" s="7"/>
    </row>
    <row r="17" spans="1:16" x14ac:dyDescent="0.25">
      <c r="A17" s="3" t="s">
        <v>13</v>
      </c>
      <c r="B17" s="3" t="s">
        <v>11</v>
      </c>
      <c r="C17" s="3" t="s">
        <v>12</v>
      </c>
      <c r="D17" s="4">
        <v>2931351</v>
      </c>
      <c r="E17" s="4">
        <f xml:space="preserve"> 5441076 / 4</f>
        <v>1360269</v>
      </c>
      <c r="F17" s="4">
        <f xml:space="preserve"> 3952712 / 4</f>
        <v>988178</v>
      </c>
      <c r="G17" s="6">
        <f t="shared" si="0"/>
        <v>33.7106678797592</v>
      </c>
      <c r="H17" s="4">
        <v>339029</v>
      </c>
      <c r="I17" s="6">
        <f t="shared" ref="I17:I27" si="5" xml:space="preserve"> 100*H17/F17</f>
        <v>34.30849502822366</v>
      </c>
      <c r="J17" s="4">
        <v>23688</v>
      </c>
      <c r="K17" s="3"/>
      <c r="P17" s="7"/>
    </row>
    <row r="18" spans="1:16" x14ac:dyDescent="0.25">
      <c r="A18" s="3" t="s">
        <v>13</v>
      </c>
      <c r="B18" s="3" t="s">
        <v>14</v>
      </c>
      <c r="C18" s="3" t="s">
        <v>15</v>
      </c>
      <c r="D18" s="8">
        <v>1370497</v>
      </c>
      <c r="E18" s="4">
        <f xml:space="preserve"> 4884736 / 4</f>
        <v>1221184</v>
      </c>
      <c r="F18" s="4">
        <f xml:space="preserve"> 2219052 / 4</f>
        <v>554763</v>
      </c>
      <c r="G18" s="6">
        <f t="shared" si="0"/>
        <v>40.478964930240636</v>
      </c>
      <c r="H18" s="4">
        <v>28136</v>
      </c>
      <c r="I18" s="6">
        <f t="shared" si="5"/>
        <v>5.071715309059905</v>
      </c>
      <c r="J18" s="4">
        <v>3345</v>
      </c>
      <c r="K18" s="3"/>
      <c r="P18" s="7"/>
    </row>
    <row r="19" spans="1:16" x14ac:dyDescent="0.25">
      <c r="A19" s="3" t="s">
        <v>13</v>
      </c>
      <c r="B19" s="3" t="s">
        <v>17</v>
      </c>
      <c r="C19" s="3" t="s">
        <v>18</v>
      </c>
      <c r="D19" s="4">
        <v>3135201</v>
      </c>
      <c r="E19" s="4">
        <f xml:space="preserve"> 7919392 / 4</f>
        <v>1979848</v>
      </c>
      <c r="F19" s="4">
        <f xml:space="preserve"> 3514468 / 4</f>
        <v>878617</v>
      </c>
      <c r="G19" s="6">
        <f t="shared" si="0"/>
        <v>28.024263835077878</v>
      </c>
      <c r="H19" s="4">
        <v>21623</v>
      </c>
      <c r="I19" s="6">
        <f t="shared" si="5"/>
        <v>2.4610268182837345</v>
      </c>
      <c r="J19" s="4">
        <v>2581</v>
      </c>
      <c r="K19" s="3"/>
    </row>
    <row r="20" spans="1:16" x14ac:dyDescent="0.25">
      <c r="A20" s="3" t="s">
        <v>13</v>
      </c>
      <c r="B20" s="3" t="s">
        <v>19</v>
      </c>
      <c r="C20" s="3" t="s">
        <v>20</v>
      </c>
      <c r="D20" s="4">
        <v>2021696</v>
      </c>
      <c r="E20" s="4">
        <f xml:space="preserve"> 3360508 / 4</f>
        <v>840127</v>
      </c>
      <c r="F20" s="4">
        <f xml:space="preserve"> 2274984 / 4</f>
        <v>568746</v>
      </c>
      <c r="G20" s="6">
        <f t="shared" si="0"/>
        <v>28.132122732596791</v>
      </c>
      <c r="H20" s="4">
        <v>63380</v>
      </c>
      <c r="I20" s="6">
        <f t="shared" si="5"/>
        <v>11.143814637817233</v>
      </c>
      <c r="J20" s="4">
        <v>9523</v>
      </c>
      <c r="K20" s="3"/>
    </row>
    <row r="21" spans="1:16" x14ac:dyDescent="0.25">
      <c r="A21" s="3" t="s">
        <v>13</v>
      </c>
      <c r="B21" s="3" t="s">
        <v>21</v>
      </c>
      <c r="C21" s="3" t="s">
        <v>22</v>
      </c>
      <c r="D21" s="4">
        <v>1579372</v>
      </c>
      <c r="E21" s="4">
        <f xml:space="preserve"> 5411540 / 4</f>
        <v>1352885</v>
      </c>
      <c r="F21" s="4">
        <f xml:space="preserve"> 2938296 / 4</f>
        <v>734574</v>
      </c>
      <c r="G21" s="6">
        <f t="shared" si="0"/>
        <v>46.510511773033841</v>
      </c>
      <c r="H21" s="4">
        <v>38444</v>
      </c>
      <c r="I21" s="6">
        <f t="shared" si="5"/>
        <v>5.2335094898539838</v>
      </c>
      <c r="J21" s="4">
        <v>7997</v>
      </c>
      <c r="K21" s="3"/>
    </row>
    <row r="22" spans="1:16" x14ac:dyDescent="0.25">
      <c r="A22" s="3" t="s">
        <v>13</v>
      </c>
      <c r="B22" s="3" t="s">
        <v>23</v>
      </c>
      <c r="C22" s="3" t="s">
        <v>24</v>
      </c>
      <c r="D22" s="4">
        <v>3087505</v>
      </c>
      <c r="E22" s="4">
        <f xml:space="preserve"> 10129348 / 4</f>
        <v>2532337</v>
      </c>
      <c r="F22" s="4">
        <f xml:space="preserve"> 6456520 / 4</f>
        <v>1614130</v>
      </c>
      <c r="G22" s="6">
        <f t="shared" si="0"/>
        <v>52.279429506996749</v>
      </c>
      <c r="H22" s="4">
        <v>333333</v>
      </c>
      <c r="I22" s="6">
        <f t="shared" si="5"/>
        <v>20.650938895875797</v>
      </c>
      <c r="J22" s="4">
        <v>28894</v>
      </c>
      <c r="K22" s="3"/>
    </row>
    <row r="23" spans="1:16" x14ac:dyDescent="0.25">
      <c r="A23" s="3" t="s">
        <v>13</v>
      </c>
      <c r="B23" s="3" t="s">
        <v>25</v>
      </c>
      <c r="C23" s="3" t="s">
        <v>60</v>
      </c>
      <c r="D23" s="4">
        <v>1720937</v>
      </c>
      <c r="E23" s="4">
        <f xml:space="preserve"> 5095236 / 4</f>
        <v>1273809</v>
      </c>
      <c r="F23" s="4">
        <f xml:space="preserve"> 2200820 / 4</f>
        <v>550205</v>
      </c>
      <c r="G23" s="6">
        <f t="shared" si="0"/>
        <v>31.971245896857351</v>
      </c>
      <c r="H23" s="4">
        <v>24188</v>
      </c>
      <c r="I23" s="6">
        <f t="shared" si="5"/>
        <v>4.3961796057832991</v>
      </c>
      <c r="J23" s="4">
        <v>5237</v>
      </c>
      <c r="K23" s="3"/>
    </row>
    <row r="24" spans="1:16" x14ac:dyDescent="0.25">
      <c r="A24" s="3" t="s">
        <v>13</v>
      </c>
      <c r="B24" s="3" t="s">
        <v>26</v>
      </c>
      <c r="C24" s="3" t="s">
        <v>27</v>
      </c>
      <c r="D24" s="4">
        <v>2676824</v>
      </c>
      <c r="E24" s="4">
        <f xml:space="preserve"> 9373892 / 4</f>
        <v>2343473</v>
      </c>
      <c r="F24" s="4">
        <f xml:space="preserve"> 6821088 / 4</f>
        <v>1705272</v>
      </c>
      <c r="G24" s="6">
        <f t="shared" si="0"/>
        <v>63.705047474170883</v>
      </c>
      <c r="H24" s="4">
        <v>248604</v>
      </c>
      <c r="I24" s="6">
        <f t="shared" si="5"/>
        <v>14.578554037127216</v>
      </c>
      <c r="J24" s="4">
        <v>22884</v>
      </c>
      <c r="K24" s="3"/>
    </row>
    <row r="25" spans="1:16" x14ac:dyDescent="0.25">
      <c r="A25" s="3" t="s">
        <v>13</v>
      </c>
      <c r="B25" s="3" t="s">
        <v>28</v>
      </c>
      <c r="C25" s="3" t="s">
        <v>29</v>
      </c>
      <c r="D25" s="4">
        <v>2522460</v>
      </c>
      <c r="E25" s="4">
        <f xml:space="preserve"> 7372604 / 4</f>
        <v>1843151</v>
      </c>
      <c r="F25" s="4">
        <f xml:space="preserve"> 3776500 / 4</f>
        <v>944125</v>
      </c>
      <c r="G25" s="6">
        <f t="shared" si="0"/>
        <v>37.428740198060623</v>
      </c>
      <c r="H25" s="4">
        <v>35768</v>
      </c>
      <c r="I25" s="6">
        <f t="shared" si="5"/>
        <v>3.7884813981199525</v>
      </c>
      <c r="J25" s="4">
        <v>3934</v>
      </c>
      <c r="K25" s="3"/>
    </row>
    <row r="26" spans="1:16" x14ac:dyDescent="0.25">
      <c r="A26" s="3" t="s">
        <v>13</v>
      </c>
      <c r="B26" s="3" t="s">
        <v>30</v>
      </c>
      <c r="C26" s="3" t="s">
        <v>31</v>
      </c>
      <c r="D26" s="4">
        <v>4142841</v>
      </c>
      <c r="E26" s="4">
        <f xml:space="preserve"> 7781312 / 4</f>
        <v>1945328</v>
      </c>
      <c r="F26" s="4">
        <f xml:space="preserve"> 5662096 / 4</f>
        <v>1415524</v>
      </c>
      <c r="G26" s="6">
        <f t="shared" si="0"/>
        <v>34.167953826854564</v>
      </c>
      <c r="H26" s="4">
        <v>162869</v>
      </c>
      <c r="I26" s="6">
        <f t="shared" si="5"/>
        <v>11.505915830462783</v>
      </c>
      <c r="J26" s="4">
        <v>7364</v>
      </c>
      <c r="K26" s="3"/>
    </row>
    <row r="27" spans="1:16" x14ac:dyDescent="0.25">
      <c r="A27" s="3" t="s">
        <v>13</v>
      </c>
      <c r="B27" s="3" t="s">
        <v>32</v>
      </c>
      <c r="C27" s="3" t="s">
        <v>33</v>
      </c>
      <c r="D27" s="4">
        <v>2345803</v>
      </c>
      <c r="E27" s="4">
        <f xml:space="preserve"> 7772004 / 4</f>
        <v>1943001</v>
      </c>
      <c r="F27" s="4">
        <f xml:space="preserve"> 4883076 / 4</f>
        <v>1220769</v>
      </c>
      <c r="G27" s="6">
        <f t="shared" si="0"/>
        <v>52.04055924559735</v>
      </c>
      <c r="H27" s="4">
        <v>184344</v>
      </c>
      <c r="I27" s="6">
        <f t="shared" si="5"/>
        <v>15.100645576681584</v>
      </c>
      <c r="J27" s="4">
        <v>20820</v>
      </c>
      <c r="K27" s="3"/>
    </row>
    <row r="28" spans="1:16" s="12" customFormat="1" x14ac:dyDescent="0.25">
      <c r="A28" s="9" t="s">
        <v>16</v>
      </c>
      <c r="B28" s="9" t="s">
        <v>9</v>
      </c>
      <c r="C28" s="9" t="s">
        <v>10</v>
      </c>
      <c r="D28" s="10">
        <v>2246294</v>
      </c>
      <c r="E28" s="10">
        <v>1570385</v>
      </c>
      <c r="F28" s="10">
        <v>229637</v>
      </c>
      <c r="G28" s="11">
        <f>100*(F28/D28)</f>
        <v>10.222927185844775</v>
      </c>
      <c r="H28" s="10">
        <v>126657</v>
      </c>
      <c r="I28" s="11">
        <f>100*(H28/F28)</f>
        <v>55.15531033761981</v>
      </c>
      <c r="J28" s="10">
        <v>3919</v>
      </c>
      <c r="K28" s="14"/>
    </row>
    <row r="29" spans="1:16" s="12" customFormat="1" x14ac:dyDescent="0.25">
      <c r="A29" s="9" t="s">
        <v>16</v>
      </c>
      <c r="B29" s="9" t="s">
        <v>11</v>
      </c>
      <c r="C29" s="9" t="s">
        <v>12</v>
      </c>
      <c r="D29" s="10">
        <v>2931351</v>
      </c>
      <c r="E29" s="10">
        <v>2013132</v>
      </c>
      <c r="F29" s="10">
        <v>1014963</v>
      </c>
      <c r="G29" s="11">
        <f>100*(F29/D29)</f>
        <v>34.624410382789364</v>
      </c>
      <c r="H29" s="10">
        <v>715233</v>
      </c>
      <c r="I29" s="11">
        <f t="shared" ref="I29:I87" si="6">100*(H29/F29)</f>
        <v>70.468874234824312</v>
      </c>
      <c r="J29" s="10">
        <v>27461</v>
      </c>
      <c r="K29" s="9"/>
    </row>
    <row r="30" spans="1:16" s="12" customFormat="1" x14ac:dyDescent="0.25">
      <c r="A30" s="9" t="s">
        <v>16</v>
      </c>
      <c r="B30" s="9" t="s">
        <v>14</v>
      </c>
      <c r="C30" s="9" t="s">
        <v>15</v>
      </c>
      <c r="D30" s="13">
        <v>1370497</v>
      </c>
      <c r="E30" s="13">
        <v>1340275</v>
      </c>
      <c r="F30" s="13">
        <v>100579</v>
      </c>
      <c r="G30" s="11">
        <f t="shared" ref="G30:G36" si="7">100*(F30/D30)</f>
        <v>7.3388704973451233</v>
      </c>
      <c r="H30" s="13">
        <v>71991</v>
      </c>
      <c r="I30" s="11">
        <f t="shared" si="6"/>
        <v>71.576571650145667</v>
      </c>
      <c r="J30" s="10">
        <v>4871</v>
      </c>
      <c r="K30" s="9"/>
    </row>
    <row r="31" spans="1:16" s="12" customFormat="1" x14ac:dyDescent="0.25">
      <c r="A31" s="9" t="s">
        <v>16</v>
      </c>
      <c r="B31" s="9" t="s">
        <v>17</v>
      </c>
      <c r="C31" s="9" t="s">
        <v>18</v>
      </c>
      <c r="D31" s="10">
        <v>3135201</v>
      </c>
      <c r="E31" s="10">
        <v>2302292</v>
      </c>
      <c r="F31" s="10">
        <v>344085</v>
      </c>
      <c r="G31" s="11">
        <f t="shared" si="7"/>
        <v>10.974894432605756</v>
      </c>
      <c r="H31" s="10">
        <v>215642</v>
      </c>
      <c r="I31" s="11">
        <f t="shared" si="6"/>
        <v>62.671142304953719</v>
      </c>
      <c r="J31" s="10">
        <v>8147</v>
      </c>
      <c r="K31" s="9"/>
    </row>
    <row r="32" spans="1:16" s="12" customFormat="1" x14ac:dyDescent="0.25">
      <c r="A32" s="9" t="s">
        <v>16</v>
      </c>
      <c r="B32" s="9" t="s">
        <v>19</v>
      </c>
      <c r="C32" s="9" t="s">
        <v>20</v>
      </c>
      <c r="D32" s="10">
        <v>2021696</v>
      </c>
      <c r="E32" s="10">
        <v>1288843</v>
      </c>
      <c r="F32" s="10">
        <v>368313</v>
      </c>
      <c r="G32" s="11">
        <f>100*(F32/D32)</f>
        <v>18.218020909177245</v>
      </c>
      <c r="H32" s="10">
        <v>224217</v>
      </c>
      <c r="I32" s="11">
        <f t="shared" si="6"/>
        <v>60.876754282363102</v>
      </c>
      <c r="J32" s="10">
        <v>16622</v>
      </c>
      <c r="K32" s="9"/>
    </row>
    <row r="33" spans="1:11" s="12" customFormat="1" x14ac:dyDescent="0.25">
      <c r="A33" s="9" t="s">
        <v>16</v>
      </c>
      <c r="B33" s="9" t="s">
        <v>21</v>
      </c>
      <c r="C33" s="9" t="s">
        <v>22</v>
      </c>
      <c r="D33" s="10">
        <v>1579372</v>
      </c>
      <c r="E33" s="10">
        <v>1480937</v>
      </c>
      <c r="F33" s="10">
        <v>296766</v>
      </c>
      <c r="G33" s="11">
        <f t="shared" si="7"/>
        <v>18.790126708590506</v>
      </c>
      <c r="H33" s="10">
        <v>160449</v>
      </c>
      <c r="I33" s="11">
        <f t="shared" si="6"/>
        <v>54.065829643557549</v>
      </c>
      <c r="J33" s="10">
        <v>8852</v>
      </c>
      <c r="K33" s="9"/>
    </row>
    <row r="34" spans="1:11" s="12" customFormat="1" x14ac:dyDescent="0.25">
      <c r="A34" s="9" t="s">
        <v>16</v>
      </c>
      <c r="B34" s="9" t="s">
        <v>23</v>
      </c>
      <c r="C34" s="9" t="s">
        <v>24</v>
      </c>
      <c r="D34" s="10">
        <v>3087505</v>
      </c>
      <c r="E34" s="10">
        <v>2824811</v>
      </c>
      <c r="F34" s="10">
        <v>1558375</v>
      </c>
      <c r="G34" s="11">
        <f>100*(F34/D34)</f>
        <v>50.473602471898829</v>
      </c>
      <c r="H34" s="10">
        <v>911443</v>
      </c>
      <c r="I34" s="11">
        <f t="shared" si="6"/>
        <v>58.486757038581857</v>
      </c>
      <c r="J34" s="10">
        <v>24673</v>
      </c>
      <c r="K34" s="9"/>
    </row>
    <row r="35" spans="1:11" s="12" customFormat="1" x14ac:dyDescent="0.25">
      <c r="A35" s="9" t="s">
        <v>16</v>
      </c>
      <c r="B35" s="9" t="s">
        <v>25</v>
      </c>
      <c r="C35" s="9" t="s">
        <v>60</v>
      </c>
      <c r="D35" s="10">
        <v>1720937</v>
      </c>
      <c r="E35" s="10">
        <v>1479714</v>
      </c>
      <c r="F35" s="10">
        <v>219769</v>
      </c>
      <c r="G35" s="11">
        <f t="shared" si="7"/>
        <v>12.770310592427265</v>
      </c>
      <c r="H35" s="10">
        <v>149922</v>
      </c>
      <c r="I35" s="11">
        <f t="shared" si="6"/>
        <v>68.217992528518579</v>
      </c>
      <c r="J35" s="10">
        <v>7083</v>
      </c>
      <c r="K35" s="9"/>
    </row>
    <row r="36" spans="1:11" s="12" customFormat="1" x14ac:dyDescent="0.25">
      <c r="A36" s="9" t="s">
        <v>16</v>
      </c>
      <c r="B36" s="9" t="s">
        <v>26</v>
      </c>
      <c r="C36" s="9" t="s">
        <v>27</v>
      </c>
      <c r="D36" s="10">
        <v>2676824</v>
      </c>
      <c r="E36" s="10">
        <v>2577664</v>
      </c>
      <c r="F36" s="10">
        <v>1406777</v>
      </c>
      <c r="G36" s="11">
        <f t="shared" si="7"/>
        <v>52.553959468384924</v>
      </c>
      <c r="H36" s="10">
        <v>506519</v>
      </c>
      <c r="I36" s="11">
        <f t="shared" si="6"/>
        <v>36.00563557692513</v>
      </c>
      <c r="J36" s="12">
        <v>22877</v>
      </c>
      <c r="K36" s="9"/>
    </row>
    <row r="37" spans="1:11" s="12" customFormat="1" x14ac:dyDescent="0.25">
      <c r="A37" s="9" t="s">
        <v>16</v>
      </c>
      <c r="B37" s="9" t="s">
        <v>28</v>
      </c>
      <c r="C37" s="9" t="s">
        <v>29</v>
      </c>
      <c r="D37" s="10">
        <v>2522460</v>
      </c>
      <c r="E37" s="10">
        <v>2130841</v>
      </c>
      <c r="F37" s="10">
        <v>343513</v>
      </c>
      <c r="G37" s="11">
        <f>100*(F37/D37)</f>
        <v>13.618174321892122</v>
      </c>
      <c r="H37" s="10">
        <v>217818</v>
      </c>
      <c r="I37" s="11">
        <f t="shared" si="6"/>
        <v>63.40895395516327</v>
      </c>
      <c r="J37" s="12">
        <v>8297</v>
      </c>
      <c r="K37" s="9"/>
    </row>
    <row r="38" spans="1:11" s="12" customFormat="1" x14ac:dyDescent="0.25">
      <c r="A38" s="9" t="s">
        <v>16</v>
      </c>
      <c r="B38" s="9" t="s">
        <v>30</v>
      </c>
      <c r="C38" s="9" t="s">
        <v>31</v>
      </c>
      <c r="D38" s="10">
        <v>4142841</v>
      </c>
      <c r="E38" s="10">
        <v>2672521</v>
      </c>
      <c r="F38" s="10">
        <v>754854</v>
      </c>
      <c r="G38" s="11">
        <f t="shared" ref="G38:G63" si="8">100*(F38/D38)</f>
        <v>18.220684790944187</v>
      </c>
      <c r="H38" s="10">
        <v>491161</v>
      </c>
      <c r="I38" s="11">
        <f t="shared" si="6"/>
        <v>65.067019582594781</v>
      </c>
      <c r="J38" s="12">
        <v>18420</v>
      </c>
      <c r="K38" s="9"/>
    </row>
    <row r="39" spans="1:11" s="12" customFormat="1" x14ac:dyDescent="0.25">
      <c r="A39" s="9" t="s">
        <v>16</v>
      </c>
      <c r="B39" s="9" t="s">
        <v>32</v>
      </c>
      <c r="C39" s="9" t="s">
        <v>33</v>
      </c>
      <c r="D39" s="10">
        <v>2345803</v>
      </c>
      <c r="E39" s="10">
        <v>2183864</v>
      </c>
      <c r="F39" s="10">
        <v>928815</v>
      </c>
      <c r="G39" s="11">
        <f t="shared" si="8"/>
        <v>39.594757104496843</v>
      </c>
      <c r="H39" s="10">
        <v>454719</v>
      </c>
      <c r="I39" s="11">
        <f t="shared" si="6"/>
        <v>48.956896690944909</v>
      </c>
      <c r="J39" s="12">
        <v>21304</v>
      </c>
      <c r="K39" s="9"/>
    </row>
    <row r="40" spans="1:11" x14ac:dyDescent="0.25">
      <c r="A40" s="9" t="s">
        <v>8</v>
      </c>
      <c r="B40" s="3" t="s">
        <v>9</v>
      </c>
      <c r="C40" s="3" t="s">
        <v>10</v>
      </c>
      <c r="D40" s="10">
        <f>D4</f>
        <v>4492588</v>
      </c>
      <c r="E40" s="10">
        <f>E4</f>
        <v>3348051</v>
      </c>
      <c r="F40" s="10">
        <f>F4</f>
        <v>3344908</v>
      </c>
      <c r="G40" s="11">
        <f>G4</f>
        <v>74.453922772353039</v>
      </c>
      <c r="H40" s="2">
        <v>14225</v>
      </c>
      <c r="I40" s="11">
        <f>100*H40/F40</f>
        <v>0.42527328105885126</v>
      </c>
      <c r="J40" s="12">
        <v>1448</v>
      </c>
      <c r="K40" s="9"/>
    </row>
    <row r="41" spans="1:11" x14ac:dyDescent="0.25">
      <c r="A41" s="9" t="str">
        <f>A40</f>
        <v>HUMAnN2</v>
      </c>
      <c r="B41" s="3" t="s">
        <v>11</v>
      </c>
      <c r="C41" s="3" t="s">
        <v>12</v>
      </c>
      <c r="D41" s="10">
        <f t="shared" ref="D41:G51" si="9">D5</f>
        <v>5862702</v>
      </c>
      <c r="E41" s="10">
        <f t="shared" si="9"/>
        <v>4089107</v>
      </c>
      <c r="F41" s="10">
        <f t="shared" si="9"/>
        <v>4046666</v>
      </c>
      <c r="G41" s="11">
        <f t="shared" si="9"/>
        <v>69.023907406516656</v>
      </c>
      <c r="H41" s="2">
        <v>513387</v>
      </c>
      <c r="I41" s="11">
        <f t="shared" ref="I41:I51" si="10">100*H41/F41</f>
        <v>12.686666010982869</v>
      </c>
      <c r="J41" s="12">
        <v>11757</v>
      </c>
      <c r="K41" s="9"/>
    </row>
    <row r="42" spans="1:11" x14ac:dyDescent="0.25">
      <c r="A42" s="9" t="str">
        <f t="shared" ref="A42:A51" si="11">A41</f>
        <v>HUMAnN2</v>
      </c>
      <c r="B42" s="3" t="s">
        <v>14</v>
      </c>
      <c r="C42" s="3" t="s">
        <v>15</v>
      </c>
      <c r="D42" s="10">
        <f t="shared" si="9"/>
        <v>2740994</v>
      </c>
      <c r="E42" s="10">
        <f t="shared" si="9"/>
        <v>2555361</v>
      </c>
      <c r="F42" s="10">
        <f t="shared" si="9"/>
        <v>2553498</v>
      </c>
      <c r="G42" s="11">
        <f t="shared" si="9"/>
        <v>93.159561823192604</v>
      </c>
      <c r="H42" s="2">
        <v>16847</v>
      </c>
      <c r="I42" s="11">
        <f t="shared" si="10"/>
        <v>0.65976162894977797</v>
      </c>
      <c r="J42" s="12">
        <v>2445</v>
      </c>
      <c r="K42" s="9"/>
    </row>
    <row r="43" spans="1:11" x14ac:dyDescent="0.25">
      <c r="A43" s="9" t="str">
        <f t="shared" si="11"/>
        <v>HUMAnN2</v>
      </c>
      <c r="B43" s="3" t="s">
        <v>17</v>
      </c>
      <c r="C43" s="3" t="s">
        <v>18</v>
      </c>
      <c r="D43" s="10">
        <f t="shared" si="9"/>
        <v>6270402</v>
      </c>
      <c r="E43" s="10">
        <f t="shared" si="9"/>
        <v>4926423</v>
      </c>
      <c r="F43" s="10">
        <f t="shared" si="9"/>
        <v>4921777</v>
      </c>
      <c r="G43" s="11">
        <f t="shared" si="9"/>
        <v>78.492208314554631</v>
      </c>
      <c r="H43" s="2">
        <v>67570</v>
      </c>
      <c r="I43" s="11">
        <f t="shared" si="10"/>
        <v>1.3728781291797658</v>
      </c>
      <c r="J43" s="12">
        <v>3803</v>
      </c>
      <c r="K43" s="9"/>
    </row>
    <row r="44" spans="1:11" x14ac:dyDescent="0.25">
      <c r="A44" s="9" t="str">
        <f t="shared" si="11"/>
        <v>HUMAnN2</v>
      </c>
      <c r="B44" s="3" t="s">
        <v>19</v>
      </c>
      <c r="C44" s="3" t="s">
        <v>20</v>
      </c>
      <c r="D44" s="10">
        <f t="shared" si="9"/>
        <v>4043392</v>
      </c>
      <c r="E44" s="10">
        <f t="shared" si="9"/>
        <v>2701476</v>
      </c>
      <c r="F44" s="10">
        <f t="shared" si="9"/>
        <v>2686526</v>
      </c>
      <c r="G44" s="11">
        <f t="shared" si="9"/>
        <v>66.442383028902469</v>
      </c>
      <c r="H44" s="2">
        <v>67635</v>
      </c>
      <c r="I44" s="11">
        <f t="shared" si="10"/>
        <v>2.5175635746685496</v>
      </c>
      <c r="J44" s="12">
        <v>5876</v>
      </c>
      <c r="K44" s="9"/>
    </row>
    <row r="45" spans="1:11" x14ac:dyDescent="0.25">
      <c r="A45" s="9" t="str">
        <f t="shared" si="11"/>
        <v>HUMAnN2</v>
      </c>
      <c r="B45" s="3" t="s">
        <v>21</v>
      </c>
      <c r="C45" s="3" t="s">
        <v>22</v>
      </c>
      <c r="D45" s="10">
        <f t="shared" si="9"/>
        <v>3158744</v>
      </c>
      <c r="E45" s="10">
        <f t="shared" si="9"/>
        <v>2869174</v>
      </c>
      <c r="F45" s="10">
        <f t="shared" si="9"/>
        <v>2828834</v>
      </c>
      <c r="G45" s="11">
        <f t="shared" si="9"/>
        <v>89.555658831484919</v>
      </c>
      <c r="H45" s="2">
        <v>30365</v>
      </c>
      <c r="I45" s="11">
        <f t="shared" si="10"/>
        <v>1.0734104581605</v>
      </c>
      <c r="J45" s="12">
        <v>3968</v>
      </c>
      <c r="K45" s="9"/>
    </row>
    <row r="46" spans="1:11" x14ac:dyDescent="0.25">
      <c r="A46" s="9" t="str">
        <f t="shared" si="11"/>
        <v>HUMAnN2</v>
      </c>
      <c r="B46" s="3" t="s">
        <v>23</v>
      </c>
      <c r="C46" s="3" t="s">
        <v>24</v>
      </c>
      <c r="D46" s="10">
        <f t="shared" si="9"/>
        <v>6175010</v>
      </c>
      <c r="E46" s="10">
        <f t="shared" si="9"/>
        <v>5492493</v>
      </c>
      <c r="F46" s="10">
        <f t="shared" si="9"/>
        <v>5237875</v>
      </c>
      <c r="G46" s="11">
        <f t="shared" si="9"/>
        <v>84.823749273280526</v>
      </c>
      <c r="H46" s="2">
        <v>475710</v>
      </c>
      <c r="I46" s="11">
        <f t="shared" si="10"/>
        <v>9.082118225425388</v>
      </c>
      <c r="J46" s="12">
        <v>12910</v>
      </c>
      <c r="K46" s="9"/>
    </row>
    <row r="47" spans="1:11" x14ac:dyDescent="0.25">
      <c r="A47" s="9" t="str">
        <f t="shared" si="11"/>
        <v>HUMAnN2</v>
      </c>
      <c r="B47" s="3" t="s">
        <v>25</v>
      </c>
      <c r="C47" s="3" t="s">
        <v>60</v>
      </c>
      <c r="D47" s="10">
        <f t="shared" si="9"/>
        <v>3441874</v>
      </c>
      <c r="E47" s="10">
        <f t="shared" si="9"/>
        <v>2905323</v>
      </c>
      <c r="F47" s="10">
        <f t="shared" si="9"/>
        <v>2903059</v>
      </c>
      <c r="G47" s="11">
        <f t="shared" si="9"/>
        <v>84.345301425909255</v>
      </c>
      <c r="H47" s="2">
        <v>52712</v>
      </c>
      <c r="I47" s="11">
        <f t="shared" si="10"/>
        <v>1.8157398798990996</v>
      </c>
      <c r="J47" s="12">
        <v>2822</v>
      </c>
      <c r="K47" s="9"/>
    </row>
    <row r="48" spans="1:11" x14ac:dyDescent="0.25">
      <c r="A48" s="9" t="str">
        <f t="shared" si="11"/>
        <v>HUMAnN2</v>
      </c>
      <c r="B48" s="3" t="s">
        <v>26</v>
      </c>
      <c r="C48" s="3" t="s">
        <v>27</v>
      </c>
      <c r="D48" s="10">
        <f t="shared" si="9"/>
        <v>5353648</v>
      </c>
      <c r="E48" s="10">
        <f t="shared" si="9"/>
        <v>4928468</v>
      </c>
      <c r="F48" s="10">
        <f t="shared" si="9"/>
        <v>4297172</v>
      </c>
      <c r="G48" s="11">
        <f t="shared" si="9"/>
        <v>80.266240888455869</v>
      </c>
      <c r="H48" s="2">
        <v>226021</v>
      </c>
      <c r="I48" s="11">
        <f t="shared" si="10"/>
        <v>5.2597615361917089</v>
      </c>
      <c r="J48" s="12">
        <v>11343</v>
      </c>
      <c r="K48" s="9"/>
    </row>
    <row r="49" spans="1:11" x14ac:dyDescent="0.25">
      <c r="A49" s="9" t="str">
        <f t="shared" si="11"/>
        <v>HUMAnN2</v>
      </c>
      <c r="B49" s="3" t="s">
        <v>28</v>
      </c>
      <c r="C49" s="3" t="s">
        <v>29</v>
      </c>
      <c r="D49" s="10">
        <f t="shared" si="9"/>
        <v>5044920</v>
      </c>
      <c r="E49" s="10">
        <f t="shared" si="9"/>
        <v>4234884</v>
      </c>
      <c r="F49" s="10">
        <f t="shared" si="9"/>
        <v>4228456</v>
      </c>
      <c r="G49" s="11">
        <f t="shared" si="9"/>
        <v>83.816116013732625</v>
      </c>
      <c r="H49" s="2">
        <v>52556</v>
      </c>
      <c r="I49" s="11">
        <f t="shared" si="10"/>
        <v>1.242912306525124</v>
      </c>
      <c r="J49" s="12">
        <v>3454</v>
      </c>
      <c r="K49" s="9"/>
    </row>
    <row r="50" spans="1:11" x14ac:dyDescent="0.25">
      <c r="A50" s="9" t="str">
        <f t="shared" si="11"/>
        <v>HUMAnN2</v>
      </c>
      <c r="B50" s="3" t="s">
        <v>30</v>
      </c>
      <c r="C50" s="3" t="s">
        <v>31</v>
      </c>
      <c r="D50" s="10">
        <f t="shared" si="9"/>
        <v>8285682</v>
      </c>
      <c r="E50" s="10">
        <f t="shared" si="9"/>
        <v>5752093</v>
      </c>
      <c r="F50" s="10">
        <f t="shared" si="9"/>
        <v>5706454</v>
      </c>
      <c r="G50" s="11">
        <f t="shared" si="9"/>
        <v>68.871264912170176</v>
      </c>
      <c r="H50" s="2">
        <v>435777</v>
      </c>
      <c r="I50" s="11">
        <f t="shared" si="10"/>
        <v>7.636563792505819</v>
      </c>
      <c r="J50" s="12">
        <v>7582</v>
      </c>
      <c r="K50" s="9"/>
    </row>
    <row r="51" spans="1:11" x14ac:dyDescent="0.25">
      <c r="A51" s="9" t="str">
        <f t="shared" si="11"/>
        <v>HUMAnN2</v>
      </c>
      <c r="B51" s="3" t="s">
        <v>32</v>
      </c>
      <c r="C51" s="3" t="s">
        <v>33</v>
      </c>
      <c r="D51" s="10">
        <f t="shared" si="9"/>
        <v>4691606</v>
      </c>
      <c r="E51" s="10">
        <f t="shared" si="9"/>
        <v>4190143</v>
      </c>
      <c r="F51" s="10">
        <f t="shared" si="9"/>
        <v>4044157</v>
      </c>
      <c r="G51" s="11">
        <f t="shared" si="9"/>
        <v>86.199842868305652</v>
      </c>
      <c r="H51" s="2">
        <v>192261</v>
      </c>
      <c r="I51" s="11">
        <f t="shared" si="10"/>
        <v>4.754043920648976</v>
      </c>
      <c r="J51" s="12">
        <v>10488</v>
      </c>
      <c r="K51" s="9"/>
    </row>
    <row r="52" spans="1:11" x14ac:dyDescent="0.25">
      <c r="A52" s="3" t="s">
        <v>61</v>
      </c>
      <c r="B52" s="3" t="s">
        <v>34</v>
      </c>
      <c r="C52" s="3" t="s">
        <v>35</v>
      </c>
      <c r="D52" s="2">
        <f xml:space="preserve"> 129433876 / 4</f>
        <v>32358469</v>
      </c>
      <c r="E52" s="2">
        <v>29162680</v>
      </c>
      <c r="F52" s="2">
        <f>116566152/4</f>
        <v>29141538</v>
      </c>
      <c r="G52" s="6">
        <f t="shared" si="8"/>
        <v>90.058457339251746</v>
      </c>
      <c r="H52" s="2">
        <v>2264727</v>
      </c>
      <c r="I52" s="6">
        <f t="shared" si="6"/>
        <v>7.7714738323008206</v>
      </c>
      <c r="J52" s="4">
        <v>8064</v>
      </c>
      <c r="K52" s="3"/>
    </row>
    <row r="53" spans="1:11" x14ac:dyDescent="0.25">
      <c r="A53" s="3" t="str">
        <f>A52</f>
        <v>HUMAnN3</v>
      </c>
      <c r="B53" s="3" t="s">
        <v>36</v>
      </c>
      <c r="C53" s="3" t="s">
        <v>37</v>
      </c>
      <c r="D53" s="2">
        <f xml:space="preserve"> 152723728 / 4</f>
        <v>38180932</v>
      </c>
      <c r="E53" s="2">
        <v>33219515</v>
      </c>
      <c r="F53" s="4">
        <v>33211007</v>
      </c>
      <c r="G53" s="6">
        <f t="shared" si="8"/>
        <v>86.98322764881695</v>
      </c>
      <c r="H53" s="4">
        <v>4854875</v>
      </c>
      <c r="I53" s="6">
        <f t="shared" si="6"/>
        <v>14.618270984676856</v>
      </c>
      <c r="J53" s="4">
        <v>11162</v>
      </c>
      <c r="K53" s="3"/>
    </row>
    <row r="54" spans="1:11" x14ac:dyDescent="0.25">
      <c r="A54" s="3" t="str">
        <f t="shared" ref="A54:A56" si="12">A53</f>
        <v>HUMAnN3</v>
      </c>
      <c r="B54" s="3" t="s">
        <v>38</v>
      </c>
      <c r="C54" s="3" t="s">
        <v>39</v>
      </c>
      <c r="D54" s="2">
        <f xml:space="preserve"> 144223808 / 4</f>
        <v>36055952</v>
      </c>
      <c r="E54" s="2">
        <v>32106965</v>
      </c>
      <c r="F54" s="4">
        <v>32103728</v>
      </c>
      <c r="G54" s="6">
        <f t="shared" si="8"/>
        <v>89.038636394900905</v>
      </c>
      <c r="H54" s="4">
        <v>6758995</v>
      </c>
      <c r="I54" s="6">
        <f t="shared" si="6"/>
        <v>21.053614084943657</v>
      </c>
      <c r="J54" s="4">
        <v>10033</v>
      </c>
      <c r="K54" s="3"/>
    </row>
    <row r="55" spans="1:11" x14ac:dyDescent="0.25">
      <c r="A55" s="3" t="str">
        <f t="shared" si="12"/>
        <v>HUMAnN3</v>
      </c>
      <c r="B55" s="3" t="s">
        <v>40</v>
      </c>
      <c r="C55" s="3" t="s">
        <v>41</v>
      </c>
      <c r="D55" s="2">
        <f xml:space="preserve"> 133473648 / 4</f>
        <v>33368412</v>
      </c>
      <c r="E55" s="2">
        <v>30140752</v>
      </c>
      <c r="F55" s="4">
        <v>30137178</v>
      </c>
      <c r="G55" s="6">
        <f t="shared" si="8"/>
        <v>90.31648854011992</v>
      </c>
      <c r="H55" s="4">
        <v>1395075</v>
      </c>
      <c r="I55" s="6">
        <f t="shared" si="6"/>
        <v>4.6290830548235142</v>
      </c>
      <c r="J55" s="4">
        <v>7732</v>
      </c>
      <c r="K55" s="3"/>
    </row>
    <row r="56" spans="1:11" x14ac:dyDescent="0.25">
      <c r="A56" s="3" t="str">
        <f t="shared" si="12"/>
        <v>HUMAnN3</v>
      </c>
      <c r="B56" s="3" t="s">
        <v>42</v>
      </c>
      <c r="C56" s="3" t="s">
        <v>43</v>
      </c>
      <c r="D56" s="2">
        <f xml:space="preserve"> 138442644 / 4</f>
        <v>34610661</v>
      </c>
      <c r="E56" s="2">
        <v>31121487</v>
      </c>
      <c r="F56" s="4">
        <v>31119071</v>
      </c>
      <c r="G56" s="6">
        <f t="shared" si="8"/>
        <v>89.911807809738164</v>
      </c>
      <c r="H56" s="4">
        <v>3254759</v>
      </c>
      <c r="I56" s="6">
        <f t="shared" si="6"/>
        <v>10.459049372007282</v>
      </c>
      <c r="J56" s="4">
        <v>8837</v>
      </c>
      <c r="K56" s="3"/>
    </row>
    <row r="57" spans="1:11" x14ac:dyDescent="0.25">
      <c r="A57" s="3" t="s">
        <v>13</v>
      </c>
      <c r="B57" s="3" t="s">
        <v>34</v>
      </c>
      <c r="C57" s="3" t="s">
        <v>35</v>
      </c>
      <c r="D57" s="2">
        <f xml:space="preserve"> 129433876 / 4</f>
        <v>32358469</v>
      </c>
      <c r="E57" s="2">
        <v>28274759</v>
      </c>
      <c r="F57" s="2">
        <f xml:space="preserve"> 102121948 / 4</f>
        <v>25530487</v>
      </c>
      <c r="G57" s="6">
        <f t="shared" si="8"/>
        <v>78.898933691825775</v>
      </c>
      <c r="H57" s="4">
        <v>2330248</v>
      </c>
      <c r="I57" s="6">
        <f t="shared" si="6"/>
        <v>9.1273151193708131</v>
      </c>
      <c r="J57" s="4">
        <v>144429</v>
      </c>
      <c r="K57" s="3"/>
    </row>
    <row r="58" spans="1:11" x14ac:dyDescent="0.25">
      <c r="A58" s="3" t="s">
        <v>13</v>
      </c>
      <c r="B58" s="3" t="s">
        <v>36</v>
      </c>
      <c r="C58" s="3" t="s">
        <v>37</v>
      </c>
      <c r="D58" s="2">
        <f xml:space="preserve"> 152723728 / 4</f>
        <v>38180932</v>
      </c>
      <c r="E58" s="2">
        <v>31743381</v>
      </c>
      <c r="F58" s="2">
        <f xml:space="preserve"> 109880748 / 4</f>
        <v>27470187</v>
      </c>
      <c r="G58" s="6">
        <f t="shared" si="8"/>
        <v>71.947397721983322</v>
      </c>
      <c r="H58" s="4">
        <v>5350991</v>
      </c>
      <c r="I58" s="6">
        <f t="shared" si="6"/>
        <v>19.479266741067324</v>
      </c>
      <c r="J58" s="4">
        <v>112082</v>
      </c>
      <c r="K58" s="3"/>
    </row>
    <row r="59" spans="1:11" x14ac:dyDescent="0.25">
      <c r="A59" s="3" t="s">
        <v>13</v>
      </c>
      <c r="B59" s="3" t="s">
        <v>38</v>
      </c>
      <c r="C59" s="3" t="s">
        <v>39</v>
      </c>
      <c r="D59" s="2">
        <f xml:space="preserve"> 144223808 / 4</f>
        <v>36055952</v>
      </c>
      <c r="E59" s="2">
        <v>30903517</v>
      </c>
      <c r="F59" s="2">
        <f xml:space="preserve"> 106716508 / 4</f>
        <v>26679127</v>
      </c>
      <c r="G59" s="6">
        <f t="shared" si="8"/>
        <v>73.993683483936294</v>
      </c>
      <c r="H59" s="4">
        <v>7010845</v>
      </c>
      <c r="I59" s="6">
        <f t="shared" si="6"/>
        <v>26.278389843865579</v>
      </c>
      <c r="J59" s="4">
        <v>68752</v>
      </c>
      <c r="K59" s="3"/>
    </row>
    <row r="60" spans="1:11" x14ac:dyDescent="0.25">
      <c r="A60" s="3" t="s">
        <v>13</v>
      </c>
      <c r="B60" s="3" t="s">
        <v>40</v>
      </c>
      <c r="C60" s="3" t="s">
        <v>41</v>
      </c>
      <c r="D60" s="2">
        <f xml:space="preserve"> 133473648 / 4</f>
        <v>33368412</v>
      </c>
      <c r="E60" s="2">
        <v>28794855</v>
      </c>
      <c r="F60" s="2">
        <f xml:space="preserve"> 94431868 / 4</f>
        <v>23607967</v>
      </c>
      <c r="G60" s="6">
        <f t="shared" si="8"/>
        <v>70.749447111837384</v>
      </c>
      <c r="H60" s="4">
        <v>1929264</v>
      </c>
      <c r="I60" s="6">
        <f t="shared" si="6"/>
        <v>8.1720886851459937</v>
      </c>
      <c r="J60" s="4">
        <v>47090</v>
      </c>
      <c r="K60" s="3"/>
    </row>
    <row r="61" spans="1:11" x14ac:dyDescent="0.25">
      <c r="A61" s="3" t="s">
        <v>13</v>
      </c>
      <c r="B61" s="3" t="s">
        <v>42</v>
      </c>
      <c r="C61" s="3" t="s">
        <v>43</v>
      </c>
      <c r="D61" s="2">
        <f xml:space="preserve"> 138442644 / 4</f>
        <v>34610661</v>
      </c>
      <c r="E61" s="2">
        <v>29674194</v>
      </c>
      <c r="F61" s="2">
        <f xml:space="preserve"> 92922756 / 4</f>
        <v>23230689</v>
      </c>
      <c r="G61" s="6">
        <f t="shared" si="8"/>
        <v>67.120038533791657</v>
      </c>
      <c r="H61" s="4">
        <v>3611587</v>
      </c>
      <c r="I61" s="6">
        <f t="shared" si="6"/>
        <v>15.546620248758011</v>
      </c>
      <c r="J61" s="4">
        <v>58999</v>
      </c>
      <c r="K61" s="3"/>
    </row>
    <row r="62" spans="1:11" x14ac:dyDescent="0.25">
      <c r="A62" s="3" t="s">
        <v>16</v>
      </c>
      <c r="B62" s="3" t="s">
        <v>34</v>
      </c>
      <c r="C62" s="3" t="s">
        <v>35</v>
      </c>
      <c r="D62" s="2">
        <f xml:space="preserve"> 129433876 / 4</f>
        <v>32358469</v>
      </c>
      <c r="E62" s="2">
        <v>31778476</v>
      </c>
      <c r="F62" s="2">
        <v>15539414</v>
      </c>
      <c r="G62" s="6">
        <f t="shared" si="8"/>
        <v>48.022710839625944</v>
      </c>
      <c r="H62" s="4">
        <v>2364715</v>
      </c>
      <c r="I62" s="6">
        <f t="shared" si="6"/>
        <v>15.217530081893694</v>
      </c>
      <c r="J62" s="4">
        <v>177243</v>
      </c>
      <c r="K62" s="3"/>
    </row>
    <row r="63" spans="1:11" x14ac:dyDescent="0.25">
      <c r="A63" s="3" t="s">
        <v>16</v>
      </c>
      <c r="B63" s="3" t="s">
        <v>36</v>
      </c>
      <c r="C63" s="3" t="s">
        <v>37</v>
      </c>
      <c r="D63" s="2">
        <f xml:space="preserve"> 152723728 / 4</f>
        <v>38180932</v>
      </c>
      <c r="E63" s="2">
        <v>37216640</v>
      </c>
      <c r="F63" s="2">
        <v>16011897</v>
      </c>
      <c r="G63" s="6">
        <f t="shared" si="8"/>
        <v>41.936894049626652</v>
      </c>
      <c r="H63" s="4">
        <v>7379554</v>
      </c>
      <c r="I63" s="6">
        <f t="shared" si="6"/>
        <v>46.087943233709282</v>
      </c>
      <c r="J63" s="4">
        <v>122070</v>
      </c>
      <c r="K63" s="3"/>
    </row>
    <row r="64" spans="1:11" x14ac:dyDescent="0.25">
      <c r="A64" s="3" t="s">
        <v>16</v>
      </c>
      <c r="B64" s="3" t="s">
        <v>38</v>
      </c>
      <c r="C64" s="3" t="s">
        <v>39</v>
      </c>
      <c r="D64" s="2">
        <f xml:space="preserve"> 144223808 / 4</f>
        <v>36055952</v>
      </c>
      <c r="E64" s="2">
        <v>35340046</v>
      </c>
      <c r="F64" s="2">
        <v>11918304</v>
      </c>
      <c r="G64" s="6">
        <f t="shared" ref="G64:G95" si="13">F64*100/E64</f>
        <v>33.724642010935696</v>
      </c>
      <c r="H64" s="4">
        <v>10557664</v>
      </c>
      <c r="I64" s="6">
        <f t="shared" si="6"/>
        <v>88.583610553984855</v>
      </c>
      <c r="J64" s="4">
        <v>46692</v>
      </c>
      <c r="K64" s="3"/>
    </row>
    <row r="65" spans="1:11" x14ac:dyDescent="0.25">
      <c r="A65" s="3" t="s">
        <v>16</v>
      </c>
      <c r="B65" s="3" t="s">
        <v>40</v>
      </c>
      <c r="C65" s="3" t="s">
        <v>41</v>
      </c>
      <c r="D65" s="2">
        <f xml:space="preserve"> 133473648 / 4</f>
        <v>33368412</v>
      </c>
      <c r="E65" s="2">
        <v>32747564</v>
      </c>
      <c r="F65" s="2">
        <v>5349367</v>
      </c>
      <c r="G65" s="6">
        <f t="shared" si="13"/>
        <v>16.335160074807398</v>
      </c>
      <c r="H65" s="4">
        <v>3409476</v>
      </c>
      <c r="I65" s="6">
        <f t="shared" si="6"/>
        <v>63.73606447267499</v>
      </c>
      <c r="J65" s="4">
        <v>42280</v>
      </c>
      <c r="K65" s="3"/>
    </row>
    <row r="66" spans="1:11" x14ac:dyDescent="0.25">
      <c r="A66" s="3" t="s">
        <v>16</v>
      </c>
      <c r="B66" s="3" t="s">
        <v>42</v>
      </c>
      <c r="C66" s="3" t="s">
        <v>43</v>
      </c>
      <c r="D66" s="2">
        <f xml:space="preserve"> 138442644 / 4</f>
        <v>34610661</v>
      </c>
      <c r="E66" s="2">
        <v>33948383</v>
      </c>
      <c r="F66" s="2">
        <v>7136248</v>
      </c>
      <c r="G66" s="6">
        <f t="shared" si="13"/>
        <v>21.020877489216495</v>
      </c>
      <c r="H66" s="4">
        <v>5901960</v>
      </c>
      <c r="I66" s="6">
        <f t="shared" si="6"/>
        <v>82.703964324109819</v>
      </c>
      <c r="J66" s="4">
        <v>47682</v>
      </c>
      <c r="K66" s="3"/>
    </row>
    <row r="67" spans="1:11" x14ac:dyDescent="0.25">
      <c r="A67" s="3" t="s">
        <v>8</v>
      </c>
      <c r="B67" s="3" t="s">
        <v>34</v>
      </c>
      <c r="C67" s="3" t="s">
        <v>35</v>
      </c>
      <c r="D67" s="2">
        <f>D52</f>
        <v>32358469</v>
      </c>
      <c r="E67" s="2">
        <f t="shared" ref="E67:G67" si="14">E52</f>
        <v>29162680</v>
      </c>
      <c r="F67" s="2">
        <f t="shared" si="14"/>
        <v>29141538</v>
      </c>
      <c r="G67" s="2">
        <f t="shared" si="14"/>
        <v>90.058457339251746</v>
      </c>
      <c r="H67" s="2">
        <v>0</v>
      </c>
      <c r="I67" s="6">
        <f>100*H67/F67</f>
        <v>0</v>
      </c>
      <c r="J67" s="4">
        <v>42468</v>
      </c>
      <c r="K67" s="3"/>
    </row>
    <row r="68" spans="1:11" x14ac:dyDescent="0.25">
      <c r="A68" s="3" t="str">
        <f>A67</f>
        <v>HUMAnN2</v>
      </c>
      <c r="B68" s="3" t="s">
        <v>36</v>
      </c>
      <c r="C68" s="3" t="s">
        <v>37</v>
      </c>
      <c r="D68" s="2">
        <f t="shared" ref="D68:G68" si="15">D53</f>
        <v>38180932</v>
      </c>
      <c r="E68" s="2">
        <f t="shared" si="15"/>
        <v>33219515</v>
      </c>
      <c r="F68" s="2">
        <f t="shared" si="15"/>
        <v>33211007</v>
      </c>
      <c r="G68" s="2">
        <f t="shared" si="15"/>
        <v>86.98322764881695</v>
      </c>
      <c r="H68" s="2">
        <v>3662721</v>
      </c>
      <c r="I68" s="6">
        <f t="shared" ref="I68:I71" si="16">100*H68/F68</f>
        <v>11.028635777289137</v>
      </c>
      <c r="J68" s="4">
        <v>29803</v>
      </c>
      <c r="K68" s="3"/>
    </row>
    <row r="69" spans="1:11" x14ac:dyDescent="0.25">
      <c r="A69" s="3" t="str">
        <f t="shared" ref="A69:A71" si="17">A68</f>
        <v>HUMAnN2</v>
      </c>
      <c r="B69" s="3" t="s">
        <v>38</v>
      </c>
      <c r="C69" s="3" t="s">
        <v>39</v>
      </c>
      <c r="D69" s="2">
        <f t="shared" ref="D69:G69" si="18">D54</f>
        <v>36055952</v>
      </c>
      <c r="E69" s="2">
        <f t="shared" si="18"/>
        <v>32106965</v>
      </c>
      <c r="F69" s="2">
        <f t="shared" si="18"/>
        <v>32103728</v>
      </c>
      <c r="G69" s="2">
        <f t="shared" si="18"/>
        <v>89.038636394900905</v>
      </c>
      <c r="H69" s="2">
        <v>6960988</v>
      </c>
      <c r="I69" s="6">
        <f t="shared" si="16"/>
        <v>21.682802695063952</v>
      </c>
      <c r="J69" s="4">
        <v>18207</v>
      </c>
      <c r="K69" s="3"/>
    </row>
    <row r="70" spans="1:11" x14ac:dyDescent="0.25">
      <c r="A70" s="3" t="str">
        <f t="shared" si="17"/>
        <v>HUMAnN2</v>
      </c>
      <c r="B70" s="3" t="s">
        <v>40</v>
      </c>
      <c r="C70" s="3" t="s">
        <v>41</v>
      </c>
      <c r="D70" s="2">
        <f t="shared" ref="D70:G70" si="19">D55</f>
        <v>33368412</v>
      </c>
      <c r="E70" s="2">
        <f t="shared" si="19"/>
        <v>30140752</v>
      </c>
      <c r="F70" s="2">
        <f t="shared" si="19"/>
        <v>30137178</v>
      </c>
      <c r="G70" s="2">
        <f t="shared" si="19"/>
        <v>90.31648854011992</v>
      </c>
      <c r="H70" s="2">
        <v>1966156</v>
      </c>
      <c r="I70" s="6">
        <f t="shared" si="16"/>
        <v>6.5240215922008362</v>
      </c>
      <c r="J70" s="4">
        <v>15562</v>
      </c>
      <c r="K70" s="3"/>
    </row>
    <row r="71" spans="1:11" x14ac:dyDescent="0.25">
      <c r="A71" s="3" t="str">
        <f t="shared" si="17"/>
        <v>HUMAnN2</v>
      </c>
      <c r="B71" s="3" t="s">
        <v>42</v>
      </c>
      <c r="C71" s="3" t="s">
        <v>43</v>
      </c>
      <c r="D71" s="2">
        <f t="shared" ref="D71:G71" si="20">D56</f>
        <v>34610661</v>
      </c>
      <c r="E71" s="2">
        <f t="shared" si="20"/>
        <v>31121487</v>
      </c>
      <c r="F71" s="2">
        <f t="shared" si="20"/>
        <v>31119071</v>
      </c>
      <c r="G71" s="2">
        <f t="shared" si="20"/>
        <v>89.911807809738164</v>
      </c>
      <c r="H71" s="2">
        <v>3478213</v>
      </c>
      <c r="I71" s="6">
        <f t="shared" si="16"/>
        <v>11.177110653463917</v>
      </c>
      <c r="J71" s="4">
        <v>17185</v>
      </c>
      <c r="K71" s="3"/>
    </row>
    <row r="72" spans="1:11" x14ac:dyDescent="0.25">
      <c r="A72" s="3" t="s">
        <v>61</v>
      </c>
      <c r="B72" s="3" t="s">
        <v>44</v>
      </c>
      <c r="C72" s="3" t="s">
        <v>45</v>
      </c>
      <c r="D72" s="2">
        <v>28738742</v>
      </c>
      <c r="E72" s="2">
        <v>28037061</v>
      </c>
      <c r="F72" s="2">
        <v>28037050</v>
      </c>
      <c r="G72" s="6">
        <f t="shared" si="13"/>
        <v>99.999960766215835</v>
      </c>
      <c r="H72" s="4">
        <v>20009034</v>
      </c>
      <c r="I72" s="6">
        <f t="shared" si="6"/>
        <v>71.366402670751739</v>
      </c>
      <c r="J72" s="4">
        <v>40124</v>
      </c>
      <c r="K72" s="3"/>
    </row>
    <row r="73" spans="1:11" x14ac:dyDescent="0.25">
      <c r="A73" s="3" t="str">
        <f>A72</f>
        <v>HUMAnN3</v>
      </c>
      <c r="B73" s="3" t="s">
        <v>46</v>
      </c>
      <c r="C73" s="3" t="s">
        <v>47</v>
      </c>
      <c r="D73" s="2">
        <v>30441053</v>
      </c>
      <c r="E73" s="2">
        <v>29525891</v>
      </c>
      <c r="F73" s="2">
        <v>29525883</v>
      </c>
      <c r="G73" s="6">
        <f t="shared" si="13"/>
        <v>99.999972905136033</v>
      </c>
      <c r="H73" s="4">
        <v>21980007</v>
      </c>
      <c r="I73" s="6">
        <f t="shared" si="6"/>
        <v>74.443182613708785</v>
      </c>
      <c r="J73" s="4">
        <v>25471</v>
      </c>
      <c r="K73" s="3"/>
    </row>
    <row r="74" spans="1:11" x14ac:dyDescent="0.25">
      <c r="A74" s="3" t="str">
        <f t="shared" ref="A74:A79" si="21">A73</f>
        <v>HUMAnN3</v>
      </c>
      <c r="B74" s="3" t="s">
        <v>48</v>
      </c>
      <c r="C74" s="3" t="s">
        <v>49</v>
      </c>
      <c r="D74" s="2">
        <v>30914807</v>
      </c>
      <c r="E74" s="2">
        <v>30127579</v>
      </c>
      <c r="F74" s="2">
        <v>30127572</v>
      </c>
      <c r="G74" s="6">
        <f t="shared" si="13"/>
        <v>99.999976765474585</v>
      </c>
      <c r="H74" s="4">
        <v>20997527</v>
      </c>
      <c r="I74" s="6">
        <f t="shared" si="6"/>
        <v>69.6953840156784</v>
      </c>
      <c r="J74" s="4">
        <v>30377</v>
      </c>
      <c r="K74" s="3"/>
    </row>
    <row r="75" spans="1:11" x14ac:dyDescent="0.25">
      <c r="A75" s="3" t="str">
        <f t="shared" si="21"/>
        <v>HUMAnN3</v>
      </c>
      <c r="B75" s="3" t="s">
        <v>50</v>
      </c>
      <c r="C75" s="3" t="s">
        <v>51</v>
      </c>
      <c r="D75" s="2">
        <v>33750438</v>
      </c>
      <c r="E75" s="2">
        <v>32900231</v>
      </c>
      <c r="F75" s="2">
        <v>32900228</v>
      </c>
      <c r="G75" s="6">
        <f t="shared" si="13"/>
        <v>99.99999088152299</v>
      </c>
      <c r="H75" s="4">
        <v>24508165</v>
      </c>
      <c r="I75" s="6">
        <f t="shared" si="6"/>
        <v>74.492386496531267</v>
      </c>
      <c r="J75" s="4">
        <v>17626</v>
      </c>
      <c r="K75" s="3"/>
    </row>
    <row r="76" spans="1:11" x14ac:dyDescent="0.25">
      <c r="A76" s="3" t="str">
        <f t="shared" si="21"/>
        <v>HUMAnN3</v>
      </c>
      <c r="B76" s="3" t="s">
        <v>52</v>
      </c>
      <c r="C76" s="3" t="s">
        <v>53</v>
      </c>
      <c r="D76" s="2">
        <v>33645125</v>
      </c>
      <c r="E76" s="2">
        <v>32945452</v>
      </c>
      <c r="F76" s="2">
        <v>32945447</v>
      </c>
      <c r="G76" s="6">
        <f t="shared" si="13"/>
        <v>99.999984823398393</v>
      </c>
      <c r="H76" s="4">
        <v>22638534</v>
      </c>
      <c r="I76" s="6">
        <f t="shared" si="6"/>
        <v>68.715212757623235</v>
      </c>
      <c r="J76" s="4">
        <v>27066</v>
      </c>
      <c r="K76" s="3"/>
    </row>
    <row r="77" spans="1:11" x14ac:dyDescent="0.25">
      <c r="A77" s="3" t="str">
        <f t="shared" si="21"/>
        <v>HUMAnN3</v>
      </c>
      <c r="B77" s="3" t="s">
        <v>54</v>
      </c>
      <c r="C77" s="3" t="s">
        <v>55</v>
      </c>
      <c r="D77" s="2">
        <v>32993655</v>
      </c>
      <c r="E77" s="2">
        <v>32258307</v>
      </c>
      <c r="F77" s="2">
        <v>32258301</v>
      </c>
      <c r="G77" s="6">
        <f t="shared" si="13"/>
        <v>99.999981400139816</v>
      </c>
      <c r="H77" s="4">
        <v>23224621</v>
      </c>
      <c r="I77" s="6">
        <f t="shared" si="6"/>
        <v>71.995797298810004</v>
      </c>
      <c r="J77" s="4">
        <v>26066</v>
      </c>
      <c r="K77" s="3"/>
    </row>
    <row r="78" spans="1:11" x14ac:dyDescent="0.25">
      <c r="A78" s="3" t="str">
        <f t="shared" si="21"/>
        <v>HUMAnN3</v>
      </c>
      <c r="B78" s="3" t="s">
        <v>56</v>
      </c>
      <c r="C78" s="3" t="s">
        <v>57</v>
      </c>
      <c r="D78" s="2">
        <v>35165246</v>
      </c>
      <c r="E78" s="2">
        <v>34396124</v>
      </c>
      <c r="F78" s="2">
        <v>34396114</v>
      </c>
      <c r="G78" s="6">
        <f t="shared" si="13"/>
        <v>99.999970926956763</v>
      </c>
      <c r="H78" s="4">
        <v>24236801</v>
      </c>
      <c r="I78" s="6">
        <f t="shared" si="6"/>
        <v>70.463776809205839</v>
      </c>
      <c r="J78" s="4">
        <v>31522</v>
      </c>
      <c r="K78" s="3"/>
    </row>
    <row r="79" spans="1:11" x14ac:dyDescent="0.25">
      <c r="A79" s="3" t="str">
        <f t="shared" si="21"/>
        <v>HUMAnN3</v>
      </c>
      <c r="B79" s="3" t="s">
        <v>58</v>
      </c>
      <c r="C79" s="3" t="s">
        <v>59</v>
      </c>
      <c r="D79" s="2">
        <v>32928245</v>
      </c>
      <c r="E79" s="2">
        <v>32216015</v>
      </c>
      <c r="F79" s="2">
        <v>32215951</v>
      </c>
      <c r="G79" s="6">
        <f t="shared" si="13"/>
        <v>99.999801341041092</v>
      </c>
      <c r="H79" s="2">
        <v>22335790</v>
      </c>
      <c r="I79" s="6">
        <f t="shared" si="6"/>
        <v>69.331462541645905</v>
      </c>
      <c r="J79" s="4">
        <v>31751</v>
      </c>
      <c r="K79" s="3"/>
    </row>
    <row r="80" spans="1:11" x14ac:dyDescent="0.25">
      <c r="A80" s="3" t="s">
        <v>13</v>
      </c>
      <c r="B80" s="3" t="s">
        <v>44</v>
      </c>
      <c r="C80" s="3" t="s">
        <v>45</v>
      </c>
      <c r="D80" s="2">
        <v>28738742</v>
      </c>
      <c r="E80" s="2">
        <v>28738742</v>
      </c>
      <c r="F80" s="2">
        <f xml:space="preserve"> 112831212/ 4</f>
        <v>28207803</v>
      </c>
      <c r="G80" s="6">
        <f t="shared" si="13"/>
        <v>98.152532215919535</v>
      </c>
      <c r="H80" s="4">
        <v>23532496</v>
      </c>
      <c r="I80" s="6">
        <f t="shared" si="6"/>
        <v>83.425483367137815</v>
      </c>
      <c r="J80" s="4">
        <v>351483</v>
      </c>
      <c r="K80" s="3"/>
    </row>
    <row r="81" spans="1:11" x14ac:dyDescent="0.25">
      <c r="A81" s="3" t="s">
        <v>13</v>
      </c>
      <c r="B81" s="3" t="s">
        <v>46</v>
      </c>
      <c r="C81" s="3" t="s">
        <v>47</v>
      </c>
      <c r="D81" s="2">
        <v>30441053</v>
      </c>
      <c r="E81" s="2">
        <v>30441053</v>
      </c>
      <c r="F81" s="2">
        <f xml:space="preserve"> 120334660 / 4</f>
        <v>30083665</v>
      </c>
      <c r="G81" s="6">
        <f t="shared" si="13"/>
        <v>98.825967025516491</v>
      </c>
      <c r="H81" s="4">
        <v>24746156</v>
      </c>
      <c r="I81" s="6">
        <f t="shared" si="6"/>
        <v>82.257783418343479</v>
      </c>
      <c r="J81" s="4">
        <v>271826</v>
      </c>
      <c r="K81" s="3"/>
    </row>
    <row r="82" spans="1:11" x14ac:dyDescent="0.25">
      <c r="A82" s="3" t="s">
        <v>13</v>
      </c>
      <c r="B82" s="3" t="s">
        <v>48</v>
      </c>
      <c r="C82" s="3" t="s">
        <v>49</v>
      </c>
      <c r="D82" s="2">
        <v>30914807</v>
      </c>
      <c r="E82" s="2">
        <v>30914807</v>
      </c>
      <c r="F82" s="2">
        <f xml:space="preserve"> 122538392 / 4</f>
        <v>30634598</v>
      </c>
      <c r="G82" s="6">
        <f t="shared" si="13"/>
        <v>99.093609091591617</v>
      </c>
      <c r="H82" s="4">
        <v>24155707</v>
      </c>
      <c r="I82" s="6">
        <f t="shared" si="6"/>
        <v>78.851065713348021</v>
      </c>
      <c r="J82" s="4">
        <v>318918</v>
      </c>
      <c r="K82" s="3"/>
    </row>
    <row r="83" spans="1:11" x14ac:dyDescent="0.25">
      <c r="A83" s="3" t="s">
        <v>13</v>
      </c>
      <c r="B83" s="3" t="s">
        <v>50</v>
      </c>
      <c r="C83" s="3" t="s">
        <v>51</v>
      </c>
      <c r="D83" s="2">
        <v>33750438</v>
      </c>
      <c r="E83" s="2">
        <v>33750438</v>
      </c>
      <c r="F83" s="2">
        <f xml:space="preserve"> 134176092 / 4</f>
        <v>33544023</v>
      </c>
      <c r="G83" s="6">
        <f t="shared" si="13"/>
        <v>99.388407937105882</v>
      </c>
      <c r="H83" s="4">
        <v>27366003</v>
      </c>
      <c r="I83" s="6">
        <f t="shared" si="6"/>
        <v>81.58235224200746</v>
      </c>
      <c r="J83" s="4">
        <v>210898</v>
      </c>
      <c r="K83" s="3"/>
    </row>
    <row r="84" spans="1:11" x14ac:dyDescent="0.25">
      <c r="A84" s="3" t="s">
        <v>13</v>
      </c>
      <c r="B84" s="3" t="s">
        <v>52</v>
      </c>
      <c r="C84" s="3" t="s">
        <v>53</v>
      </c>
      <c r="D84" s="2">
        <v>33645125</v>
      </c>
      <c r="E84" s="2">
        <v>33645125</v>
      </c>
      <c r="F84" s="2">
        <f xml:space="preserve"> 133758592 / 4</f>
        <v>33439648</v>
      </c>
      <c r="G84" s="6">
        <f t="shared" si="13"/>
        <v>99.389281508093674</v>
      </c>
      <c r="H84" s="4">
        <v>25501168</v>
      </c>
      <c r="I84" s="6">
        <f t="shared" si="6"/>
        <v>76.260276423962353</v>
      </c>
      <c r="J84" s="4">
        <v>300041</v>
      </c>
      <c r="K84" s="3"/>
    </row>
    <row r="85" spans="1:11" x14ac:dyDescent="0.25">
      <c r="A85" s="3" t="s">
        <v>13</v>
      </c>
      <c r="B85" s="3" t="s">
        <v>54</v>
      </c>
      <c r="C85" s="3" t="s">
        <v>55</v>
      </c>
      <c r="D85" s="2">
        <v>32993655</v>
      </c>
      <c r="E85" s="2">
        <v>32993655</v>
      </c>
      <c r="F85" s="2">
        <f xml:space="preserve"> 131159492 / 4</f>
        <v>32789873</v>
      </c>
      <c r="G85" s="6">
        <f t="shared" si="13"/>
        <v>99.38236003255777</v>
      </c>
      <c r="H85" s="4">
        <v>26283221</v>
      </c>
      <c r="I85" s="6">
        <f t="shared" si="6"/>
        <v>80.156519666910569</v>
      </c>
      <c r="J85" s="4">
        <v>265596</v>
      </c>
      <c r="K85" s="3"/>
    </row>
    <row r="86" spans="1:11" x14ac:dyDescent="0.25">
      <c r="A86" s="3" t="s">
        <v>13</v>
      </c>
      <c r="B86" s="3" t="s">
        <v>56</v>
      </c>
      <c r="C86" s="3" t="s">
        <v>57</v>
      </c>
      <c r="D86" s="2">
        <v>35165246</v>
      </c>
      <c r="E86" s="2">
        <v>35165246</v>
      </c>
      <c r="F86" s="2">
        <f xml:space="preserve"> 139435524 / 4</f>
        <v>34858881</v>
      </c>
      <c r="G86" s="6">
        <f t="shared" si="13"/>
        <v>99.128784709767132</v>
      </c>
      <c r="H86" s="4">
        <v>28020851</v>
      </c>
      <c r="I86" s="6">
        <f t="shared" si="6"/>
        <v>80.383678982695969</v>
      </c>
      <c r="J86" s="4">
        <v>323716</v>
      </c>
      <c r="K86" s="3"/>
    </row>
    <row r="87" spans="1:11" x14ac:dyDescent="0.25">
      <c r="A87" s="3" t="s">
        <v>13</v>
      </c>
      <c r="B87" s="3" t="s">
        <v>58</v>
      </c>
      <c r="C87" s="3" t="s">
        <v>59</v>
      </c>
      <c r="D87" s="2">
        <v>32928245</v>
      </c>
      <c r="E87" s="2">
        <v>32928245</v>
      </c>
      <c r="F87" s="2">
        <f xml:space="preserve"> 129701260 / 4</f>
        <v>32425315</v>
      </c>
      <c r="G87" s="6">
        <f t="shared" si="13"/>
        <v>98.472648633414863</v>
      </c>
      <c r="H87" s="4">
        <v>26022997</v>
      </c>
      <c r="I87" s="6">
        <f t="shared" si="6"/>
        <v>80.255186418389457</v>
      </c>
      <c r="J87" s="4">
        <v>344045</v>
      </c>
      <c r="K87" s="3"/>
    </row>
    <row r="88" spans="1:11" x14ac:dyDescent="0.25">
      <c r="A88" s="3" t="s">
        <v>16</v>
      </c>
      <c r="B88" s="3" t="s">
        <v>44</v>
      </c>
      <c r="C88" s="3" t="s">
        <v>45</v>
      </c>
      <c r="D88" s="2">
        <v>28738742</v>
      </c>
      <c r="E88" s="2">
        <v>28702782</v>
      </c>
      <c r="F88" s="2">
        <v>27388202</v>
      </c>
      <c r="G88" s="6">
        <f t="shared" si="13"/>
        <v>95.420025835823168</v>
      </c>
      <c r="H88" s="4">
        <v>27037080</v>
      </c>
      <c r="I88" s="6">
        <f t="shared" ref="I88:I95" si="22">100*(H88/F88)</f>
        <v>98.717980829847832</v>
      </c>
      <c r="J88" s="4">
        <v>99381</v>
      </c>
      <c r="K88" s="3"/>
    </row>
    <row r="89" spans="1:11" x14ac:dyDescent="0.25">
      <c r="A89" s="3" t="s">
        <v>16</v>
      </c>
      <c r="B89" s="3" t="s">
        <v>46</v>
      </c>
      <c r="C89" s="3" t="s">
        <v>47</v>
      </c>
      <c r="D89" s="2">
        <v>30441053</v>
      </c>
      <c r="E89" s="2">
        <v>30395522</v>
      </c>
      <c r="F89" s="2">
        <v>29544679</v>
      </c>
      <c r="G89" s="6">
        <f t="shared" si="13"/>
        <v>97.200762006982472</v>
      </c>
      <c r="H89" s="4">
        <v>28829790</v>
      </c>
      <c r="I89" s="6">
        <f t="shared" si="22"/>
        <v>97.580312177363652</v>
      </c>
      <c r="J89" s="4">
        <v>92975</v>
      </c>
      <c r="K89" s="3"/>
    </row>
    <row r="90" spans="1:11" x14ac:dyDescent="0.25">
      <c r="A90" s="3" t="s">
        <v>16</v>
      </c>
      <c r="B90" s="3" t="s">
        <v>48</v>
      </c>
      <c r="C90" s="3" t="s">
        <v>49</v>
      </c>
      <c r="D90" s="2">
        <v>30914807</v>
      </c>
      <c r="E90" s="2">
        <v>30872689</v>
      </c>
      <c r="F90" s="2">
        <v>30196277</v>
      </c>
      <c r="G90" s="6">
        <f t="shared" si="13"/>
        <v>97.809027908129409</v>
      </c>
      <c r="H90" s="4">
        <v>29330825</v>
      </c>
      <c r="I90" s="6">
        <f t="shared" si="22"/>
        <v>97.133911574595771</v>
      </c>
      <c r="J90" s="4">
        <v>101052</v>
      </c>
      <c r="K90" s="3"/>
    </row>
    <row r="91" spans="1:11" x14ac:dyDescent="0.25">
      <c r="A91" s="3" t="s">
        <v>16</v>
      </c>
      <c r="B91" s="3" t="s">
        <v>50</v>
      </c>
      <c r="C91" s="3" t="s">
        <v>51</v>
      </c>
      <c r="D91" s="2">
        <v>33750438</v>
      </c>
      <c r="E91" s="2">
        <v>33707743</v>
      </c>
      <c r="F91" s="2">
        <v>33218718</v>
      </c>
      <c r="G91" s="6">
        <f t="shared" si="13"/>
        <v>98.549220575225107</v>
      </c>
      <c r="H91" s="4">
        <v>32152763</v>
      </c>
      <c r="I91" s="6">
        <f t="shared" si="22"/>
        <v>96.791101330280114</v>
      </c>
      <c r="J91" s="4">
        <v>78238</v>
      </c>
      <c r="K91" s="3"/>
    </row>
    <row r="92" spans="1:11" x14ac:dyDescent="0.25">
      <c r="A92" s="3" t="s">
        <v>16</v>
      </c>
      <c r="B92" s="3" t="s">
        <v>52</v>
      </c>
      <c r="C92" s="3" t="s">
        <v>53</v>
      </c>
      <c r="D92" s="2">
        <v>33645125</v>
      </c>
      <c r="E92" s="2">
        <v>33602238</v>
      </c>
      <c r="F92" s="2">
        <v>33042017</v>
      </c>
      <c r="G92" s="6">
        <f t="shared" si="13"/>
        <v>98.332786643556304</v>
      </c>
      <c r="H92" s="4">
        <v>31495936</v>
      </c>
      <c r="I92" s="6">
        <f t="shared" si="22"/>
        <v>95.320863735406945</v>
      </c>
      <c r="J92" s="4">
        <v>103969</v>
      </c>
      <c r="K92" s="3"/>
    </row>
    <row r="93" spans="1:11" x14ac:dyDescent="0.25">
      <c r="A93" s="3" t="s">
        <v>16</v>
      </c>
      <c r="B93" s="3" t="s">
        <v>54</v>
      </c>
      <c r="C93" s="3" t="s">
        <v>55</v>
      </c>
      <c r="D93" s="2">
        <v>32993655</v>
      </c>
      <c r="E93" s="2">
        <v>32949841</v>
      </c>
      <c r="F93" s="2">
        <v>32456111</v>
      </c>
      <c r="G93" s="6">
        <f t="shared" si="13"/>
        <v>98.501570918050859</v>
      </c>
      <c r="H93" s="4">
        <v>31060162</v>
      </c>
      <c r="I93" s="6">
        <f t="shared" si="22"/>
        <v>95.698964056414525</v>
      </c>
      <c r="J93" s="4">
        <v>93265</v>
      </c>
      <c r="K93" s="3"/>
    </row>
    <row r="94" spans="1:11" x14ac:dyDescent="0.25">
      <c r="A94" s="3" t="s">
        <v>16</v>
      </c>
      <c r="B94" s="3" t="s">
        <v>56</v>
      </c>
      <c r="C94" s="3" t="s">
        <v>57</v>
      </c>
      <c r="D94" s="2">
        <v>35165246</v>
      </c>
      <c r="E94" s="2">
        <v>35122373</v>
      </c>
      <c r="F94" s="2">
        <v>34337293</v>
      </c>
      <c r="G94" s="6">
        <f t="shared" si="13"/>
        <v>97.764729621201852</v>
      </c>
      <c r="H94" s="4">
        <v>33281327</v>
      </c>
      <c r="I94" s="6">
        <f t="shared" si="22"/>
        <v>96.924725545487817</v>
      </c>
      <c r="J94" s="4">
        <v>96839</v>
      </c>
      <c r="K94" s="3"/>
    </row>
    <row r="95" spans="1:11" x14ac:dyDescent="0.25">
      <c r="A95" s="3" t="s">
        <v>16</v>
      </c>
      <c r="B95" s="3" t="s">
        <v>58</v>
      </c>
      <c r="C95" s="3" t="s">
        <v>59</v>
      </c>
      <c r="D95" s="2">
        <v>32928245</v>
      </c>
      <c r="E95" s="2">
        <v>32887961</v>
      </c>
      <c r="F95" s="2">
        <v>31670611</v>
      </c>
      <c r="G95" s="6">
        <f t="shared" si="13"/>
        <v>96.298493542971542</v>
      </c>
      <c r="H95" s="4">
        <v>30891752</v>
      </c>
      <c r="I95" s="6">
        <f t="shared" si="22"/>
        <v>97.540751581963477</v>
      </c>
      <c r="J95" s="4">
        <v>99936</v>
      </c>
      <c r="K95" s="3"/>
    </row>
    <row r="96" spans="1:11" x14ac:dyDescent="0.25">
      <c r="A96" s="3" t="s">
        <v>8</v>
      </c>
      <c r="B96" s="3" t="s">
        <v>44</v>
      </c>
      <c r="C96" s="3" t="s">
        <v>45</v>
      </c>
      <c r="D96" s="2">
        <f>D72</f>
        <v>28738742</v>
      </c>
      <c r="E96" s="2">
        <f t="shared" ref="E96:G96" si="23">E72</f>
        <v>28037061</v>
      </c>
      <c r="F96" s="2">
        <f t="shared" si="23"/>
        <v>28037050</v>
      </c>
      <c r="G96" s="2">
        <f t="shared" si="23"/>
        <v>99.999960766215835</v>
      </c>
      <c r="H96" s="2">
        <v>18133598</v>
      </c>
      <c r="I96" s="6">
        <f>100*H96/F96</f>
        <v>64.677268114869435</v>
      </c>
      <c r="J96" s="4">
        <v>35870</v>
      </c>
      <c r="K96" s="3"/>
    </row>
    <row r="97" spans="1:11" x14ac:dyDescent="0.25">
      <c r="A97" s="3" t="str">
        <f>A96</f>
        <v>HUMAnN2</v>
      </c>
      <c r="B97" s="3" t="s">
        <v>46</v>
      </c>
      <c r="C97" s="3" t="s">
        <v>47</v>
      </c>
      <c r="D97" s="2">
        <f t="shared" ref="D97:G97" si="24">D73</f>
        <v>30441053</v>
      </c>
      <c r="E97" s="2">
        <f t="shared" si="24"/>
        <v>29525891</v>
      </c>
      <c r="F97" s="2">
        <f t="shared" si="24"/>
        <v>29525883</v>
      </c>
      <c r="G97" s="2">
        <f t="shared" si="24"/>
        <v>99.999972905136033</v>
      </c>
      <c r="H97" s="2">
        <v>20828619</v>
      </c>
      <c r="I97" s="6">
        <f t="shared" ref="I97:I103" si="25">100*H97/F97</f>
        <v>70.5435939036946</v>
      </c>
      <c r="J97" s="4">
        <v>33928</v>
      </c>
      <c r="K97" s="3"/>
    </row>
    <row r="98" spans="1:11" x14ac:dyDescent="0.25">
      <c r="A98" s="3" t="str">
        <f t="shared" ref="A98:A103" si="26">A97</f>
        <v>HUMAnN2</v>
      </c>
      <c r="B98" s="3" t="s">
        <v>48</v>
      </c>
      <c r="C98" s="3" t="s">
        <v>49</v>
      </c>
      <c r="D98" s="2">
        <f t="shared" ref="D98:G98" si="27">D74</f>
        <v>30914807</v>
      </c>
      <c r="E98" s="2">
        <f t="shared" si="27"/>
        <v>30127579</v>
      </c>
      <c r="F98" s="2">
        <f t="shared" si="27"/>
        <v>30127572</v>
      </c>
      <c r="G98" s="2">
        <f t="shared" si="27"/>
        <v>99.999976765474585</v>
      </c>
      <c r="H98" s="2">
        <v>19218761</v>
      </c>
      <c r="I98" s="6">
        <f t="shared" si="25"/>
        <v>63.791270667281118</v>
      </c>
      <c r="J98" s="4">
        <v>39012</v>
      </c>
      <c r="K98" s="3"/>
    </row>
    <row r="99" spans="1:11" x14ac:dyDescent="0.25">
      <c r="A99" s="3" t="str">
        <f t="shared" si="26"/>
        <v>HUMAnN2</v>
      </c>
      <c r="B99" s="3" t="s">
        <v>50</v>
      </c>
      <c r="C99" s="3" t="s">
        <v>51</v>
      </c>
      <c r="D99" s="2">
        <f t="shared" ref="D99:G99" si="28">D75</f>
        <v>33750438</v>
      </c>
      <c r="E99" s="2">
        <f t="shared" si="28"/>
        <v>32900231</v>
      </c>
      <c r="F99" s="2">
        <f t="shared" si="28"/>
        <v>32900228</v>
      </c>
      <c r="G99" s="2">
        <f t="shared" si="28"/>
        <v>99.99999088152299</v>
      </c>
      <c r="H99" s="2">
        <v>22821767</v>
      </c>
      <c r="I99" s="6">
        <f t="shared" si="25"/>
        <v>69.366592231518879</v>
      </c>
      <c r="J99" s="4">
        <v>29331</v>
      </c>
      <c r="K99" s="3"/>
    </row>
    <row r="100" spans="1:11" x14ac:dyDescent="0.25">
      <c r="A100" s="3" t="str">
        <f t="shared" si="26"/>
        <v>HUMAnN2</v>
      </c>
      <c r="B100" s="3" t="s">
        <v>52</v>
      </c>
      <c r="C100" s="3" t="s">
        <v>53</v>
      </c>
      <c r="D100" s="2">
        <f t="shared" ref="D100:G100" si="29">D76</f>
        <v>33645125</v>
      </c>
      <c r="E100" s="2">
        <f t="shared" si="29"/>
        <v>32945452</v>
      </c>
      <c r="F100" s="2">
        <f t="shared" si="29"/>
        <v>32945447</v>
      </c>
      <c r="G100" s="2">
        <f t="shared" si="29"/>
        <v>99.999984823398393</v>
      </c>
      <c r="H100" s="2">
        <v>20461886</v>
      </c>
      <c r="I100" s="6">
        <f t="shared" si="25"/>
        <v>62.10838784491223</v>
      </c>
      <c r="J100" s="4">
        <v>40761</v>
      </c>
      <c r="K100" s="3"/>
    </row>
    <row r="101" spans="1:11" x14ac:dyDescent="0.25">
      <c r="A101" s="3" t="str">
        <f t="shared" si="26"/>
        <v>HUMAnN2</v>
      </c>
      <c r="B101" s="3" t="s">
        <v>54</v>
      </c>
      <c r="C101" s="3" t="s">
        <v>55</v>
      </c>
      <c r="D101" s="2">
        <f t="shared" ref="D101:G101" si="30">D77</f>
        <v>32993655</v>
      </c>
      <c r="E101" s="2">
        <f t="shared" si="30"/>
        <v>32258307</v>
      </c>
      <c r="F101" s="2">
        <f t="shared" si="30"/>
        <v>32258301</v>
      </c>
      <c r="G101" s="2">
        <f t="shared" si="30"/>
        <v>99.999981400139816</v>
      </c>
      <c r="H101" s="2">
        <v>21380384</v>
      </c>
      <c r="I101" s="6">
        <f t="shared" si="25"/>
        <v>66.278704510817235</v>
      </c>
      <c r="J101" s="4">
        <v>36773</v>
      </c>
      <c r="K101" s="3"/>
    </row>
    <row r="102" spans="1:11" x14ac:dyDescent="0.25">
      <c r="A102" s="3" t="str">
        <f t="shared" si="26"/>
        <v>HUMAnN2</v>
      </c>
      <c r="B102" s="3" t="s">
        <v>56</v>
      </c>
      <c r="C102" s="3" t="s">
        <v>57</v>
      </c>
      <c r="D102" s="2">
        <f t="shared" ref="D102:G102" si="31">D78</f>
        <v>35165246</v>
      </c>
      <c r="E102" s="2">
        <f t="shared" si="31"/>
        <v>34396124</v>
      </c>
      <c r="F102" s="2">
        <f t="shared" si="31"/>
        <v>34396114</v>
      </c>
      <c r="G102" s="2">
        <f t="shared" si="31"/>
        <v>99.999970926956763</v>
      </c>
      <c r="H102" s="2">
        <v>21271519</v>
      </c>
      <c r="I102" s="6">
        <f t="shared" si="25"/>
        <v>61.842797125279908</v>
      </c>
      <c r="J102" s="4">
        <v>39739</v>
      </c>
      <c r="K102" s="3"/>
    </row>
    <row r="103" spans="1:11" x14ac:dyDescent="0.25">
      <c r="A103" s="3" t="str">
        <f t="shared" si="26"/>
        <v>HUMAnN2</v>
      </c>
      <c r="B103" s="3" t="s">
        <v>58</v>
      </c>
      <c r="C103" s="3" t="s">
        <v>59</v>
      </c>
      <c r="D103" s="2">
        <f t="shared" ref="D103:G103" si="32">D79</f>
        <v>32928245</v>
      </c>
      <c r="E103" s="2">
        <f t="shared" si="32"/>
        <v>32216015</v>
      </c>
      <c r="F103" s="2">
        <f t="shared" si="32"/>
        <v>32215951</v>
      </c>
      <c r="G103" s="2">
        <f t="shared" si="32"/>
        <v>99.999801341041092</v>
      </c>
      <c r="H103" s="2">
        <v>19267820</v>
      </c>
      <c r="I103" s="6">
        <f t="shared" si="25"/>
        <v>59.808322901906571</v>
      </c>
      <c r="J103" s="4">
        <v>41618</v>
      </c>
    </row>
    <row r="104" spans="1:11" ht="18" x14ac:dyDescent="0.25">
      <c r="A104" s="3" t="s">
        <v>64</v>
      </c>
      <c r="K104" s="3"/>
    </row>
    <row r="105" spans="1:11" ht="18" x14ac:dyDescent="0.25">
      <c r="A105" s="3" t="s">
        <v>65</v>
      </c>
      <c r="K105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</dc:creator>
  <cp:lastModifiedBy>billy</cp:lastModifiedBy>
  <dcterms:created xsi:type="dcterms:W3CDTF">2015-06-05T18:17:20Z</dcterms:created>
  <dcterms:modified xsi:type="dcterms:W3CDTF">2022-12-05T07:38:15Z</dcterms:modified>
</cp:coreProperties>
</file>